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tables/table34.xml" ContentType="application/vnd.openxmlformats-officedocument.spreadsheetml.table+xml"/>
  <Override PartName="/xl/tables/table35.xml" ContentType="application/vnd.openxmlformats-officedocument.spreadsheetml.table+xml"/>
  <Override PartName="/xl/tables/table36.xml" ContentType="application/vnd.openxmlformats-officedocument.spreadsheetml.table+xml"/>
  <Override PartName="/xl/tables/table37.xml" ContentType="application/vnd.openxmlformats-officedocument.spreadsheetml.table+xml"/>
  <Override PartName="/xl/tables/table38.xml" ContentType="application/vnd.openxmlformats-officedocument.spreadsheetml.table+xml"/>
  <Override PartName="/xl/tables/table39.xml" ContentType="application/vnd.openxmlformats-officedocument.spreadsheetml.table+xml"/>
  <Override PartName="/xl/tables/table40.xml" ContentType="application/vnd.openxmlformats-officedocument.spreadsheetml.table+xml"/>
  <Override PartName="/xl/tables/table41.xml" ContentType="application/vnd.openxmlformats-officedocument.spreadsheetml.table+xml"/>
  <Override PartName="/xl/tables/table42.xml" ContentType="application/vnd.openxmlformats-officedocument.spreadsheetml.table+xml"/>
  <Override PartName="/xl/tables/table43.xml" ContentType="application/vnd.openxmlformats-officedocument.spreadsheetml.table+xml"/>
  <Override PartName="/xl/tables/table44.xml" ContentType="application/vnd.openxmlformats-officedocument.spreadsheetml.table+xml"/>
  <Override PartName="/xl/tables/table45.xml" ContentType="application/vnd.openxmlformats-officedocument.spreadsheetml.table+xml"/>
  <Override PartName="/xl/tables/table46.xml" ContentType="application/vnd.openxmlformats-officedocument.spreadsheetml.table+xml"/>
  <Override PartName="/xl/tables/table47.xml" ContentType="application/vnd.openxmlformats-officedocument.spreadsheetml.table+xml"/>
  <Override PartName="/xl/tables/table48.xml" ContentType="application/vnd.openxmlformats-officedocument.spreadsheetml.table+xml"/>
  <Override PartName="/xl/tables/table49.xml" ContentType="application/vnd.openxmlformats-officedocument.spreadsheetml.table+xml"/>
  <Override PartName="/xl/tables/table50.xml" ContentType="application/vnd.openxmlformats-officedocument.spreadsheetml.table+xml"/>
  <Override PartName="/xl/tables/table51.xml" ContentType="application/vnd.openxmlformats-officedocument.spreadsheetml.table+xml"/>
  <Override PartName="/xl/tables/table52.xml" ContentType="application/vnd.openxmlformats-officedocument.spreadsheetml.table+xml"/>
  <Override PartName="/xl/tables/table53.xml" ContentType="application/vnd.openxmlformats-officedocument.spreadsheetml.table+xml"/>
  <Override PartName="/xl/tables/table54.xml" ContentType="application/vnd.openxmlformats-officedocument.spreadsheetml.table+xml"/>
  <Override PartName="/xl/tables/table55.xml" ContentType="application/vnd.openxmlformats-officedocument.spreadsheetml.table+xml"/>
  <Override PartName="/xl/tables/table56.xml" ContentType="application/vnd.openxmlformats-officedocument.spreadsheetml.table+xml"/>
  <Override PartName="/xl/tables/table57.xml" ContentType="application/vnd.openxmlformats-officedocument.spreadsheetml.table+xml"/>
  <Override PartName="/xl/tables/table58.xml" ContentType="application/vnd.openxmlformats-officedocument.spreadsheetml.table+xml"/>
  <Override PartName="/xl/tables/table59.xml" ContentType="application/vnd.openxmlformats-officedocument.spreadsheetml.table+xml"/>
  <Override PartName="/xl/tables/table60.xml" ContentType="application/vnd.openxmlformats-officedocument.spreadsheetml.table+xml"/>
  <Override PartName="/xl/tables/table61.xml" ContentType="application/vnd.openxmlformats-officedocument.spreadsheetml.table+xml"/>
  <Override PartName="/xl/tables/table62.xml" ContentType="application/vnd.openxmlformats-officedocument.spreadsheetml.table+xml"/>
  <Override PartName="/xl/tables/table63.xml" ContentType="application/vnd.openxmlformats-officedocument.spreadsheetml.table+xml"/>
  <Override PartName="/xl/tables/table64.xml" ContentType="application/vnd.openxmlformats-officedocument.spreadsheetml.table+xml"/>
  <Override PartName="/xl/tables/table65.xml" ContentType="application/vnd.openxmlformats-officedocument.spreadsheetml.table+xml"/>
  <Override PartName="/xl/tables/table66.xml" ContentType="application/vnd.openxmlformats-officedocument.spreadsheetml.table+xml"/>
  <Override PartName="/xl/tables/table67.xml" ContentType="application/vnd.openxmlformats-officedocument.spreadsheetml.table+xml"/>
  <Override PartName="/xl/tables/table68.xml" ContentType="application/vnd.openxmlformats-officedocument.spreadsheetml.table+xml"/>
  <Override PartName="/xl/tables/table69.xml" ContentType="application/vnd.openxmlformats-officedocument.spreadsheetml.table+xml"/>
  <Override PartName="/xl/tables/table70.xml" ContentType="application/vnd.openxmlformats-officedocument.spreadsheetml.table+xml"/>
  <Override PartName="/xl/tables/table71.xml" ContentType="application/vnd.openxmlformats-officedocument.spreadsheetml.table+xml"/>
  <Override PartName="/xl/tables/table72.xml" ContentType="application/vnd.openxmlformats-officedocument.spreadsheetml.table+xml"/>
  <Override PartName="/xl/tables/table73.xml" ContentType="application/vnd.openxmlformats-officedocument.spreadsheetml.table+xml"/>
  <Override PartName="/xl/tables/table74.xml" ContentType="application/vnd.openxmlformats-officedocument.spreadsheetml.table+xml"/>
  <Override PartName="/xl/tables/table75.xml" ContentType="application/vnd.openxmlformats-officedocument.spreadsheetml.table+xml"/>
  <Override PartName="/xl/tables/table76.xml" ContentType="application/vnd.openxmlformats-officedocument.spreadsheetml.table+xml"/>
  <Override PartName="/xl/tables/table77.xml" ContentType="application/vnd.openxmlformats-officedocument.spreadsheetml.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3.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4.xml" ContentType="application/vnd.openxmlformats-officedocument.drawing+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drawings/drawing5.xml" ContentType="application/vnd.openxmlformats-officedocument.drawing+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charts/chart55.xml" ContentType="application/vnd.openxmlformats-officedocument.drawingml.chart+xml"/>
  <Override PartName="/xl/charts/style55.xml" ContentType="application/vnd.ms-office.chartstyle+xml"/>
  <Override PartName="/xl/charts/colors55.xml" ContentType="application/vnd.ms-office.chartcolorstyle+xml"/>
  <Override PartName="/xl/charts/chart56.xml" ContentType="application/vnd.openxmlformats-officedocument.drawingml.chart+xml"/>
  <Override PartName="/xl/charts/style56.xml" ContentType="application/vnd.ms-office.chartstyle+xml"/>
  <Override PartName="/xl/charts/colors56.xml" ContentType="application/vnd.ms-office.chartcolorstyle+xml"/>
  <Override PartName="/xl/charts/chart57.xml" ContentType="application/vnd.openxmlformats-officedocument.drawingml.chart+xml"/>
  <Override PartName="/xl/charts/style57.xml" ContentType="application/vnd.ms-office.chartstyle+xml"/>
  <Override PartName="/xl/charts/colors57.xml" ContentType="application/vnd.ms-office.chartcolorstyle+xml"/>
  <Override PartName="/xl/charts/chart58.xml" ContentType="application/vnd.openxmlformats-officedocument.drawingml.chart+xml"/>
  <Override PartName="/xl/charts/style58.xml" ContentType="application/vnd.ms-office.chartstyle+xml"/>
  <Override PartName="/xl/charts/colors58.xml" ContentType="application/vnd.ms-office.chartcolorstyle+xml"/>
  <Override PartName="/xl/charts/chart59.xml" ContentType="application/vnd.openxmlformats-officedocument.drawingml.chart+xml"/>
  <Override PartName="/xl/charts/style59.xml" ContentType="application/vnd.ms-office.chartstyle+xml"/>
  <Override PartName="/xl/charts/colors59.xml" ContentType="application/vnd.ms-office.chartcolorstyle+xml"/>
  <Override PartName="/xl/charts/chart60.xml" ContentType="application/vnd.openxmlformats-officedocument.drawingml.chart+xml"/>
  <Override PartName="/xl/charts/style60.xml" ContentType="application/vnd.ms-office.chartstyle+xml"/>
  <Override PartName="/xl/charts/colors60.xml" ContentType="application/vnd.ms-office.chartcolorstyle+xml"/>
  <Override PartName="/xl/drawings/drawing6.xml" ContentType="application/vnd.openxmlformats-officedocument.drawing+xml"/>
  <Override PartName="/xl/charts/chart61.xml" ContentType="application/vnd.openxmlformats-officedocument.drawingml.chart+xml"/>
  <Override PartName="/xl/charts/style61.xml" ContentType="application/vnd.ms-office.chartstyle+xml"/>
  <Override PartName="/xl/charts/colors61.xml" ContentType="application/vnd.ms-office.chartcolorstyle+xml"/>
  <Override PartName="/xl/charts/chart62.xml" ContentType="application/vnd.openxmlformats-officedocument.drawingml.chart+xml"/>
  <Override PartName="/xl/charts/style62.xml" ContentType="application/vnd.ms-office.chartstyle+xml"/>
  <Override PartName="/xl/charts/colors62.xml" ContentType="application/vnd.ms-office.chartcolorstyle+xml"/>
  <Override PartName="/xl/charts/chart63.xml" ContentType="application/vnd.openxmlformats-officedocument.drawingml.chart+xml"/>
  <Override PartName="/xl/charts/style63.xml" ContentType="application/vnd.ms-office.chartstyle+xml"/>
  <Override PartName="/xl/charts/colors63.xml" ContentType="application/vnd.ms-office.chartcolorstyle+xml"/>
  <Override PartName="/xl/charts/chart64.xml" ContentType="application/vnd.openxmlformats-officedocument.drawingml.chart+xml"/>
  <Override PartName="/xl/charts/style64.xml" ContentType="application/vnd.ms-office.chartstyle+xml"/>
  <Override PartName="/xl/charts/colors64.xml" ContentType="application/vnd.ms-office.chartcolorstyle+xml"/>
  <Override PartName="/xl/charts/chart65.xml" ContentType="application/vnd.openxmlformats-officedocument.drawingml.chart+xml"/>
  <Override PartName="/xl/charts/style65.xml" ContentType="application/vnd.ms-office.chartstyle+xml"/>
  <Override PartName="/xl/charts/colors65.xml" ContentType="application/vnd.ms-office.chartcolorstyle+xml"/>
  <Override PartName="/xl/charts/chart66.xml" ContentType="application/vnd.openxmlformats-officedocument.drawingml.chart+xml"/>
  <Override PartName="/xl/charts/style66.xml" ContentType="application/vnd.ms-office.chartstyle+xml"/>
  <Override PartName="/xl/charts/colors66.xml" ContentType="application/vnd.ms-office.chartcolorstyle+xml"/>
  <Override PartName="/xl/charts/chart67.xml" ContentType="application/vnd.openxmlformats-officedocument.drawingml.chart+xml"/>
  <Override PartName="/xl/charts/style67.xml" ContentType="application/vnd.ms-office.chartstyle+xml"/>
  <Override PartName="/xl/charts/colors67.xml" ContentType="application/vnd.ms-office.chartcolorstyle+xml"/>
  <Override PartName="/xl/charts/chart68.xml" ContentType="application/vnd.openxmlformats-officedocument.drawingml.chart+xml"/>
  <Override PartName="/xl/charts/style68.xml" ContentType="application/vnd.ms-office.chartstyle+xml"/>
  <Override PartName="/xl/charts/colors68.xml" ContentType="application/vnd.ms-office.chartcolorstyle+xml"/>
  <Override PartName="/xl/charts/chart69.xml" ContentType="application/vnd.openxmlformats-officedocument.drawingml.chart+xml"/>
  <Override PartName="/xl/charts/style69.xml" ContentType="application/vnd.ms-office.chartstyle+xml"/>
  <Override PartName="/xl/charts/colors69.xml" ContentType="application/vnd.ms-office.chartcolorstyle+xml"/>
  <Override PartName="/xl/charts/chart70.xml" ContentType="application/vnd.openxmlformats-officedocument.drawingml.chart+xml"/>
  <Override PartName="/xl/charts/style70.xml" ContentType="application/vnd.ms-office.chartstyle+xml"/>
  <Override PartName="/xl/charts/colors70.xml" ContentType="application/vnd.ms-office.chartcolorstyle+xml"/>
  <Override PartName="/xl/charts/chart71.xml" ContentType="application/vnd.openxmlformats-officedocument.drawingml.chart+xml"/>
  <Override PartName="/xl/charts/style71.xml" ContentType="application/vnd.ms-office.chartstyle+xml"/>
  <Override PartName="/xl/charts/colors71.xml" ContentType="application/vnd.ms-office.chartcolorstyle+xml"/>
  <Override PartName="/xl/charts/chart72.xml" ContentType="application/vnd.openxmlformats-officedocument.drawingml.chart+xml"/>
  <Override PartName="/xl/charts/style72.xml" ContentType="application/vnd.ms-office.chartstyle+xml"/>
  <Override PartName="/xl/charts/colors72.xml" ContentType="application/vnd.ms-office.chartcolorstyle+xml"/>
  <Override PartName="/xl/charts/chart73.xml" ContentType="application/vnd.openxmlformats-officedocument.drawingml.chart+xml"/>
  <Override PartName="/xl/charts/style73.xml" ContentType="application/vnd.ms-office.chartstyle+xml"/>
  <Override PartName="/xl/charts/colors73.xml" ContentType="application/vnd.ms-office.chartcolorstyle+xml"/>
  <Override PartName="/xl/charts/chart74.xml" ContentType="application/vnd.openxmlformats-officedocument.drawingml.chart+xml"/>
  <Override PartName="/xl/charts/style74.xml" ContentType="application/vnd.ms-office.chartstyle+xml"/>
  <Override PartName="/xl/charts/colors74.xml" ContentType="application/vnd.ms-office.chartcolorstyle+xml"/>
  <Override PartName="/xl/charts/chart75.xml" ContentType="application/vnd.openxmlformats-officedocument.drawingml.chart+xml"/>
  <Override PartName="/xl/charts/style75.xml" ContentType="application/vnd.ms-office.chartstyle+xml"/>
  <Override PartName="/xl/charts/colors75.xml" ContentType="application/vnd.ms-office.chartcolorstyle+xml"/>
  <Override PartName="/xl/drawings/drawing7.xml" ContentType="application/vnd.openxmlformats-officedocument.drawing+xml"/>
  <Override PartName="/xl/charts/chart76.xml" ContentType="application/vnd.openxmlformats-officedocument.drawingml.chart+xml"/>
  <Override PartName="/xl/charts/style76.xml" ContentType="application/vnd.ms-office.chartstyle+xml"/>
  <Override PartName="/xl/charts/colors76.xml" ContentType="application/vnd.ms-office.chartcolorstyle+xml"/>
  <Override PartName="/xl/charts/chart77.xml" ContentType="application/vnd.openxmlformats-officedocument.drawingml.chart+xml"/>
  <Override PartName="/xl/charts/style77.xml" ContentType="application/vnd.ms-office.chartstyle+xml"/>
  <Override PartName="/xl/charts/colors77.xml" ContentType="application/vnd.ms-office.chartcolorstyle+xml"/>
  <Override PartName="/xl/charts/chart78.xml" ContentType="application/vnd.openxmlformats-officedocument.drawingml.chart+xml"/>
  <Override PartName="/xl/charts/style78.xml" ContentType="application/vnd.ms-office.chartstyle+xml"/>
  <Override PartName="/xl/charts/colors78.xml" ContentType="application/vnd.ms-office.chartcolorstyle+xml"/>
  <Override PartName="/xl/charts/chart79.xml" ContentType="application/vnd.openxmlformats-officedocument.drawingml.chart+xml"/>
  <Override PartName="/xl/charts/style79.xml" ContentType="application/vnd.ms-office.chartstyle+xml"/>
  <Override PartName="/xl/charts/colors79.xml" ContentType="application/vnd.ms-office.chartcolorstyle+xml"/>
  <Override PartName="/xl/charts/chart80.xml" ContentType="application/vnd.openxmlformats-officedocument.drawingml.chart+xml"/>
  <Override PartName="/xl/charts/style80.xml" ContentType="application/vnd.ms-office.chartstyle+xml"/>
  <Override PartName="/xl/charts/colors80.xml" ContentType="application/vnd.ms-office.chartcolorstyle+xml"/>
  <Override PartName="/xl/charts/chart81.xml" ContentType="application/vnd.openxmlformats-officedocument.drawingml.chart+xml"/>
  <Override PartName="/xl/charts/style81.xml" ContentType="application/vnd.ms-office.chartstyle+xml"/>
  <Override PartName="/xl/charts/colors81.xml" ContentType="application/vnd.ms-office.chartcolorstyle+xml"/>
  <Override PartName="/xl/charts/chart82.xml" ContentType="application/vnd.openxmlformats-officedocument.drawingml.chart+xml"/>
  <Override PartName="/xl/charts/style82.xml" ContentType="application/vnd.ms-office.chartstyle+xml"/>
  <Override PartName="/xl/charts/colors82.xml" ContentType="application/vnd.ms-office.chartcolorstyle+xml"/>
  <Override PartName="/xl/charts/chart83.xml" ContentType="application/vnd.openxmlformats-officedocument.drawingml.chart+xml"/>
  <Override PartName="/xl/charts/style83.xml" ContentType="application/vnd.ms-office.chartstyle+xml"/>
  <Override PartName="/xl/charts/colors83.xml" ContentType="application/vnd.ms-office.chartcolorstyle+xml"/>
  <Override PartName="/xl/charts/chart84.xml" ContentType="application/vnd.openxmlformats-officedocument.drawingml.chart+xml"/>
  <Override PartName="/xl/charts/style84.xml" ContentType="application/vnd.ms-office.chartstyle+xml"/>
  <Override PartName="/xl/charts/colors84.xml" ContentType="application/vnd.ms-office.chartcolorstyle+xml"/>
  <Override PartName="/xl/charts/chart85.xml" ContentType="application/vnd.openxmlformats-officedocument.drawingml.chart+xml"/>
  <Override PartName="/xl/charts/style85.xml" ContentType="application/vnd.ms-office.chartstyle+xml"/>
  <Override PartName="/xl/charts/colors85.xml" ContentType="application/vnd.ms-office.chartcolorstyle+xml"/>
  <Override PartName="/xl/charts/chart86.xml" ContentType="application/vnd.openxmlformats-officedocument.drawingml.chart+xml"/>
  <Override PartName="/xl/charts/style86.xml" ContentType="application/vnd.ms-office.chartstyle+xml"/>
  <Override PartName="/xl/charts/colors86.xml" ContentType="application/vnd.ms-office.chartcolorstyle+xml"/>
  <Override PartName="/xl/charts/chart87.xml" ContentType="application/vnd.openxmlformats-officedocument.drawingml.chart+xml"/>
  <Override PartName="/xl/charts/style87.xml" ContentType="application/vnd.ms-office.chartstyle+xml"/>
  <Override PartName="/xl/charts/colors87.xml" ContentType="application/vnd.ms-office.chartcolorstyle+xml"/>
  <Override PartName="/xl/charts/chart88.xml" ContentType="application/vnd.openxmlformats-officedocument.drawingml.chart+xml"/>
  <Override PartName="/xl/charts/style88.xml" ContentType="application/vnd.ms-office.chartstyle+xml"/>
  <Override PartName="/xl/charts/colors88.xml" ContentType="application/vnd.ms-office.chartcolorstyle+xml"/>
  <Override PartName="/xl/charts/chart89.xml" ContentType="application/vnd.openxmlformats-officedocument.drawingml.chart+xml"/>
  <Override PartName="/xl/charts/style89.xml" ContentType="application/vnd.ms-office.chartstyle+xml"/>
  <Override PartName="/xl/charts/colors89.xml" ContentType="application/vnd.ms-office.chartcolorstyle+xml"/>
  <Override PartName="/xl/charts/chart90.xml" ContentType="application/vnd.openxmlformats-officedocument.drawingml.chart+xml"/>
  <Override PartName="/xl/charts/style90.xml" ContentType="application/vnd.ms-office.chartstyle+xml"/>
  <Override PartName="/xl/charts/colors90.xml" ContentType="application/vnd.ms-office.chartcolorstyle+xml"/>
  <Override PartName="/xl/drawings/drawing8.xml" ContentType="application/vnd.openxmlformats-officedocument.drawing+xml"/>
  <Override PartName="/xl/charts/chart91.xml" ContentType="application/vnd.openxmlformats-officedocument.drawingml.chart+xml"/>
  <Override PartName="/xl/charts/style91.xml" ContentType="application/vnd.ms-office.chartstyle+xml"/>
  <Override PartName="/xl/charts/colors91.xml" ContentType="application/vnd.ms-office.chartcolorstyle+xml"/>
  <Override PartName="/xl/charts/chart92.xml" ContentType="application/vnd.openxmlformats-officedocument.drawingml.chart+xml"/>
  <Override PartName="/xl/charts/style92.xml" ContentType="application/vnd.ms-office.chartstyle+xml"/>
  <Override PartName="/xl/charts/colors92.xml" ContentType="application/vnd.ms-office.chartcolorstyle+xml"/>
  <Override PartName="/xl/charts/chart93.xml" ContentType="application/vnd.openxmlformats-officedocument.drawingml.chart+xml"/>
  <Override PartName="/xl/charts/style93.xml" ContentType="application/vnd.ms-office.chartstyle+xml"/>
  <Override PartName="/xl/charts/colors93.xml" ContentType="application/vnd.ms-office.chartcolorstyle+xml"/>
  <Override PartName="/xl/charts/chart94.xml" ContentType="application/vnd.openxmlformats-officedocument.drawingml.chart+xml"/>
  <Override PartName="/xl/charts/style94.xml" ContentType="application/vnd.ms-office.chartstyle+xml"/>
  <Override PartName="/xl/charts/colors94.xml" ContentType="application/vnd.ms-office.chartcolorstyle+xml"/>
  <Override PartName="/xl/charts/chart95.xml" ContentType="application/vnd.openxmlformats-officedocument.drawingml.chart+xml"/>
  <Override PartName="/xl/charts/style95.xml" ContentType="application/vnd.ms-office.chartstyle+xml"/>
  <Override PartName="/xl/charts/colors95.xml" ContentType="application/vnd.ms-office.chartcolorstyle+xml"/>
  <Override PartName="/xl/charts/chart96.xml" ContentType="application/vnd.openxmlformats-officedocument.drawingml.chart+xml"/>
  <Override PartName="/xl/charts/style96.xml" ContentType="application/vnd.ms-office.chartstyle+xml"/>
  <Override PartName="/xl/charts/colors96.xml" ContentType="application/vnd.ms-office.chartcolorstyle+xml"/>
  <Override PartName="/xl/charts/chart97.xml" ContentType="application/vnd.openxmlformats-officedocument.drawingml.chart+xml"/>
  <Override PartName="/xl/charts/style97.xml" ContentType="application/vnd.ms-office.chartstyle+xml"/>
  <Override PartName="/xl/charts/colors97.xml" ContentType="application/vnd.ms-office.chartcolorstyle+xml"/>
  <Override PartName="/xl/charts/chart98.xml" ContentType="application/vnd.openxmlformats-officedocument.drawingml.chart+xml"/>
  <Override PartName="/xl/charts/style98.xml" ContentType="application/vnd.ms-office.chartstyle+xml"/>
  <Override PartName="/xl/charts/colors98.xml" ContentType="application/vnd.ms-office.chartcolorstyle+xml"/>
  <Override PartName="/xl/charts/chart99.xml" ContentType="application/vnd.openxmlformats-officedocument.drawingml.chart+xml"/>
  <Override PartName="/xl/charts/style99.xml" ContentType="application/vnd.ms-office.chartstyle+xml"/>
  <Override PartName="/xl/charts/colors99.xml" ContentType="application/vnd.ms-office.chartcolorstyle+xml"/>
  <Override PartName="/xl/charts/chart100.xml" ContentType="application/vnd.openxmlformats-officedocument.drawingml.chart+xml"/>
  <Override PartName="/xl/charts/style100.xml" ContentType="application/vnd.ms-office.chartstyle+xml"/>
  <Override PartName="/xl/charts/colors100.xml" ContentType="application/vnd.ms-office.chartcolorstyle+xml"/>
  <Override PartName="/xl/charts/chart101.xml" ContentType="application/vnd.openxmlformats-officedocument.drawingml.chart+xml"/>
  <Override PartName="/xl/charts/style101.xml" ContentType="application/vnd.ms-office.chartstyle+xml"/>
  <Override PartName="/xl/charts/colors101.xml" ContentType="application/vnd.ms-office.chartcolorstyle+xml"/>
  <Override PartName="/xl/charts/chart102.xml" ContentType="application/vnd.openxmlformats-officedocument.drawingml.chart+xml"/>
  <Override PartName="/xl/charts/style102.xml" ContentType="application/vnd.ms-office.chartstyle+xml"/>
  <Override PartName="/xl/charts/colors102.xml" ContentType="application/vnd.ms-office.chartcolorstyle+xml"/>
  <Override PartName="/xl/charts/chart103.xml" ContentType="application/vnd.openxmlformats-officedocument.drawingml.chart+xml"/>
  <Override PartName="/xl/charts/style103.xml" ContentType="application/vnd.ms-office.chartstyle+xml"/>
  <Override PartName="/xl/charts/colors103.xml" ContentType="application/vnd.ms-office.chartcolorstyle+xml"/>
  <Override PartName="/xl/charts/chart104.xml" ContentType="application/vnd.openxmlformats-officedocument.drawingml.chart+xml"/>
  <Override PartName="/xl/charts/style104.xml" ContentType="application/vnd.ms-office.chartstyle+xml"/>
  <Override PartName="/xl/charts/colors104.xml" ContentType="application/vnd.ms-office.chartcolorstyle+xml"/>
  <Override PartName="/xl/charts/chart105.xml" ContentType="application/vnd.openxmlformats-officedocument.drawingml.chart+xml"/>
  <Override PartName="/xl/charts/style105.xml" ContentType="application/vnd.ms-office.chartstyle+xml"/>
  <Override PartName="/xl/charts/colors105.xml" ContentType="application/vnd.ms-office.chartcolorstyle+xml"/>
  <Override PartName="/xl/drawings/drawing9.xml" ContentType="application/vnd.openxmlformats-officedocument.drawing+xml"/>
  <Override PartName="/xl/charts/chart106.xml" ContentType="application/vnd.openxmlformats-officedocument.drawingml.chart+xml"/>
  <Override PartName="/xl/charts/style106.xml" ContentType="application/vnd.ms-office.chartstyle+xml"/>
  <Override PartName="/xl/charts/colors106.xml" ContentType="application/vnd.ms-office.chartcolorstyle+xml"/>
  <Override PartName="/xl/charts/chart107.xml" ContentType="application/vnd.openxmlformats-officedocument.drawingml.chart+xml"/>
  <Override PartName="/xl/charts/style107.xml" ContentType="application/vnd.ms-office.chartstyle+xml"/>
  <Override PartName="/xl/charts/colors107.xml" ContentType="application/vnd.ms-office.chartcolorstyle+xml"/>
  <Override PartName="/xl/charts/chart108.xml" ContentType="application/vnd.openxmlformats-officedocument.drawingml.chart+xml"/>
  <Override PartName="/xl/charts/style108.xml" ContentType="application/vnd.ms-office.chartstyle+xml"/>
  <Override PartName="/xl/charts/colors108.xml" ContentType="application/vnd.ms-office.chartcolorstyle+xml"/>
  <Override PartName="/xl/charts/chart109.xml" ContentType="application/vnd.openxmlformats-officedocument.drawingml.chart+xml"/>
  <Override PartName="/xl/charts/style109.xml" ContentType="application/vnd.ms-office.chartstyle+xml"/>
  <Override PartName="/xl/charts/colors109.xml" ContentType="application/vnd.ms-office.chartcolorstyle+xml"/>
  <Override PartName="/xl/charts/chart110.xml" ContentType="application/vnd.openxmlformats-officedocument.drawingml.chart+xml"/>
  <Override PartName="/xl/charts/style110.xml" ContentType="application/vnd.ms-office.chartstyle+xml"/>
  <Override PartName="/xl/charts/colors110.xml" ContentType="application/vnd.ms-office.chartcolorstyle+xml"/>
  <Override PartName="/xl/charts/chart111.xml" ContentType="application/vnd.openxmlformats-officedocument.drawingml.chart+xml"/>
  <Override PartName="/xl/charts/style111.xml" ContentType="application/vnd.ms-office.chartstyle+xml"/>
  <Override PartName="/xl/charts/colors111.xml" ContentType="application/vnd.ms-office.chartcolorstyle+xml"/>
  <Override PartName="/xl/charts/chart112.xml" ContentType="application/vnd.openxmlformats-officedocument.drawingml.chart+xml"/>
  <Override PartName="/xl/charts/style112.xml" ContentType="application/vnd.ms-office.chartstyle+xml"/>
  <Override PartName="/xl/charts/colors112.xml" ContentType="application/vnd.ms-office.chartcolorstyle+xml"/>
  <Override PartName="/xl/charts/chart113.xml" ContentType="application/vnd.openxmlformats-officedocument.drawingml.chart+xml"/>
  <Override PartName="/xl/charts/style113.xml" ContentType="application/vnd.ms-office.chartstyle+xml"/>
  <Override PartName="/xl/charts/colors113.xml" ContentType="application/vnd.ms-office.chartcolorstyle+xml"/>
  <Override PartName="/xl/charts/chart114.xml" ContentType="application/vnd.openxmlformats-officedocument.drawingml.chart+xml"/>
  <Override PartName="/xl/charts/style114.xml" ContentType="application/vnd.ms-office.chartstyle+xml"/>
  <Override PartName="/xl/charts/colors114.xml" ContentType="application/vnd.ms-office.chartcolorstyle+xml"/>
  <Override PartName="/xl/charts/chart115.xml" ContentType="application/vnd.openxmlformats-officedocument.drawingml.chart+xml"/>
  <Override PartName="/xl/charts/style115.xml" ContentType="application/vnd.ms-office.chartstyle+xml"/>
  <Override PartName="/xl/charts/colors115.xml" ContentType="application/vnd.ms-office.chartcolorstyle+xml"/>
  <Override PartName="/xl/charts/chart116.xml" ContentType="application/vnd.openxmlformats-officedocument.drawingml.chart+xml"/>
  <Override PartName="/xl/charts/style116.xml" ContentType="application/vnd.ms-office.chartstyle+xml"/>
  <Override PartName="/xl/charts/colors116.xml" ContentType="application/vnd.ms-office.chartcolorstyle+xml"/>
  <Override PartName="/xl/charts/chart117.xml" ContentType="application/vnd.openxmlformats-officedocument.drawingml.chart+xml"/>
  <Override PartName="/xl/charts/style117.xml" ContentType="application/vnd.ms-office.chartstyle+xml"/>
  <Override PartName="/xl/charts/colors117.xml" ContentType="application/vnd.ms-office.chartcolorstyle+xml"/>
  <Override PartName="/xl/charts/chart118.xml" ContentType="application/vnd.openxmlformats-officedocument.drawingml.chart+xml"/>
  <Override PartName="/xl/charts/style118.xml" ContentType="application/vnd.ms-office.chartstyle+xml"/>
  <Override PartName="/xl/charts/colors118.xml" ContentType="application/vnd.ms-office.chartcolorstyle+xml"/>
  <Override PartName="/xl/charts/chart119.xml" ContentType="application/vnd.openxmlformats-officedocument.drawingml.chart+xml"/>
  <Override PartName="/xl/charts/style119.xml" ContentType="application/vnd.ms-office.chartstyle+xml"/>
  <Override PartName="/xl/charts/colors119.xml" ContentType="application/vnd.ms-office.chartcolorstyle+xml"/>
  <Override PartName="/xl/charts/chart120.xml" ContentType="application/vnd.openxmlformats-officedocument.drawingml.chart+xml"/>
  <Override PartName="/xl/charts/style120.xml" ContentType="application/vnd.ms-office.chartstyle+xml"/>
  <Override PartName="/xl/charts/colors120.xml" ContentType="application/vnd.ms-office.chartcolorstyle+xml"/>
  <Override PartName="/xl/drawings/drawing10.xml" ContentType="application/vnd.openxmlformats-officedocument.drawing+xml"/>
  <Override PartName="/xl/charts/chart121.xml" ContentType="application/vnd.openxmlformats-officedocument.drawingml.chart+xml"/>
  <Override PartName="/xl/charts/style121.xml" ContentType="application/vnd.ms-office.chartstyle+xml"/>
  <Override PartName="/xl/charts/colors121.xml" ContentType="application/vnd.ms-office.chartcolorstyle+xml"/>
  <Override PartName="/xl/charts/chart122.xml" ContentType="application/vnd.openxmlformats-officedocument.drawingml.chart+xml"/>
  <Override PartName="/xl/charts/style122.xml" ContentType="application/vnd.ms-office.chartstyle+xml"/>
  <Override PartName="/xl/charts/colors122.xml" ContentType="application/vnd.ms-office.chartcolorstyle+xml"/>
  <Override PartName="/xl/charts/chart123.xml" ContentType="application/vnd.openxmlformats-officedocument.drawingml.chart+xml"/>
  <Override PartName="/xl/charts/style123.xml" ContentType="application/vnd.ms-office.chartstyle+xml"/>
  <Override PartName="/xl/charts/colors123.xml" ContentType="application/vnd.ms-office.chartcolorstyle+xml"/>
  <Override PartName="/xl/charts/chart124.xml" ContentType="application/vnd.openxmlformats-officedocument.drawingml.chart+xml"/>
  <Override PartName="/xl/charts/style124.xml" ContentType="application/vnd.ms-office.chartstyle+xml"/>
  <Override PartName="/xl/charts/colors124.xml" ContentType="application/vnd.ms-office.chartcolorstyle+xml"/>
  <Override PartName="/xl/charts/chart125.xml" ContentType="application/vnd.openxmlformats-officedocument.drawingml.chart+xml"/>
  <Override PartName="/xl/charts/style125.xml" ContentType="application/vnd.ms-office.chartstyle+xml"/>
  <Override PartName="/xl/charts/colors125.xml" ContentType="application/vnd.ms-office.chartcolorstyle+xml"/>
  <Override PartName="/xl/charts/chart126.xml" ContentType="application/vnd.openxmlformats-officedocument.drawingml.chart+xml"/>
  <Override PartName="/xl/charts/style126.xml" ContentType="application/vnd.ms-office.chartstyle+xml"/>
  <Override PartName="/xl/charts/colors126.xml" ContentType="application/vnd.ms-office.chartcolorstyle+xml"/>
  <Override PartName="/xl/charts/chart127.xml" ContentType="application/vnd.openxmlformats-officedocument.drawingml.chart+xml"/>
  <Override PartName="/xl/charts/style127.xml" ContentType="application/vnd.ms-office.chartstyle+xml"/>
  <Override PartName="/xl/charts/colors127.xml" ContentType="application/vnd.ms-office.chartcolorstyle+xml"/>
  <Override PartName="/xl/charts/chart128.xml" ContentType="application/vnd.openxmlformats-officedocument.drawingml.chart+xml"/>
  <Override PartName="/xl/charts/style128.xml" ContentType="application/vnd.ms-office.chartstyle+xml"/>
  <Override PartName="/xl/charts/colors128.xml" ContentType="application/vnd.ms-office.chartcolorstyle+xml"/>
  <Override PartName="/xl/charts/chart129.xml" ContentType="application/vnd.openxmlformats-officedocument.drawingml.chart+xml"/>
  <Override PartName="/xl/charts/style129.xml" ContentType="application/vnd.ms-office.chartstyle+xml"/>
  <Override PartName="/xl/charts/colors129.xml" ContentType="application/vnd.ms-office.chartcolorstyle+xml"/>
  <Override PartName="/xl/charts/chart130.xml" ContentType="application/vnd.openxmlformats-officedocument.drawingml.chart+xml"/>
  <Override PartName="/xl/charts/style130.xml" ContentType="application/vnd.ms-office.chartstyle+xml"/>
  <Override PartName="/xl/charts/colors130.xml" ContentType="application/vnd.ms-office.chartcolorstyle+xml"/>
  <Override PartName="/xl/charts/chart131.xml" ContentType="application/vnd.openxmlformats-officedocument.drawingml.chart+xml"/>
  <Override PartName="/xl/charts/style131.xml" ContentType="application/vnd.ms-office.chartstyle+xml"/>
  <Override PartName="/xl/charts/colors131.xml" ContentType="application/vnd.ms-office.chartcolorstyle+xml"/>
  <Override PartName="/xl/charts/chart132.xml" ContentType="application/vnd.openxmlformats-officedocument.drawingml.chart+xml"/>
  <Override PartName="/xl/charts/style132.xml" ContentType="application/vnd.ms-office.chartstyle+xml"/>
  <Override PartName="/xl/charts/colors132.xml" ContentType="application/vnd.ms-office.chartcolorstyle+xml"/>
  <Override PartName="/xl/charts/chart133.xml" ContentType="application/vnd.openxmlformats-officedocument.drawingml.chart+xml"/>
  <Override PartName="/xl/charts/style133.xml" ContentType="application/vnd.ms-office.chartstyle+xml"/>
  <Override PartName="/xl/charts/colors133.xml" ContentType="application/vnd.ms-office.chartcolorstyle+xml"/>
  <Override PartName="/xl/charts/chart134.xml" ContentType="application/vnd.openxmlformats-officedocument.drawingml.chart+xml"/>
  <Override PartName="/xl/charts/style134.xml" ContentType="application/vnd.ms-office.chartstyle+xml"/>
  <Override PartName="/xl/charts/colors134.xml" ContentType="application/vnd.ms-office.chartcolorstyle+xml"/>
  <Override PartName="/xl/charts/chart135.xml" ContentType="application/vnd.openxmlformats-officedocument.drawingml.chart+xml"/>
  <Override PartName="/xl/charts/style135.xml" ContentType="application/vnd.ms-office.chartstyle+xml"/>
  <Override PartName="/xl/charts/colors135.xml" ContentType="application/vnd.ms-office.chartcolorstyle+xml"/>
  <Override PartName="/xl/charts/chart136.xml" ContentType="application/vnd.openxmlformats-officedocument.drawingml.chart+xml"/>
  <Override PartName="/xl/charts/style136.xml" ContentType="application/vnd.ms-office.chartstyle+xml"/>
  <Override PartName="/xl/charts/colors136.xml" ContentType="application/vnd.ms-office.chartcolorstyle+xml"/>
  <Override PartName="/xl/charts/chart137.xml" ContentType="application/vnd.openxmlformats-officedocument.drawingml.chart+xml"/>
  <Override PartName="/xl/charts/style137.xml" ContentType="application/vnd.ms-office.chartstyle+xml"/>
  <Override PartName="/xl/charts/colors137.xml" ContentType="application/vnd.ms-office.chartcolorstyle+xml"/>
  <Override PartName="/xl/charts/chart138.xml" ContentType="application/vnd.openxmlformats-officedocument.drawingml.chart+xml"/>
  <Override PartName="/xl/charts/style138.xml" ContentType="application/vnd.ms-office.chartstyle+xml"/>
  <Override PartName="/xl/charts/colors138.xml" ContentType="application/vnd.ms-office.chartcolorstyle+xml"/>
  <Override PartName="/xl/charts/chart139.xml" ContentType="application/vnd.openxmlformats-officedocument.drawingml.chart+xml"/>
  <Override PartName="/xl/charts/style139.xml" ContentType="application/vnd.ms-office.chartstyle+xml"/>
  <Override PartName="/xl/charts/colors139.xml" ContentType="application/vnd.ms-office.chartcolorstyle+xml"/>
  <Override PartName="/xl/charts/chart140.xml" ContentType="application/vnd.openxmlformats-officedocument.drawingml.chart+xml"/>
  <Override PartName="/xl/charts/style140.xml" ContentType="application/vnd.ms-office.chartstyle+xml"/>
  <Override PartName="/xl/charts/colors140.xml" ContentType="application/vnd.ms-office.chartcolorstyle+xml"/>
  <Override PartName="/xl/charts/chart141.xml" ContentType="application/vnd.openxmlformats-officedocument.drawingml.chart+xml"/>
  <Override PartName="/xl/charts/style141.xml" ContentType="application/vnd.ms-office.chartstyle+xml"/>
  <Override PartName="/xl/charts/colors141.xml" ContentType="application/vnd.ms-office.chartcolorstyle+xml"/>
  <Override PartName="/xl/charts/chart142.xml" ContentType="application/vnd.openxmlformats-officedocument.drawingml.chart+xml"/>
  <Override PartName="/xl/charts/style142.xml" ContentType="application/vnd.ms-office.chartstyle+xml"/>
  <Override PartName="/xl/charts/colors142.xml" ContentType="application/vnd.ms-office.chartcolorstyle+xml"/>
  <Override PartName="/xl/charts/chart143.xml" ContentType="application/vnd.openxmlformats-officedocument.drawingml.chart+xml"/>
  <Override PartName="/xl/charts/style143.xml" ContentType="application/vnd.ms-office.chartstyle+xml"/>
  <Override PartName="/xl/charts/colors143.xml" ContentType="application/vnd.ms-office.chartcolorstyle+xml"/>
  <Override PartName="/xl/charts/chart144.xml" ContentType="application/vnd.openxmlformats-officedocument.drawingml.chart+xml"/>
  <Override PartName="/xl/charts/style144.xml" ContentType="application/vnd.ms-office.chartstyle+xml"/>
  <Override PartName="/xl/charts/colors144.xml" ContentType="application/vnd.ms-office.chartcolorstyle+xml"/>
  <Override PartName="/xl/charts/chart145.xml" ContentType="application/vnd.openxmlformats-officedocument.drawingml.chart+xml"/>
  <Override PartName="/xl/charts/style145.xml" ContentType="application/vnd.ms-office.chartstyle+xml"/>
  <Override PartName="/xl/charts/colors145.xml" ContentType="application/vnd.ms-office.chartcolorstyle+xml"/>
  <Override PartName="/xl/drawings/drawing11.xml" ContentType="application/vnd.openxmlformats-officedocument.drawing+xml"/>
  <Override PartName="/xl/charts/chart146.xml" ContentType="application/vnd.openxmlformats-officedocument.drawingml.chart+xml"/>
  <Override PartName="/xl/charts/style146.xml" ContentType="application/vnd.ms-office.chartstyle+xml"/>
  <Override PartName="/xl/charts/colors146.xml" ContentType="application/vnd.ms-office.chartcolorstyle+xml"/>
  <Override PartName="/xl/charts/chart147.xml" ContentType="application/vnd.openxmlformats-officedocument.drawingml.chart+xml"/>
  <Override PartName="/xl/charts/style147.xml" ContentType="application/vnd.ms-office.chartstyle+xml"/>
  <Override PartName="/xl/charts/colors147.xml" ContentType="application/vnd.ms-office.chartcolorstyle+xml"/>
  <Override PartName="/xl/charts/chart148.xml" ContentType="application/vnd.openxmlformats-officedocument.drawingml.chart+xml"/>
  <Override PartName="/xl/charts/style148.xml" ContentType="application/vnd.ms-office.chartstyle+xml"/>
  <Override PartName="/xl/charts/colors148.xml" ContentType="application/vnd.ms-office.chartcolorstyle+xml"/>
  <Override PartName="/xl/charts/chart149.xml" ContentType="application/vnd.openxmlformats-officedocument.drawingml.chart+xml"/>
  <Override PartName="/xl/charts/style149.xml" ContentType="application/vnd.ms-office.chartstyle+xml"/>
  <Override PartName="/xl/charts/colors149.xml" ContentType="application/vnd.ms-office.chartcolorstyle+xml"/>
  <Override PartName="/xl/charts/chart150.xml" ContentType="application/vnd.openxmlformats-officedocument.drawingml.chart+xml"/>
  <Override PartName="/xl/charts/style150.xml" ContentType="application/vnd.ms-office.chartstyle+xml"/>
  <Override PartName="/xl/charts/colors150.xml" ContentType="application/vnd.ms-office.chartcolorstyle+xml"/>
  <Override PartName="/xl/charts/chart151.xml" ContentType="application/vnd.openxmlformats-officedocument.drawingml.chart+xml"/>
  <Override PartName="/xl/charts/style151.xml" ContentType="application/vnd.ms-office.chartstyle+xml"/>
  <Override PartName="/xl/charts/colors151.xml" ContentType="application/vnd.ms-office.chartcolorstyle+xml"/>
  <Override PartName="/xl/tables/table78.xml" ContentType="application/vnd.openxmlformats-officedocument.spreadsheetml.table+xml"/>
  <Override PartName="/xl/tables/table79.xml" ContentType="application/vnd.openxmlformats-officedocument.spreadsheetml.table+xml"/>
  <Override PartName="/xl/drawings/drawing12.xml" ContentType="application/vnd.openxmlformats-officedocument.drawing+xml"/>
  <Override PartName="/xl/charts/chart152.xml" ContentType="application/vnd.openxmlformats-officedocument.drawingml.chart+xml"/>
  <Override PartName="/xl/charts/style152.xml" ContentType="application/vnd.ms-office.chartstyle+xml"/>
  <Override PartName="/xl/charts/colors152.xml" ContentType="application/vnd.ms-office.chartcolorstyle+xml"/>
  <Override PartName="/xl/charts/chart153.xml" ContentType="application/vnd.openxmlformats-officedocument.drawingml.chart+xml"/>
  <Override PartName="/xl/charts/style153.xml" ContentType="application/vnd.ms-office.chartstyle+xml"/>
  <Override PartName="/xl/charts/colors153.xml" ContentType="application/vnd.ms-office.chartcolorstyle+xml"/>
  <Override PartName="/xl/charts/chart154.xml" ContentType="application/vnd.openxmlformats-officedocument.drawingml.chart+xml"/>
  <Override PartName="/xl/charts/style154.xml" ContentType="application/vnd.ms-office.chartstyle+xml"/>
  <Override PartName="/xl/charts/colors154.xml" ContentType="application/vnd.ms-office.chartcolorstyle+xml"/>
  <Override PartName="/xl/charts/chart155.xml" ContentType="application/vnd.openxmlformats-officedocument.drawingml.chart+xml"/>
  <Override PartName="/xl/charts/style155.xml" ContentType="application/vnd.ms-office.chartstyle+xml"/>
  <Override PartName="/xl/charts/colors155.xml" ContentType="application/vnd.ms-office.chartcolorstyle+xml"/>
  <Override PartName="/xl/charts/chart156.xml" ContentType="application/vnd.openxmlformats-officedocument.drawingml.chart+xml"/>
  <Override PartName="/xl/charts/style156.xml" ContentType="application/vnd.ms-office.chartstyle+xml"/>
  <Override PartName="/xl/charts/colors156.xml" ContentType="application/vnd.ms-office.chartcolorstyle+xml"/>
  <Override PartName="/xl/charts/chart157.xml" ContentType="application/vnd.openxmlformats-officedocument.drawingml.chart+xml"/>
  <Override PartName="/xl/charts/style157.xml" ContentType="application/vnd.ms-office.chartstyle+xml"/>
  <Override PartName="/xl/charts/colors157.xml" ContentType="application/vnd.ms-office.chartcolorstyle+xml"/>
  <Override PartName="/xl/charts/chart158.xml" ContentType="application/vnd.openxmlformats-officedocument.drawingml.chart+xml"/>
  <Override PartName="/xl/charts/style158.xml" ContentType="application/vnd.ms-office.chartstyle+xml"/>
  <Override PartName="/xl/charts/colors158.xml" ContentType="application/vnd.ms-office.chartcolorstyle+xml"/>
  <Override PartName="/xl/charts/chart159.xml" ContentType="application/vnd.openxmlformats-officedocument.drawingml.chart+xml"/>
  <Override PartName="/xl/charts/style159.xml" ContentType="application/vnd.ms-office.chartstyle+xml"/>
  <Override PartName="/xl/charts/colors159.xml" ContentType="application/vnd.ms-office.chartcolorstyle+xml"/>
  <Override PartName="/xl/charts/chart160.xml" ContentType="application/vnd.openxmlformats-officedocument.drawingml.chart+xml"/>
  <Override PartName="/xl/charts/style160.xml" ContentType="application/vnd.ms-office.chartstyle+xml"/>
  <Override PartName="/xl/charts/colors160.xml" ContentType="application/vnd.ms-office.chartcolorstyle+xml"/>
  <Override PartName="/xl/charts/chart161.xml" ContentType="application/vnd.openxmlformats-officedocument.drawingml.chart+xml"/>
  <Override PartName="/xl/charts/style161.xml" ContentType="application/vnd.ms-office.chartstyle+xml"/>
  <Override PartName="/xl/charts/colors161.xml" ContentType="application/vnd.ms-office.chartcolorstyle+xml"/>
  <Override PartName="/xl/charts/chart162.xml" ContentType="application/vnd.openxmlformats-officedocument.drawingml.chart+xml"/>
  <Override PartName="/xl/charts/style162.xml" ContentType="application/vnd.ms-office.chartstyle+xml"/>
  <Override PartName="/xl/charts/colors162.xml" ContentType="application/vnd.ms-office.chartcolorstyle+xml"/>
  <Override PartName="/xl/charts/chart163.xml" ContentType="application/vnd.openxmlformats-officedocument.drawingml.chart+xml"/>
  <Override PartName="/xl/charts/style163.xml" ContentType="application/vnd.ms-office.chartstyle+xml"/>
  <Override PartName="/xl/charts/colors163.xml" ContentType="application/vnd.ms-office.chartcolorstyle+xml"/>
  <Override PartName="/xl/charts/chart164.xml" ContentType="application/vnd.openxmlformats-officedocument.drawingml.chart+xml"/>
  <Override PartName="/xl/charts/style164.xml" ContentType="application/vnd.ms-office.chartstyle+xml"/>
  <Override PartName="/xl/charts/colors164.xml" ContentType="application/vnd.ms-office.chartcolorstyle+xml"/>
  <Override PartName="/xl/charts/chart165.xml" ContentType="application/vnd.openxmlformats-officedocument.drawingml.chart+xml"/>
  <Override PartName="/xl/charts/style165.xml" ContentType="application/vnd.ms-office.chartstyle+xml"/>
  <Override PartName="/xl/charts/colors165.xml" ContentType="application/vnd.ms-office.chartcolorstyle+xml"/>
  <Override PartName="/xl/charts/chart166.xml" ContentType="application/vnd.openxmlformats-officedocument.drawingml.chart+xml"/>
  <Override PartName="/xl/charts/style166.xml" ContentType="application/vnd.ms-office.chartstyle+xml"/>
  <Override PartName="/xl/charts/colors16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96"/>
  <workbookPr/>
  <mc:AlternateContent xmlns:mc="http://schemas.openxmlformats.org/markup-compatibility/2006">
    <mc:Choice Requires="x15">
      <x15ac:absPath xmlns:x15ac="http://schemas.microsoft.com/office/spreadsheetml/2010/11/ac" url="D:\Downloads\"/>
    </mc:Choice>
  </mc:AlternateContent>
  <xr:revisionPtr revIDLastSave="0" documentId="13_ncr:1_{A1B5C325-7B79-40B6-81EF-F88F780D6BC0}" xr6:coauthVersionLast="36" xr6:coauthVersionMax="36" xr10:uidLastSave="{00000000-0000-0000-0000-000000000000}"/>
  <bookViews>
    <workbookView xWindow="0" yWindow="0" windowWidth="23040" windowHeight="9060" tabRatio="946" firstSheet="10" activeTab="21" xr2:uid="{00000000-000D-0000-FFFF-FFFF00000000}"/>
  </bookViews>
  <sheets>
    <sheet name="Raw Data" sheetId="14" r:id="rId1"/>
    <sheet name="Annual_sorted" sheetId="27" r:id="rId2"/>
    <sheet name="Envy Freeness_2010" sheetId="51" r:id="rId3"/>
    <sheet name="Envy Freeness_2011" sheetId="53" r:id="rId4"/>
    <sheet name="Envy Freeness_2012" sheetId="54" r:id="rId5"/>
    <sheet name="Envy Freeness_2013" sheetId="55" r:id="rId6"/>
    <sheet name="Envy Freeness_2014" sheetId="56" r:id="rId7"/>
    <sheet name="Envy Freeness_2015" sheetId="57" r:id="rId8"/>
    <sheet name="Envy Freeness_2016" sheetId="58" r:id="rId9"/>
    <sheet name="Envy Freeness_2017" sheetId="59" r:id="rId10"/>
    <sheet name="Envy Freeness_2018" sheetId="37" r:id="rId11"/>
    <sheet name="Gini_2010" sheetId="43" r:id="rId12"/>
    <sheet name="Gini_2011" sheetId="44" r:id="rId13"/>
    <sheet name="Gini_2012" sheetId="45" r:id="rId14"/>
    <sheet name="Gini_2013" sheetId="46" r:id="rId15"/>
    <sheet name="Gini_2014" sheetId="47" r:id="rId16"/>
    <sheet name="Gini_2015" sheetId="48" r:id="rId17"/>
    <sheet name="Gini_2016" sheetId="49" r:id="rId18"/>
    <sheet name="Gini_2017" sheetId="50" r:id="rId19"/>
    <sheet name="Gini_2018" sheetId="22" r:id="rId20"/>
    <sheet name="Utilitarianism" sheetId="40" r:id="rId21"/>
    <sheet name="Agreements" sheetId="41" r:id="rId22"/>
    <sheet name="Gini_Format" sheetId="42" r:id="rId23"/>
  </sheets>
  <calcPr calcId="191029"/>
</workbook>
</file>

<file path=xl/calcChain.xml><?xml version="1.0" encoding="utf-8"?>
<calcChain xmlns="http://schemas.openxmlformats.org/spreadsheetml/2006/main">
  <c r="C135" i="59" l="1"/>
  <c r="C136" i="59"/>
  <c r="C137" i="59"/>
  <c r="C138" i="59"/>
  <c r="C139" i="59"/>
  <c r="C140" i="59"/>
  <c r="J133" i="59" s="1"/>
  <c r="C141" i="59"/>
  <c r="C142" i="59"/>
  <c r="N142" i="59" s="1"/>
  <c r="C143" i="59"/>
  <c r="C144" i="59"/>
  <c r="C134" i="59"/>
  <c r="C117" i="59"/>
  <c r="C118" i="59"/>
  <c r="C119" i="59"/>
  <c r="C120" i="59"/>
  <c r="C121" i="59"/>
  <c r="C122" i="59"/>
  <c r="C123" i="59"/>
  <c r="C124" i="59"/>
  <c r="M124" i="59" s="1"/>
  <c r="C125" i="59"/>
  <c r="C126" i="59"/>
  <c r="C116" i="59"/>
  <c r="C99" i="59"/>
  <c r="C100" i="59"/>
  <c r="C101" i="59"/>
  <c r="C102" i="59"/>
  <c r="C103" i="59"/>
  <c r="C104" i="59"/>
  <c r="C105" i="59"/>
  <c r="N105" i="59" s="1"/>
  <c r="C106" i="59"/>
  <c r="N106" i="59" s="1"/>
  <c r="C107" i="59"/>
  <c r="C108" i="59"/>
  <c r="C98" i="59"/>
  <c r="C81" i="59"/>
  <c r="C82" i="59"/>
  <c r="C83" i="59"/>
  <c r="C84" i="59"/>
  <c r="C85" i="59"/>
  <c r="C86" i="59"/>
  <c r="C87" i="59"/>
  <c r="E87" i="59" s="1"/>
  <c r="C88" i="59"/>
  <c r="L79" i="59" s="1"/>
  <c r="C89" i="59"/>
  <c r="C90" i="59"/>
  <c r="C80" i="59"/>
  <c r="C61" i="59"/>
  <c r="J61" i="59" s="1"/>
  <c r="C62" i="59"/>
  <c r="C63" i="59"/>
  <c r="C64" i="59"/>
  <c r="C65" i="59"/>
  <c r="C66" i="59"/>
  <c r="C67" i="59"/>
  <c r="C68" i="59"/>
  <c r="H68" i="59" s="1"/>
  <c r="C69" i="59"/>
  <c r="C70" i="59"/>
  <c r="C60" i="59"/>
  <c r="C43" i="59"/>
  <c r="C44" i="59"/>
  <c r="C45" i="59"/>
  <c r="C46" i="59"/>
  <c r="C47" i="59"/>
  <c r="C48" i="59"/>
  <c r="J41" i="59" s="1"/>
  <c r="C49" i="59"/>
  <c r="C50" i="59"/>
  <c r="L41" i="59" s="1"/>
  <c r="C51" i="59"/>
  <c r="C52" i="59"/>
  <c r="C42" i="59"/>
  <c r="C25" i="59"/>
  <c r="C26" i="59"/>
  <c r="C27" i="59"/>
  <c r="C28" i="59"/>
  <c r="C29" i="59"/>
  <c r="C30" i="59"/>
  <c r="C31" i="59"/>
  <c r="C32" i="59"/>
  <c r="C33" i="59"/>
  <c r="C34" i="59"/>
  <c r="C24" i="59"/>
  <c r="C7" i="59"/>
  <c r="C8" i="59"/>
  <c r="C9" i="59"/>
  <c r="C10" i="59"/>
  <c r="C11" i="59"/>
  <c r="C12" i="59"/>
  <c r="J5" i="59" s="1"/>
  <c r="C13" i="59"/>
  <c r="C14" i="59"/>
  <c r="C15" i="59"/>
  <c r="C16" i="59"/>
  <c r="C6" i="59"/>
  <c r="F142" i="59"/>
  <c r="N137" i="59"/>
  <c r="G137" i="59"/>
  <c r="K136" i="59"/>
  <c r="N135" i="59"/>
  <c r="N133" i="59"/>
  <c r="N138" i="59" s="1"/>
  <c r="M133" i="59"/>
  <c r="K133" i="59"/>
  <c r="H133" i="59"/>
  <c r="H138" i="59" s="1"/>
  <c r="G133" i="59"/>
  <c r="G144" i="59" s="1"/>
  <c r="F133" i="59"/>
  <c r="F137" i="59" s="1"/>
  <c r="E133" i="59"/>
  <c r="E141" i="59" s="1"/>
  <c r="G126" i="59"/>
  <c r="M125" i="59"/>
  <c r="G123" i="59"/>
  <c r="M120" i="59"/>
  <c r="H119" i="59"/>
  <c r="D119" i="59"/>
  <c r="K118" i="59"/>
  <c r="E116" i="59"/>
  <c r="N115" i="59"/>
  <c r="N121" i="59" s="1"/>
  <c r="M115" i="59"/>
  <c r="M123" i="59" s="1"/>
  <c r="K115" i="59"/>
  <c r="K119" i="59" s="1"/>
  <c r="H115" i="59"/>
  <c r="H117" i="59" s="1"/>
  <c r="G115" i="59"/>
  <c r="G125" i="59" s="1"/>
  <c r="E115" i="59"/>
  <c r="E123" i="59" s="1"/>
  <c r="D115" i="59"/>
  <c r="E107" i="59"/>
  <c r="M107" i="59"/>
  <c r="N101" i="59"/>
  <c r="M101" i="59"/>
  <c r="M99" i="59"/>
  <c r="N97" i="59"/>
  <c r="N100" i="59" s="1"/>
  <c r="M97" i="59"/>
  <c r="M104" i="59" s="1"/>
  <c r="K97" i="59"/>
  <c r="K99" i="59" s="1"/>
  <c r="J97" i="59"/>
  <c r="H97" i="59"/>
  <c r="H104" i="59" s="1"/>
  <c r="G97" i="59"/>
  <c r="E97" i="59"/>
  <c r="E101" i="59" s="1"/>
  <c r="D97" i="59"/>
  <c r="D98" i="59" s="1"/>
  <c r="M90" i="59"/>
  <c r="N86" i="59"/>
  <c r="N82" i="59"/>
  <c r="M81" i="59"/>
  <c r="E81" i="59"/>
  <c r="N79" i="59"/>
  <c r="M79" i="59"/>
  <c r="G79" i="59"/>
  <c r="E79" i="59"/>
  <c r="E86" i="59" s="1"/>
  <c r="D79" i="59"/>
  <c r="D85" i="59" s="1"/>
  <c r="K59" i="59"/>
  <c r="J59" i="59"/>
  <c r="J64" i="59" s="1"/>
  <c r="H59" i="59"/>
  <c r="M51" i="59"/>
  <c r="K49" i="59"/>
  <c r="K47" i="59"/>
  <c r="K46" i="59"/>
  <c r="K45" i="59"/>
  <c r="K43" i="59"/>
  <c r="M41" i="59"/>
  <c r="K41" i="59"/>
  <c r="H41" i="59"/>
  <c r="H47" i="59" s="1"/>
  <c r="G41" i="59"/>
  <c r="G49" i="59" s="1"/>
  <c r="H27" i="59"/>
  <c r="H26" i="59"/>
  <c r="H24" i="59"/>
  <c r="M23" i="59"/>
  <c r="M32" i="59" s="1"/>
  <c r="L23" i="59"/>
  <c r="L32" i="59" s="1"/>
  <c r="H23" i="59"/>
  <c r="H25" i="59" s="1"/>
  <c r="G23" i="59"/>
  <c r="G27" i="59" s="1"/>
  <c r="F23" i="59"/>
  <c r="F25" i="59" s="1"/>
  <c r="E23" i="59"/>
  <c r="E28" i="59" s="1"/>
  <c r="N13" i="59"/>
  <c r="N9" i="59"/>
  <c r="G6" i="59"/>
  <c r="N5" i="59"/>
  <c r="N10" i="59" s="1"/>
  <c r="I5" i="59"/>
  <c r="I13" i="59" s="1"/>
  <c r="G5" i="59"/>
  <c r="G16" i="59" s="1"/>
  <c r="F5" i="59"/>
  <c r="F11" i="59" s="1"/>
  <c r="C135" i="58"/>
  <c r="C136" i="58"/>
  <c r="C137" i="58"/>
  <c r="C138" i="58"/>
  <c r="C139" i="58"/>
  <c r="C140" i="58"/>
  <c r="K140" i="58" s="1"/>
  <c r="C141" i="58"/>
  <c r="C142" i="58"/>
  <c r="M142" i="58" s="1"/>
  <c r="C143" i="58"/>
  <c r="C144" i="58"/>
  <c r="C134" i="58"/>
  <c r="C117" i="58"/>
  <c r="C118" i="58"/>
  <c r="C119" i="58"/>
  <c r="C120" i="58"/>
  <c r="C121" i="58"/>
  <c r="C122" i="58"/>
  <c r="K122" i="58" s="1"/>
  <c r="C123" i="58"/>
  <c r="C124" i="58"/>
  <c r="M124" i="58" s="1"/>
  <c r="C125" i="58"/>
  <c r="C126" i="58"/>
  <c r="C116" i="58"/>
  <c r="C99" i="58"/>
  <c r="C100" i="58"/>
  <c r="G100" i="58" s="1"/>
  <c r="C101" i="58"/>
  <c r="C102" i="58"/>
  <c r="C103" i="58"/>
  <c r="C104" i="58"/>
  <c r="C105" i="58"/>
  <c r="C106" i="58"/>
  <c r="C107" i="58"/>
  <c r="C108" i="58"/>
  <c r="C98" i="58"/>
  <c r="D97" i="58" s="1"/>
  <c r="C81" i="58"/>
  <c r="C82" i="58"/>
  <c r="C83" i="58"/>
  <c r="C84" i="58"/>
  <c r="C85" i="58"/>
  <c r="C86" i="58"/>
  <c r="C87" i="58"/>
  <c r="C88" i="58"/>
  <c r="L79" i="58" s="1"/>
  <c r="C89" i="58"/>
  <c r="C90" i="58"/>
  <c r="C80" i="58"/>
  <c r="C61" i="58"/>
  <c r="C62" i="58"/>
  <c r="C63" i="58"/>
  <c r="C64" i="58"/>
  <c r="C65" i="58"/>
  <c r="C66" i="58"/>
  <c r="J59" i="58" s="1"/>
  <c r="J67" i="58" s="1"/>
  <c r="C67" i="58"/>
  <c r="C68" i="58"/>
  <c r="C69" i="58"/>
  <c r="C70" i="58"/>
  <c r="C60" i="58"/>
  <c r="C43" i="58"/>
  <c r="C44" i="58"/>
  <c r="C45" i="58"/>
  <c r="N45" i="58" s="1"/>
  <c r="C46" i="58"/>
  <c r="C47" i="58"/>
  <c r="C48" i="58"/>
  <c r="J41" i="58" s="1"/>
  <c r="C49" i="58"/>
  <c r="C50" i="58"/>
  <c r="L41" i="58" s="1"/>
  <c r="C51" i="58"/>
  <c r="C52" i="58"/>
  <c r="C42" i="58"/>
  <c r="C25" i="58"/>
  <c r="C26" i="58"/>
  <c r="C27" i="58"/>
  <c r="C28" i="58"/>
  <c r="C29" i="58"/>
  <c r="C30" i="58"/>
  <c r="C31" i="58"/>
  <c r="J31" i="58" s="1"/>
  <c r="C32" i="58"/>
  <c r="K32" i="58" s="1"/>
  <c r="C33" i="58"/>
  <c r="C34" i="58"/>
  <c r="C24" i="58"/>
  <c r="C7" i="58"/>
  <c r="C8" i="58"/>
  <c r="C9" i="58"/>
  <c r="C10" i="58"/>
  <c r="C11" i="58"/>
  <c r="C12" i="58"/>
  <c r="J5" i="58" s="1"/>
  <c r="C13" i="58"/>
  <c r="C14" i="58"/>
  <c r="J14" i="58" s="1"/>
  <c r="C15" i="58"/>
  <c r="C16" i="58"/>
  <c r="C6" i="58"/>
  <c r="K142" i="58"/>
  <c r="H137" i="58"/>
  <c r="K137" i="58"/>
  <c r="M135" i="58"/>
  <c r="K134" i="58"/>
  <c r="M133" i="58"/>
  <c r="M144" i="58" s="1"/>
  <c r="L133" i="58"/>
  <c r="L141" i="58" s="1"/>
  <c r="K133" i="58"/>
  <c r="K141" i="58" s="1"/>
  <c r="H133" i="58"/>
  <c r="H138" i="58" s="1"/>
  <c r="G133" i="58"/>
  <c r="G144" i="58" s="1"/>
  <c r="E133" i="58"/>
  <c r="E141" i="58" s="1"/>
  <c r="I125" i="58"/>
  <c r="H123" i="58"/>
  <c r="E120" i="58"/>
  <c r="H119" i="58"/>
  <c r="H116" i="58"/>
  <c r="K116" i="58"/>
  <c r="M115" i="58"/>
  <c r="M123" i="58" s="1"/>
  <c r="K115" i="58"/>
  <c r="K118" i="58" s="1"/>
  <c r="I115" i="58"/>
  <c r="I117" i="58" s="1"/>
  <c r="H115" i="58"/>
  <c r="G115" i="58"/>
  <c r="E115" i="58"/>
  <c r="E123" i="58" s="1"/>
  <c r="D115" i="58"/>
  <c r="D123" i="58" s="1"/>
  <c r="L100" i="58"/>
  <c r="M97" i="58"/>
  <c r="L97" i="58"/>
  <c r="L106" i="58" s="1"/>
  <c r="K97" i="58"/>
  <c r="K105" i="58" s="1"/>
  <c r="I97" i="58"/>
  <c r="G97" i="58"/>
  <c r="N79" i="58"/>
  <c r="N80" i="58" s="1"/>
  <c r="G87" i="58"/>
  <c r="N84" i="58"/>
  <c r="J84" i="58"/>
  <c r="F80" i="58"/>
  <c r="M79" i="58"/>
  <c r="M83" i="58" s="1"/>
  <c r="J79" i="58"/>
  <c r="J89" i="58" s="1"/>
  <c r="I79" i="58"/>
  <c r="H79" i="58"/>
  <c r="G79" i="58"/>
  <c r="G85" i="58" s="1"/>
  <c r="F79" i="58"/>
  <c r="F87" i="58" s="1"/>
  <c r="D79" i="58"/>
  <c r="M59" i="58"/>
  <c r="K65" i="58"/>
  <c r="M64" i="58"/>
  <c r="M62" i="58"/>
  <c r="K60" i="58"/>
  <c r="N59" i="58"/>
  <c r="N63" i="58" s="1"/>
  <c r="K59" i="58"/>
  <c r="K70" i="58" s="1"/>
  <c r="G59" i="58"/>
  <c r="G61" i="58" s="1"/>
  <c r="F59" i="58"/>
  <c r="F65" i="58" s="1"/>
  <c r="E59" i="58"/>
  <c r="K46" i="58"/>
  <c r="N44" i="58"/>
  <c r="I43" i="58"/>
  <c r="K42" i="58"/>
  <c r="N41" i="58"/>
  <c r="N49" i="58" s="1"/>
  <c r="K41" i="58"/>
  <c r="K51" i="58" s="1"/>
  <c r="I41" i="58"/>
  <c r="I49" i="58" s="1"/>
  <c r="F41" i="58"/>
  <c r="F44" i="58" s="1"/>
  <c r="D41" i="58"/>
  <c r="D52" i="58" s="1"/>
  <c r="J34" i="58"/>
  <c r="J33" i="58"/>
  <c r="J27" i="58"/>
  <c r="N27" i="58"/>
  <c r="J25" i="58"/>
  <c r="N23" i="58"/>
  <c r="N30" i="58" s="1"/>
  <c r="M23" i="58"/>
  <c r="M30" i="58" s="1"/>
  <c r="K23" i="58"/>
  <c r="K26" i="58" s="1"/>
  <c r="J23" i="58"/>
  <c r="J30" i="58" s="1"/>
  <c r="F23" i="58"/>
  <c r="E23" i="58"/>
  <c r="E26" i="58" s="1"/>
  <c r="I11" i="58"/>
  <c r="G10" i="58"/>
  <c r="G9" i="58"/>
  <c r="K6" i="58"/>
  <c r="M5" i="58"/>
  <c r="K5" i="58"/>
  <c r="K15" i="58" s="1"/>
  <c r="I5" i="58"/>
  <c r="H5" i="58"/>
  <c r="H16" i="58" s="1"/>
  <c r="G5" i="58"/>
  <c r="G11" i="58" s="1"/>
  <c r="C135" i="57"/>
  <c r="C136" i="57"/>
  <c r="C137" i="57"/>
  <c r="C138" i="57"/>
  <c r="C139" i="57"/>
  <c r="C140" i="57"/>
  <c r="C141" i="57"/>
  <c r="C142" i="57"/>
  <c r="L133" i="57" s="1"/>
  <c r="C143" i="57"/>
  <c r="C144" i="57"/>
  <c r="C134" i="57"/>
  <c r="D133" i="57" s="1"/>
  <c r="C117" i="57"/>
  <c r="C118" i="57"/>
  <c r="M118" i="57" s="1"/>
  <c r="C119" i="57"/>
  <c r="G115" i="57" s="1"/>
  <c r="C120" i="57"/>
  <c r="C121" i="57"/>
  <c r="C122" i="57"/>
  <c r="C123" i="57"/>
  <c r="M123" i="57" s="1"/>
  <c r="C124" i="57"/>
  <c r="M124" i="57" s="1"/>
  <c r="C125" i="57"/>
  <c r="C126" i="57"/>
  <c r="N115" i="57" s="1"/>
  <c r="C116" i="57"/>
  <c r="C99" i="57"/>
  <c r="C100" i="57"/>
  <c r="C101" i="57"/>
  <c r="C102" i="57"/>
  <c r="C103" i="57"/>
  <c r="C104" i="57"/>
  <c r="C105" i="57"/>
  <c r="I105" i="57" s="1"/>
  <c r="C106" i="57"/>
  <c r="I106" i="57" s="1"/>
  <c r="C107" i="57"/>
  <c r="C108" i="57"/>
  <c r="C98" i="57"/>
  <c r="C81" i="57"/>
  <c r="C82" i="57"/>
  <c r="C83" i="57"/>
  <c r="C84" i="57"/>
  <c r="C85" i="57"/>
  <c r="C86" i="57"/>
  <c r="C87" i="57"/>
  <c r="C88" i="57"/>
  <c r="L79" i="57" s="1"/>
  <c r="C89" i="57"/>
  <c r="C90" i="57"/>
  <c r="C80" i="57"/>
  <c r="C61" i="57"/>
  <c r="C62" i="57"/>
  <c r="C63" i="57"/>
  <c r="C64" i="57"/>
  <c r="C65" i="57"/>
  <c r="C66" i="57"/>
  <c r="C67" i="57"/>
  <c r="K59" i="57" s="1"/>
  <c r="C68" i="57"/>
  <c r="L59" i="57" s="1"/>
  <c r="C69" i="57"/>
  <c r="K69" i="57" s="1"/>
  <c r="C70" i="57"/>
  <c r="C60" i="57"/>
  <c r="C43" i="57"/>
  <c r="C44" i="57"/>
  <c r="C45" i="57"/>
  <c r="C46" i="57"/>
  <c r="C47" i="57"/>
  <c r="H47" i="57" s="1"/>
  <c r="C48" i="57"/>
  <c r="J41" i="57" s="1"/>
  <c r="C49" i="57"/>
  <c r="C50" i="57"/>
  <c r="C51" i="57"/>
  <c r="C52" i="57"/>
  <c r="C42" i="57"/>
  <c r="C25" i="57"/>
  <c r="C26" i="57"/>
  <c r="C27" i="57"/>
  <c r="C28" i="57"/>
  <c r="C29" i="57"/>
  <c r="C30" i="57"/>
  <c r="J23" i="57" s="1"/>
  <c r="C31" i="57"/>
  <c r="C32" i="57"/>
  <c r="J32" i="57" s="1"/>
  <c r="C33" i="57"/>
  <c r="C34" i="57"/>
  <c r="C24" i="57"/>
  <c r="C7" i="57"/>
  <c r="C8" i="57"/>
  <c r="C9" i="57"/>
  <c r="H9" i="57" s="1"/>
  <c r="C10" i="57"/>
  <c r="C11" i="57"/>
  <c r="C12" i="57"/>
  <c r="C13" i="57"/>
  <c r="K5" i="57" s="1"/>
  <c r="C14" i="57"/>
  <c r="K14" i="57" s="1"/>
  <c r="C15" i="57"/>
  <c r="C16" i="57"/>
  <c r="C6" i="57"/>
  <c r="H139" i="57"/>
  <c r="G137" i="57"/>
  <c r="G136" i="57"/>
  <c r="J133" i="57"/>
  <c r="J138" i="57" s="1"/>
  <c r="I133" i="57"/>
  <c r="H133" i="57"/>
  <c r="H137" i="57" s="1"/>
  <c r="G133" i="57"/>
  <c r="G139" i="57" s="1"/>
  <c r="M125" i="57"/>
  <c r="F125" i="57"/>
  <c r="E125" i="57"/>
  <c r="E123" i="57"/>
  <c r="M117" i="57"/>
  <c r="F117" i="57"/>
  <c r="E117" i="57"/>
  <c r="M116" i="57"/>
  <c r="M115" i="57"/>
  <c r="K115" i="57"/>
  <c r="K122" i="57" s="1"/>
  <c r="J115" i="57"/>
  <c r="F115" i="57"/>
  <c r="F126" i="57" s="1"/>
  <c r="E115" i="57"/>
  <c r="E126" i="57" s="1"/>
  <c r="D115" i="57"/>
  <c r="J97" i="57"/>
  <c r="J99" i="57" s="1"/>
  <c r="I97" i="57"/>
  <c r="I103" i="57" s="1"/>
  <c r="G97" i="57"/>
  <c r="M79" i="57"/>
  <c r="K88" i="57"/>
  <c r="G84" i="57"/>
  <c r="F83" i="57"/>
  <c r="K81" i="57"/>
  <c r="G81" i="57"/>
  <c r="N79" i="57"/>
  <c r="N90" i="57" s="1"/>
  <c r="K79" i="57"/>
  <c r="K82" i="57" s="1"/>
  <c r="I79" i="57"/>
  <c r="I83" i="57" s="1"/>
  <c r="G79" i="57"/>
  <c r="G90" i="57" s="1"/>
  <c r="F79" i="57"/>
  <c r="F88" i="57" s="1"/>
  <c r="E79" i="57"/>
  <c r="E90" i="57" s="1"/>
  <c r="H70" i="57"/>
  <c r="H67" i="57"/>
  <c r="G67" i="57"/>
  <c r="F66" i="57"/>
  <c r="H62" i="57"/>
  <c r="F62" i="57"/>
  <c r="N59" i="57"/>
  <c r="N65" i="57" s="1"/>
  <c r="M59" i="57"/>
  <c r="M63" i="57" s="1"/>
  <c r="J59" i="57"/>
  <c r="J60" i="57" s="1"/>
  <c r="H59" i="57"/>
  <c r="H66" i="57" s="1"/>
  <c r="G59" i="57"/>
  <c r="G60" i="57" s="1"/>
  <c r="F59" i="57"/>
  <c r="F65" i="57" s="1"/>
  <c r="G49" i="57"/>
  <c r="K46" i="57"/>
  <c r="K41" i="57"/>
  <c r="K52" i="57" s="1"/>
  <c r="H41" i="57"/>
  <c r="H45" i="57" s="1"/>
  <c r="G41" i="57"/>
  <c r="G42" i="57" s="1"/>
  <c r="F41" i="57"/>
  <c r="I34" i="57"/>
  <c r="I29" i="57"/>
  <c r="K23" i="57"/>
  <c r="K31" i="57" s="1"/>
  <c r="I23" i="57"/>
  <c r="I31" i="57" s="1"/>
  <c r="H23" i="57"/>
  <c r="G23" i="57"/>
  <c r="G33" i="57" s="1"/>
  <c r="J15" i="57"/>
  <c r="J5" i="57"/>
  <c r="J10" i="57" s="1"/>
  <c r="I5" i="57"/>
  <c r="I14" i="57" s="1"/>
  <c r="H5" i="57"/>
  <c r="H10" i="57" s="1"/>
  <c r="D5" i="57"/>
  <c r="D13" i="57" s="1"/>
  <c r="C135" i="56"/>
  <c r="C136" i="56"/>
  <c r="C137" i="56"/>
  <c r="C138" i="56"/>
  <c r="C139" i="56"/>
  <c r="C140" i="56"/>
  <c r="C141" i="56"/>
  <c r="M141" i="56" s="1"/>
  <c r="C142" i="56"/>
  <c r="M142" i="56" s="1"/>
  <c r="C143" i="56"/>
  <c r="C144" i="56"/>
  <c r="C134" i="56"/>
  <c r="C117" i="56"/>
  <c r="C118" i="56"/>
  <c r="F115" i="56" s="1"/>
  <c r="C119" i="56"/>
  <c r="C120" i="56"/>
  <c r="C121" i="56"/>
  <c r="C122" i="56"/>
  <c r="C123" i="56"/>
  <c r="K115" i="56" s="1"/>
  <c r="C124" i="56"/>
  <c r="C125" i="56"/>
  <c r="C126" i="56"/>
  <c r="C116" i="56"/>
  <c r="C99" i="56"/>
  <c r="C100" i="56"/>
  <c r="C101" i="56"/>
  <c r="C102" i="56"/>
  <c r="C103" i="56"/>
  <c r="C104" i="56"/>
  <c r="K104" i="56" s="1"/>
  <c r="C105" i="56"/>
  <c r="C106" i="56"/>
  <c r="K106" i="56" s="1"/>
  <c r="C107" i="56"/>
  <c r="C108" i="56"/>
  <c r="C98" i="56"/>
  <c r="C81" i="56"/>
  <c r="C82" i="56"/>
  <c r="C83" i="56"/>
  <c r="C84" i="56"/>
  <c r="C85" i="56"/>
  <c r="C86" i="56"/>
  <c r="J79" i="56" s="1"/>
  <c r="C87" i="56"/>
  <c r="C88" i="56"/>
  <c r="L79" i="56" s="1"/>
  <c r="L82" i="56" s="1"/>
  <c r="C89" i="56"/>
  <c r="C90" i="56"/>
  <c r="C80" i="56"/>
  <c r="C61" i="56"/>
  <c r="C62" i="56"/>
  <c r="C63" i="56"/>
  <c r="C64" i="56"/>
  <c r="C65" i="56"/>
  <c r="C66" i="56"/>
  <c r="H66" i="56" s="1"/>
  <c r="C67" i="56"/>
  <c r="C68" i="56"/>
  <c r="L59" i="56" s="1"/>
  <c r="L65" i="56" s="1"/>
  <c r="C69" i="56"/>
  <c r="C70" i="56"/>
  <c r="C60" i="56"/>
  <c r="C43" i="56"/>
  <c r="C44" i="56"/>
  <c r="K44" i="56" s="1"/>
  <c r="C45" i="56"/>
  <c r="C46" i="56"/>
  <c r="C47" i="56"/>
  <c r="I47" i="56" s="1"/>
  <c r="C48" i="56"/>
  <c r="C49" i="56"/>
  <c r="C50" i="56"/>
  <c r="F50" i="56" s="1"/>
  <c r="C51" i="56"/>
  <c r="C52" i="56"/>
  <c r="N41" i="56" s="1"/>
  <c r="C42" i="56"/>
  <c r="C25" i="56"/>
  <c r="C26" i="56"/>
  <c r="C27" i="56"/>
  <c r="C28" i="56"/>
  <c r="C29" i="56"/>
  <c r="C30" i="56"/>
  <c r="C31" i="56"/>
  <c r="C32" i="56"/>
  <c r="N32" i="56" s="1"/>
  <c r="C33" i="56"/>
  <c r="J33" i="56" s="1"/>
  <c r="C34" i="56"/>
  <c r="J34" i="56" s="1"/>
  <c r="C24" i="56"/>
  <c r="C7" i="56"/>
  <c r="C8" i="56"/>
  <c r="C9" i="56"/>
  <c r="C10" i="56"/>
  <c r="C11" i="56"/>
  <c r="C12" i="56"/>
  <c r="C13" i="56"/>
  <c r="C14" i="56"/>
  <c r="C15" i="56"/>
  <c r="C16" i="56"/>
  <c r="C6" i="56"/>
  <c r="M144" i="56"/>
  <c r="H137" i="56"/>
  <c r="M133" i="56"/>
  <c r="M137" i="56" s="1"/>
  <c r="I133" i="56"/>
  <c r="I141" i="56" s="1"/>
  <c r="H133" i="56"/>
  <c r="H141" i="56" s="1"/>
  <c r="G133" i="56"/>
  <c r="G144" i="56" s="1"/>
  <c r="I119" i="56"/>
  <c r="M115" i="56"/>
  <c r="L115" i="56"/>
  <c r="L120" i="56" s="1"/>
  <c r="I115" i="56"/>
  <c r="I125" i="56" s="1"/>
  <c r="G115" i="56"/>
  <c r="D115" i="56"/>
  <c r="D119" i="56" s="1"/>
  <c r="K103" i="56"/>
  <c r="I102" i="56"/>
  <c r="G101" i="56"/>
  <c r="M97" i="56"/>
  <c r="M101" i="56" s="1"/>
  <c r="K97" i="56"/>
  <c r="K107" i="56" s="1"/>
  <c r="I97" i="56"/>
  <c r="H97" i="56"/>
  <c r="G97" i="56"/>
  <c r="G103" i="56" s="1"/>
  <c r="M88" i="56"/>
  <c r="K81" i="56"/>
  <c r="K80" i="56"/>
  <c r="N79" i="56"/>
  <c r="N87" i="56" s="1"/>
  <c r="M79" i="56"/>
  <c r="M87" i="56" s="1"/>
  <c r="K79" i="56"/>
  <c r="K90" i="56" s="1"/>
  <c r="I79" i="56"/>
  <c r="H79" i="56"/>
  <c r="E79" i="56"/>
  <c r="J65" i="56"/>
  <c r="N59" i="56"/>
  <c r="N60" i="56" s="1"/>
  <c r="J59" i="56"/>
  <c r="J70" i="56" s="1"/>
  <c r="H59" i="56"/>
  <c r="H70" i="56" s="1"/>
  <c r="G59" i="56"/>
  <c r="G69" i="56" s="1"/>
  <c r="D59" i="56"/>
  <c r="D60" i="56" s="1"/>
  <c r="D49" i="56"/>
  <c r="K49" i="56"/>
  <c r="M46" i="56"/>
  <c r="K46" i="56"/>
  <c r="I43" i="56"/>
  <c r="M41" i="56"/>
  <c r="M51" i="56" s="1"/>
  <c r="K41" i="56"/>
  <c r="I41" i="56"/>
  <c r="I46" i="56" s="1"/>
  <c r="H41" i="56"/>
  <c r="H49" i="56" s="1"/>
  <c r="G41" i="56"/>
  <c r="G44" i="56" s="1"/>
  <c r="F41" i="56"/>
  <c r="F52" i="56" s="1"/>
  <c r="D41" i="56"/>
  <c r="K31" i="56"/>
  <c r="N23" i="56"/>
  <c r="N30" i="56" s="1"/>
  <c r="M23" i="56"/>
  <c r="M30" i="56" s="1"/>
  <c r="K23" i="56"/>
  <c r="K26" i="56" s="1"/>
  <c r="J23" i="56"/>
  <c r="J25" i="56" s="1"/>
  <c r="F23" i="56"/>
  <c r="F24" i="56" s="1"/>
  <c r="E23" i="56"/>
  <c r="E30" i="56" s="1"/>
  <c r="F13" i="56"/>
  <c r="D12" i="56"/>
  <c r="J8" i="56"/>
  <c r="N5" i="56"/>
  <c r="J5" i="56"/>
  <c r="J13" i="56" s="1"/>
  <c r="I5" i="56"/>
  <c r="I16" i="56" s="1"/>
  <c r="F5" i="56"/>
  <c r="F12" i="56" s="1"/>
  <c r="D5" i="56"/>
  <c r="D8" i="56" s="1"/>
  <c r="C135" i="55"/>
  <c r="C136" i="55"/>
  <c r="C137" i="55"/>
  <c r="C138" i="55"/>
  <c r="C139" i="55"/>
  <c r="C140" i="55"/>
  <c r="C141" i="55"/>
  <c r="C142" i="55"/>
  <c r="K142" i="55" s="1"/>
  <c r="C143" i="55"/>
  <c r="C144" i="55"/>
  <c r="C134" i="55"/>
  <c r="N134" i="55" s="1"/>
  <c r="C117" i="55"/>
  <c r="C118" i="55"/>
  <c r="C119" i="55"/>
  <c r="C120" i="55"/>
  <c r="C121" i="55"/>
  <c r="C122" i="55"/>
  <c r="C123" i="55"/>
  <c r="C124" i="55"/>
  <c r="J124" i="55" s="1"/>
  <c r="C125" i="55"/>
  <c r="C126" i="55"/>
  <c r="C116" i="55"/>
  <c r="C99" i="55"/>
  <c r="C100" i="55"/>
  <c r="C101" i="55"/>
  <c r="C102" i="55"/>
  <c r="C103" i="55"/>
  <c r="C104" i="55"/>
  <c r="C105" i="55"/>
  <c r="C106" i="55"/>
  <c r="C107" i="55"/>
  <c r="C108" i="55"/>
  <c r="C98" i="55"/>
  <c r="C81" i="55"/>
  <c r="C82" i="55"/>
  <c r="G82" i="55" s="1"/>
  <c r="C83" i="55"/>
  <c r="C84" i="55"/>
  <c r="C85" i="55"/>
  <c r="G85" i="55" s="1"/>
  <c r="C86" i="55"/>
  <c r="C87" i="55"/>
  <c r="C88" i="55"/>
  <c r="C89" i="55"/>
  <c r="M89" i="55" s="1"/>
  <c r="C90" i="55"/>
  <c r="C80" i="55"/>
  <c r="C61" i="55"/>
  <c r="J61" i="55" s="1"/>
  <c r="C62" i="55"/>
  <c r="C63" i="55"/>
  <c r="C64" i="55"/>
  <c r="C65" i="55"/>
  <c r="I59" i="55" s="1"/>
  <c r="C66" i="55"/>
  <c r="C67" i="55"/>
  <c r="C68" i="55"/>
  <c r="C69" i="55"/>
  <c r="J69" i="55" s="1"/>
  <c r="C70" i="55"/>
  <c r="N59" i="55" s="1"/>
  <c r="C60" i="55"/>
  <c r="C43" i="55"/>
  <c r="C44" i="55"/>
  <c r="C45" i="55"/>
  <c r="C46" i="55"/>
  <c r="C47" i="55"/>
  <c r="C48" i="55"/>
  <c r="C49" i="55"/>
  <c r="C50" i="55"/>
  <c r="C51" i="55"/>
  <c r="C52" i="55"/>
  <c r="C42" i="55"/>
  <c r="C25" i="54"/>
  <c r="C26" i="54"/>
  <c r="C27" i="54"/>
  <c r="G23" i="54" s="1"/>
  <c r="C28" i="54"/>
  <c r="H23" i="54" s="1"/>
  <c r="C29" i="54"/>
  <c r="C30" i="54"/>
  <c r="C31" i="54"/>
  <c r="C32" i="54"/>
  <c r="G32" i="54" s="1"/>
  <c r="C33" i="54"/>
  <c r="C34" i="54"/>
  <c r="C25" i="55"/>
  <c r="C26" i="55"/>
  <c r="C27" i="55"/>
  <c r="C28" i="55"/>
  <c r="C29" i="55"/>
  <c r="C30" i="55"/>
  <c r="C31" i="55"/>
  <c r="K23" i="55" s="1"/>
  <c r="C32" i="55"/>
  <c r="L23" i="55" s="1"/>
  <c r="C33" i="55"/>
  <c r="N33" i="55" s="1"/>
  <c r="C34" i="55"/>
  <c r="C24" i="55"/>
  <c r="C7" i="55"/>
  <c r="C8" i="55"/>
  <c r="C9" i="55"/>
  <c r="C10" i="55"/>
  <c r="C11" i="55"/>
  <c r="C12" i="55"/>
  <c r="C13" i="55"/>
  <c r="C14" i="55"/>
  <c r="L5" i="55" s="1"/>
  <c r="C15" i="55"/>
  <c r="C16" i="55"/>
  <c r="C6" i="55"/>
  <c r="K140" i="55"/>
  <c r="K136" i="55"/>
  <c r="N133" i="55"/>
  <c r="M133" i="55"/>
  <c r="K133" i="55"/>
  <c r="K141" i="55" s="1"/>
  <c r="G133" i="55"/>
  <c r="F133" i="55"/>
  <c r="F141" i="55" s="1"/>
  <c r="E133" i="55"/>
  <c r="K123" i="55"/>
  <c r="K120" i="55"/>
  <c r="K115" i="55"/>
  <c r="K122" i="55" s="1"/>
  <c r="J115" i="55"/>
  <c r="J121" i="55" s="1"/>
  <c r="I115" i="55"/>
  <c r="I120" i="55" s="1"/>
  <c r="H115" i="55"/>
  <c r="H122" i="55" s="1"/>
  <c r="F115" i="55"/>
  <c r="I103" i="55"/>
  <c r="I101" i="55"/>
  <c r="M100" i="55"/>
  <c r="M97" i="55"/>
  <c r="I97" i="55"/>
  <c r="I102" i="55" s="1"/>
  <c r="H97" i="55"/>
  <c r="G97" i="55"/>
  <c r="G102" i="55" s="1"/>
  <c r="N79" i="55"/>
  <c r="F89" i="55"/>
  <c r="M88" i="55"/>
  <c r="F82" i="55"/>
  <c r="M79" i="55"/>
  <c r="M87" i="55" s="1"/>
  <c r="K79" i="55"/>
  <c r="K88" i="55" s="1"/>
  <c r="I79" i="55"/>
  <c r="I82" i="55" s="1"/>
  <c r="G79" i="55"/>
  <c r="F79" i="55"/>
  <c r="F88" i="55" s="1"/>
  <c r="K59" i="55"/>
  <c r="K65" i="55" s="1"/>
  <c r="J59" i="55"/>
  <c r="J66" i="55" s="1"/>
  <c r="D59" i="55"/>
  <c r="D64" i="55" s="1"/>
  <c r="G52" i="55"/>
  <c r="M48" i="55"/>
  <c r="G43" i="55"/>
  <c r="M41" i="55"/>
  <c r="M51" i="55" s="1"/>
  <c r="K41" i="55"/>
  <c r="K42" i="55" s="1"/>
  <c r="J41" i="55"/>
  <c r="J46" i="55" s="1"/>
  <c r="I41" i="55"/>
  <c r="I48" i="55" s="1"/>
  <c r="H41" i="55"/>
  <c r="H48" i="55" s="1"/>
  <c r="G41" i="55"/>
  <c r="G46" i="55" s="1"/>
  <c r="E41" i="55"/>
  <c r="E52" i="55" s="1"/>
  <c r="N23" i="55"/>
  <c r="N26" i="55" s="1"/>
  <c r="G23" i="55"/>
  <c r="G24" i="55" s="1"/>
  <c r="F23" i="55"/>
  <c r="F26" i="55" s="1"/>
  <c r="E23" i="55"/>
  <c r="E26" i="55" s="1"/>
  <c r="D23" i="55"/>
  <c r="H16" i="55"/>
  <c r="K11" i="55"/>
  <c r="H10" i="55"/>
  <c r="M5" i="55"/>
  <c r="M10" i="55" s="1"/>
  <c r="K5" i="55"/>
  <c r="H5" i="55"/>
  <c r="E5" i="55"/>
  <c r="E9" i="55" s="1"/>
  <c r="D5" i="55"/>
  <c r="C135" i="54"/>
  <c r="C136" i="54"/>
  <c r="C137" i="54"/>
  <c r="C138" i="54"/>
  <c r="C139" i="54"/>
  <c r="C140" i="54"/>
  <c r="J133" i="54" s="1"/>
  <c r="J139" i="54" s="1"/>
  <c r="C141" i="54"/>
  <c r="K141" i="54" s="1"/>
  <c r="C142" i="54"/>
  <c r="C143" i="54"/>
  <c r="C144" i="54"/>
  <c r="C134" i="54"/>
  <c r="C117" i="54"/>
  <c r="C118" i="54"/>
  <c r="C119" i="54"/>
  <c r="C120" i="54"/>
  <c r="C121" i="54"/>
  <c r="C122" i="54"/>
  <c r="C123" i="54"/>
  <c r="N123" i="54" s="1"/>
  <c r="C124" i="54"/>
  <c r="N124" i="54" s="1"/>
  <c r="C125" i="54"/>
  <c r="C126" i="54"/>
  <c r="C116" i="54"/>
  <c r="C99" i="54"/>
  <c r="E97" i="54" s="1"/>
  <c r="C100" i="54"/>
  <c r="C101" i="54"/>
  <c r="C102" i="54"/>
  <c r="C103" i="54"/>
  <c r="C104" i="54"/>
  <c r="C105" i="54"/>
  <c r="C106" i="54"/>
  <c r="H106" i="54" s="1"/>
  <c r="C107" i="54"/>
  <c r="C108" i="54"/>
  <c r="C98" i="54"/>
  <c r="C81" i="54"/>
  <c r="C82" i="54"/>
  <c r="C83" i="54"/>
  <c r="G79" i="54" s="1"/>
  <c r="C84" i="54"/>
  <c r="C85" i="54"/>
  <c r="C86" i="54"/>
  <c r="K86" i="54" s="1"/>
  <c r="C87" i="54"/>
  <c r="C88" i="54"/>
  <c r="C89" i="54"/>
  <c r="M79" i="54" s="1"/>
  <c r="C90" i="54"/>
  <c r="C80" i="54"/>
  <c r="C61" i="54"/>
  <c r="C62" i="54"/>
  <c r="C63" i="54"/>
  <c r="C64" i="54"/>
  <c r="C65" i="54"/>
  <c r="C66" i="54"/>
  <c r="C67" i="54"/>
  <c r="C68" i="54"/>
  <c r="H68" i="54" s="1"/>
  <c r="C69" i="54"/>
  <c r="I69" i="54" s="1"/>
  <c r="C70" i="54"/>
  <c r="C60" i="54"/>
  <c r="C43" i="54"/>
  <c r="N43" i="54" s="1"/>
  <c r="C44" i="54"/>
  <c r="F41" i="54" s="1"/>
  <c r="F46" i="54" s="1"/>
  <c r="C45" i="54"/>
  <c r="C46" i="54"/>
  <c r="C47" i="54"/>
  <c r="C48" i="54"/>
  <c r="C49" i="54"/>
  <c r="C50" i="54"/>
  <c r="C51" i="54"/>
  <c r="C52" i="54"/>
  <c r="C42" i="54"/>
  <c r="C24" i="54"/>
  <c r="C7" i="54"/>
  <c r="C8" i="54"/>
  <c r="K8" i="54" s="1"/>
  <c r="C9" i="54"/>
  <c r="C10" i="54"/>
  <c r="C11" i="54"/>
  <c r="C12" i="54"/>
  <c r="C13" i="54"/>
  <c r="C14" i="54"/>
  <c r="I14" i="54" s="1"/>
  <c r="C15" i="54"/>
  <c r="C16" i="54"/>
  <c r="C6" i="54"/>
  <c r="M139" i="54"/>
  <c r="M136" i="54"/>
  <c r="K134" i="54"/>
  <c r="M133" i="54"/>
  <c r="M138" i="54" s="1"/>
  <c r="K133" i="54"/>
  <c r="K138" i="54" s="1"/>
  <c r="I133" i="54"/>
  <c r="I141" i="54" s="1"/>
  <c r="H133" i="54"/>
  <c r="H138" i="54" s="1"/>
  <c r="G133" i="54"/>
  <c r="G141" i="54" s="1"/>
  <c r="F125" i="54"/>
  <c r="D125" i="54"/>
  <c r="M123" i="54"/>
  <c r="E121" i="54"/>
  <c r="D120" i="54"/>
  <c r="F119" i="54"/>
  <c r="M118" i="54"/>
  <c r="N116" i="54"/>
  <c r="N115" i="54"/>
  <c r="N126" i="54" s="1"/>
  <c r="M115" i="54"/>
  <c r="M121" i="54" s="1"/>
  <c r="K115" i="54"/>
  <c r="K125" i="54" s="1"/>
  <c r="J115" i="54"/>
  <c r="J126" i="54" s="1"/>
  <c r="H115" i="54"/>
  <c r="H125" i="54" s="1"/>
  <c r="G115" i="54"/>
  <c r="G120" i="54" s="1"/>
  <c r="F115" i="54"/>
  <c r="F126" i="54" s="1"/>
  <c r="E115" i="54"/>
  <c r="D115" i="54"/>
  <c r="D101" i="54"/>
  <c r="H100" i="54"/>
  <c r="M97" i="54"/>
  <c r="M105" i="54" s="1"/>
  <c r="L97" i="54"/>
  <c r="L107" i="54" s="1"/>
  <c r="K97" i="54"/>
  <c r="H97" i="54"/>
  <c r="D97" i="54"/>
  <c r="K90" i="54"/>
  <c r="K85" i="54"/>
  <c r="K83" i="54"/>
  <c r="K80" i="54"/>
  <c r="K79" i="54"/>
  <c r="K84" i="54" s="1"/>
  <c r="H79" i="54"/>
  <c r="H87" i="54" s="1"/>
  <c r="D79" i="54"/>
  <c r="D84" i="54" s="1"/>
  <c r="I70" i="54"/>
  <c r="I68" i="54"/>
  <c r="F68" i="54"/>
  <c r="K67" i="54"/>
  <c r="F65" i="54"/>
  <c r="I65" i="54"/>
  <c r="K62" i="54"/>
  <c r="I62" i="54"/>
  <c r="F62" i="54"/>
  <c r="K60" i="54"/>
  <c r="N59" i="54"/>
  <c r="K59" i="54"/>
  <c r="I59" i="54"/>
  <c r="I60" i="54" s="1"/>
  <c r="H59" i="54"/>
  <c r="H66" i="54" s="1"/>
  <c r="F59" i="54"/>
  <c r="N51" i="54"/>
  <c r="N49" i="54"/>
  <c r="K49" i="54"/>
  <c r="J44" i="54"/>
  <c r="N44" i="54"/>
  <c r="J42" i="54"/>
  <c r="N41" i="54"/>
  <c r="L41" i="54"/>
  <c r="L51" i="54" s="1"/>
  <c r="K41" i="54"/>
  <c r="K48" i="54" s="1"/>
  <c r="J41" i="54"/>
  <c r="K33" i="54"/>
  <c r="N23" i="54"/>
  <c r="N27" i="54" s="1"/>
  <c r="K23" i="54"/>
  <c r="K31" i="54" s="1"/>
  <c r="F23" i="54"/>
  <c r="F31" i="54" s="1"/>
  <c r="E23" i="54"/>
  <c r="E31" i="54" s="1"/>
  <c r="K16" i="54"/>
  <c r="K11" i="54"/>
  <c r="I7" i="54"/>
  <c r="K7" i="54"/>
  <c r="K5" i="54"/>
  <c r="K10" i="54" s="1"/>
  <c r="J5" i="54"/>
  <c r="I5" i="54"/>
  <c r="I10" i="54" s="1"/>
  <c r="H5" i="54"/>
  <c r="H11" i="54" s="1"/>
  <c r="G5" i="54"/>
  <c r="G10" i="54" s="1"/>
  <c r="D5" i="54"/>
  <c r="D10" i="54" s="1"/>
  <c r="C135" i="53"/>
  <c r="C136" i="53"/>
  <c r="C137" i="53"/>
  <c r="C138" i="53"/>
  <c r="C139" i="53"/>
  <c r="C140" i="53"/>
  <c r="C141" i="53"/>
  <c r="K133" i="53" s="1"/>
  <c r="K138" i="53" s="1"/>
  <c r="C142" i="53"/>
  <c r="G142" i="53" s="1"/>
  <c r="C143" i="53"/>
  <c r="C144" i="53"/>
  <c r="M144" i="53" s="1"/>
  <c r="C134" i="53"/>
  <c r="C117" i="53"/>
  <c r="C118" i="53"/>
  <c r="C119" i="53"/>
  <c r="C120" i="53"/>
  <c r="C121" i="53"/>
  <c r="C122" i="53"/>
  <c r="K122" i="53" s="1"/>
  <c r="C123" i="53"/>
  <c r="C124" i="53"/>
  <c r="G124" i="53" s="1"/>
  <c r="C125" i="53"/>
  <c r="C126" i="53"/>
  <c r="C116" i="53"/>
  <c r="C99" i="53"/>
  <c r="C100" i="53"/>
  <c r="N100" i="53" s="1"/>
  <c r="C101" i="53"/>
  <c r="H101" i="53" s="1"/>
  <c r="C102" i="53"/>
  <c r="C103" i="53"/>
  <c r="C104" i="53"/>
  <c r="K104" i="53" s="1"/>
  <c r="C105" i="53"/>
  <c r="C106" i="53"/>
  <c r="C107" i="53"/>
  <c r="C108" i="53"/>
  <c r="C98" i="53"/>
  <c r="C81" i="53"/>
  <c r="C82" i="53"/>
  <c r="C83" i="53"/>
  <c r="C84" i="53"/>
  <c r="C85" i="53"/>
  <c r="C86" i="53"/>
  <c r="C87" i="53"/>
  <c r="N87" i="53" s="1"/>
  <c r="C88" i="53"/>
  <c r="N88" i="53" s="1"/>
  <c r="C89" i="53"/>
  <c r="C90" i="53"/>
  <c r="C80" i="53"/>
  <c r="C61" i="53"/>
  <c r="C62" i="53"/>
  <c r="C63" i="53"/>
  <c r="E63" i="53" s="1"/>
  <c r="C64" i="53"/>
  <c r="C65" i="53"/>
  <c r="C66" i="53"/>
  <c r="C67" i="53"/>
  <c r="K59" i="53" s="1"/>
  <c r="C68" i="53"/>
  <c r="C69" i="53"/>
  <c r="C70" i="53"/>
  <c r="J70" i="53" s="1"/>
  <c r="C60" i="53"/>
  <c r="C43" i="53"/>
  <c r="C44" i="53"/>
  <c r="C45" i="53"/>
  <c r="G41" i="53" s="1"/>
  <c r="C46" i="53"/>
  <c r="C47" i="53"/>
  <c r="C48" i="53"/>
  <c r="C49" i="53"/>
  <c r="C50" i="53"/>
  <c r="L41" i="53" s="1"/>
  <c r="L50" i="53" s="1"/>
  <c r="C51" i="53"/>
  <c r="N51" i="53" s="1"/>
  <c r="C52" i="53"/>
  <c r="C42" i="53"/>
  <c r="J42" i="53" s="1"/>
  <c r="C25" i="53"/>
  <c r="C26" i="53"/>
  <c r="C27" i="53"/>
  <c r="C28" i="53"/>
  <c r="C29" i="53"/>
  <c r="C30" i="53"/>
  <c r="J23" i="53" s="1"/>
  <c r="J30" i="53" s="1"/>
  <c r="C31" i="53"/>
  <c r="C32" i="53"/>
  <c r="C33" i="53"/>
  <c r="C34" i="53"/>
  <c r="C24" i="53"/>
  <c r="C7" i="53"/>
  <c r="C8" i="53"/>
  <c r="C9" i="53"/>
  <c r="C10" i="53"/>
  <c r="C11" i="53"/>
  <c r="C12" i="53"/>
  <c r="C13" i="53"/>
  <c r="K5" i="53" s="1"/>
  <c r="C14" i="53"/>
  <c r="J14" i="53" s="1"/>
  <c r="C15" i="53"/>
  <c r="C16" i="53"/>
  <c r="C6" i="53"/>
  <c r="C6" i="51"/>
  <c r="C7" i="51"/>
  <c r="C8" i="51"/>
  <c r="C9" i="51"/>
  <c r="G5" i="51" s="1"/>
  <c r="G6" i="51" s="1"/>
  <c r="C10" i="51"/>
  <c r="C11" i="51"/>
  <c r="C12" i="51"/>
  <c r="C13" i="51"/>
  <c r="C14" i="51"/>
  <c r="C15" i="51"/>
  <c r="C16" i="51"/>
  <c r="M143" i="53"/>
  <c r="E140" i="53"/>
  <c r="J139" i="53"/>
  <c r="N136" i="53"/>
  <c r="M135" i="53"/>
  <c r="M134" i="53"/>
  <c r="N133" i="53"/>
  <c r="N137" i="53" s="1"/>
  <c r="M133" i="53"/>
  <c r="M137" i="53" s="1"/>
  <c r="J133" i="53"/>
  <c r="J137" i="53" s="1"/>
  <c r="G133" i="53"/>
  <c r="G135" i="53" s="1"/>
  <c r="F133" i="53"/>
  <c r="F137" i="53" s="1"/>
  <c r="E133" i="53"/>
  <c r="E137" i="53" s="1"/>
  <c r="D123" i="53"/>
  <c r="H115" i="53"/>
  <c r="D118" i="53"/>
  <c r="F116" i="53"/>
  <c r="N115" i="53"/>
  <c r="N123" i="53" s="1"/>
  <c r="K115" i="53"/>
  <c r="K119" i="53" s="1"/>
  <c r="G115" i="53"/>
  <c r="G119" i="53" s="1"/>
  <c r="F115" i="53"/>
  <c r="F123" i="53" s="1"/>
  <c r="D115" i="53"/>
  <c r="D126" i="53" s="1"/>
  <c r="N103" i="53"/>
  <c r="N102" i="53"/>
  <c r="N99" i="53"/>
  <c r="N97" i="53"/>
  <c r="N101" i="53" s="1"/>
  <c r="K97" i="53"/>
  <c r="I97" i="53"/>
  <c r="I103" i="53" s="1"/>
  <c r="H97" i="53"/>
  <c r="G97" i="53"/>
  <c r="G104" i="53" s="1"/>
  <c r="M90" i="53"/>
  <c r="M87" i="53"/>
  <c r="N81" i="53"/>
  <c r="M81" i="53"/>
  <c r="M80" i="53"/>
  <c r="N79" i="53"/>
  <c r="N89" i="53" s="1"/>
  <c r="M79" i="53"/>
  <c r="H79" i="53"/>
  <c r="H82" i="53" s="1"/>
  <c r="G79" i="53"/>
  <c r="G89" i="53" s="1"/>
  <c r="F79" i="53"/>
  <c r="F81" i="53" s="1"/>
  <c r="E79" i="53"/>
  <c r="E89" i="53" s="1"/>
  <c r="D79" i="53"/>
  <c r="D83" i="53" s="1"/>
  <c r="M70" i="53"/>
  <c r="E69" i="53"/>
  <c r="M67" i="53"/>
  <c r="M64" i="53"/>
  <c r="J64" i="53"/>
  <c r="J62" i="53"/>
  <c r="M62" i="53"/>
  <c r="D61" i="53"/>
  <c r="J60" i="53"/>
  <c r="H60" i="53"/>
  <c r="M59" i="53"/>
  <c r="M69" i="53" s="1"/>
  <c r="J59" i="53"/>
  <c r="J66" i="53" s="1"/>
  <c r="H59" i="53"/>
  <c r="H64" i="53" s="1"/>
  <c r="G59" i="53"/>
  <c r="E59" i="53"/>
  <c r="E61" i="53" s="1"/>
  <c r="D59" i="53"/>
  <c r="D62" i="53" s="1"/>
  <c r="J52" i="53"/>
  <c r="D48" i="53"/>
  <c r="J44" i="53"/>
  <c r="D44" i="53"/>
  <c r="N41" i="53"/>
  <c r="N42" i="53" s="1"/>
  <c r="M41" i="53"/>
  <c r="M50" i="53" s="1"/>
  <c r="J41" i="53"/>
  <c r="J46" i="53" s="1"/>
  <c r="H41" i="53"/>
  <c r="H52" i="53" s="1"/>
  <c r="F41" i="53"/>
  <c r="D41" i="53"/>
  <c r="E34" i="53"/>
  <c r="N33" i="53"/>
  <c r="E31" i="53"/>
  <c r="G27" i="53"/>
  <c r="N23" i="53"/>
  <c r="N34" i="53" s="1"/>
  <c r="M23" i="53"/>
  <c r="M33" i="53" s="1"/>
  <c r="K23" i="53"/>
  <c r="K29" i="53" s="1"/>
  <c r="I23" i="53"/>
  <c r="H23" i="53"/>
  <c r="H28" i="53" s="1"/>
  <c r="G23" i="53"/>
  <c r="G33" i="53" s="1"/>
  <c r="E23" i="53"/>
  <c r="E27" i="53" s="1"/>
  <c r="G12" i="53"/>
  <c r="G11" i="53"/>
  <c r="G9" i="53"/>
  <c r="J6" i="53"/>
  <c r="G6" i="53"/>
  <c r="J5" i="53"/>
  <c r="J12" i="53" s="1"/>
  <c r="I5" i="53"/>
  <c r="H5" i="53"/>
  <c r="H11" i="53" s="1"/>
  <c r="G5" i="53"/>
  <c r="F5" i="53"/>
  <c r="F11" i="53" s="1"/>
  <c r="C135" i="51"/>
  <c r="C136" i="51"/>
  <c r="F133" i="51" s="1"/>
  <c r="C137" i="51"/>
  <c r="G133" i="51" s="1"/>
  <c r="C138" i="51"/>
  <c r="C139" i="51"/>
  <c r="C140" i="51"/>
  <c r="C141" i="51"/>
  <c r="C142" i="51"/>
  <c r="C143" i="51"/>
  <c r="C144" i="51"/>
  <c r="C134" i="51"/>
  <c r="C117" i="51"/>
  <c r="C118" i="51"/>
  <c r="C119" i="51"/>
  <c r="C120" i="51"/>
  <c r="C121" i="51"/>
  <c r="C122" i="51"/>
  <c r="C123" i="51"/>
  <c r="K115" i="51" s="1"/>
  <c r="C124" i="51"/>
  <c r="L115" i="51" s="1"/>
  <c r="C125" i="51"/>
  <c r="C126" i="51"/>
  <c r="C116" i="51"/>
  <c r="C99" i="51"/>
  <c r="C100" i="51"/>
  <c r="C101" i="51"/>
  <c r="G101" i="51" s="1"/>
  <c r="C102" i="51"/>
  <c r="C103" i="51"/>
  <c r="C104" i="51"/>
  <c r="C105" i="51"/>
  <c r="C106" i="51"/>
  <c r="J106" i="51" s="1"/>
  <c r="C107" i="51"/>
  <c r="C108" i="51"/>
  <c r="C98" i="51"/>
  <c r="D97" i="51" s="1"/>
  <c r="D100" i="51" s="1"/>
  <c r="C81" i="51"/>
  <c r="C82" i="51"/>
  <c r="C83" i="51"/>
  <c r="C84" i="51"/>
  <c r="C85" i="51"/>
  <c r="C86" i="51"/>
  <c r="J79" i="51" s="1"/>
  <c r="J83" i="51" s="1"/>
  <c r="C87" i="51"/>
  <c r="C88" i="51"/>
  <c r="G88" i="51" s="1"/>
  <c r="C89" i="51"/>
  <c r="C90" i="51"/>
  <c r="C80" i="51"/>
  <c r="C61" i="51"/>
  <c r="E59" i="51" s="1"/>
  <c r="C62" i="51"/>
  <c r="F59" i="51" s="1"/>
  <c r="C63" i="51"/>
  <c r="C64" i="51"/>
  <c r="C65" i="51"/>
  <c r="C66" i="51"/>
  <c r="C67" i="51"/>
  <c r="C68" i="51"/>
  <c r="C69" i="51"/>
  <c r="M59" i="51" s="1"/>
  <c r="M66" i="51" s="1"/>
  <c r="C70" i="51"/>
  <c r="J70" i="51" s="1"/>
  <c r="C60" i="51"/>
  <c r="C43" i="51"/>
  <c r="C44" i="51"/>
  <c r="C45" i="51"/>
  <c r="C46" i="51"/>
  <c r="C47" i="51"/>
  <c r="I41" i="51" s="1"/>
  <c r="I47" i="51" s="1"/>
  <c r="C48" i="51"/>
  <c r="M48" i="51" s="1"/>
  <c r="C49" i="51"/>
  <c r="C50" i="51"/>
  <c r="C51" i="51"/>
  <c r="M41" i="51" s="1"/>
  <c r="C52" i="51"/>
  <c r="C42" i="51"/>
  <c r="C25" i="51"/>
  <c r="C26" i="51"/>
  <c r="F23" i="51" s="1"/>
  <c r="C27" i="51"/>
  <c r="C28" i="51"/>
  <c r="C29" i="51"/>
  <c r="C30" i="51"/>
  <c r="C31" i="51"/>
  <c r="K23" i="51" s="1"/>
  <c r="C32" i="51"/>
  <c r="C33" i="51"/>
  <c r="C34" i="51"/>
  <c r="N23" i="51" s="1"/>
  <c r="N31" i="51" s="1"/>
  <c r="C24" i="51"/>
  <c r="E5" i="51"/>
  <c r="E13" i="51" s="1"/>
  <c r="K5" i="51"/>
  <c r="I143" i="51"/>
  <c r="H133" i="51"/>
  <c r="K133" i="51"/>
  <c r="K138" i="51" s="1"/>
  <c r="I133" i="51"/>
  <c r="I140" i="51" s="1"/>
  <c r="E115" i="51"/>
  <c r="N115" i="51"/>
  <c r="G115" i="51"/>
  <c r="G126" i="51" s="1"/>
  <c r="F115" i="51"/>
  <c r="F116" i="51" s="1"/>
  <c r="D115" i="51"/>
  <c r="N97" i="51"/>
  <c r="N107" i="51" s="1"/>
  <c r="J97" i="51"/>
  <c r="J105" i="51" s="1"/>
  <c r="G97" i="51"/>
  <c r="G103" i="51" s="1"/>
  <c r="G90" i="51"/>
  <c r="I79" i="51"/>
  <c r="I84" i="51" s="1"/>
  <c r="H79" i="51"/>
  <c r="G79" i="51"/>
  <c r="G85" i="51" s="1"/>
  <c r="D79" i="51"/>
  <c r="D83" i="51" s="1"/>
  <c r="K59" i="51"/>
  <c r="K64" i="51" s="1"/>
  <c r="J59" i="51"/>
  <c r="J69" i="51" s="1"/>
  <c r="H59" i="51"/>
  <c r="H70" i="51" s="1"/>
  <c r="G42" i="51"/>
  <c r="N41" i="51"/>
  <c r="N49" i="51" s="1"/>
  <c r="H41" i="51"/>
  <c r="G41" i="51"/>
  <c r="G46" i="51" s="1"/>
  <c r="M23" i="51"/>
  <c r="I23" i="51"/>
  <c r="I26" i="51" s="1"/>
  <c r="G23" i="51"/>
  <c r="G33" i="51" s="1"/>
  <c r="E23" i="51"/>
  <c r="N5" i="51"/>
  <c r="M5" i="51"/>
  <c r="H5" i="51"/>
  <c r="H9" i="51" s="1"/>
  <c r="D253" i="50"/>
  <c r="F250" i="50" s="1"/>
  <c r="C253" i="50"/>
  <c r="E250" i="50" s="1"/>
  <c r="E248" i="50"/>
  <c r="E247" i="50"/>
  <c r="F249" i="50"/>
  <c r="E249" i="50"/>
  <c r="F245" i="50"/>
  <c r="E245" i="50"/>
  <c r="E246" i="50"/>
  <c r="E252" i="50"/>
  <c r="F244" i="50"/>
  <c r="E244" i="50"/>
  <c r="F251" i="50"/>
  <c r="E251" i="50"/>
  <c r="E242" i="50"/>
  <c r="F243" i="50"/>
  <c r="E243" i="50"/>
  <c r="H241" i="50"/>
  <c r="D232" i="50"/>
  <c r="F230" i="50" s="1"/>
  <c r="C232" i="50"/>
  <c r="E225" i="50" s="1"/>
  <c r="F229" i="50"/>
  <c r="F224" i="50"/>
  <c r="E224" i="50"/>
  <c r="F228" i="50"/>
  <c r="E228" i="50"/>
  <c r="F227" i="50"/>
  <c r="E227" i="50"/>
  <c r="F222" i="50"/>
  <c r="F221" i="50"/>
  <c r="F226" i="50"/>
  <c r="E226" i="50"/>
  <c r="H220" i="50"/>
  <c r="D211" i="50"/>
  <c r="F206" i="50" s="1"/>
  <c r="C211" i="50"/>
  <c r="E202" i="50" s="1"/>
  <c r="E201" i="50"/>
  <c r="H199" i="50"/>
  <c r="D190" i="50"/>
  <c r="F182" i="50" s="1"/>
  <c r="C190" i="50"/>
  <c r="E185" i="50" s="1"/>
  <c r="E180" i="50"/>
  <c r="H178" i="50"/>
  <c r="D169" i="50"/>
  <c r="F166" i="50" s="1"/>
  <c r="C169" i="50"/>
  <c r="E159" i="50" s="1"/>
  <c r="E165" i="50"/>
  <c r="F161" i="50"/>
  <c r="F162" i="50"/>
  <c r="F158" i="50"/>
  <c r="F159" i="50"/>
  <c r="H157" i="50"/>
  <c r="D148" i="50"/>
  <c r="F140" i="50" s="1"/>
  <c r="C148" i="50"/>
  <c r="E146" i="50" s="1"/>
  <c r="E145" i="50"/>
  <c r="E141" i="50"/>
  <c r="E144" i="50"/>
  <c r="F147" i="50"/>
  <c r="E138" i="50"/>
  <c r="E137" i="50"/>
  <c r="F142" i="50"/>
  <c r="H136" i="50"/>
  <c r="D127" i="50"/>
  <c r="F118" i="50" s="1"/>
  <c r="C127" i="50"/>
  <c r="E199" i="50" s="1"/>
  <c r="F126" i="50"/>
  <c r="E126" i="50"/>
  <c r="E118" i="50"/>
  <c r="F120" i="50"/>
  <c r="E120" i="50"/>
  <c r="E124" i="50"/>
  <c r="F116" i="50"/>
  <c r="E116" i="50"/>
  <c r="E121" i="50"/>
  <c r="E119" i="50"/>
  <c r="F117" i="50"/>
  <c r="E117" i="50"/>
  <c r="H115" i="50"/>
  <c r="E115" i="50"/>
  <c r="D106" i="50"/>
  <c r="F101" i="50" s="1"/>
  <c r="C106" i="50"/>
  <c r="E98" i="50" s="1"/>
  <c r="F105" i="50"/>
  <c r="H94" i="50"/>
  <c r="D82" i="50"/>
  <c r="F73" i="50" s="1"/>
  <c r="C82" i="50"/>
  <c r="E73" i="50" s="1"/>
  <c r="H70" i="50"/>
  <c r="D61" i="50"/>
  <c r="C61" i="50"/>
  <c r="E59" i="50" s="1"/>
  <c r="D39" i="50"/>
  <c r="F28" i="50" s="1"/>
  <c r="C39" i="50"/>
  <c r="E34" i="50" s="1"/>
  <c r="D18" i="50"/>
  <c r="F8" i="50" s="1"/>
  <c r="C18" i="50"/>
  <c r="E13" i="50" s="1"/>
  <c r="H6" i="50"/>
  <c r="D253" i="49"/>
  <c r="F247" i="49" s="1"/>
  <c r="C253" i="49"/>
  <c r="E246" i="49" s="1"/>
  <c r="F248" i="49"/>
  <c r="F246" i="49"/>
  <c r="F252" i="49"/>
  <c r="F243" i="49"/>
  <c r="F251" i="49"/>
  <c r="H241" i="49"/>
  <c r="D232" i="49"/>
  <c r="F225" i="49" s="1"/>
  <c r="C232" i="49"/>
  <c r="E227" i="49" s="1"/>
  <c r="H220" i="49"/>
  <c r="D211" i="49"/>
  <c r="F208" i="49" s="1"/>
  <c r="C211" i="49"/>
  <c r="E204" i="49" s="1"/>
  <c r="F210" i="49"/>
  <c r="F202" i="49"/>
  <c r="F205" i="49"/>
  <c r="F203" i="49"/>
  <c r="F201" i="49"/>
  <c r="H199" i="49"/>
  <c r="D190" i="49"/>
  <c r="F180" i="49" s="1"/>
  <c r="C190" i="49"/>
  <c r="E188" i="49" s="1"/>
  <c r="H178" i="49"/>
  <c r="D169" i="49"/>
  <c r="F162" i="49" s="1"/>
  <c r="C169" i="49"/>
  <c r="E168" i="49" s="1"/>
  <c r="E164" i="49"/>
  <c r="E167" i="49"/>
  <c r="E160" i="49"/>
  <c r="H157" i="49"/>
  <c r="D148" i="49"/>
  <c r="C148" i="49"/>
  <c r="E141" i="49" s="1"/>
  <c r="F141" i="49"/>
  <c r="F146" i="49"/>
  <c r="E146" i="49"/>
  <c r="F140" i="49"/>
  <c r="E140" i="49"/>
  <c r="F139" i="49"/>
  <c r="E139" i="49"/>
  <c r="F143" i="49"/>
  <c r="E143" i="49"/>
  <c r="F145" i="49"/>
  <c r="E145" i="49"/>
  <c r="F147" i="49"/>
  <c r="E147" i="49"/>
  <c r="F142" i="49"/>
  <c r="E142" i="49"/>
  <c r="F138" i="49"/>
  <c r="E138" i="49"/>
  <c r="F137" i="49"/>
  <c r="E137" i="49"/>
  <c r="F144" i="49"/>
  <c r="E144" i="49"/>
  <c r="H136" i="49"/>
  <c r="D127" i="49"/>
  <c r="F118" i="49" s="1"/>
  <c r="C127" i="49"/>
  <c r="E126" i="49" s="1"/>
  <c r="F125" i="49"/>
  <c r="H115" i="49"/>
  <c r="D106" i="49"/>
  <c r="F98" i="49" s="1"/>
  <c r="C106" i="49"/>
  <c r="E103" i="49" s="1"/>
  <c r="F101" i="49"/>
  <c r="F97" i="49"/>
  <c r="H94" i="49"/>
  <c r="D82" i="49"/>
  <c r="F81" i="49" s="1"/>
  <c r="C82" i="49"/>
  <c r="E71" i="49" s="1"/>
  <c r="H70" i="49"/>
  <c r="E70" i="49"/>
  <c r="D61" i="49"/>
  <c r="F55" i="49" s="1"/>
  <c r="C61" i="49"/>
  <c r="E56" i="49" s="1"/>
  <c r="F60" i="49"/>
  <c r="D39" i="49"/>
  <c r="F28" i="49" s="1"/>
  <c r="C39" i="49"/>
  <c r="E34" i="49" s="1"/>
  <c r="E33" i="49"/>
  <c r="E29" i="49"/>
  <c r="D18" i="49"/>
  <c r="F8" i="49" s="1"/>
  <c r="C18" i="49"/>
  <c r="E14" i="49" s="1"/>
  <c r="F10" i="49"/>
  <c r="F16" i="49"/>
  <c r="H6" i="49"/>
  <c r="D106" i="48"/>
  <c r="F103" i="48" s="1"/>
  <c r="D253" i="48"/>
  <c r="F248" i="48" s="1"/>
  <c r="C253" i="48"/>
  <c r="E251" i="48" s="1"/>
  <c r="E246" i="48"/>
  <c r="F243" i="48"/>
  <c r="H241" i="48"/>
  <c r="D232" i="48"/>
  <c r="F226" i="48" s="1"/>
  <c r="C232" i="48"/>
  <c r="E229" i="48" s="1"/>
  <c r="F228" i="48"/>
  <c r="F225" i="48"/>
  <c r="F227" i="48"/>
  <c r="H220" i="48"/>
  <c r="D211" i="48"/>
  <c r="F209" i="48" s="1"/>
  <c r="C211" i="48"/>
  <c r="E202" i="48" s="1"/>
  <c r="F210" i="48"/>
  <c r="F200" i="48"/>
  <c r="F201" i="48"/>
  <c r="H199" i="48"/>
  <c r="D190" i="48"/>
  <c r="F181" i="48" s="1"/>
  <c r="C190" i="48"/>
  <c r="E180" i="48" s="1"/>
  <c r="F186" i="48"/>
  <c r="F182" i="48"/>
  <c r="F180" i="48"/>
  <c r="F179" i="48"/>
  <c r="H178" i="48"/>
  <c r="D169" i="48"/>
  <c r="F163" i="48" s="1"/>
  <c r="C169" i="48"/>
  <c r="E158" i="48" s="1"/>
  <c r="F168" i="48"/>
  <c r="F165" i="48"/>
  <c r="F164" i="48"/>
  <c r="F167" i="48"/>
  <c r="F159" i="48"/>
  <c r="F166" i="48"/>
  <c r="F158" i="48"/>
  <c r="F160" i="48"/>
  <c r="H157" i="48"/>
  <c r="D148" i="48"/>
  <c r="F145" i="48" s="1"/>
  <c r="C148" i="48"/>
  <c r="E138" i="48" s="1"/>
  <c r="F139" i="48"/>
  <c r="F141" i="48"/>
  <c r="F143" i="48"/>
  <c r="H136" i="48"/>
  <c r="D127" i="48"/>
  <c r="F118" i="48" s="1"/>
  <c r="C127" i="48"/>
  <c r="E199" i="48" s="1"/>
  <c r="F124" i="48"/>
  <c r="H115" i="48"/>
  <c r="C106" i="48"/>
  <c r="E98" i="48" s="1"/>
  <c r="E97" i="48"/>
  <c r="H94" i="48"/>
  <c r="D82" i="48"/>
  <c r="F71" i="48" s="1"/>
  <c r="C82" i="48"/>
  <c r="E81" i="48" s="1"/>
  <c r="F74" i="48"/>
  <c r="F75" i="48"/>
  <c r="F72" i="48"/>
  <c r="H70" i="48"/>
  <c r="D61" i="48"/>
  <c r="F50" i="48" s="1"/>
  <c r="C61" i="48"/>
  <c r="E49" i="48" s="1"/>
  <c r="F58" i="48"/>
  <c r="F55" i="48"/>
  <c r="F60" i="48"/>
  <c r="F49" i="48"/>
  <c r="D39" i="48"/>
  <c r="F33" i="48" s="1"/>
  <c r="C39" i="48"/>
  <c r="E32" i="48" s="1"/>
  <c r="E38" i="48"/>
  <c r="F29" i="48"/>
  <c r="D18" i="48"/>
  <c r="F15" i="48" s="1"/>
  <c r="C18" i="48"/>
  <c r="E14" i="48" s="1"/>
  <c r="E17" i="48"/>
  <c r="F16" i="48"/>
  <c r="F9" i="48"/>
  <c r="E9" i="48"/>
  <c r="H6" i="48"/>
  <c r="D253" i="47"/>
  <c r="F250" i="47" s="1"/>
  <c r="C253" i="47"/>
  <c r="E249" i="47" s="1"/>
  <c r="E252" i="47"/>
  <c r="F244" i="47"/>
  <c r="E244" i="47"/>
  <c r="E243" i="47"/>
  <c r="H241" i="47"/>
  <c r="D232" i="47"/>
  <c r="F225" i="47" s="1"/>
  <c r="C232" i="47"/>
  <c r="E230" i="47" s="1"/>
  <c r="E223" i="47"/>
  <c r="E225" i="47"/>
  <c r="F231" i="47"/>
  <c r="E222" i="47"/>
  <c r="F226" i="47"/>
  <c r="H220" i="47"/>
  <c r="D211" i="47"/>
  <c r="F202" i="47" s="1"/>
  <c r="C211" i="47"/>
  <c r="E206" i="47" s="1"/>
  <c r="F210" i="47"/>
  <c r="F200" i="47"/>
  <c r="F205" i="47"/>
  <c r="F201" i="47"/>
  <c r="H199" i="47"/>
  <c r="D190" i="47"/>
  <c r="F180" i="47" s="1"/>
  <c r="C190" i="47"/>
  <c r="E182" i="47" s="1"/>
  <c r="E189" i="47"/>
  <c r="H178" i="47"/>
  <c r="D169" i="47"/>
  <c r="F165" i="47" s="1"/>
  <c r="C169" i="47"/>
  <c r="E166" i="47" s="1"/>
  <c r="E160" i="47"/>
  <c r="E167" i="47"/>
  <c r="H157" i="47"/>
  <c r="D148" i="47"/>
  <c r="F139" i="47" s="1"/>
  <c r="C148" i="47"/>
  <c r="E139" i="47" s="1"/>
  <c r="F146" i="47"/>
  <c r="F145" i="47"/>
  <c r="F140" i="47"/>
  <c r="F144" i="47"/>
  <c r="F147" i="47"/>
  <c r="E147" i="47"/>
  <c r="F143" i="47"/>
  <c r="E143" i="47"/>
  <c r="F138" i="47"/>
  <c r="F142" i="47"/>
  <c r="H136" i="47"/>
  <c r="D127" i="47"/>
  <c r="F122" i="47" s="1"/>
  <c r="C127" i="47"/>
  <c r="E199" i="47" s="1"/>
  <c r="F126" i="47"/>
  <c r="F120" i="47"/>
  <c r="F124" i="47"/>
  <c r="F116" i="47"/>
  <c r="F121" i="47"/>
  <c r="F119" i="47"/>
  <c r="F117" i="47"/>
  <c r="H115" i="47"/>
  <c r="D106" i="47"/>
  <c r="F98" i="47" s="1"/>
  <c r="C106" i="47"/>
  <c r="E95" i="47" s="1"/>
  <c r="F102" i="47"/>
  <c r="F105" i="47"/>
  <c r="E105" i="47"/>
  <c r="F96" i="47"/>
  <c r="F95" i="47"/>
  <c r="F97" i="47"/>
  <c r="H94" i="47"/>
  <c r="D82" i="47"/>
  <c r="F75" i="47" s="1"/>
  <c r="C82" i="47"/>
  <c r="E73" i="47" s="1"/>
  <c r="F77" i="47"/>
  <c r="F74" i="47"/>
  <c r="F72" i="47"/>
  <c r="H70" i="47"/>
  <c r="D61" i="47"/>
  <c r="F56" i="47" s="1"/>
  <c r="C61" i="47"/>
  <c r="E54" i="47" s="1"/>
  <c r="D39" i="47"/>
  <c r="C39" i="47"/>
  <c r="E30" i="47" s="1"/>
  <c r="D18" i="47"/>
  <c r="F8" i="47" s="1"/>
  <c r="C18" i="47"/>
  <c r="E10" i="47" s="1"/>
  <c r="H6" i="47"/>
  <c r="D253" i="46"/>
  <c r="F247" i="46" s="1"/>
  <c r="C253" i="46"/>
  <c r="E247" i="46" s="1"/>
  <c r="H241" i="46"/>
  <c r="D232" i="46"/>
  <c r="F223" i="46" s="1"/>
  <c r="C232" i="46"/>
  <c r="E224" i="46" s="1"/>
  <c r="F229" i="46"/>
  <c r="E229" i="46"/>
  <c r="E231" i="46"/>
  <c r="F226" i="46"/>
  <c r="F221" i="46"/>
  <c r="E228" i="46"/>
  <c r="H220" i="46"/>
  <c r="D211" i="46"/>
  <c r="F202" i="46" s="1"/>
  <c r="C211" i="46"/>
  <c r="E206" i="46" s="1"/>
  <c r="F210" i="46"/>
  <c r="E209" i="46"/>
  <c r="F200" i="46"/>
  <c r="F201" i="46"/>
  <c r="H199" i="46"/>
  <c r="D190" i="46"/>
  <c r="C190" i="46"/>
  <c r="E182" i="46" s="1"/>
  <c r="E180" i="46"/>
  <c r="E181" i="46"/>
  <c r="H178" i="46"/>
  <c r="D169" i="46"/>
  <c r="F163" i="46" s="1"/>
  <c r="C169" i="46"/>
  <c r="E165" i="46" s="1"/>
  <c r="E166" i="46"/>
  <c r="F161" i="46"/>
  <c r="E161" i="46"/>
  <c r="E159" i="46"/>
  <c r="E167" i="46"/>
  <c r="F158" i="46"/>
  <c r="H158" i="46" s="1"/>
  <c r="H157" i="46"/>
  <c r="D148" i="46"/>
  <c r="F140" i="46" s="1"/>
  <c r="C148" i="46"/>
  <c r="E139" i="46" s="1"/>
  <c r="E146" i="46"/>
  <c r="F139" i="46"/>
  <c r="F145" i="46"/>
  <c r="E145" i="46"/>
  <c r="F142" i="46"/>
  <c r="F137" i="46"/>
  <c r="F141" i="46"/>
  <c r="F144" i="46"/>
  <c r="H136" i="46"/>
  <c r="D127" i="46"/>
  <c r="F122" i="46" s="1"/>
  <c r="C127" i="46"/>
  <c r="E126" i="46" s="1"/>
  <c r="F126" i="46"/>
  <c r="F120" i="46"/>
  <c r="F119" i="46"/>
  <c r="F117" i="46"/>
  <c r="H115" i="46"/>
  <c r="D106" i="46"/>
  <c r="F98" i="46" s="1"/>
  <c r="C106" i="46"/>
  <c r="E101" i="46" s="1"/>
  <c r="E98" i="46"/>
  <c r="F96" i="46"/>
  <c r="F97" i="46"/>
  <c r="H94" i="46"/>
  <c r="D82" i="46"/>
  <c r="F75" i="46" s="1"/>
  <c r="C82" i="46"/>
  <c r="F77" i="46"/>
  <c r="F74" i="46"/>
  <c r="F72" i="46"/>
  <c r="F71" i="46"/>
  <c r="F73" i="46"/>
  <c r="H70" i="46"/>
  <c r="D61" i="46"/>
  <c r="F55" i="46" s="1"/>
  <c r="C61" i="46"/>
  <c r="E56" i="46" s="1"/>
  <c r="D39" i="46"/>
  <c r="F28" i="46" s="1"/>
  <c r="C39" i="46"/>
  <c r="E30" i="46" s="1"/>
  <c r="D18" i="46"/>
  <c r="C18" i="46"/>
  <c r="E10" i="46" s="1"/>
  <c r="E17" i="46"/>
  <c r="H6" i="46"/>
  <c r="C106" i="45"/>
  <c r="E99" i="45" s="1"/>
  <c r="D253" i="45"/>
  <c r="C253" i="45"/>
  <c r="E249" i="45" s="1"/>
  <c r="F251" i="45"/>
  <c r="F248" i="45"/>
  <c r="F246" i="45"/>
  <c r="F249" i="45"/>
  <c r="F245" i="45"/>
  <c r="F247" i="45"/>
  <c r="F252" i="45"/>
  <c r="F244" i="45"/>
  <c r="E244" i="45"/>
  <c r="F250" i="45"/>
  <c r="F243" i="45"/>
  <c r="E243" i="45"/>
  <c r="F242" i="45"/>
  <c r="H242" i="45" s="1"/>
  <c r="H241" i="45"/>
  <c r="D232" i="45"/>
  <c r="F222" i="45" s="1"/>
  <c r="C232" i="45"/>
  <c r="E230" i="45" s="1"/>
  <c r="F229" i="45"/>
  <c r="F223" i="45"/>
  <c r="E222" i="45"/>
  <c r="F227" i="45"/>
  <c r="F231" i="45"/>
  <c r="E226" i="45"/>
  <c r="F221" i="45"/>
  <c r="F225" i="45"/>
  <c r="E225" i="45"/>
  <c r="F224" i="45"/>
  <c r="H220" i="45"/>
  <c r="D211" i="45"/>
  <c r="F202" i="45" s="1"/>
  <c r="C211" i="45"/>
  <c r="E209" i="45" s="1"/>
  <c r="E207" i="45"/>
  <c r="E206" i="45"/>
  <c r="F210" i="45"/>
  <c r="E200" i="45"/>
  <c r="E204" i="45"/>
  <c r="H199" i="45"/>
  <c r="D190" i="45"/>
  <c r="F182" i="45" s="1"/>
  <c r="C190" i="45"/>
  <c r="E182" i="45" s="1"/>
  <c r="E186" i="45"/>
  <c r="E189" i="45"/>
  <c r="H178" i="45"/>
  <c r="D169" i="45"/>
  <c r="F165" i="45" s="1"/>
  <c r="C169" i="45"/>
  <c r="E163" i="45" s="1"/>
  <c r="E165" i="45"/>
  <c r="E166" i="45"/>
  <c r="H157" i="45"/>
  <c r="D148" i="45"/>
  <c r="F146" i="45" s="1"/>
  <c r="C148" i="45"/>
  <c r="E146" i="45" s="1"/>
  <c r="E144" i="45"/>
  <c r="H136" i="45"/>
  <c r="D127" i="45"/>
  <c r="F123" i="45" s="1"/>
  <c r="C127" i="45"/>
  <c r="E199" i="45" s="1"/>
  <c r="E123" i="45"/>
  <c r="F126" i="45"/>
  <c r="F121" i="45"/>
  <c r="F124" i="45"/>
  <c r="F116" i="45"/>
  <c r="F120" i="45"/>
  <c r="F119" i="45"/>
  <c r="F117" i="45"/>
  <c r="H115" i="45"/>
  <c r="D106" i="45"/>
  <c r="F98" i="45" s="1"/>
  <c r="H94" i="45"/>
  <c r="D82" i="45"/>
  <c r="F76" i="45" s="1"/>
  <c r="C82" i="45"/>
  <c r="E73" i="45" s="1"/>
  <c r="H70" i="45"/>
  <c r="D61" i="45"/>
  <c r="F55" i="45" s="1"/>
  <c r="C61" i="45"/>
  <c r="E56" i="45" s="1"/>
  <c r="E50" i="45"/>
  <c r="D39" i="45"/>
  <c r="F28" i="45" s="1"/>
  <c r="C39" i="45"/>
  <c r="E30" i="45" s="1"/>
  <c r="E35" i="45"/>
  <c r="E38" i="45"/>
  <c r="D18" i="45"/>
  <c r="F12" i="45" s="1"/>
  <c r="C18" i="45"/>
  <c r="E14" i="45" s="1"/>
  <c r="E11" i="45"/>
  <c r="F9" i="45"/>
  <c r="H6" i="45"/>
  <c r="D253" i="44"/>
  <c r="F246" i="44" s="1"/>
  <c r="C253" i="44"/>
  <c r="E250" i="44" s="1"/>
  <c r="H241" i="44"/>
  <c r="D232" i="44"/>
  <c r="F223" i="44" s="1"/>
  <c r="C232" i="44"/>
  <c r="E223" i="44" s="1"/>
  <c r="E224" i="44"/>
  <c r="F227" i="44"/>
  <c r="F228" i="44"/>
  <c r="F225" i="44"/>
  <c r="E225" i="44"/>
  <c r="H220" i="44"/>
  <c r="D211" i="44"/>
  <c r="F206" i="44" s="1"/>
  <c r="C211" i="44"/>
  <c r="E202" i="44" s="1"/>
  <c r="E210" i="44"/>
  <c r="F201" i="44"/>
  <c r="E201" i="44"/>
  <c r="H199" i="44"/>
  <c r="D190" i="44"/>
  <c r="F180" i="44" s="1"/>
  <c r="C190" i="44"/>
  <c r="E185" i="44" s="1"/>
  <c r="H178" i="44"/>
  <c r="D169" i="44"/>
  <c r="F166" i="44" s="1"/>
  <c r="C169" i="44"/>
  <c r="E163" i="44" s="1"/>
  <c r="F161" i="44"/>
  <c r="F167" i="44"/>
  <c r="H157" i="44"/>
  <c r="D148" i="44"/>
  <c r="F140" i="44" s="1"/>
  <c r="C148" i="44"/>
  <c r="E144" i="44" s="1"/>
  <c r="F145" i="44"/>
  <c r="E145" i="44"/>
  <c r="F146" i="44"/>
  <c r="F139" i="44"/>
  <c r="F144" i="44"/>
  <c r="F147" i="44"/>
  <c r="E147" i="44"/>
  <c r="F138" i="44"/>
  <c r="F137" i="44"/>
  <c r="F141" i="44"/>
  <c r="F142" i="44"/>
  <c r="H136" i="44"/>
  <c r="D127" i="44"/>
  <c r="F118" i="44" s="1"/>
  <c r="C127" i="44"/>
  <c r="E199" i="44" s="1"/>
  <c r="E123" i="44"/>
  <c r="F121" i="44"/>
  <c r="E124" i="44"/>
  <c r="H115" i="44"/>
  <c r="D106" i="44"/>
  <c r="F101" i="44" s="1"/>
  <c r="C106" i="44"/>
  <c r="E98" i="44" s="1"/>
  <c r="F105" i="44"/>
  <c r="F98" i="44"/>
  <c r="F96" i="44"/>
  <c r="H94" i="44"/>
  <c r="D82" i="44"/>
  <c r="F79" i="44" s="1"/>
  <c r="C82" i="44"/>
  <c r="E74" i="44" s="1"/>
  <c r="H70" i="44"/>
  <c r="D61" i="44"/>
  <c r="F51" i="44" s="1"/>
  <c r="C61" i="44"/>
  <c r="E55" i="44" s="1"/>
  <c r="D39" i="44"/>
  <c r="F28" i="44" s="1"/>
  <c r="C39" i="44"/>
  <c r="E28" i="44" s="1"/>
  <c r="E30" i="44"/>
  <c r="D18" i="44"/>
  <c r="F12" i="44" s="1"/>
  <c r="C18" i="44"/>
  <c r="E17" i="44" s="1"/>
  <c r="F13" i="44"/>
  <c r="F17" i="44"/>
  <c r="F15" i="44"/>
  <c r="F16" i="44"/>
  <c r="F11" i="44"/>
  <c r="F9" i="44"/>
  <c r="H6" i="44"/>
  <c r="C106" i="43"/>
  <c r="E105" i="43" s="1"/>
  <c r="D106" i="43"/>
  <c r="F105" i="43" s="1"/>
  <c r="D253" i="43"/>
  <c r="F250" i="43" s="1"/>
  <c r="C253" i="43"/>
  <c r="E252" i="43" s="1"/>
  <c r="F243" i="43"/>
  <c r="F242" i="43"/>
  <c r="H241" i="43"/>
  <c r="D232" i="43"/>
  <c r="F222" i="43" s="1"/>
  <c r="C232" i="43"/>
  <c r="E224" i="43" s="1"/>
  <c r="H220" i="43"/>
  <c r="D211" i="43"/>
  <c r="F206" i="43" s="1"/>
  <c r="C211" i="43"/>
  <c r="E210" i="43" s="1"/>
  <c r="F200" i="43"/>
  <c r="E200" i="43"/>
  <c r="F201" i="43"/>
  <c r="H199" i="43"/>
  <c r="D190" i="43"/>
  <c r="C190" i="43"/>
  <c r="E185" i="43" s="1"/>
  <c r="H178" i="43"/>
  <c r="D169" i="43"/>
  <c r="F168" i="43" s="1"/>
  <c r="C169" i="43"/>
  <c r="E162" i="43" s="1"/>
  <c r="F165" i="43"/>
  <c r="H157" i="43"/>
  <c r="D148" i="43"/>
  <c r="F143" i="43" s="1"/>
  <c r="C148" i="43"/>
  <c r="E146" i="43" s="1"/>
  <c r="F140" i="43"/>
  <c r="F141" i="43"/>
  <c r="H136" i="43"/>
  <c r="D127" i="43"/>
  <c r="F126" i="43" s="1"/>
  <c r="C127" i="43"/>
  <c r="E199" i="43" s="1"/>
  <c r="H115" i="43"/>
  <c r="F96" i="43"/>
  <c r="F104" i="43"/>
  <c r="H94" i="43"/>
  <c r="D82" i="43"/>
  <c r="F74" i="43" s="1"/>
  <c r="C82" i="43"/>
  <c r="E73" i="43" s="1"/>
  <c r="H70" i="43"/>
  <c r="D61" i="43"/>
  <c r="F56" i="43" s="1"/>
  <c r="C61" i="43"/>
  <c r="E58" i="43" s="1"/>
  <c r="D39" i="43"/>
  <c r="F28" i="43" s="1"/>
  <c r="C39" i="43"/>
  <c r="E34" i="43" s="1"/>
  <c r="E32" i="43"/>
  <c r="E31" i="43"/>
  <c r="D18" i="43"/>
  <c r="F12" i="43" s="1"/>
  <c r="C18" i="43"/>
  <c r="E17" i="43" s="1"/>
  <c r="E14" i="43"/>
  <c r="E7" i="43"/>
  <c r="H6" i="43"/>
  <c r="D253" i="42"/>
  <c r="F249" i="42" s="1"/>
  <c r="C253" i="42"/>
  <c r="E249" i="42" s="1"/>
  <c r="E246" i="42"/>
  <c r="F245" i="42"/>
  <c r="H241" i="42"/>
  <c r="D232" i="42"/>
  <c r="F231" i="42" s="1"/>
  <c r="C232" i="42"/>
  <c r="E226" i="42" s="1"/>
  <c r="F222" i="42"/>
  <c r="H220" i="42"/>
  <c r="D211" i="42"/>
  <c r="F203" i="42" s="1"/>
  <c r="C211" i="42"/>
  <c r="E207" i="42" s="1"/>
  <c r="E204" i="42"/>
  <c r="H199" i="42"/>
  <c r="D190" i="42"/>
  <c r="F189" i="42" s="1"/>
  <c r="C190" i="42"/>
  <c r="F185" i="42"/>
  <c r="H178" i="42"/>
  <c r="D169" i="42"/>
  <c r="F165" i="42" s="1"/>
  <c r="C169" i="42"/>
  <c r="E166" i="42" s="1"/>
  <c r="E168" i="42"/>
  <c r="E165" i="42"/>
  <c r="E164" i="42"/>
  <c r="E163" i="42"/>
  <c r="F160" i="42"/>
  <c r="E160" i="42"/>
  <c r="E158" i="42"/>
  <c r="H157" i="42"/>
  <c r="D148" i="42"/>
  <c r="F147" i="42" s="1"/>
  <c r="C148" i="42"/>
  <c r="H136" i="42"/>
  <c r="D127" i="42"/>
  <c r="F117" i="42" s="1"/>
  <c r="C127" i="42"/>
  <c r="E199" i="42" s="1"/>
  <c r="E125" i="42"/>
  <c r="F124" i="42"/>
  <c r="E124" i="42"/>
  <c r="E121" i="42"/>
  <c r="E120" i="42"/>
  <c r="F119" i="42"/>
  <c r="E119" i="42"/>
  <c r="E118" i="42"/>
  <c r="E117" i="42"/>
  <c r="E116" i="42"/>
  <c r="G116" i="42" s="1"/>
  <c r="H115" i="42"/>
  <c r="E115" i="42"/>
  <c r="D106" i="42"/>
  <c r="F103" i="42" s="1"/>
  <c r="C106" i="42"/>
  <c r="E105" i="42" s="1"/>
  <c r="E100" i="42"/>
  <c r="F99" i="42"/>
  <c r="E99" i="42"/>
  <c r="E98" i="42"/>
  <c r="E97" i="42"/>
  <c r="E96" i="42"/>
  <c r="E95" i="42"/>
  <c r="G95" i="42" s="1"/>
  <c r="H94" i="42"/>
  <c r="D82" i="42"/>
  <c r="F81" i="42" s="1"/>
  <c r="C82" i="42"/>
  <c r="H70" i="42"/>
  <c r="D61" i="42"/>
  <c r="F60" i="42" s="1"/>
  <c r="C61" i="42"/>
  <c r="E54" i="42" s="1"/>
  <c r="D39" i="42"/>
  <c r="F37" i="42" s="1"/>
  <c r="C39" i="42"/>
  <c r="E36" i="42" s="1"/>
  <c r="F31" i="42"/>
  <c r="F28" i="42"/>
  <c r="D18" i="42"/>
  <c r="F14" i="42" s="1"/>
  <c r="C18" i="42"/>
  <c r="E17" i="42" s="1"/>
  <c r="E15" i="42"/>
  <c r="E14" i="42"/>
  <c r="E12" i="42"/>
  <c r="E11" i="42"/>
  <c r="E10" i="42"/>
  <c r="E9" i="42"/>
  <c r="E8" i="42"/>
  <c r="E7" i="42"/>
  <c r="H6" i="42"/>
  <c r="W33" i="27"/>
  <c r="V33" i="27"/>
  <c r="W24" i="27"/>
  <c r="W23" i="27"/>
  <c r="W25" i="27"/>
  <c r="W26" i="27"/>
  <c r="W27" i="27"/>
  <c r="W28" i="27"/>
  <c r="W29" i="27"/>
  <c r="W30" i="27"/>
  <c r="W31" i="27"/>
  <c r="W32" i="27"/>
  <c r="W22" i="27"/>
  <c r="V22" i="27"/>
  <c r="U23" i="27"/>
  <c r="U24" i="27"/>
  <c r="U25" i="27"/>
  <c r="U26" i="27"/>
  <c r="U27" i="27"/>
  <c r="U28" i="27"/>
  <c r="U29" i="27"/>
  <c r="U30" i="27"/>
  <c r="U31" i="27"/>
  <c r="U32" i="27"/>
  <c r="U22" i="27"/>
  <c r="Z33" i="27"/>
  <c r="AA33" i="27"/>
  <c r="AB33" i="27"/>
  <c r="AC33" i="27"/>
  <c r="AD33" i="27"/>
  <c r="AJ33" i="27"/>
  <c r="AK22" i="27"/>
  <c r="AH33" i="27"/>
  <c r="AI23" i="27"/>
  <c r="AI24" i="27"/>
  <c r="AI25" i="27"/>
  <c r="AI26" i="27"/>
  <c r="AI27" i="27"/>
  <c r="AK27" i="27" s="1"/>
  <c r="AI28" i="27"/>
  <c r="AK28" i="27" s="1"/>
  <c r="AI29" i="27"/>
  <c r="AK29" i="27" s="1"/>
  <c r="AI30" i="27"/>
  <c r="AK30" i="27" s="1"/>
  <c r="AI31" i="27"/>
  <c r="AI32" i="27"/>
  <c r="AI22" i="27"/>
  <c r="L22" i="27"/>
  <c r="AB23" i="27"/>
  <c r="AB24" i="27"/>
  <c r="AB25" i="27"/>
  <c r="AB26" i="27"/>
  <c r="AB27" i="27"/>
  <c r="AB28" i="27"/>
  <c r="AB29" i="27"/>
  <c r="AB30" i="27"/>
  <c r="AB31" i="27"/>
  <c r="AB32" i="27"/>
  <c r="AB22" i="27"/>
  <c r="AD22" i="27"/>
  <c r="AD23" i="27"/>
  <c r="AK23" i="27"/>
  <c r="AD24" i="27"/>
  <c r="AK24" i="27"/>
  <c r="AD25" i="27"/>
  <c r="AK25" i="27"/>
  <c r="AD26" i="27"/>
  <c r="AK26" i="27"/>
  <c r="AD27" i="27"/>
  <c r="AD28" i="27"/>
  <c r="AD29" i="27"/>
  <c r="AD30" i="27"/>
  <c r="AD31" i="27"/>
  <c r="AK31" i="27"/>
  <c r="AD32" i="27"/>
  <c r="AK32" i="27"/>
  <c r="C39" i="40"/>
  <c r="C40" i="40"/>
  <c r="C41" i="40"/>
  <c r="C42" i="40"/>
  <c r="C43" i="40"/>
  <c r="C44" i="40"/>
  <c r="C45" i="40"/>
  <c r="C46" i="40"/>
  <c r="C47" i="40"/>
  <c r="C48" i="40"/>
  <c r="C38" i="40"/>
  <c r="S343" i="22"/>
  <c r="S342" i="22"/>
  <c r="AJ6" i="14"/>
  <c r="AJ7" i="14"/>
  <c r="AJ8" i="14"/>
  <c r="AJ9" i="14"/>
  <c r="AJ10" i="14"/>
  <c r="AJ11" i="14"/>
  <c r="AJ12" i="14"/>
  <c r="AJ13" i="14"/>
  <c r="AJ14" i="14"/>
  <c r="AJ15" i="14"/>
  <c r="AJ5" i="14"/>
  <c r="C36" i="14"/>
  <c r="D36" i="14"/>
  <c r="E36" i="14"/>
  <c r="F36" i="14"/>
  <c r="G36" i="14"/>
  <c r="H36" i="14"/>
  <c r="I36" i="14"/>
  <c r="J36" i="14"/>
  <c r="K36" i="14"/>
  <c r="C37" i="14"/>
  <c r="D37" i="14"/>
  <c r="E37" i="14"/>
  <c r="F37" i="14"/>
  <c r="G37" i="14"/>
  <c r="H37" i="14"/>
  <c r="I37" i="14"/>
  <c r="J37" i="14"/>
  <c r="K37" i="14"/>
  <c r="C38" i="14"/>
  <c r="D38" i="14"/>
  <c r="E38" i="14"/>
  <c r="F38" i="14"/>
  <c r="G38" i="14"/>
  <c r="H38" i="14"/>
  <c r="I38" i="14"/>
  <c r="J38" i="14"/>
  <c r="K38" i="14"/>
  <c r="C39" i="14"/>
  <c r="D39" i="14"/>
  <c r="E39" i="14"/>
  <c r="F39" i="14"/>
  <c r="G39" i="14"/>
  <c r="H39" i="14"/>
  <c r="I39" i="14"/>
  <c r="J39" i="14"/>
  <c r="K39" i="14"/>
  <c r="C40" i="14"/>
  <c r="D40" i="14"/>
  <c r="E40" i="14"/>
  <c r="F40" i="14"/>
  <c r="G40" i="14"/>
  <c r="H40" i="14"/>
  <c r="I40" i="14"/>
  <c r="J40" i="14"/>
  <c r="K40" i="14"/>
  <c r="C41" i="14"/>
  <c r="D41" i="14"/>
  <c r="E41" i="14"/>
  <c r="F41" i="14"/>
  <c r="G41" i="14"/>
  <c r="H41" i="14"/>
  <c r="I41" i="14"/>
  <c r="J41" i="14"/>
  <c r="K41" i="14"/>
  <c r="C42" i="14"/>
  <c r="D42" i="14"/>
  <c r="E42" i="14"/>
  <c r="F42" i="14"/>
  <c r="G42" i="14"/>
  <c r="H42" i="14"/>
  <c r="I42" i="14"/>
  <c r="J42" i="14"/>
  <c r="K42" i="14"/>
  <c r="C43" i="14"/>
  <c r="D43" i="14"/>
  <c r="E43" i="14"/>
  <c r="F43" i="14"/>
  <c r="G43" i="14"/>
  <c r="H43" i="14"/>
  <c r="I43" i="14"/>
  <c r="J43" i="14"/>
  <c r="K43" i="14"/>
  <c r="C44" i="14"/>
  <c r="D44" i="14"/>
  <c r="E44" i="14"/>
  <c r="F44" i="14"/>
  <c r="G44" i="14"/>
  <c r="H44" i="14"/>
  <c r="I44" i="14"/>
  <c r="J44" i="14"/>
  <c r="K44" i="14"/>
  <c r="C45" i="14"/>
  <c r="D45" i="14"/>
  <c r="E45" i="14"/>
  <c r="F45" i="14"/>
  <c r="G45" i="14"/>
  <c r="H45" i="14"/>
  <c r="I45" i="14"/>
  <c r="J45" i="14"/>
  <c r="K45" i="14"/>
  <c r="D35" i="14"/>
  <c r="E35" i="14"/>
  <c r="F35" i="14"/>
  <c r="G35" i="14"/>
  <c r="H35" i="14"/>
  <c r="I35" i="14"/>
  <c r="J35" i="14"/>
  <c r="K35" i="14"/>
  <c r="C35" i="14"/>
  <c r="D313" i="22"/>
  <c r="C313" i="22"/>
  <c r="H301" i="22"/>
  <c r="D355" i="22"/>
  <c r="F348" i="22" s="1"/>
  <c r="C355" i="22"/>
  <c r="E345" i="22" s="1"/>
  <c r="H343" i="22"/>
  <c r="J140" i="59" l="1"/>
  <c r="J138" i="59"/>
  <c r="K140" i="59"/>
  <c r="G135" i="59"/>
  <c r="H137" i="59"/>
  <c r="F136" i="59"/>
  <c r="F138" i="59"/>
  <c r="G136" i="59"/>
  <c r="G138" i="59"/>
  <c r="N143" i="59"/>
  <c r="H136" i="59"/>
  <c r="G143" i="59"/>
  <c r="F134" i="59"/>
  <c r="N136" i="59"/>
  <c r="N144" i="59"/>
  <c r="H140" i="59"/>
  <c r="N134" i="59"/>
  <c r="M134" i="59"/>
  <c r="G117" i="59"/>
  <c r="M121" i="59"/>
  <c r="H123" i="59"/>
  <c r="K124" i="59"/>
  <c r="L115" i="59"/>
  <c r="L120" i="59" s="1"/>
  <c r="E124" i="59"/>
  <c r="M116" i="59"/>
  <c r="G124" i="59"/>
  <c r="E120" i="59"/>
  <c r="H116" i="59"/>
  <c r="G116" i="59"/>
  <c r="L97" i="59"/>
  <c r="L101" i="59" s="1"/>
  <c r="N99" i="59"/>
  <c r="N102" i="59"/>
  <c r="H107" i="59"/>
  <c r="E100" i="59"/>
  <c r="E104" i="59"/>
  <c r="M108" i="59"/>
  <c r="H100" i="59"/>
  <c r="M105" i="59"/>
  <c r="M98" i="59"/>
  <c r="M100" i="59"/>
  <c r="E105" i="59"/>
  <c r="H98" i="59"/>
  <c r="E99" i="59"/>
  <c r="D99" i="59"/>
  <c r="D104" i="59"/>
  <c r="E98" i="59"/>
  <c r="K79" i="59"/>
  <c r="K88" i="59" s="1"/>
  <c r="K70" i="59"/>
  <c r="L59" i="59"/>
  <c r="L68" i="59" s="1"/>
  <c r="L50" i="59"/>
  <c r="L46" i="59"/>
  <c r="L45" i="59"/>
  <c r="L43" i="59"/>
  <c r="L48" i="59"/>
  <c r="H50" i="59"/>
  <c r="G46" i="59"/>
  <c r="G52" i="59"/>
  <c r="K42" i="59"/>
  <c r="H52" i="59"/>
  <c r="J30" i="59"/>
  <c r="L30" i="59"/>
  <c r="L26" i="59"/>
  <c r="F30" i="59"/>
  <c r="J23" i="59"/>
  <c r="J28" i="59" s="1"/>
  <c r="F26" i="59"/>
  <c r="F32" i="59"/>
  <c r="F27" i="59"/>
  <c r="H32" i="59"/>
  <c r="G28" i="59"/>
  <c r="L25" i="59"/>
  <c r="H28" i="59"/>
  <c r="M25" i="59"/>
  <c r="J13" i="59"/>
  <c r="J14" i="59"/>
  <c r="G10" i="59"/>
  <c r="G11" i="59"/>
  <c r="G8" i="59"/>
  <c r="N8" i="59"/>
  <c r="G9" i="59"/>
  <c r="F16" i="59"/>
  <c r="I12" i="59"/>
  <c r="K12" i="59"/>
  <c r="L34" i="59"/>
  <c r="D34" i="59"/>
  <c r="F34" i="59"/>
  <c r="J34" i="59"/>
  <c r="H34" i="59"/>
  <c r="N23" i="59"/>
  <c r="J50" i="59"/>
  <c r="J46" i="59"/>
  <c r="J48" i="59"/>
  <c r="J42" i="59"/>
  <c r="K5" i="59"/>
  <c r="K7" i="59" s="1"/>
  <c r="F9" i="59"/>
  <c r="I11" i="59"/>
  <c r="F15" i="59"/>
  <c r="J25" i="59"/>
  <c r="J32" i="59"/>
  <c r="J26" i="59"/>
  <c r="G25" i="59"/>
  <c r="E26" i="59"/>
  <c r="E31" i="59"/>
  <c r="E32" i="59"/>
  <c r="L33" i="59"/>
  <c r="H33" i="59"/>
  <c r="G33" i="59"/>
  <c r="F33" i="59"/>
  <c r="N33" i="59"/>
  <c r="E33" i="59"/>
  <c r="E34" i="59"/>
  <c r="J12" i="59"/>
  <c r="L5" i="59"/>
  <c r="L7" i="59" s="1"/>
  <c r="I6" i="59"/>
  <c r="N6" i="59"/>
  <c r="F6" i="59"/>
  <c r="F8" i="59"/>
  <c r="I10" i="59"/>
  <c r="J11" i="59"/>
  <c r="G13" i="59"/>
  <c r="I16" i="59"/>
  <c r="K23" i="59"/>
  <c r="K33" i="59" s="1"/>
  <c r="M24" i="59"/>
  <c r="E24" i="59"/>
  <c r="D23" i="59"/>
  <c r="D33" i="59" s="1"/>
  <c r="J24" i="59"/>
  <c r="I24" i="59"/>
  <c r="G24" i="59"/>
  <c r="G34" i="59"/>
  <c r="I44" i="59"/>
  <c r="F41" i="59"/>
  <c r="F44" i="59" s="1"/>
  <c r="G44" i="59"/>
  <c r="M44" i="59"/>
  <c r="L44" i="59"/>
  <c r="K44" i="59"/>
  <c r="J44" i="59"/>
  <c r="H64" i="59"/>
  <c r="H62" i="59"/>
  <c r="J63" i="59"/>
  <c r="H63" i="59"/>
  <c r="G59" i="59"/>
  <c r="G60" i="59" s="1"/>
  <c r="L63" i="59"/>
  <c r="K63" i="59"/>
  <c r="J31" i="59"/>
  <c r="M31" i="59"/>
  <c r="D31" i="59"/>
  <c r="H31" i="59"/>
  <c r="G31" i="59"/>
  <c r="F31" i="59"/>
  <c r="N16" i="59"/>
  <c r="N11" i="59"/>
  <c r="F7" i="59"/>
  <c r="K10" i="59"/>
  <c r="G14" i="59"/>
  <c r="K15" i="59"/>
  <c r="D24" i="59"/>
  <c r="L31" i="59"/>
  <c r="J33" i="59"/>
  <c r="M34" i="59"/>
  <c r="M50" i="59"/>
  <c r="M47" i="59"/>
  <c r="M45" i="59"/>
  <c r="M52" i="59"/>
  <c r="M49" i="59"/>
  <c r="M46" i="59"/>
  <c r="G101" i="59"/>
  <c r="G106" i="59"/>
  <c r="G99" i="59"/>
  <c r="G102" i="59"/>
  <c r="G108" i="59"/>
  <c r="G107" i="59"/>
  <c r="G100" i="59"/>
  <c r="D5" i="59"/>
  <c r="I8" i="59"/>
  <c r="J9" i="59"/>
  <c r="G12" i="59"/>
  <c r="N12" i="59"/>
  <c r="F12" i="59"/>
  <c r="L12" i="59"/>
  <c r="F13" i="59"/>
  <c r="L15" i="59"/>
  <c r="F24" i="59"/>
  <c r="M26" i="59"/>
  <c r="N28" i="59"/>
  <c r="N31" i="59"/>
  <c r="M33" i="59"/>
  <c r="N34" i="59"/>
  <c r="H44" i="59"/>
  <c r="I14" i="59"/>
  <c r="N14" i="59"/>
  <c r="F14" i="59"/>
  <c r="K14" i="59"/>
  <c r="K16" i="59"/>
  <c r="K25" i="59"/>
  <c r="J29" i="59"/>
  <c r="G29" i="59"/>
  <c r="I23" i="59"/>
  <c r="N29" i="59"/>
  <c r="F29" i="59"/>
  <c r="M29" i="59"/>
  <c r="E29" i="59"/>
  <c r="L29" i="59"/>
  <c r="D29" i="59"/>
  <c r="G84" i="59"/>
  <c r="N84" i="59"/>
  <c r="E84" i="59"/>
  <c r="H79" i="59"/>
  <c r="H85" i="59" s="1"/>
  <c r="L84" i="59"/>
  <c r="K84" i="59"/>
  <c r="M84" i="59"/>
  <c r="D84" i="59"/>
  <c r="J106" i="59"/>
  <c r="J104" i="59"/>
  <c r="J101" i="59"/>
  <c r="J100" i="59"/>
  <c r="J7" i="59"/>
  <c r="I7" i="59"/>
  <c r="G7" i="59"/>
  <c r="E5" i="59"/>
  <c r="J6" i="59"/>
  <c r="H5" i="59"/>
  <c r="H15" i="59" s="1"/>
  <c r="J10" i="59"/>
  <c r="L14" i="59"/>
  <c r="J15" i="59"/>
  <c r="I15" i="59"/>
  <c r="G15" i="59"/>
  <c r="M5" i="59"/>
  <c r="M10" i="59" s="1"/>
  <c r="N15" i="59"/>
  <c r="H29" i="59"/>
  <c r="K30" i="59"/>
  <c r="N7" i="59"/>
  <c r="K6" i="59"/>
  <c r="M7" i="59"/>
  <c r="K8" i="59"/>
  <c r="K9" i="59"/>
  <c r="F10" i="59"/>
  <c r="K13" i="59"/>
  <c r="M14" i="59"/>
  <c r="G32" i="59"/>
  <c r="G26" i="59"/>
  <c r="L24" i="59"/>
  <c r="E25" i="59"/>
  <c r="I29" i="59"/>
  <c r="K60" i="59"/>
  <c r="J60" i="59"/>
  <c r="D59" i="59"/>
  <c r="D62" i="59" s="1"/>
  <c r="H60" i="59"/>
  <c r="G83" i="59"/>
  <c r="G81" i="59"/>
  <c r="G90" i="59"/>
  <c r="G86" i="59"/>
  <c r="G80" i="59"/>
  <c r="G89" i="59"/>
  <c r="G87" i="59"/>
  <c r="G88" i="59"/>
  <c r="I9" i="59"/>
  <c r="K11" i="59"/>
  <c r="H16" i="59"/>
  <c r="I26" i="59"/>
  <c r="J27" i="59"/>
  <c r="K28" i="59"/>
  <c r="E30" i="59"/>
  <c r="M30" i="59"/>
  <c r="E41" i="59"/>
  <c r="G42" i="59"/>
  <c r="M42" i="59"/>
  <c r="E42" i="59"/>
  <c r="D41" i="59"/>
  <c r="D51" i="59" s="1"/>
  <c r="L42" i="59"/>
  <c r="G43" i="59"/>
  <c r="L47" i="59"/>
  <c r="J47" i="59"/>
  <c r="H48" i="59"/>
  <c r="F51" i="59"/>
  <c r="L64" i="59"/>
  <c r="L70" i="59"/>
  <c r="K61" i="59"/>
  <c r="F59" i="59"/>
  <c r="F66" i="59" s="1"/>
  <c r="K62" i="59"/>
  <c r="J62" i="59"/>
  <c r="K107" i="59"/>
  <c r="K105" i="59"/>
  <c r="K102" i="59"/>
  <c r="K98" i="59"/>
  <c r="K27" i="59"/>
  <c r="L28" i="59"/>
  <c r="M59" i="59"/>
  <c r="M64" i="59" s="1"/>
  <c r="J65" i="59"/>
  <c r="K66" i="59"/>
  <c r="H66" i="59"/>
  <c r="K67" i="59"/>
  <c r="J67" i="59"/>
  <c r="I67" i="59"/>
  <c r="H67" i="59"/>
  <c r="L86" i="59"/>
  <c r="L80" i="59"/>
  <c r="L88" i="59"/>
  <c r="L83" i="59"/>
  <c r="M82" i="59"/>
  <c r="E82" i="59"/>
  <c r="L82" i="59"/>
  <c r="D82" i="59"/>
  <c r="H82" i="59"/>
  <c r="G82" i="59"/>
  <c r="J8" i="59"/>
  <c r="J16" i="59"/>
  <c r="K26" i="59"/>
  <c r="D27" i="59"/>
  <c r="L27" i="59"/>
  <c r="M28" i="59"/>
  <c r="G30" i="59"/>
  <c r="K32" i="59"/>
  <c r="H49" i="59"/>
  <c r="H46" i="59"/>
  <c r="H42" i="59"/>
  <c r="J43" i="59"/>
  <c r="J45" i="59"/>
  <c r="H45" i="59"/>
  <c r="G45" i="59"/>
  <c r="K48" i="59"/>
  <c r="K51" i="59"/>
  <c r="J70" i="59"/>
  <c r="L81" i="59"/>
  <c r="L89" i="59"/>
  <c r="D26" i="59"/>
  <c r="E27" i="59"/>
  <c r="M27" i="59"/>
  <c r="F28" i="59"/>
  <c r="H30" i="59"/>
  <c r="I41" i="59"/>
  <c r="I47" i="59" s="1"/>
  <c r="I42" i="59"/>
  <c r="G47" i="59"/>
  <c r="G50" i="59"/>
  <c r="L52" i="59"/>
  <c r="E52" i="59"/>
  <c r="N41" i="59"/>
  <c r="K52" i="59"/>
  <c r="J52" i="59"/>
  <c r="J66" i="59"/>
  <c r="K68" i="59"/>
  <c r="J68" i="59"/>
  <c r="K82" i="59"/>
  <c r="K104" i="59"/>
  <c r="H61" i="59"/>
  <c r="E59" i="59"/>
  <c r="H69" i="59"/>
  <c r="K69" i="59"/>
  <c r="J69" i="59"/>
  <c r="D89" i="59"/>
  <c r="D88" i="59"/>
  <c r="D83" i="59"/>
  <c r="D80" i="59"/>
  <c r="D86" i="59"/>
  <c r="G85" i="59"/>
  <c r="L85" i="59"/>
  <c r="I79" i="59"/>
  <c r="I84" i="59" s="1"/>
  <c r="N85" i="59"/>
  <c r="E85" i="59"/>
  <c r="H43" i="59"/>
  <c r="F43" i="59"/>
  <c r="M43" i="59"/>
  <c r="E43" i="59"/>
  <c r="I48" i="59"/>
  <c r="G48" i="59"/>
  <c r="E48" i="59"/>
  <c r="M48" i="59"/>
  <c r="L51" i="59"/>
  <c r="J51" i="59"/>
  <c r="H51" i="59"/>
  <c r="G51" i="59"/>
  <c r="G61" i="59"/>
  <c r="L65" i="59"/>
  <c r="K65" i="59"/>
  <c r="I59" i="59"/>
  <c r="I60" i="59" s="1"/>
  <c r="H65" i="59"/>
  <c r="F79" i="59"/>
  <c r="F84" i="59" s="1"/>
  <c r="M85" i="59"/>
  <c r="N123" i="59"/>
  <c r="N124" i="59"/>
  <c r="N116" i="59"/>
  <c r="N125" i="59"/>
  <c r="N117" i="59"/>
  <c r="K50" i="59"/>
  <c r="M89" i="59"/>
  <c r="M88" i="59"/>
  <c r="M86" i="59"/>
  <c r="M80" i="59"/>
  <c r="N122" i="59"/>
  <c r="M122" i="59"/>
  <c r="E122" i="59"/>
  <c r="L122" i="59"/>
  <c r="D122" i="59"/>
  <c r="J115" i="59"/>
  <c r="J116" i="59" s="1"/>
  <c r="H122" i="59"/>
  <c r="K122" i="59"/>
  <c r="G122" i="59"/>
  <c r="N80" i="59"/>
  <c r="N87" i="59"/>
  <c r="N89" i="59"/>
  <c r="N88" i="59"/>
  <c r="M87" i="59"/>
  <c r="J103" i="59"/>
  <c r="N103" i="59"/>
  <c r="M103" i="59"/>
  <c r="E103" i="59"/>
  <c r="L103" i="59"/>
  <c r="I97" i="59"/>
  <c r="I98" i="59" s="1"/>
  <c r="K103" i="59"/>
  <c r="H103" i="59"/>
  <c r="G103" i="59"/>
  <c r="D103" i="59"/>
  <c r="J49" i="59"/>
  <c r="L49" i="59"/>
  <c r="K64" i="59"/>
  <c r="H70" i="59"/>
  <c r="D70" i="59"/>
  <c r="N59" i="59"/>
  <c r="N68" i="59" s="1"/>
  <c r="E89" i="59"/>
  <c r="E88" i="59"/>
  <c r="E90" i="59"/>
  <c r="E80" i="59"/>
  <c r="N81" i="59"/>
  <c r="L121" i="59"/>
  <c r="L124" i="59"/>
  <c r="L123" i="59"/>
  <c r="L119" i="59"/>
  <c r="H83" i="59"/>
  <c r="N83" i="59"/>
  <c r="F83" i="59"/>
  <c r="M83" i="59"/>
  <c r="E83" i="59"/>
  <c r="L100" i="59"/>
  <c r="L104" i="59"/>
  <c r="J98" i="59"/>
  <c r="G98" i="59"/>
  <c r="N98" i="59"/>
  <c r="D121" i="59"/>
  <c r="D124" i="59"/>
  <c r="D123" i="59"/>
  <c r="N90" i="59"/>
  <c r="K100" i="59"/>
  <c r="L87" i="59"/>
  <c r="D87" i="59"/>
  <c r="D100" i="59"/>
  <c r="D106" i="59"/>
  <c r="I126" i="59"/>
  <c r="H126" i="59"/>
  <c r="N126" i="59"/>
  <c r="M126" i="59"/>
  <c r="E126" i="59"/>
  <c r="L126" i="59"/>
  <c r="D126" i="59"/>
  <c r="K126" i="59"/>
  <c r="M144" i="59"/>
  <c r="M143" i="59"/>
  <c r="M135" i="59"/>
  <c r="M136" i="59"/>
  <c r="M137" i="59"/>
  <c r="M141" i="59"/>
  <c r="K90" i="59"/>
  <c r="M102" i="59"/>
  <c r="E102" i="59"/>
  <c r="L102" i="59"/>
  <c r="D102" i="59"/>
  <c r="M106" i="59"/>
  <c r="N108" i="59"/>
  <c r="D108" i="59"/>
  <c r="J108" i="59"/>
  <c r="J118" i="59"/>
  <c r="H118" i="59"/>
  <c r="N118" i="59"/>
  <c r="M118" i="59"/>
  <c r="E118" i="59"/>
  <c r="L118" i="59"/>
  <c r="D118" i="59"/>
  <c r="J139" i="59"/>
  <c r="H139" i="59"/>
  <c r="G139" i="59"/>
  <c r="I133" i="59"/>
  <c r="I136" i="59" s="1"/>
  <c r="N139" i="59"/>
  <c r="F139" i="59"/>
  <c r="M139" i="59"/>
  <c r="E139" i="59"/>
  <c r="J79" i="59"/>
  <c r="D81" i="59"/>
  <c r="D90" i="59"/>
  <c r="L90" i="59"/>
  <c r="F97" i="59"/>
  <c r="F108" i="59" s="1"/>
  <c r="H99" i="59"/>
  <c r="H101" i="59"/>
  <c r="E108" i="59"/>
  <c r="F115" i="59"/>
  <c r="F122" i="59" s="1"/>
  <c r="G118" i="59"/>
  <c r="E144" i="59"/>
  <c r="E143" i="59"/>
  <c r="E135" i="59"/>
  <c r="E136" i="59"/>
  <c r="E137" i="59"/>
  <c r="M138" i="59"/>
  <c r="K139" i="59"/>
  <c r="J99" i="59"/>
  <c r="H102" i="59"/>
  <c r="H108" i="59"/>
  <c r="H124" i="59"/>
  <c r="H125" i="59"/>
  <c r="M142" i="59"/>
  <c r="J102" i="59"/>
  <c r="L105" i="59"/>
  <c r="D105" i="59"/>
  <c r="J105" i="59"/>
  <c r="H105" i="59"/>
  <c r="G105" i="59"/>
  <c r="N107" i="59"/>
  <c r="F107" i="59"/>
  <c r="L107" i="59"/>
  <c r="D107" i="59"/>
  <c r="J107" i="59"/>
  <c r="K108" i="59"/>
  <c r="I115" i="59"/>
  <c r="I117" i="59" s="1"/>
  <c r="K117" i="59"/>
  <c r="E119" i="59"/>
  <c r="M119" i="59"/>
  <c r="F120" i="59"/>
  <c r="N120" i="59"/>
  <c r="G121" i="59"/>
  <c r="I123" i="59"/>
  <c r="K125" i="59"/>
  <c r="G134" i="59"/>
  <c r="H135" i="59"/>
  <c r="J137" i="59"/>
  <c r="K138" i="59"/>
  <c r="E140" i="59"/>
  <c r="M140" i="59"/>
  <c r="F141" i="59"/>
  <c r="N141" i="59"/>
  <c r="G142" i="59"/>
  <c r="H143" i="59"/>
  <c r="H144" i="59"/>
  <c r="K101" i="59"/>
  <c r="N104" i="59"/>
  <c r="H106" i="59"/>
  <c r="K116" i="59"/>
  <c r="D117" i="59"/>
  <c r="L117" i="59"/>
  <c r="F119" i="59"/>
  <c r="N119" i="59"/>
  <c r="G120" i="59"/>
  <c r="H121" i="59"/>
  <c r="D125" i="59"/>
  <c r="L125" i="59"/>
  <c r="H134" i="59"/>
  <c r="I135" i="59"/>
  <c r="J136" i="59"/>
  <c r="K137" i="59"/>
  <c r="D138" i="59"/>
  <c r="F140" i="59"/>
  <c r="N140" i="59"/>
  <c r="G141" i="59"/>
  <c r="H142" i="59"/>
  <c r="D101" i="59"/>
  <c r="G104" i="59"/>
  <c r="D116" i="59"/>
  <c r="L116" i="59"/>
  <c r="E117" i="59"/>
  <c r="M117" i="59"/>
  <c r="G119" i="59"/>
  <c r="H120" i="59"/>
  <c r="K123" i="59"/>
  <c r="E125" i="59"/>
  <c r="I134" i="59"/>
  <c r="J135" i="59"/>
  <c r="E138" i="59"/>
  <c r="G140" i="59"/>
  <c r="H141" i="59"/>
  <c r="J143" i="59"/>
  <c r="J144" i="59"/>
  <c r="J134" i="59"/>
  <c r="K135" i="59"/>
  <c r="I141" i="59"/>
  <c r="J142" i="59"/>
  <c r="K143" i="59"/>
  <c r="K144" i="59"/>
  <c r="K106" i="59"/>
  <c r="J120" i="59"/>
  <c r="K121" i="59"/>
  <c r="K134" i="59"/>
  <c r="J141" i="59"/>
  <c r="K142" i="59"/>
  <c r="K120" i="59"/>
  <c r="K141" i="59"/>
  <c r="E106" i="59"/>
  <c r="D120" i="59"/>
  <c r="E121" i="59"/>
  <c r="D133" i="59"/>
  <c r="D142" i="59" s="1"/>
  <c r="L133" i="59"/>
  <c r="L139" i="59" s="1"/>
  <c r="E134" i="59"/>
  <c r="F135" i="59"/>
  <c r="E142" i="59"/>
  <c r="F143" i="59"/>
  <c r="F144" i="59"/>
  <c r="G137" i="58"/>
  <c r="M141" i="58"/>
  <c r="M134" i="58"/>
  <c r="G138" i="58"/>
  <c r="E142" i="58"/>
  <c r="L140" i="58"/>
  <c r="G135" i="58"/>
  <c r="G143" i="58"/>
  <c r="E134" i="58"/>
  <c r="G136" i="58"/>
  <c r="H136" i="58"/>
  <c r="D133" i="58"/>
  <c r="E116" i="58"/>
  <c r="K120" i="58"/>
  <c r="K123" i="58"/>
  <c r="M116" i="58"/>
  <c r="I120" i="58"/>
  <c r="K124" i="58"/>
  <c r="M117" i="58"/>
  <c r="M120" i="58"/>
  <c r="E124" i="58"/>
  <c r="K121" i="58"/>
  <c r="H124" i="58"/>
  <c r="I116" i="58"/>
  <c r="L115" i="58"/>
  <c r="E121" i="58"/>
  <c r="I124" i="58"/>
  <c r="M121" i="58"/>
  <c r="D120" i="58"/>
  <c r="L98" i="58"/>
  <c r="G106" i="58"/>
  <c r="L103" i="58"/>
  <c r="G103" i="58"/>
  <c r="L105" i="58"/>
  <c r="D98" i="58"/>
  <c r="D106" i="58"/>
  <c r="D100" i="58"/>
  <c r="L87" i="58"/>
  <c r="L84" i="58"/>
  <c r="L86" i="58"/>
  <c r="L89" i="58"/>
  <c r="L82" i="58"/>
  <c r="L88" i="58"/>
  <c r="H87" i="58"/>
  <c r="J82" i="58"/>
  <c r="J88" i="58"/>
  <c r="I87" i="58"/>
  <c r="M85" i="58"/>
  <c r="F89" i="58"/>
  <c r="K79" i="58"/>
  <c r="K80" i="58" s="1"/>
  <c r="F84" i="58"/>
  <c r="H86" i="58"/>
  <c r="J80" i="58"/>
  <c r="D87" i="58"/>
  <c r="I90" i="58"/>
  <c r="G80" i="58"/>
  <c r="I80" i="58"/>
  <c r="D84" i="58"/>
  <c r="D86" i="58"/>
  <c r="D82" i="58"/>
  <c r="F66" i="58"/>
  <c r="K62" i="58"/>
  <c r="K66" i="58"/>
  <c r="G66" i="58"/>
  <c r="K63" i="58"/>
  <c r="K67" i="58"/>
  <c r="F67" i="58"/>
  <c r="K64" i="58"/>
  <c r="N66" i="58"/>
  <c r="G64" i="58"/>
  <c r="J49" i="58"/>
  <c r="J44" i="58"/>
  <c r="J42" i="58"/>
  <c r="I47" i="58"/>
  <c r="G41" i="58"/>
  <c r="J48" i="58"/>
  <c r="K48" i="58"/>
  <c r="I48" i="58"/>
  <c r="N51" i="58"/>
  <c r="D47" i="58"/>
  <c r="M29" i="58"/>
  <c r="N24" i="58"/>
  <c r="E29" i="58"/>
  <c r="K30" i="58"/>
  <c r="E31" i="58"/>
  <c r="F31" i="58"/>
  <c r="J26" i="58"/>
  <c r="J9" i="58"/>
  <c r="J15" i="58"/>
  <c r="J13" i="58"/>
  <c r="J10" i="58"/>
  <c r="J7" i="58"/>
  <c r="J6" i="58"/>
  <c r="J16" i="58"/>
  <c r="K16" i="58"/>
  <c r="M12" i="58"/>
  <c r="M9" i="58"/>
  <c r="K12" i="58"/>
  <c r="G16" i="58"/>
  <c r="H10" i="58"/>
  <c r="J12" i="58"/>
  <c r="G12" i="58"/>
  <c r="M7" i="58"/>
  <c r="M10" i="58"/>
  <c r="K14" i="58"/>
  <c r="I12" i="58"/>
  <c r="M8" i="58"/>
  <c r="H11" i="58"/>
  <c r="K9" i="58"/>
  <c r="L10" i="58"/>
  <c r="L44" i="58"/>
  <c r="L42" i="58"/>
  <c r="L47" i="58"/>
  <c r="L52" i="58"/>
  <c r="L50" i="58"/>
  <c r="L49" i="58"/>
  <c r="K13" i="58"/>
  <c r="I28" i="58"/>
  <c r="N28" i="58"/>
  <c r="F28" i="58"/>
  <c r="F30" i="58"/>
  <c r="D5" i="58"/>
  <c r="L5" i="58"/>
  <c r="E6" i="58"/>
  <c r="M6" i="58"/>
  <c r="G8" i="58"/>
  <c r="H9" i="58"/>
  <c r="I10" i="58"/>
  <c r="J11" i="58"/>
  <c r="D13" i="58"/>
  <c r="L13" i="58"/>
  <c r="E14" i="58"/>
  <c r="M14" i="58"/>
  <c r="G15" i="58"/>
  <c r="G23" i="58"/>
  <c r="G28" i="58" s="1"/>
  <c r="F29" i="58"/>
  <c r="J45" i="58"/>
  <c r="J47" i="58"/>
  <c r="K43" i="58"/>
  <c r="D44" i="58"/>
  <c r="M70" i="58"/>
  <c r="M61" i="58"/>
  <c r="M66" i="58"/>
  <c r="E5" i="58"/>
  <c r="G7" i="58"/>
  <c r="H8" i="58"/>
  <c r="I9" i="58"/>
  <c r="K11" i="58"/>
  <c r="E13" i="58"/>
  <c r="M13" i="58"/>
  <c r="H15" i="58"/>
  <c r="L16" i="58"/>
  <c r="H23" i="58"/>
  <c r="H29" i="58" s="1"/>
  <c r="M26" i="58"/>
  <c r="H27" i="58"/>
  <c r="M27" i="58"/>
  <c r="E27" i="58"/>
  <c r="E28" i="58"/>
  <c r="N32" i="58"/>
  <c r="E61" i="58"/>
  <c r="E67" i="58"/>
  <c r="E69" i="58"/>
  <c r="F5" i="58"/>
  <c r="F16" i="58" s="1"/>
  <c r="N5" i="58"/>
  <c r="N7" i="58" s="1"/>
  <c r="G6" i="58"/>
  <c r="H7" i="58"/>
  <c r="I8" i="58"/>
  <c r="K10" i="58"/>
  <c r="L11" i="58"/>
  <c r="F13" i="58"/>
  <c r="G14" i="58"/>
  <c r="I15" i="58"/>
  <c r="M16" i="58"/>
  <c r="K24" i="58"/>
  <c r="K29" i="58"/>
  <c r="M31" i="58"/>
  <c r="N33" i="58"/>
  <c r="N34" i="58"/>
  <c r="D42" i="58"/>
  <c r="M60" i="58"/>
  <c r="E60" i="58"/>
  <c r="D59" i="58"/>
  <c r="D60" i="58" s="1"/>
  <c r="J60" i="58"/>
  <c r="G60" i="58"/>
  <c r="N60" i="58"/>
  <c r="I60" i="58"/>
  <c r="J65" i="58"/>
  <c r="I65" i="58"/>
  <c r="G65" i="58"/>
  <c r="I59" i="58"/>
  <c r="E65" i="58"/>
  <c r="N65" i="58"/>
  <c r="M65" i="58"/>
  <c r="E66" i="58"/>
  <c r="H6" i="58"/>
  <c r="I7" i="58"/>
  <c r="J8" i="58"/>
  <c r="D10" i="58"/>
  <c r="E11" i="58"/>
  <c r="M11" i="58"/>
  <c r="G13" i="58"/>
  <c r="H14" i="58"/>
  <c r="E16" i="58"/>
  <c r="G26" i="58"/>
  <c r="N26" i="58"/>
  <c r="F26" i="58"/>
  <c r="F27" i="58"/>
  <c r="J28" i="58"/>
  <c r="N31" i="58"/>
  <c r="M32" i="58"/>
  <c r="E32" i="58"/>
  <c r="L23" i="58"/>
  <c r="L32" i="58"/>
  <c r="J32" i="58"/>
  <c r="L45" i="58"/>
  <c r="J51" i="58"/>
  <c r="I51" i="58"/>
  <c r="G51" i="58"/>
  <c r="M41" i="58"/>
  <c r="M51" i="58" s="1"/>
  <c r="L51" i="58"/>
  <c r="K52" i="58"/>
  <c r="F60" i="58"/>
  <c r="I6" i="58"/>
  <c r="K8" i="58"/>
  <c r="H13" i="58"/>
  <c r="I14" i="58"/>
  <c r="M34" i="58"/>
  <c r="M33" i="58"/>
  <c r="M25" i="58"/>
  <c r="N25" i="58"/>
  <c r="K28" i="58"/>
  <c r="L31" i="58"/>
  <c r="F32" i="58"/>
  <c r="J43" i="58"/>
  <c r="G43" i="58"/>
  <c r="N43" i="58"/>
  <c r="D43" i="58"/>
  <c r="L43" i="58"/>
  <c r="E41" i="58"/>
  <c r="E43" i="58" s="1"/>
  <c r="E46" i="58"/>
  <c r="H41" i="58"/>
  <c r="H51" i="58" s="1"/>
  <c r="L46" i="58"/>
  <c r="D46" i="58"/>
  <c r="J46" i="58"/>
  <c r="N46" i="58"/>
  <c r="I46" i="58"/>
  <c r="D49" i="58"/>
  <c r="I50" i="58"/>
  <c r="H50" i="58"/>
  <c r="N50" i="58"/>
  <c r="F50" i="58"/>
  <c r="K50" i="58"/>
  <c r="J50" i="58"/>
  <c r="D51" i="58"/>
  <c r="J66" i="58"/>
  <c r="J62" i="58"/>
  <c r="J61" i="58"/>
  <c r="I68" i="58"/>
  <c r="G68" i="58"/>
  <c r="E68" i="58"/>
  <c r="L59" i="58"/>
  <c r="L62" i="58" s="1"/>
  <c r="M68" i="58"/>
  <c r="F68" i="58"/>
  <c r="N68" i="58"/>
  <c r="K68" i="58"/>
  <c r="K7" i="58"/>
  <c r="D8" i="58"/>
  <c r="L8" i="58"/>
  <c r="H12" i="58"/>
  <c r="I13" i="58"/>
  <c r="M15" i="58"/>
  <c r="E15" i="58"/>
  <c r="L15" i="58"/>
  <c r="M24" i="58"/>
  <c r="E24" i="58"/>
  <c r="D23" i="58"/>
  <c r="D24" i="58" s="1"/>
  <c r="L24" i="58"/>
  <c r="J24" i="58"/>
  <c r="L28" i="58"/>
  <c r="J29" i="58"/>
  <c r="G29" i="58"/>
  <c r="I23" i="58"/>
  <c r="I24" i="58" s="1"/>
  <c r="N29" i="58"/>
  <c r="F52" i="58"/>
  <c r="F49" i="58"/>
  <c r="F43" i="58"/>
  <c r="F45" i="58"/>
  <c r="F46" i="58"/>
  <c r="D50" i="58"/>
  <c r="F51" i="58"/>
  <c r="J63" i="58"/>
  <c r="J68" i="58"/>
  <c r="J81" i="58"/>
  <c r="H81" i="58"/>
  <c r="N81" i="58"/>
  <c r="F81" i="58"/>
  <c r="M81" i="58"/>
  <c r="E81" i="58"/>
  <c r="L81" i="58"/>
  <c r="D81" i="58"/>
  <c r="K81" i="58"/>
  <c r="I81" i="58"/>
  <c r="G81" i="58"/>
  <c r="E79" i="58"/>
  <c r="D7" i="58"/>
  <c r="E8" i="58"/>
  <c r="D15" i="58"/>
  <c r="I16" i="58"/>
  <c r="E34" i="58"/>
  <c r="E33" i="58"/>
  <c r="E25" i="58"/>
  <c r="F24" i="58"/>
  <c r="K27" i="58"/>
  <c r="M28" i="58"/>
  <c r="E30" i="58"/>
  <c r="H43" i="58"/>
  <c r="G46" i="58"/>
  <c r="K49" i="58"/>
  <c r="G50" i="58"/>
  <c r="L68" i="58"/>
  <c r="K25" i="58"/>
  <c r="I31" i="58"/>
  <c r="K33" i="58"/>
  <c r="K34" i="58"/>
  <c r="I42" i="58"/>
  <c r="N42" i="58"/>
  <c r="F42" i="58"/>
  <c r="I44" i="58"/>
  <c r="H49" i="58"/>
  <c r="G49" i="58"/>
  <c r="H59" i="58"/>
  <c r="H64" i="58" s="1"/>
  <c r="G63" i="58"/>
  <c r="M63" i="58"/>
  <c r="E63" i="58"/>
  <c r="E64" i="58"/>
  <c r="K69" i="58"/>
  <c r="F70" i="58"/>
  <c r="L99" i="58"/>
  <c r="D99" i="58"/>
  <c r="I99" i="58"/>
  <c r="E97" i="58"/>
  <c r="E99" i="58" s="1"/>
  <c r="M99" i="58"/>
  <c r="K99" i="58"/>
  <c r="G99" i="58"/>
  <c r="K31" i="58"/>
  <c r="G48" i="58"/>
  <c r="N48" i="58"/>
  <c r="F48" i="58"/>
  <c r="L48" i="58"/>
  <c r="D48" i="58"/>
  <c r="G62" i="58"/>
  <c r="N62" i="58"/>
  <c r="F62" i="58"/>
  <c r="F63" i="58"/>
  <c r="J64" i="58"/>
  <c r="N69" i="58"/>
  <c r="F25" i="58"/>
  <c r="F33" i="58"/>
  <c r="F34" i="58"/>
  <c r="G42" i="58"/>
  <c r="K44" i="58"/>
  <c r="N47" i="58"/>
  <c r="J52" i="58"/>
  <c r="I52" i="58"/>
  <c r="G52" i="58"/>
  <c r="N52" i="58"/>
  <c r="N61" i="58"/>
  <c r="E62" i="58"/>
  <c r="M86" i="58"/>
  <c r="M89" i="58"/>
  <c r="M88" i="58"/>
  <c r="M87" i="58"/>
  <c r="I126" i="58"/>
  <c r="N115" i="58"/>
  <c r="N126" i="58" s="1"/>
  <c r="H126" i="58"/>
  <c r="M126" i="58"/>
  <c r="E126" i="58"/>
  <c r="L126" i="58"/>
  <c r="D126" i="58"/>
  <c r="K126" i="58"/>
  <c r="G126" i="58"/>
  <c r="N87" i="58"/>
  <c r="N88" i="58"/>
  <c r="N86" i="58"/>
  <c r="N89" i="58"/>
  <c r="I64" i="58"/>
  <c r="N64" i="58"/>
  <c r="F64" i="58"/>
  <c r="J69" i="58"/>
  <c r="I69" i="58"/>
  <c r="M69" i="58"/>
  <c r="G69" i="58"/>
  <c r="F69" i="58"/>
  <c r="H44" i="58"/>
  <c r="I45" i="58"/>
  <c r="K47" i="58"/>
  <c r="K61" i="58"/>
  <c r="E70" i="58"/>
  <c r="F86" i="58"/>
  <c r="K90" i="58"/>
  <c r="K100" i="58"/>
  <c r="M108" i="58"/>
  <c r="L108" i="58"/>
  <c r="D108" i="58"/>
  <c r="I108" i="58"/>
  <c r="N108" i="58"/>
  <c r="K108" i="58"/>
  <c r="G108" i="58"/>
  <c r="N97" i="58"/>
  <c r="N101" i="58" s="1"/>
  <c r="M105" i="58"/>
  <c r="M101" i="58"/>
  <c r="M100" i="58"/>
  <c r="M106" i="58"/>
  <c r="G102" i="58"/>
  <c r="M102" i="58"/>
  <c r="L102" i="58"/>
  <c r="D102" i="58"/>
  <c r="K102" i="58"/>
  <c r="I102" i="58"/>
  <c r="H97" i="58"/>
  <c r="H99" i="58" s="1"/>
  <c r="H102" i="58"/>
  <c r="K45" i="58"/>
  <c r="G67" i="58"/>
  <c r="N67" i="58"/>
  <c r="M67" i="58"/>
  <c r="G70" i="58"/>
  <c r="J102" i="58"/>
  <c r="D45" i="58"/>
  <c r="F47" i="58"/>
  <c r="F61" i="58"/>
  <c r="D67" i="58"/>
  <c r="G86" i="58"/>
  <c r="G89" i="58"/>
  <c r="G88" i="58"/>
  <c r="M80" i="58"/>
  <c r="L83" i="58"/>
  <c r="D83" i="58"/>
  <c r="J83" i="58"/>
  <c r="H83" i="58"/>
  <c r="G83" i="58"/>
  <c r="N83" i="58"/>
  <c r="F83" i="58"/>
  <c r="F88" i="58"/>
  <c r="I104" i="58"/>
  <c r="G104" i="58"/>
  <c r="H104" i="58"/>
  <c r="D104" i="58"/>
  <c r="J97" i="58"/>
  <c r="M104" i="58"/>
  <c r="L104" i="58"/>
  <c r="K104" i="58"/>
  <c r="G124" i="58"/>
  <c r="G116" i="58"/>
  <c r="G125" i="58"/>
  <c r="G117" i="58"/>
  <c r="G123" i="58"/>
  <c r="G122" i="58"/>
  <c r="H82" i="58"/>
  <c r="M84" i="58"/>
  <c r="H88" i="58"/>
  <c r="I89" i="58"/>
  <c r="I88" i="58"/>
  <c r="I83" i="58"/>
  <c r="N85" i="58"/>
  <c r="F85" i="58"/>
  <c r="L85" i="58"/>
  <c r="D85" i="58"/>
  <c r="J85" i="58"/>
  <c r="I85" i="58"/>
  <c r="H85" i="58"/>
  <c r="J90" i="58"/>
  <c r="H90" i="58"/>
  <c r="N90" i="58"/>
  <c r="F90" i="58"/>
  <c r="M90" i="58"/>
  <c r="E90" i="58"/>
  <c r="L90" i="58"/>
  <c r="D90" i="58"/>
  <c r="J70" i="58"/>
  <c r="I70" i="58"/>
  <c r="H70" i="58"/>
  <c r="N70" i="58"/>
  <c r="H80" i="58"/>
  <c r="E85" i="58"/>
  <c r="H89" i="58"/>
  <c r="G90" i="58"/>
  <c r="I101" i="58"/>
  <c r="I105" i="58"/>
  <c r="M98" i="58"/>
  <c r="M103" i="58"/>
  <c r="D103" i="58"/>
  <c r="K103" i="58"/>
  <c r="J103" i="58"/>
  <c r="I103" i="58"/>
  <c r="N107" i="58"/>
  <c r="E82" i="58"/>
  <c r="M82" i="58"/>
  <c r="G84" i="58"/>
  <c r="I86" i="58"/>
  <c r="J87" i="58"/>
  <c r="K89" i="58"/>
  <c r="F97" i="58"/>
  <c r="F105" i="58" s="1"/>
  <c r="G98" i="58"/>
  <c r="I100" i="58"/>
  <c r="J105" i="58"/>
  <c r="G105" i="58"/>
  <c r="G107" i="58"/>
  <c r="H125" i="58"/>
  <c r="H117" i="58"/>
  <c r="K119" i="58"/>
  <c r="L142" i="58"/>
  <c r="L134" i="58"/>
  <c r="L136" i="58"/>
  <c r="L137" i="58"/>
  <c r="H139" i="58"/>
  <c r="G139" i="58"/>
  <c r="I133" i="58"/>
  <c r="I144" i="58" s="1"/>
  <c r="M139" i="58"/>
  <c r="E139" i="58"/>
  <c r="L139" i="58"/>
  <c r="D139" i="58"/>
  <c r="D80" i="58"/>
  <c r="L80" i="58"/>
  <c r="F82" i="58"/>
  <c r="N82" i="58"/>
  <c r="H84" i="58"/>
  <c r="J86" i="58"/>
  <c r="D88" i="58"/>
  <c r="D89" i="58"/>
  <c r="H98" i="58"/>
  <c r="J100" i="58"/>
  <c r="D105" i="58"/>
  <c r="K107" i="58"/>
  <c r="M122" i="58"/>
  <c r="E122" i="58"/>
  <c r="L122" i="58"/>
  <c r="D122" i="58"/>
  <c r="I122" i="58"/>
  <c r="J115" i="58"/>
  <c r="J122" i="58" s="1"/>
  <c r="H122" i="58"/>
  <c r="M137" i="58"/>
  <c r="M138" i="58"/>
  <c r="L138" i="58"/>
  <c r="M143" i="58"/>
  <c r="G82" i="58"/>
  <c r="I84" i="58"/>
  <c r="I98" i="58"/>
  <c r="G101" i="58"/>
  <c r="M136" i="58"/>
  <c r="K139" i="58"/>
  <c r="L121" i="58"/>
  <c r="L124" i="58"/>
  <c r="L116" i="58"/>
  <c r="D142" i="58"/>
  <c r="D134" i="58"/>
  <c r="D136" i="58"/>
  <c r="D137" i="58"/>
  <c r="I82" i="58"/>
  <c r="K98" i="58"/>
  <c r="K106" i="58"/>
  <c r="E137" i="58"/>
  <c r="E138" i="58"/>
  <c r="D141" i="58"/>
  <c r="D121" i="58"/>
  <c r="D124" i="58"/>
  <c r="D116" i="58"/>
  <c r="I118" i="58"/>
  <c r="F115" i="58"/>
  <c r="F126" i="58" s="1"/>
  <c r="H118" i="58"/>
  <c r="N118" i="58"/>
  <c r="M118" i="58"/>
  <c r="E118" i="58"/>
  <c r="L118" i="58"/>
  <c r="D118" i="58"/>
  <c r="J119" i="58"/>
  <c r="I119" i="58"/>
  <c r="G119" i="58"/>
  <c r="N119" i="58"/>
  <c r="M119" i="58"/>
  <c r="E119" i="58"/>
  <c r="J133" i="58"/>
  <c r="J139" i="58" s="1"/>
  <c r="H140" i="58"/>
  <c r="G140" i="58"/>
  <c r="N140" i="58"/>
  <c r="M140" i="58"/>
  <c r="E140" i="58"/>
  <c r="E84" i="58"/>
  <c r="M107" i="58"/>
  <c r="L107" i="58"/>
  <c r="D107" i="58"/>
  <c r="I107" i="58"/>
  <c r="H107" i="58"/>
  <c r="G118" i="58"/>
  <c r="D119" i="58"/>
  <c r="L123" i="58"/>
  <c r="L125" i="58"/>
  <c r="D140" i="58"/>
  <c r="K117" i="58"/>
  <c r="N120" i="58"/>
  <c r="G121" i="58"/>
  <c r="I123" i="58"/>
  <c r="K125" i="58"/>
  <c r="F133" i="58"/>
  <c r="F140" i="58" s="1"/>
  <c r="N133" i="58"/>
  <c r="N139" i="58" s="1"/>
  <c r="G134" i="58"/>
  <c r="H135" i="58"/>
  <c r="K138" i="58"/>
  <c r="N141" i="58"/>
  <c r="G142" i="58"/>
  <c r="H143" i="58"/>
  <c r="H144" i="58"/>
  <c r="K101" i="58"/>
  <c r="H106" i="58"/>
  <c r="D117" i="58"/>
  <c r="L117" i="58"/>
  <c r="G120" i="58"/>
  <c r="H121" i="58"/>
  <c r="D125" i="58"/>
  <c r="H134" i="58"/>
  <c r="J136" i="58"/>
  <c r="D138" i="58"/>
  <c r="G141" i="58"/>
  <c r="H142" i="58"/>
  <c r="D101" i="58"/>
  <c r="L101" i="58"/>
  <c r="I106" i="58"/>
  <c r="E117" i="58"/>
  <c r="H120" i="58"/>
  <c r="I121" i="58"/>
  <c r="E125" i="58"/>
  <c r="M125" i="58"/>
  <c r="K136" i="58"/>
  <c r="H141" i="58"/>
  <c r="J144" i="58"/>
  <c r="K135" i="58"/>
  <c r="K143" i="58"/>
  <c r="K144" i="58"/>
  <c r="D135" i="58"/>
  <c r="L135" i="58"/>
  <c r="E136" i="58"/>
  <c r="D143" i="58"/>
  <c r="L143" i="58"/>
  <c r="D144" i="58"/>
  <c r="L144" i="58"/>
  <c r="E135" i="58"/>
  <c r="E143" i="58"/>
  <c r="E144" i="58"/>
  <c r="K141" i="57"/>
  <c r="G138" i="57"/>
  <c r="K133" i="57"/>
  <c r="K138" i="57" s="1"/>
  <c r="G117" i="57"/>
  <c r="G116" i="57"/>
  <c r="L115" i="57"/>
  <c r="L120" i="57" s="1"/>
  <c r="K123" i="57"/>
  <c r="M126" i="57"/>
  <c r="E118" i="57"/>
  <c r="K124" i="57"/>
  <c r="F119" i="57"/>
  <c r="E124" i="57"/>
  <c r="K116" i="57"/>
  <c r="K121" i="57"/>
  <c r="K125" i="57"/>
  <c r="L97" i="57"/>
  <c r="L99" i="57" s="1"/>
  <c r="I102" i="57"/>
  <c r="I107" i="57"/>
  <c r="L87" i="57"/>
  <c r="L81" i="57"/>
  <c r="G82" i="57"/>
  <c r="G88" i="57"/>
  <c r="G83" i="57"/>
  <c r="N83" i="57"/>
  <c r="K90" i="57"/>
  <c r="E84" i="57"/>
  <c r="F90" i="57"/>
  <c r="K84" i="57"/>
  <c r="K64" i="57"/>
  <c r="K70" i="57"/>
  <c r="K65" i="57"/>
  <c r="K60" i="57"/>
  <c r="L63" i="57"/>
  <c r="L64" i="57"/>
  <c r="J64" i="57"/>
  <c r="F68" i="57"/>
  <c r="H68" i="57"/>
  <c r="N64" i="57"/>
  <c r="K68" i="57"/>
  <c r="N61" i="57"/>
  <c r="N60" i="57"/>
  <c r="J67" i="57"/>
  <c r="J70" i="57"/>
  <c r="D59" i="57"/>
  <c r="H60" i="57"/>
  <c r="J48" i="57"/>
  <c r="J50" i="57"/>
  <c r="J46" i="57"/>
  <c r="J52" i="57"/>
  <c r="J45" i="57"/>
  <c r="K44" i="57"/>
  <c r="G48" i="57"/>
  <c r="G45" i="57"/>
  <c r="H48" i="57"/>
  <c r="I41" i="57"/>
  <c r="G46" i="57"/>
  <c r="H50" i="57"/>
  <c r="G50" i="57"/>
  <c r="G47" i="57"/>
  <c r="K50" i="57"/>
  <c r="H51" i="57"/>
  <c r="J27" i="57"/>
  <c r="J25" i="57"/>
  <c r="J24" i="57"/>
  <c r="G30" i="57"/>
  <c r="K34" i="57"/>
  <c r="K25" i="57"/>
  <c r="K26" i="57"/>
  <c r="J30" i="57"/>
  <c r="G27" i="57"/>
  <c r="I32" i="57"/>
  <c r="I24" i="57"/>
  <c r="G28" i="57"/>
  <c r="G29" i="57"/>
  <c r="K10" i="57"/>
  <c r="K6" i="57"/>
  <c r="K16" i="57"/>
  <c r="K15" i="57"/>
  <c r="I10" i="57"/>
  <c r="J16" i="57"/>
  <c r="I6" i="57"/>
  <c r="J11" i="57"/>
  <c r="L5" i="57"/>
  <c r="L8" i="57" s="1"/>
  <c r="J6" i="57"/>
  <c r="G5" i="57"/>
  <c r="I15" i="57"/>
  <c r="D9" i="57"/>
  <c r="L15" i="57"/>
  <c r="L10" i="57"/>
  <c r="H29" i="57"/>
  <c r="H27" i="57"/>
  <c r="F48" i="57"/>
  <c r="F49" i="57"/>
  <c r="F46" i="57"/>
  <c r="F45" i="57"/>
  <c r="D7" i="57"/>
  <c r="G8" i="57"/>
  <c r="K9" i="57"/>
  <c r="G12" i="57"/>
  <c r="I30" i="57"/>
  <c r="I27" i="57"/>
  <c r="I28" i="57"/>
  <c r="K24" i="57"/>
  <c r="H28" i="57"/>
  <c r="G6" i="57"/>
  <c r="D6" i="57"/>
  <c r="J8" i="57"/>
  <c r="I12" i="57"/>
  <c r="J14" i="57"/>
  <c r="G14" i="57"/>
  <c r="L14" i="57"/>
  <c r="D14" i="57"/>
  <c r="D25" i="57"/>
  <c r="I25" i="57"/>
  <c r="H25" i="57"/>
  <c r="G25" i="57"/>
  <c r="E23" i="57"/>
  <c r="E32" i="57" s="1"/>
  <c r="F25" i="57"/>
  <c r="E26" i="57"/>
  <c r="J26" i="57"/>
  <c r="I26" i="57"/>
  <c r="F23" i="57"/>
  <c r="H26" i="57"/>
  <c r="G26" i="57"/>
  <c r="H7" i="57"/>
  <c r="G7" i="57"/>
  <c r="E5" i="57"/>
  <c r="E14" i="57" s="1"/>
  <c r="I7" i="57"/>
  <c r="K8" i="57"/>
  <c r="H13" i="57"/>
  <c r="H14" i="57"/>
  <c r="K27" i="57"/>
  <c r="J31" i="57"/>
  <c r="G31" i="57"/>
  <c r="F31" i="57"/>
  <c r="E31" i="57"/>
  <c r="D31" i="57"/>
  <c r="I48" i="57"/>
  <c r="I51" i="57"/>
  <c r="I45" i="57"/>
  <c r="I52" i="57"/>
  <c r="I47" i="57"/>
  <c r="H6" i="57"/>
  <c r="J7" i="57"/>
  <c r="J9" i="57"/>
  <c r="I9" i="57"/>
  <c r="G9" i="57"/>
  <c r="D10" i="57"/>
  <c r="J13" i="57"/>
  <c r="D15" i="57"/>
  <c r="L16" i="57"/>
  <c r="D16" i="57"/>
  <c r="I16" i="57"/>
  <c r="N5" i="57"/>
  <c r="N9" i="57" s="1"/>
  <c r="H16" i="57"/>
  <c r="G16" i="57"/>
  <c r="H30" i="57"/>
  <c r="H31" i="57"/>
  <c r="K32" i="57"/>
  <c r="M33" i="57"/>
  <c r="F33" i="57"/>
  <c r="K33" i="57"/>
  <c r="J33" i="57"/>
  <c r="I33" i="57"/>
  <c r="M23" i="57"/>
  <c r="M26" i="57" s="1"/>
  <c r="H33" i="57"/>
  <c r="J34" i="57"/>
  <c r="H34" i="57"/>
  <c r="G34" i="57"/>
  <c r="N23" i="57"/>
  <c r="N30" i="57" s="1"/>
  <c r="F34" i="57"/>
  <c r="L43" i="57"/>
  <c r="K7" i="57"/>
  <c r="M90" i="57"/>
  <c r="M82" i="57"/>
  <c r="M87" i="57"/>
  <c r="M84" i="57"/>
  <c r="I13" i="57"/>
  <c r="I11" i="57"/>
  <c r="I8" i="57"/>
  <c r="F5" i="57"/>
  <c r="H8" i="57"/>
  <c r="N8" i="57"/>
  <c r="D8" i="57"/>
  <c r="H11" i="57"/>
  <c r="H12" i="57"/>
  <c r="I44" i="57"/>
  <c r="I49" i="57"/>
  <c r="N86" i="57"/>
  <c r="F86" i="57"/>
  <c r="G86" i="57"/>
  <c r="E86" i="57"/>
  <c r="K86" i="57"/>
  <c r="J79" i="57"/>
  <c r="J89" i="57" s="1"/>
  <c r="M86" i="57"/>
  <c r="L86" i="57"/>
  <c r="I86" i="57"/>
  <c r="J12" i="57"/>
  <c r="K13" i="57"/>
  <c r="D23" i="57"/>
  <c r="D28" i="57" s="1"/>
  <c r="L23" i="57"/>
  <c r="L34" i="57" s="1"/>
  <c r="J29" i="57"/>
  <c r="K30" i="57"/>
  <c r="M32" i="57"/>
  <c r="I42" i="57"/>
  <c r="G43" i="57"/>
  <c r="K45" i="57"/>
  <c r="K49" i="57"/>
  <c r="L70" i="57"/>
  <c r="L62" i="57"/>
  <c r="F61" i="57"/>
  <c r="L66" i="57"/>
  <c r="L90" i="57"/>
  <c r="L83" i="57"/>
  <c r="K12" i="57"/>
  <c r="F24" i="57"/>
  <c r="J28" i="57"/>
  <c r="K29" i="57"/>
  <c r="F32" i="57"/>
  <c r="J42" i="57"/>
  <c r="H43" i="57"/>
  <c r="F44" i="57"/>
  <c r="K47" i="57"/>
  <c r="F51" i="57"/>
  <c r="J51" i="57"/>
  <c r="F52" i="57"/>
  <c r="H52" i="57"/>
  <c r="M52" i="57"/>
  <c r="M66" i="57"/>
  <c r="M67" i="57"/>
  <c r="M62" i="57"/>
  <c r="H63" i="57"/>
  <c r="G63" i="57"/>
  <c r="N63" i="57"/>
  <c r="D63" i="57"/>
  <c r="K63" i="57"/>
  <c r="F63" i="57"/>
  <c r="I88" i="57"/>
  <c r="G98" i="57"/>
  <c r="L98" i="57"/>
  <c r="D98" i="57"/>
  <c r="J98" i="57"/>
  <c r="I98" i="57"/>
  <c r="D97" i="57"/>
  <c r="M5" i="57"/>
  <c r="M12" i="57" s="1"/>
  <c r="K11" i="57"/>
  <c r="D12" i="57"/>
  <c r="L12" i="57"/>
  <c r="G15" i="57"/>
  <c r="G24" i="57"/>
  <c r="K28" i="57"/>
  <c r="D29" i="57"/>
  <c r="G32" i="57"/>
  <c r="M41" i="57"/>
  <c r="M51" i="57" s="1"/>
  <c r="K42" i="57"/>
  <c r="J43" i="57"/>
  <c r="H44" i="57"/>
  <c r="D46" i="57"/>
  <c r="I46" i="57"/>
  <c r="N46" i="57"/>
  <c r="M50" i="57"/>
  <c r="I50" i="57"/>
  <c r="F50" i="57"/>
  <c r="L41" i="57"/>
  <c r="L49" i="57" s="1"/>
  <c r="E52" i="57"/>
  <c r="E59" i="57"/>
  <c r="E69" i="57" s="1"/>
  <c r="N66" i="57"/>
  <c r="N62" i="57"/>
  <c r="N67" i="57"/>
  <c r="N68" i="57"/>
  <c r="L61" i="57"/>
  <c r="D11" i="57"/>
  <c r="F13" i="57"/>
  <c r="H15" i="57"/>
  <c r="H24" i="57"/>
  <c r="E29" i="57"/>
  <c r="F30" i="57"/>
  <c r="H32" i="57"/>
  <c r="E41" i="57"/>
  <c r="E46" i="57" s="1"/>
  <c r="N41" i="57"/>
  <c r="N52" i="57" s="1"/>
  <c r="K43" i="57"/>
  <c r="K48" i="57"/>
  <c r="N49" i="57"/>
  <c r="J49" i="57"/>
  <c r="D50" i="57"/>
  <c r="G51" i="57"/>
  <c r="G52" i="57"/>
  <c r="F67" i="57"/>
  <c r="F64" i="57"/>
  <c r="M61" i="57"/>
  <c r="J63" i="57"/>
  <c r="D64" i="57"/>
  <c r="J65" i="57"/>
  <c r="L65" i="57"/>
  <c r="M65" i="57"/>
  <c r="H65" i="57"/>
  <c r="I59" i="57"/>
  <c r="I63" i="57" s="1"/>
  <c r="G65" i="57"/>
  <c r="E88" i="57"/>
  <c r="E81" i="57"/>
  <c r="G85" i="57"/>
  <c r="M85" i="57"/>
  <c r="E85" i="57"/>
  <c r="I85" i="57"/>
  <c r="N85" i="57"/>
  <c r="F85" i="57"/>
  <c r="L85" i="57"/>
  <c r="K85" i="57"/>
  <c r="L88" i="57"/>
  <c r="H42" i="57"/>
  <c r="M42" i="57"/>
  <c r="D41" i="57"/>
  <c r="D51" i="57" s="1"/>
  <c r="N42" i="57"/>
  <c r="G68" i="57"/>
  <c r="G64" i="57"/>
  <c r="G66" i="57"/>
  <c r="L89" i="57"/>
  <c r="K89" i="57"/>
  <c r="I89" i="57"/>
  <c r="E89" i="57"/>
  <c r="F89" i="57"/>
  <c r="N89" i="57"/>
  <c r="M89" i="57"/>
  <c r="I43" i="57"/>
  <c r="F43" i="57"/>
  <c r="M43" i="57"/>
  <c r="J61" i="57"/>
  <c r="K61" i="57"/>
  <c r="H61" i="57"/>
  <c r="G61" i="57"/>
  <c r="I80" i="57"/>
  <c r="G80" i="57"/>
  <c r="N80" i="57"/>
  <c r="D80" i="57"/>
  <c r="F80" i="57"/>
  <c r="D79" i="57"/>
  <c r="M80" i="57"/>
  <c r="L80" i="57"/>
  <c r="K80" i="57"/>
  <c r="G103" i="57"/>
  <c r="G101" i="57"/>
  <c r="G100" i="57"/>
  <c r="L137" i="57"/>
  <c r="L138" i="57"/>
  <c r="L141" i="57"/>
  <c r="L144" i="57"/>
  <c r="L143" i="57"/>
  <c r="L136" i="57"/>
  <c r="L135" i="57"/>
  <c r="F42" i="57"/>
  <c r="D43" i="57"/>
  <c r="J44" i="57"/>
  <c r="G44" i="57"/>
  <c r="M44" i="57"/>
  <c r="H46" i="57"/>
  <c r="H49" i="57"/>
  <c r="K51" i="57"/>
  <c r="J68" i="57"/>
  <c r="J62" i="57"/>
  <c r="D61" i="57"/>
  <c r="G62" i="57"/>
  <c r="D66" i="57"/>
  <c r="N69" i="57"/>
  <c r="F69" i="57"/>
  <c r="M69" i="57"/>
  <c r="G69" i="57"/>
  <c r="L69" i="57"/>
  <c r="J69" i="57"/>
  <c r="H69" i="57"/>
  <c r="D69" i="57"/>
  <c r="G70" i="57"/>
  <c r="I90" i="57"/>
  <c r="I82" i="57"/>
  <c r="E80" i="57"/>
  <c r="G89" i="57"/>
  <c r="J47" i="57"/>
  <c r="L60" i="57"/>
  <c r="N81" i="57"/>
  <c r="I87" i="57"/>
  <c r="G87" i="57"/>
  <c r="E87" i="57"/>
  <c r="N87" i="57"/>
  <c r="D87" i="57"/>
  <c r="K87" i="57"/>
  <c r="D125" i="57"/>
  <c r="D124" i="57"/>
  <c r="D122" i="57"/>
  <c r="D117" i="57"/>
  <c r="D123" i="57"/>
  <c r="N125" i="57"/>
  <c r="N124" i="57"/>
  <c r="N118" i="57"/>
  <c r="N117" i="57"/>
  <c r="N126" i="57"/>
  <c r="N122" i="57"/>
  <c r="D60" i="57"/>
  <c r="M60" i="57"/>
  <c r="K62" i="57"/>
  <c r="M83" i="57"/>
  <c r="F87" i="57"/>
  <c r="D137" i="57"/>
  <c r="D138" i="57"/>
  <c r="D144" i="57"/>
  <c r="D136" i="57"/>
  <c r="D141" i="57"/>
  <c r="D143" i="57"/>
  <c r="H99" i="57"/>
  <c r="G99" i="57"/>
  <c r="E97" i="57"/>
  <c r="E99" i="57"/>
  <c r="F99" i="57"/>
  <c r="D99" i="57"/>
  <c r="F47" i="57"/>
  <c r="F60" i="57"/>
  <c r="L67" i="57"/>
  <c r="N84" i="57"/>
  <c r="F84" i="57"/>
  <c r="L84" i="57"/>
  <c r="D84" i="57"/>
  <c r="H79" i="57"/>
  <c r="H80" i="57" s="1"/>
  <c r="I84" i="57"/>
  <c r="I99" i="57"/>
  <c r="D135" i="57"/>
  <c r="J103" i="57"/>
  <c r="J104" i="57"/>
  <c r="J106" i="57"/>
  <c r="J101" i="57"/>
  <c r="J105" i="57"/>
  <c r="J100" i="57"/>
  <c r="G108" i="57"/>
  <c r="N97" i="57"/>
  <c r="N105" i="57" s="1"/>
  <c r="J108" i="57"/>
  <c r="I108" i="57"/>
  <c r="E108" i="57"/>
  <c r="D108" i="57"/>
  <c r="H64" i="57"/>
  <c r="M64" i="57"/>
  <c r="M68" i="57"/>
  <c r="L68" i="57"/>
  <c r="D68" i="57"/>
  <c r="I81" i="57"/>
  <c r="M81" i="57"/>
  <c r="L121" i="57"/>
  <c r="D121" i="57"/>
  <c r="G121" i="57"/>
  <c r="I115" i="57"/>
  <c r="I123" i="57" s="1"/>
  <c r="N121" i="57"/>
  <c r="F121" i="57"/>
  <c r="M121" i="57"/>
  <c r="J121" i="57"/>
  <c r="E121" i="57"/>
  <c r="L142" i="57"/>
  <c r="D142" i="57"/>
  <c r="J142" i="57"/>
  <c r="I142" i="57"/>
  <c r="H142" i="57"/>
  <c r="G142" i="57"/>
  <c r="E142" i="57"/>
  <c r="L100" i="57"/>
  <c r="J102" i="57"/>
  <c r="G102" i="57"/>
  <c r="D102" i="57"/>
  <c r="L102" i="57"/>
  <c r="H97" i="57"/>
  <c r="G124" i="57"/>
  <c r="G126" i="57"/>
  <c r="G125" i="57"/>
  <c r="G123" i="57"/>
  <c r="G118" i="57"/>
  <c r="G120" i="57"/>
  <c r="N120" i="57"/>
  <c r="F120" i="57"/>
  <c r="M120" i="57"/>
  <c r="E120" i="57"/>
  <c r="H115" i="57"/>
  <c r="J120" i="57"/>
  <c r="I120" i="57"/>
  <c r="D120" i="57"/>
  <c r="K120" i="57"/>
  <c r="L134" i="57"/>
  <c r="D134" i="57"/>
  <c r="H134" i="57"/>
  <c r="G134" i="57"/>
  <c r="K134" i="57"/>
  <c r="I134" i="57"/>
  <c r="J134" i="57"/>
  <c r="K66" i="57"/>
  <c r="N70" i="57"/>
  <c r="F70" i="57"/>
  <c r="M70" i="57"/>
  <c r="E70" i="57"/>
  <c r="F81" i="57"/>
  <c r="F82" i="57"/>
  <c r="E102" i="57"/>
  <c r="J125" i="57"/>
  <c r="J117" i="57"/>
  <c r="J122" i="57"/>
  <c r="J126" i="57"/>
  <c r="J119" i="57"/>
  <c r="J118" i="57"/>
  <c r="I139" i="57"/>
  <c r="I141" i="57"/>
  <c r="I138" i="57"/>
  <c r="J66" i="57"/>
  <c r="K67" i="57"/>
  <c r="L82" i="57"/>
  <c r="D82" i="57"/>
  <c r="N82" i="57"/>
  <c r="J88" i="57"/>
  <c r="H88" i="57"/>
  <c r="M88" i="57"/>
  <c r="I100" i="57"/>
  <c r="F97" i="57"/>
  <c r="F108" i="57" s="1"/>
  <c r="H100" i="57"/>
  <c r="F100" i="57"/>
  <c r="I104" i="57"/>
  <c r="J116" i="57"/>
  <c r="I116" i="57"/>
  <c r="E116" i="57"/>
  <c r="N116" i="57"/>
  <c r="D116" i="57"/>
  <c r="L116" i="57"/>
  <c r="J139" i="57"/>
  <c r="J141" i="57"/>
  <c r="D67" i="57"/>
  <c r="E82" i="57"/>
  <c r="D88" i="57"/>
  <c r="N88" i="57"/>
  <c r="D100" i="57"/>
  <c r="F105" i="57"/>
  <c r="E105" i="57"/>
  <c r="G105" i="57"/>
  <c r="D105" i="57"/>
  <c r="L105" i="57"/>
  <c r="K97" i="57"/>
  <c r="K102" i="57" s="1"/>
  <c r="L125" i="57"/>
  <c r="L117" i="57"/>
  <c r="F116" i="57"/>
  <c r="K119" i="57"/>
  <c r="L124" i="57"/>
  <c r="J140" i="57"/>
  <c r="H140" i="57"/>
  <c r="G140" i="57"/>
  <c r="M140" i="57"/>
  <c r="L140" i="57"/>
  <c r="D140" i="57"/>
  <c r="K140" i="57"/>
  <c r="I140" i="57"/>
  <c r="K83" i="57"/>
  <c r="H101" i="57"/>
  <c r="E104" i="57"/>
  <c r="D104" i="57"/>
  <c r="J107" i="57"/>
  <c r="F118" i="57"/>
  <c r="N119" i="57"/>
  <c r="M119" i="57"/>
  <c r="E119" i="57"/>
  <c r="L119" i="57"/>
  <c r="D119" i="57"/>
  <c r="M122" i="57"/>
  <c r="E122" i="57"/>
  <c r="I122" i="57"/>
  <c r="G122" i="57"/>
  <c r="E135" i="57"/>
  <c r="J135" i="57"/>
  <c r="I135" i="57"/>
  <c r="H135" i="57"/>
  <c r="G135" i="57"/>
  <c r="E133" i="57"/>
  <c r="E140" i="57" s="1"/>
  <c r="E83" i="57"/>
  <c r="M97" i="57"/>
  <c r="M106" i="57" s="1"/>
  <c r="G104" i="57"/>
  <c r="G106" i="57"/>
  <c r="F106" i="57"/>
  <c r="G119" i="57"/>
  <c r="F122" i="57"/>
  <c r="F124" i="57"/>
  <c r="L139" i="57"/>
  <c r="I101" i="57"/>
  <c r="L101" i="57"/>
  <c r="H107" i="57"/>
  <c r="G107" i="57"/>
  <c r="M107" i="57"/>
  <c r="K117" i="57"/>
  <c r="N123" i="57"/>
  <c r="F123" i="57"/>
  <c r="J123" i="57"/>
  <c r="H123" i="57"/>
  <c r="H138" i="57"/>
  <c r="H141" i="57"/>
  <c r="K118" i="57"/>
  <c r="I124" i="57"/>
  <c r="K126" i="57"/>
  <c r="M133" i="57"/>
  <c r="M134" i="57" s="1"/>
  <c r="H136" i="57"/>
  <c r="I137" i="57"/>
  <c r="K139" i="57"/>
  <c r="E141" i="57"/>
  <c r="G143" i="57"/>
  <c r="G144" i="57"/>
  <c r="D118" i="57"/>
  <c r="J124" i="57"/>
  <c r="D126" i="57"/>
  <c r="F133" i="57"/>
  <c r="F136" i="57" s="1"/>
  <c r="N133" i="57"/>
  <c r="N140" i="57" s="1"/>
  <c r="I136" i="57"/>
  <c r="J137" i="57"/>
  <c r="D139" i="57"/>
  <c r="H143" i="57"/>
  <c r="H144" i="57"/>
  <c r="J136" i="57"/>
  <c r="K137" i="57"/>
  <c r="G141" i="57"/>
  <c r="I143" i="57"/>
  <c r="I144" i="57"/>
  <c r="J143" i="57"/>
  <c r="J144" i="57"/>
  <c r="K143" i="57"/>
  <c r="K144" i="57"/>
  <c r="E143" i="57"/>
  <c r="E144" i="57"/>
  <c r="I137" i="56"/>
  <c r="K133" i="56"/>
  <c r="K143" i="56" s="1"/>
  <c r="H138" i="56"/>
  <c r="L133" i="56"/>
  <c r="G138" i="56"/>
  <c r="I142" i="56"/>
  <c r="M138" i="56"/>
  <c r="G143" i="56"/>
  <c r="I134" i="56"/>
  <c r="G137" i="56"/>
  <c r="G140" i="56"/>
  <c r="D133" i="56"/>
  <c r="K118" i="56"/>
  <c r="K126" i="56"/>
  <c r="K119" i="56"/>
  <c r="F125" i="56"/>
  <c r="F118" i="56"/>
  <c r="F116" i="56"/>
  <c r="E117" i="56"/>
  <c r="E115" i="56"/>
  <c r="E120" i="56" s="1"/>
  <c r="L117" i="56"/>
  <c r="I121" i="56"/>
  <c r="I116" i="56"/>
  <c r="M116" i="56"/>
  <c r="K105" i="56"/>
  <c r="L97" i="56"/>
  <c r="L108" i="56" s="1"/>
  <c r="K102" i="56"/>
  <c r="G106" i="56"/>
  <c r="K100" i="56"/>
  <c r="G104" i="56"/>
  <c r="M98" i="56"/>
  <c r="J104" i="56"/>
  <c r="M108" i="56"/>
  <c r="J97" i="56"/>
  <c r="J99" i="56" s="1"/>
  <c r="G102" i="56"/>
  <c r="G108" i="56"/>
  <c r="D97" i="56"/>
  <c r="J85" i="56"/>
  <c r="J90" i="56"/>
  <c r="J82" i="56"/>
  <c r="L86" i="56"/>
  <c r="N82" i="56"/>
  <c r="K87" i="56"/>
  <c r="M89" i="56"/>
  <c r="K84" i="56"/>
  <c r="N84" i="56"/>
  <c r="J80" i="56"/>
  <c r="M85" i="56"/>
  <c r="J60" i="56"/>
  <c r="H61" i="56"/>
  <c r="J66" i="56"/>
  <c r="G62" i="56"/>
  <c r="H68" i="56"/>
  <c r="J63" i="56"/>
  <c r="J68" i="56"/>
  <c r="J64" i="56"/>
  <c r="N68" i="56"/>
  <c r="N64" i="56"/>
  <c r="N46" i="56"/>
  <c r="N43" i="56"/>
  <c r="N48" i="56"/>
  <c r="N45" i="56"/>
  <c r="N51" i="56"/>
  <c r="K50" i="56"/>
  <c r="H44" i="56"/>
  <c r="H47" i="56"/>
  <c r="H50" i="56"/>
  <c r="L41" i="56"/>
  <c r="L46" i="56" s="1"/>
  <c r="M50" i="56"/>
  <c r="M44" i="56"/>
  <c r="M47" i="56"/>
  <c r="N50" i="56"/>
  <c r="D44" i="56"/>
  <c r="H42" i="56"/>
  <c r="M42" i="56"/>
  <c r="H46" i="56"/>
  <c r="D51" i="56"/>
  <c r="D50" i="56"/>
  <c r="D52" i="56"/>
  <c r="E26" i="56"/>
  <c r="J26" i="56"/>
  <c r="K33" i="56"/>
  <c r="K28" i="56"/>
  <c r="M29" i="56"/>
  <c r="K34" i="56"/>
  <c r="N29" i="56"/>
  <c r="J30" i="56"/>
  <c r="E31" i="56"/>
  <c r="K14" i="56"/>
  <c r="K13" i="56"/>
  <c r="F14" i="56"/>
  <c r="K5" i="56"/>
  <c r="J14" i="56"/>
  <c r="L5" i="56"/>
  <c r="L10" i="56" s="1"/>
  <c r="N13" i="56"/>
  <c r="I12" i="56"/>
  <c r="F15" i="56"/>
  <c r="F6" i="56"/>
  <c r="K6" i="56"/>
  <c r="J6" i="56"/>
  <c r="N12" i="56"/>
  <c r="J16" i="56"/>
  <c r="D9" i="56"/>
  <c r="N9" i="56"/>
  <c r="K9" i="56"/>
  <c r="J9" i="56"/>
  <c r="I9" i="56"/>
  <c r="G5" i="56"/>
  <c r="G9" i="56" s="1"/>
  <c r="F9" i="56"/>
  <c r="L16" i="56"/>
  <c r="L11" i="56"/>
  <c r="L7" i="56"/>
  <c r="H24" i="56"/>
  <c r="N15" i="56"/>
  <c r="E5" i="56"/>
  <c r="K7" i="56"/>
  <c r="D10" i="56"/>
  <c r="N11" i="56"/>
  <c r="F11" i="56"/>
  <c r="I11" i="56"/>
  <c r="I13" i="56"/>
  <c r="H23" i="56"/>
  <c r="M26" i="56"/>
  <c r="K27" i="56"/>
  <c r="J28" i="56"/>
  <c r="K29" i="56"/>
  <c r="E33" i="56"/>
  <c r="E34" i="56"/>
  <c r="N42" i="56"/>
  <c r="D46" i="56"/>
  <c r="K47" i="56"/>
  <c r="F48" i="56"/>
  <c r="H63" i="56"/>
  <c r="H64" i="56"/>
  <c r="H60" i="56"/>
  <c r="J62" i="56"/>
  <c r="H62" i="56"/>
  <c r="N62" i="56"/>
  <c r="E62" i="56"/>
  <c r="F59" i="56"/>
  <c r="D62" i="56"/>
  <c r="F65" i="56"/>
  <c r="M81" i="56"/>
  <c r="E81" i="56"/>
  <c r="J81" i="56"/>
  <c r="H81" i="56"/>
  <c r="N81" i="56"/>
  <c r="L81" i="56"/>
  <c r="J15" i="56"/>
  <c r="I6" i="56"/>
  <c r="L6" i="56"/>
  <c r="D6" i="56"/>
  <c r="N6" i="56"/>
  <c r="I8" i="56"/>
  <c r="F10" i="56"/>
  <c r="D11" i="56"/>
  <c r="J12" i="56"/>
  <c r="G15" i="56"/>
  <c r="D16" i="56"/>
  <c r="E25" i="56"/>
  <c r="N26" i="56"/>
  <c r="I31" i="56"/>
  <c r="N31" i="56"/>
  <c r="F31" i="56"/>
  <c r="F32" i="56"/>
  <c r="F46" i="56"/>
  <c r="F47" i="56"/>
  <c r="F51" i="56"/>
  <c r="D42" i="56"/>
  <c r="F43" i="56"/>
  <c r="G46" i="56"/>
  <c r="G48" i="56"/>
  <c r="G52" i="56"/>
  <c r="F62" i="56"/>
  <c r="G65" i="56"/>
  <c r="I81" i="56"/>
  <c r="J7" i="56"/>
  <c r="N7" i="56"/>
  <c r="M27" i="56"/>
  <c r="E27" i="56"/>
  <c r="N27" i="56"/>
  <c r="G45" i="56"/>
  <c r="M45" i="56"/>
  <c r="D45" i="56"/>
  <c r="K45" i="56"/>
  <c r="L68" i="56"/>
  <c r="L63" i="56"/>
  <c r="L60" i="56"/>
  <c r="G67" i="56"/>
  <c r="J67" i="56"/>
  <c r="N67" i="56"/>
  <c r="D67" i="56"/>
  <c r="H67" i="56"/>
  <c r="K59" i="56"/>
  <c r="K60" i="56" s="1"/>
  <c r="E87" i="56"/>
  <c r="E84" i="56"/>
  <c r="E89" i="56"/>
  <c r="E86" i="56"/>
  <c r="H83" i="56"/>
  <c r="M83" i="56"/>
  <c r="D83" i="56"/>
  <c r="K83" i="56"/>
  <c r="J83" i="56"/>
  <c r="N83" i="56"/>
  <c r="L83" i="56"/>
  <c r="I83" i="56"/>
  <c r="G79" i="56"/>
  <c r="G83" i="56" s="1"/>
  <c r="G124" i="56"/>
  <c r="G125" i="56"/>
  <c r="G123" i="56"/>
  <c r="G116" i="56"/>
  <c r="G117" i="56"/>
  <c r="G118" i="56"/>
  <c r="D7" i="56"/>
  <c r="I10" i="56"/>
  <c r="I15" i="56"/>
  <c r="K24" i="56"/>
  <c r="F26" i="56"/>
  <c r="N28" i="56"/>
  <c r="F28" i="56"/>
  <c r="M28" i="56"/>
  <c r="I23" i="56"/>
  <c r="I26" i="56" s="1"/>
  <c r="J29" i="56"/>
  <c r="G42" i="56"/>
  <c r="K48" i="56"/>
  <c r="L52" i="56"/>
  <c r="G60" i="56"/>
  <c r="F67" i="56"/>
  <c r="N69" i="56"/>
  <c r="H89" i="56"/>
  <c r="H88" i="56"/>
  <c r="H87" i="56"/>
  <c r="H86" i="56"/>
  <c r="E83" i="56"/>
  <c r="E88" i="56"/>
  <c r="F7" i="56"/>
  <c r="J10" i="56"/>
  <c r="H11" i="56"/>
  <c r="D13" i="56"/>
  <c r="K15" i="56"/>
  <c r="F27" i="56"/>
  <c r="D28" i="56"/>
  <c r="E29" i="56"/>
  <c r="F30" i="56"/>
  <c r="K32" i="56"/>
  <c r="I52" i="56"/>
  <c r="I51" i="56"/>
  <c r="L43" i="56"/>
  <c r="F44" i="56"/>
  <c r="N44" i="56"/>
  <c r="F45" i="56"/>
  <c r="G51" i="56"/>
  <c r="N52" i="56"/>
  <c r="L62" i="56"/>
  <c r="I87" i="56"/>
  <c r="I84" i="56"/>
  <c r="I88" i="56"/>
  <c r="I89" i="56"/>
  <c r="J11" i="56"/>
  <c r="I14" i="56"/>
  <c r="L14" i="56"/>
  <c r="D14" i="56"/>
  <c r="N14" i="56"/>
  <c r="J24" i="56"/>
  <c r="M24" i="56"/>
  <c r="E24" i="56"/>
  <c r="D23" i="56"/>
  <c r="D27" i="56" s="1"/>
  <c r="N24" i="56"/>
  <c r="E28" i="56"/>
  <c r="F29" i="56"/>
  <c r="J31" i="56"/>
  <c r="M33" i="56"/>
  <c r="M34" i="56"/>
  <c r="H45" i="56"/>
  <c r="J50" i="56"/>
  <c r="G50" i="56"/>
  <c r="I50" i="56"/>
  <c r="L67" i="56"/>
  <c r="L80" i="56"/>
  <c r="D80" i="56"/>
  <c r="I80" i="56"/>
  <c r="N80" i="56"/>
  <c r="M80" i="56"/>
  <c r="D79" i="56"/>
  <c r="H80" i="56"/>
  <c r="E80" i="56"/>
  <c r="I45" i="56"/>
  <c r="L51" i="56"/>
  <c r="D68" i="56"/>
  <c r="D66" i="56"/>
  <c r="D63" i="56"/>
  <c r="E82" i="56"/>
  <c r="H101" i="56"/>
  <c r="H104" i="56"/>
  <c r="H102" i="56"/>
  <c r="H107" i="56"/>
  <c r="M5" i="56"/>
  <c r="M9" i="56" s="1"/>
  <c r="I7" i="56"/>
  <c r="H5" i="56"/>
  <c r="H6" i="56" s="1"/>
  <c r="N10" i="56"/>
  <c r="D15" i="56"/>
  <c r="G23" i="56"/>
  <c r="G27" i="56" s="1"/>
  <c r="K25" i="56"/>
  <c r="M25" i="56"/>
  <c r="J27" i="56"/>
  <c r="M31" i="56"/>
  <c r="J32" i="56"/>
  <c r="M32" i="56"/>
  <c r="E32" i="56"/>
  <c r="L23" i="56"/>
  <c r="H43" i="56"/>
  <c r="G43" i="56"/>
  <c r="E41" i="56"/>
  <c r="M43" i="56"/>
  <c r="D43" i="56"/>
  <c r="K43" i="56"/>
  <c r="L45" i="56"/>
  <c r="H48" i="56"/>
  <c r="M48" i="56"/>
  <c r="E48" i="56"/>
  <c r="I48" i="56"/>
  <c r="D48" i="56"/>
  <c r="J41" i="56"/>
  <c r="J45" i="56" s="1"/>
  <c r="L49" i="56"/>
  <c r="G70" i="56"/>
  <c r="G66" i="56"/>
  <c r="G64" i="56"/>
  <c r="G68" i="56"/>
  <c r="G63" i="56"/>
  <c r="N63" i="56"/>
  <c r="H65" i="56"/>
  <c r="D65" i="56"/>
  <c r="N65" i="56"/>
  <c r="I59" i="56"/>
  <c r="I69" i="56" s="1"/>
  <c r="L87" i="56"/>
  <c r="L84" i="56"/>
  <c r="M122" i="56"/>
  <c r="L122" i="56"/>
  <c r="D122" i="56"/>
  <c r="I122" i="56"/>
  <c r="J115" i="56"/>
  <c r="J123" i="56" s="1"/>
  <c r="G122" i="56"/>
  <c r="F122" i="56"/>
  <c r="K122" i="56"/>
  <c r="M135" i="56"/>
  <c r="L135" i="56"/>
  <c r="D135" i="56"/>
  <c r="I135" i="56"/>
  <c r="H135" i="56"/>
  <c r="G135" i="56"/>
  <c r="E133" i="56"/>
  <c r="E143" i="56" s="1"/>
  <c r="F8" i="56"/>
  <c r="N8" i="56"/>
  <c r="F16" i="56"/>
  <c r="N16" i="56"/>
  <c r="F25" i="56"/>
  <c r="N25" i="56"/>
  <c r="K30" i="56"/>
  <c r="F33" i="56"/>
  <c r="N33" i="56"/>
  <c r="F34" i="56"/>
  <c r="N34" i="56"/>
  <c r="I42" i="56"/>
  <c r="G47" i="56"/>
  <c r="L47" i="56"/>
  <c r="D47" i="56"/>
  <c r="N47" i="56"/>
  <c r="K52" i="56"/>
  <c r="M52" i="56"/>
  <c r="G61" i="56"/>
  <c r="E59" i="56"/>
  <c r="L61" i="56"/>
  <c r="D61" i="56"/>
  <c r="N61" i="56"/>
  <c r="I85" i="56"/>
  <c r="H85" i="56"/>
  <c r="L85" i="56"/>
  <c r="G85" i="56"/>
  <c r="E85" i="56"/>
  <c r="N85" i="56"/>
  <c r="D85" i="56"/>
  <c r="K85" i="56"/>
  <c r="M99" i="56"/>
  <c r="I99" i="56"/>
  <c r="H99" i="56"/>
  <c r="F99" i="56"/>
  <c r="D99" i="56"/>
  <c r="K99" i="56"/>
  <c r="E97" i="56"/>
  <c r="E99" i="56" s="1"/>
  <c r="D121" i="56"/>
  <c r="D116" i="56"/>
  <c r="D124" i="56"/>
  <c r="D123" i="56"/>
  <c r="F136" i="56"/>
  <c r="M136" i="56"/>
  <c r="I136" i="56"/>
  <c r="F133" i="56"/>
  <c r="F140" i="56" s="1"/>
  <c r="H136" i="56"/>
  <c r="G136" i="56"/>
  <c r="D136" i="56"/>
  <c r="L136" i="56"/>
  <c r="K42" i="56"/>
  <c r="I49" i="56"/>
  <c r="N49" i="56"/>
  <c r="F49" i="56"/>
  <c r="M49" i="56"/>
  <c r="L69" i="56"/>
  <c r="D69" i="56"/>
  <c r="J69" i="56"/>
  <c r="M59" i="56"/>
  <c r="F69" i="56"/>
  <c r="G99" i="56"/>
  <c r="F42" i="56"/>
  <c r="I44" i="56"/>
  <c r="G49" i="56"/>
  <c r="K51" i="56"/>
  <c r="J61" i="56"/>
  <c r="H69" i="56"/>
  <c r="H51" i="56"/>
  <c r="H52" i="56"/>
  <c r="L64" i="56"/>
  <c r="D64" i="56"/>
  <c r="N66" i="56"/>
  <c r="F66" i="56"/>
  <c r="L66" i="56"/>
  <c r="L70" i="56"/>
  <c r="D70" i="56"/>
  <c r="N70" i="56"/>
  <c r="J87" i="56"/>
  <c r="J89" i="56"/>
  <c r="J88" i="56"/>
  <c r="J84" i="56"/>
  <c r="L124" i="56"/>
  <c r="L123" i="56"/>
  <c r="L121" i="56"/>
  <c r="L116" i="56"/>
  <c r="L125" i="56"/>
  <c r="M82" i="56"/>
  <c r="I105" i="56"/>
  <c r="I106" i="56"/>
  <c r="I103" i="56"/>
  <c r="I104" i="56"/>
  <c r="I101" i="56"/>
  <c r="F100" i="56"/>
  <c r="J100" i="56"/>
  <c r="I100" i="56"/>
  <c r="F97" i="56"/>
  <c r="D100" i="56"/>
  <c r="H100" i="56"/>
  <c r="G100" i="56"/>
  <c r="I98" i="56"/>
  <c r="M100" i="56"/>
  <c r="I126" i="56"/>
  <c r="M126" i="56"/>
  <c r="L126" i="56"/>
  <c r="D126" i="56"/>
  <c r="N115" i="56"/>
  <c r="N123" i="56" s="1"/>
  <c r="J126" i="56"/>
  <c r="G126" i="56"/>
  <c r="F126" i="56"/>
  <c r="L137" i="56"/>
  <c r="L141" i="56"/>
  <c r="H82" i="56"/>
  <c r="J86" i="56"/>
  <c r="I86" i="56"/>
  <c r="M86" i="56"/>
  <c r="N88" i="56"/>
  <c r="N89" i="56"/>
  <c r="I90" i="56"/>
  <c r="M90" i="56"/>
  <c r="E90" i="56"/>
  <c r="L90" i="56"/>
  <c r="D90" i="56"/>
  <c r="D103" i="56"/>
  <c r="M105" i="56"/>
  <c r="F106" i="56"/>
  <c r="F79" i="56"/>
  <c r="F81" i="56" s="1"/>
  <c r="I82" i="56"/>
  <c r="D86" i="56"/>
  <c r="N86" i="56"/>
  <c r="L88" i="56"/>
  <c r="L89" i="56"/>
  <c r="L98" i="56"/>
  <c r="D98" i="56"/>
  <c r="H98" i="56"/>
  <c r="G98" i="56"/>
  <c r="D106" i="56"/>
  <c r="G120" i="56"/>
  <c r="F120" i="56"/>
  <c r="K120" i="56"/>
  <c r="D120" i="56"/>
  <c r="H115" i="56"/>
  <c r="H122" i="56" s="1"/>
  <c r="M121" i="56"/>
  <c r="M124" i="56"/>
  <c r="M125" i="56"/>
  <c r="K82" i="56"/>
  <c r="H90" i="56"/>
  <c r="M104" i="56"/>
  <c r="D105" i="56"/>
  <c r="M107" i="56"/>
  <c r="I108" i="56"/>
  <c r="K108" i="56"/>
  <c r="F108" i="56"/>
  <c r="E108" i="56"/>
  <c r="N97" i="56"/>
  <c r="N100" i="56" s="1"/>
  <c r="M117" i="56"/>
  <c r="I120" i="56"/>
  <c r="H84" i="56"/>
  <c r="G84" i="56"/>
  <c r="M84" i="56"/>
  <c r="K86" i="56"/>
  <c r="N90" i="56"/>
  <c r="K98" i="56"/>
  <c r="D104" i="56"/>
  <c r="M106" i="56"/>
  <c r="D107" i="56"/>
  <c r="H108" i="56"/>
  <c r="F124" i="56"/>
  <c r="F117" i="56"/>
  <c r="F119" i="56"/>
  <c r="M119" i="56"/>
  <c r="L119" i="56"/>
  <c r="H119" i="56"/>
  <c r="G119" i="56"/>
  <c r="M120" i="56"/>
  <c r="F121" i="56"/>
  <c r="K88" i="56"/>
  <c r="K89" i="56"/>
  <c r="K101" i="56"/>
  <c r="K116" i="56"/>
  <c r="I117" i="56"/>
  <c r="K121" i="56"/>
  <c r="M134" i="56"/>
  <c r="D88" i="56"/>
  <c r="D89" i="56"/>
  <c r="M103" i="56"/>
  <c r="E103" i="56"/>
  <c r="G105" i="56"/>
  <c r="I107" i="56"/>
  <c r="L107" i="56"/>
  <c r="I118" i="56"/>
  <c r="F123" i="56"/>
  <c r="M123" i="56"/>
  <c r="I123" i="56"/>
  <c r="I124" i="56"/>
  <c r="M143" i="56"/>
  <c r="I139" i="56"/>
  <c r="H139" i="56"/>
  <c r="G139" i="56"/>
  <c r="M139" i="56"/>
  <c r="E139" i="56"/>
  <c r="L139" i="56"/>
  <c r="D139" i="56"/>
  <c r="I140" i="56"/>
  <c r="J133" i="56"/>
  <c r="J135" i="56" s="1"/>
  <c r="H140" i="56"/>
  <c r="M140" i="56"/>
  <c r="D102" i="56"/>
  <c r="M102" i="56"/>
  <c r="H103" i="56"/>
  <c r="F104" i="56"/>
  <c r="L104" i="56"/>
  <c r="H105" i="56"/>
  <c r="H106" i="56"/>
  <c r="G107" i="56"/>
  <c r="M118" i="56"/>
  <c r="E118" i="56"/>
  <c r="L118" i="56"/>
  <c r="D118" i="56"/>
  <c r="K123" i="56"/>
  <c r="K124" i="56"/>
  <c r="I138" i="56"/>
  <c r="L142" i="56"/>
  <c r="K117" i="56"/>
  <c r="G121" i="56"/>
  <c r="K125" i="56"/>
  <c r="N133" i="56"/>
  <c r="G134" i="56"/>
  <c r="G142" i="56"/>
  <c r="H143" i="56"/>
  <c r="H144" i="56"/>
  <c r="D117" i="56"/>
  <c r="H121" i="56"/>
  <c r="D125" i="56"/>
  <c r="H134" i="56"/>
  <c r="D138" i="56"/>
  <c r="L138" i="56"/>
  <c r="G141" i="56"/>
  <c r="H142" i="56"/>
  <c r="I143" i="56"/>
  <c r="I144" i="56"/>
  <c r="K142" i="56"/>
  <c r="D143" i="56"/>
  <c r="L143" i="56"/>
  <c r="D144" i="56"/>
  <c r="L144" i="56"/>
  <c r="D134" i="56"/>
  <c r="D142" i="56"/>
  <c r="E144" i="56"/>
  <c r="L133" i="55"/>
  <c r="L142" i="55" s="1"/>
  <c r="D133" i="55"/>
  <c r="K134" i="55"/>
  <c r="M134" i="55"/>
  <c r="K121" i="55"/>
  <c r="K124" i="55"/>
  <c r="L115" i="55"/>
  <c r="H121" i="55"/>
  <c r="H116" i="55"/>
  <c r="K116" i="55"/>
  <c r="J118" i="55"/>
  <c r="I116" i="55"/>
  <c r="H124" i="55"/>
  <c r="H123" i="55"/>
  <c r="D115" i="55"/>
  <c r="J97" i="55"/>
  <c r="J108" i="55" s="1"/>
  <c r="H104" i="55"/>
  <c r="H102" i="55"/>
  <c r="L97" i="55"/>
  <c r="M106" i="55"/>
  <c r="I104" i="55"/>
  <c r="G106" i="55"/>
  <c r="L88" i="55"/>
  <c r="L79" i="55"/>
  <c r="L85" i="55" s="1"/>
  <c r="L89" i="55"/>
  <c r="M83" i="55"/>
  <c r="G89" i="55"/>
  <c r="N68" i="55"/>
  <c r="N66" i="55"/>
  <c r="N60" i="55"/>
  <c r="N67" i="55"/>
  <c r="I66" i="55"/>
  <c r="I60" i="55"/>
  <c r="M59" i="55"/>
  <c r="J67" i="55"/>
  <c r="E59" i="55"/>
  <c r="E61" i="55" s="1"/>
  <c r="K60" i="55"/>
  <c r="J70" i="55"/>
  <c r="J64" i="55"/>
  <c r="D69" i="55"/>
  <c r="D70" i="55"/>
  <c r="E43" i="55"/>
  <c r="G48" i="55"/>
  <c r="M52" i="55"/>
  <c r="M49" i="55"/>
  <c r="M43" i="55"/>
  <c r="E49" i="55"/>
  <c r="E44" i="55"/>
  <c r="E51" i="55"/>
  <c r="H44" i="55"/>
  <c r="G51" i="55"/>
  <c r="G45" i="55"/>
  <c r="G25" i="54"/>
  <c r="G27" i="54"/>
  <c r="G30" i="54"/>
  <c r="L31" i="55"/>
  <c r="L28" i="55"/>
  <c r="L30" i="55"/>
  <c r="K34" i="55"/>
  <c r="K27" i="55"/>
  <c r="K26" i="55"/>
  <c r="K33" i="55"/>
  <c r="K25" i="55"/>
  <c r="K31" i="55"/>
  <c r="K24" i="55"/>
  <c r="D31" i="55"/>
  <c r="K32" i="55"/>
  <c r="G31" i="55"/>
  <c r="E29" i="55"/>
  <c r="L15" i="55"/>
  <c r="L11" i="55"/>
  <c r="G9" i="55"/>
  <c r="L7" i="55"/>
  <c r="D15" i="55"/>
  <c r="M13" i="55"/>
  <c r="E14" i="55"/>
  <c r="G5" i="55"/>
  <c r="G15" i="55" s="1"/>
  <c r="G14" i="55"/>
  <c r="H7" i="55"/>
  <c r="E15" i="55"/>
  <c r="K12" i="55"/>
  <c r="K6" i="55"/>
  <c r="D11" i="55"/>
  <c r="D14" i="55"/>
  <c r="D9" i="55"/>
  <c r="D12" i="55"/>
  <c r="M6" i="55"/>
  <c r="D13" i="55"/>
  <c r="M12" i="55"/>
  <c r="M63" i="55"/>
  <c r="E63" i="55"/>
  <c r="N63" i="55"/>
  <c r="K63" i="55"/>
  <c r="J63" i="55"/>
  <c r="I63" i="55"/>
  <c r="D63" i="55"/>
  <c r="I81" i="55"/>
  <c r="G81" i="55"/>
  <c r="E79" i="55"/>
  <c r="M81" i="55"/>
  <c r="L81" i="55"/>
  <c r="K81" i="55"/>
  <c r="F81" i="55"/>
  <c r="N5" i="55"/>
  <c r="N13" i="55" s="1"/>
  <c r="D6" i="55"/>
  <c r="E7" i="55"/>
  <c r="G8" i="55"/>
  <c r="H9" i="55"/>
  <c r="J10" i="55"/>
  <c r="J5" i="55"/>
  <c r="J16" i="55" s="1"/>
  <c r="H12" i="55"/>
  <c r="N12" i="55"/>
  <c r="E13" i="55"/>
  <c r="I23" i="55"/>
  <c r="L26" i="55"/>
  <c r="D28" i="55"/>
  <c r="G29" i="55"/>
  <c r="K30" i="55"/>
  <c r="E34" i="55"/>
  <c r="L34" i="55"/>
  <c r="D34" i="55"/>
  <c r="M45" i="55"/>
  <c r="M46" i="55"/>
  <c r="I42" i="55"/>
  <c r="H42" i="55"/>
  <c r="G42" i="55"/>
  <c r="M42" i="55"/>
  <c r="E42" i="55"/>
  <c r="D41" i="55"/>
  <c r="M44" i="55"/>
  <c r="K46" i="55"/>
  <c r="K49" i="55"/>
  <c r="K85" i="55"/>
  <c r="K82" i="55"/>
  <c r="K87" i="55"/>
  <c r="E81" i="55"/>
  <c r="E6" i="55"/>
  <c r="H8" i="55"/>
  <c r="K10" i="55"/>
  <c r="H15" i="55"/>
  <c r="K16" i="55"/>
  <c r="N25" i="55"/>
  <c r="G27" i="55"/>
  <c r="N27" i="55"/>
  <c r="F27" i="55"/>
  <c r="L27" i="55"/>
  <c r="D27" i="55"/>
  <c r="F28" i="55"/>
  <c r="N32" i="55"/>
  <c r="E33" i="55"/>
  <c r="L33" i="55"/>
  <c r="D33" i="55"/>
  <c r="F34" i="55"/>
  <c r="I45" i="55"/>
  <c r="H47" i="55"/>
  <c r="G47" i="55"/>
  <c r="N47" i="55"/>
  <c r="M47" i="55"/>
  <c r="E47" i="55"/>
  <c r="D47" i="55"/>
  <c r="J47" i="55"/>
  <c r="G59" i="55"/>
  <c r="G63" i="55" s="1"/>
  <c r="N81" i="55"/>
  <c r="F5" i="55"/>
  <c r="F12" i="55" s="1"/>
  <c r="H11" i="55"/>
  <c r="I5" i="55"/>
  <c r="M11" i="55"/>
  <c r="E11" i="55"/>
  <c r="E12" i="55"/>
  <c r="H13" i="55"/>
  <c r="L32" i="55"/>
  <c r="L24" i="55"/>
  <c r="E27" i="55"/>
  <c r="I28" i="55"/>
  <c r="K29" i="55"/>
  <c r="N31" i="55"/>
  <c r="F33" i="55"/>
  <c r="G34" i="55"/>
  <c r="E45" i="55"/>
  <c r="E46" i="55"/>
  <c r="K43" i="55"/>
  <c r="H46" i="55"/>
  <c r="I47" i="55"/>
  <c r="J48" i="55"/>
  <c r="K52" i="55"/>
  <c r="I61" i="55"/>
  <c r="I70" i="55"/>
  <c r="I69" i="55"/>
  <c r="K8" i="55"/>
  <c r="L9" i="55"/>
  <c r="K13" i="55"/>
  <c r="L14" i="55"/>
  <c r="M15" i="55"/>
  <c r="M23" i="55"/>
  <c r="M25" i="55" s="1"/>
  <c r="N24" i="55"/>
  <c r="E25" i="55"/>
  <c r="L25" i="55"/>
  <c r="D25" i="55"/>
  <c r="D26" i="55"/>
  <c r="L29" i="55"/>
  <c r="J30" i="55"/>
  <c r="I30" i="55"/>
  <c r="J23" i="55"/>
  <c r="J29" i="55" s="1"/>
  <c r="G30" i="55"/>
  <c r="N30" i="55"/>
  <c r="E32" i="55"/>
  <c r="G33" i="55"/>
  <c r="J42" i="55"/>
  <c r="K47" i="55"/>
  <c r="K51" i="55"/>
  <c r="I86" i="55"/>
  <c r="G86" i="55"/>
  <c r="N86" i="55"/>
  <c r="F86" i="55"/>
  <c r="E86" i="55"/>
  <c r="M86" i="55"/>
  <c r="J79" i="55"/>
  <c r="J81" i="55" s="1"/>
  <c r="L86" i="55"/>
  <c r="K86" i="55"/>
  <c r="L10" i="55"/>
  <c r="D10" i="55"/>
  <c r="L13" i="55"/>
  <c r="M14" i="55"/>
  <c r="M16" i="55"/>
  <c r="E16" i="55"/>
  <c r="L16" i="55"/>
  <c r="D16" i="55"/>
  <c r="D32" i="55"/>
  <c r="D24" i="55"/>
  <c r="F25" i="55"/>
  <c r="G26" i="55"/>
  <c r="K28" i="55"/>
  <c r="D30" i="55"/>
  <c r="E31" i="55"/>
  <c r="F32" i="55"/>
  <c r="K50" i="55"/>
  <c r="N62" i="55"/>
  <c r="F62" i="55"/>
  <c r="D62" i="55"/>
  <c r="K62" i="55"/>
  <c r="F59" i="55"/>
  <c r="F63" i="55" s="1"/>
  <c r="J62" i="55"/>
  <c r="I62" i="55"/>
  <c r="E62" i="55"/>
  <c r="I80" i="55"/>
  <c r="N80" i="55"/>
  <c r="F80" i="55"/>
  <c r="K80" i="55"/>
  <c r="J80" i="55"/>
  <c r="G80" i="55"/>
  <c r="E80" i="55"/>
  <c r="D79" i="55"/>
  <c r="D81" i="55" s="1"/>
  <c r="M80" i="55"/>
  <c r="N88" i="55"/>
  <c r="N87" i="55"/>
  <c r="N89" i="55"/>
  <c r="G98" i="55"/>
  <c r="M98" i="55"/>
  <c r="D97" i="55"/>
  <c r="L98" i="55"/>
  <c r="D98" i="55"/>
  <c r="H98" i="55"/>
  <c r="I98" i="55"/>
  <c r="L6" i="55"/>
  <c r="M7" i="55"/>
  <c r="E10" i="55"/>
  <c r="K14" i="55"/>
  <c r="K15" i="55"/>
  <c r="E24" i="55"/>
  <c r="G25" i="55"/>
  <c r="I29" i="55"/>
  <c r="N29" i="55"/>
  <c r="F29" i="55"/>
  <c r="E30" i="55"/>
  <c r="F31" i="55"/>
  <c r="G32" i="55"/>
  <c r="M62" i="55"/>
  <c r="L80" i="55"/>
  <c r="H99" i="55"/>
  <c r="N99" i="55"/>
  <c r="M99" i="55"/>
  <c r="E99" i="55"/>
  <c r="L99" i="55"/>
  <c r="E97" i="55"/>
  <c r="E98" i="55" s="1"/>
  <c r="I99" i="55"/>
  <c r="G99" i="55"/>
  <c r="D99" i="55"/>
  <c r="H28" i="55"/>
  <c r="G28" i="55"/>
  <c r="M28" i="55"/>
  <c r="E28" i="55"/>
  <c r="H23" i="55"/>
  <c r="H27" i="55" s="1"/>
  <c r="M8" i="55"/>
  <c r="E8" i="55"/>
  <c r="L8" i="55"/>
  <c r="D8" i="55"/>
  <c r="J8" i="55"/>
  <c r="L12" i="55"/>
  <c r="J13" i="55"/>
  <c r="I13" i="55"/>
  <c r="F24" i="55"/>
  <c r="N28" i="55"/>
  <c r="D29" i="55"/>
  <c r="F30" i="55"/>
  <c r="N34" i="55"/>
  <c r="J52" i="55"/>
  <c r="J51" i="55"/>
  <c r="K45" i="55"/>
  <c r="J49" i="55"/>
  <c r="I49" i="55"/>
  <c r="H49" i="55"/>
  <c r="G49" i="55"/>
  <c r="D49" i="55"/>
  <c r="M68" i="55"/>
  <c r="E68" i="55"/>
  <c r="D68" i="55"/>
  <c r="J68" i="55"/>
  <c r="K68" i="55"/>
  <c r="I68" i="55"/>
  <c r="H68" i="55"/>
  <c r="L59" i="55"/>
  <c r="L62" i="55" s="1"/>
  <c r="F68" i="55"/>
  <c r="H6" i="55"/>
  <c r="I7" i="55"/>
  <c r="K9" i="55"/>
  <c r="H14" i="55"/>
  <c r="I15" i="55"/>
  <c r="I24" i="55"/>
  <c r="H31" i="55"/>
  <c r="I32" i="55"/>
  <c r="L41" i="55"/>
  <c r="L44" i="55" s="1"/>
  <c r="G44" i="55"/>
  <c r="H45" i="55"/>
  <c r="I46" i="55"/>
  <c r="K48" i="55"/>
  <c r="E50" i="55"/>
  <c r="M50" i="55"/>
  <c r="N52" i="55"/>
  <c r="H59" i="55"/>
  <c r="H63" i="55" s="1"/>
  <c r="M67" i="55"/>
  <c r="N69" i="55"/>
  <c r="N70" i="55"/>
  <c r="I85" i="55"/>
  <c r="G87" i="55"/>
  <c r="I87" i="55"/>
  <c r="F87" i="55"/>
  <c r="N90" i="55"/>
  <c r="M101" i="55"/>
  <c r="H105" i="55"/>
  <c r="J105" i="55"/>
  <c r="G105" i="55"/>
  <c r="K97" i="55"/>
  <c r="M105" i="55"/>
  <c r="L105" i="55"/>
  <c r="I105" i="55"/>
  <c r="F123" i="55"/>
  <c r="F121" i="55"/>
  <c r="F120" i="55"/>
  <c r="F119" i="55"/>
  <c r="M108" i="55"/>
  <c r="D108" i="55"/>
  <c r="N97" i="55"/>
  <c r="K108" i="55"/>
  <c r="I108" i="55"/>
  <c r="H108" i="55"/>
  <c r="J6" i="55"/>
  <c r="K7" i="55"/>
  <c r="M9" i="55"/>
  <c r="J31" i="55"/>
  <c r="F41" i="55"/>
  <c r="F43" i="55" s="1"/>
  <c r="N41" i="55"/>
  <c r="N49" i="55" s="1"/>
  <c r="H43" i="55"/>
  <c r="I44" i="55"/>
  <c r="J45" i="55"/>
  <c r="E48" i="55"/>
  <c r="G50" i="55"/>
  <c r="H51" i="55"/>
  <c r="H52" i="55"/>
  <c r="M60" i="55"/>
  <c r="D60" i="55"/>
  <c r="J60" i="55"/>
  <c r="N61" i="55"/>
  <c r="K64" i="55"/>
  <c r="M65" i="55"/>
  <c r="K66" i="55"/>
  <c r="I107" i="55"/>
  <c r="G107" i="55"/>
  <c r="K107" i="55"/>
  <c r="H107" i="55"/>
  <c r="D107" i="55"/>
  <c r="E108" i="55"/>
  <c r="E117" i="55"/>
  <c r="L117" i="55"/>
  <c r="J117" i="55"/>
  <c r="E115" i="55"/>
  <c r="I117" i="55"/>
  <c r="K117" i="55"/>
  <c r="H117" i="55"/>
  <c r="D117" i="55"/>
  <c r="I123" i="55"/>
  <c r="D7" i="55"/>
  <c r="I43" i="55"/>
  <c r="J44" i="55"/>
  <c r="H50" i="55"/>
  <c r="I51" i="55"/>
  <c r="I52" i="55"/>
  <c r="E60" i="55"/>
  <c r="D61" i="55"/>
  <c r="J65" i="55"/>
  <c r="I65" i="55"/>
  <c r="N65" i="55"/>
  <c r="D66" i="55"/>
  <c r="E67" i="55"/>
  <c r="N83" i="55"/>
  <c r="L87" i="55"/>
  <c r="K89" i="55"/>
  <c r="H100" i="55"/>
  <c r="M103" i="55"/>
  <c r="K105" i="55"/>
  <c r="E107" i="55"/>
  <c r="F117" i="55"/>
  <c r="I122" i="55"/>
  <c r="J43" i="55"/>
  <c r="K44" i="55"/>
  <c r="I50" i="55"/>
  <c r="D65" i="55"/>
  <c r="E66" i="55"/>
  <c r="G84" i="55"/>
  <c r="M84" i="55"/>
  <c r="E84" i="55"/>
  <c r="L84" i="55"/>
  <c r="N84" i="55"/>
  <c r="H79" i="55"/>
  <c r="H81" i="55" s="1"/>
  <c r="K84" i="55"/>
  <c r="I84" i="55"/>
  <c r="L90" i="55"/>
  <c r="D90" i="55"/>
  <c r="I90" i="55"/>
  <c r="M90" i="55"/>
  <c r="K90" i="55"/>
  <c r="G90" i="55"/>
  <c r="M104" i="55"/>
  <c r="H106" i="55"/>
  <c r="G108" i="55"/>
  <c r="D141" i="55"/>
  <c r="D142" i="55"/>
  <c r="D134" i="55"/>
  <c r="D136" i="55"/>
  <c r="D139" i="55"/>
  <c r="D44" i="55"/>
  <c r="J50" i="55"/>
  <c r="I64" i="55"/>
  <c r="H64" i="55"/>
  <c r="N64" i="55"/>
  <c r="F64" i="55"/>
  <c r="I89" i="55"/>
  <c r="I88" i="55"/>
  <c r="I83" i="55"/>
  <c r="F84" i="55"/>
  <c r="E90" i="55"/>
  <c r="K102" i="55"/>
  <c r="M107" i="55"/>
  <c r="L108" i="55"/>
  <c r="E142" i="55"/>
  <c r="E144" i="55"/>
  <c r="E143" i="55"/>
  <c r="E135" i="55"/>
  <c r="E136" i="55"/>
  <c r="E141" i="55"/>
  <c r="E140" i="55"/>
  <c r="E134" i="55"/>
  <c r="J82" i="55"/>
  <c r="F90" i="55"/>
  <c r="F144" i="55"/>
  <c r="F143" i="55"/>
  <c r="F136" i="55"/>
  <c r="F142" i="55"/>
  <c r="F134" i="55"/>
  <c r="F135" i="55"/>
  <c r="K61" i="55"/>
  <c r="I67" i="55"/>
  <c r="K69" i="55"/>
  <c r="K70" i="55"/>
  <c r="G83" i="55"/>
  <c r="L101" i="55"/>
  <c r="H101" i="55"/>
  <c r="G101" i="55"/>
  <c r="K104" i="55"/>
  <c r="J123" i="55"/>
  <c r="H125" i="55"/>
  <c r="M115" i="55"/>
  <c r="M125" i="55"/>
  <c r="E125" i="55"/>
  <c r="K125" i="55"/>
  <c r="I125" i="55"/>
  <c r="F125" i="55"/>
  <c r="I126" i="55"/>
  <c r="H126" i="55"/>
  <c r="F126" i="55"/>
  <c r="M126" i="55"/>
  <c r="K126" i="55"/>
  <c r="N115" i="55"/>
  <c r="N126" i="55" s="1"/>
  <c r="J126" i="55"/>
  <c r="G141" i="55"/>
  <c r="G144" i="55"/>
  <c r="G143" i="55"/>
  <c r="G135" i="55"/>
  <c r="G142" i="55"/>
  <c r="M61" i="55"/>
  <c r="K67" i="55"/>
  <c r="E69" i="55"/>
  <c r="M69" i="55"/>
  <c r="E70" i="55"/>
  <c r="M70" i="55"/>
  <c r="M82" i="55"/>
  <c r="E82" i="55"/>
  <c r="L82" i="55"/>
  <c r="G88" i="55"/>
  <c r="I100" i="55"/>
  <c r="F97" i="55"/>
  <c r="F99" i="55" s="1"/>
  <c r="G100" i="55"/>
  <c r="N100" i="55"/>
  <c r="F100" i="55"/>
  <c r="E101" i="55"/>
  <c r="K106" i="55"/>
  <c r="H118" i="55"/>
  <c r="N118" i="55"/>
  <c r="F118" i="55"/>
  <c r="K118" i="55"/>
  <c r="I118" i="55"/>
  <c r="M122" i="55"/>
  <c r="E122" i="55"/>
  <c r="L122" i="55"/>
  <c r="D122" i="55"/>
  <c r="J122" i="55"/>
  <c r="F122" i="55"/>
  <c r="N122" i="55"/>
  <c r="J125" i="55"/>
  <c r="E126" i="55"/>
  <c r="F61" i="55"/>
  <c r="D67" i="55"/>
  <c r="F69" i="55"/>
  <c r="F70" i="55"/>
  <c r="N82" i="55"/>
  <c r="N85" i="55"/>
  <c r="F85" i="55"/>
  <c r="M85" i="55"/>
  <c r="E85" i="55"/>
  <c r="D100" i="55"/>
  <c r="F101" i="55"/>
  <c r="N103" i="55"/>
  <c r="H103" i="55"/>
  <c r="G103" i="55"/>
  <c r="J116" i="55"/>
  <c r="D118" i="55"/>
  <c r="J119" i="55"/>
  <c r="I119" i="55"/>
  <c r="M119" i="55"/>
  <c r="G115" i="55"/>
  <c r="G124" i="55" s="1"/>
  <c r="K119" i="55"/>
  <c r="H119" i="55"/>
  <c r="L125" i="55"/>
  <c r="M142" i="55"/>
  <c r="M144" i="55"/>
  <c r="M143" i="55"/>
  <c r="M135" i="55"/>
  <c r="M136" i="55"/>
  <c r="M141" i="55"/>
  <c r="G134" i="55"/>
  <c r="G136" i="55"/>
  <c r="G137" i="55"/>
  <c r="M140" i="55"/>
  <c r="K83" i="55"/>
  <c r="N124" i="55"/>
  <c r="F124" i="55"/>
  <c r="L124" i="55"/>
  <c r="D124" i="55"/>
  <c r="G138" i="55"/>
  <c r="N138" i="55"/>
  <c r="F138" i="55"/>
  <c r="M138" i="55"/>
  <c r="E138" i="55"/>
  <c r="H133" i="55"/>
  <c r="H141" i="55" s="1"/>
  <c r="L138" i="55"/>
  <c r="D138" i="55"/>
  <c r="L83" i="55"/>
  <c r="M102" i="55"/>
  <c r="E102" i="55"/>
  <c r="L102" i="55"/>
  <c r="G104" i="55"/>
  <c r="L104" i="55"/>
  <c r="I106" i="55"/>
  <c r="L106" i="55"/>
  <c r="L120" i="55"/>
  <c r="L141" i="55"/>
  <c r="L143" i="55"/>
  <c r="F83" i="55"/>
  <c r="F102" i="55"/>
  <c r="E104" i="55"/>
  <c r="N104" i="55"/>
  <c r="E106" i="55"/>
  <c r="N106" i="55"/>
  <c r="N116" i="55"/>
  <c r="F116" i="55"/>
  <c r="L116" i="55"/>
  <c r="D116" i="55"/>
  <c r="I124" i="55"/>
  <c r="N144" i="55"/>
  <c r="N143" i="55"/>
  <c r="N136" i="55"/>
  <c r="N142" i="55"/>
  <c r="N135" i="55"/>
  <c r="K138" i="55"/>
  <c r="N141" i="55"/>
  <c r="K139" i="55"/>
  <c r="D140" i="55"/>
  <c r="K137" i="55"/>
  <c r="E139" i="55"/>
  <c r="M139" i="55"/>
  <c r="F140" i="55"/>
  <c r="N140" i="55"/>
  <c r="H120" i="55"/>
  <c r="I121" i="55"/>
  <c r="D137" i="55"/>
  <c r="F139" i="55"/>
  <c r="N139" i="55"/>
  <c r="G140" i="55"/>
  <c r="J144" i="55"/>
  <c r="I133" i="55"/>
  <c r="K135" i="55"/>
  <c r="E137" i="55"/>
  <c r="M137" i="55"/>
  <c r="G139" i="55"/>
  <c r="K143" i="55"/>
  <c r="K144" i="55"/>
  <c r="J120" i="55"/>
  <c r="J133" i="55"/>
  <c r="J140" i="55" s="1"/>
  <c r="D135" i="55"/>
  <c r="F137" i="55"/>
  <c r="N137" i="55"/>
  <c r="I140" i="55"/>
  <c r="D143" i="55"/>
  <c r="D144" i="55"/>
  <c r="K140" i="54"/>
  <c r="I135" i="54"/>
  <c r="G136" i="54"/>
  <c r="I140" i="54"/>
  <c r="I138" i="54"/>
  <c r="M143" i="54"/>
  <c r="I139" i="54"/>
  <c r="I143" i="54"/>
  <c r="H134" i="54"/>
  <c r="H139" i="54"/>
  <c r="M144" i="54"/>
  <c r="M135" i="54"/>
  <c r="I144" i="54"/>
  <c r="L115" i="54"/>
  <c r="L116" i="54" s="1"/>
  <c r="K117" i="54"/>
  <c r="F117" i="54"/>
  <c r="H119" i="54"/>
  <c r="H121" i="54"/>
  <c r="E124" i="54"/>
  <c r="N125" i="54"/>
  <c r="E123" i="54"/>
  <c r="K119" i="54"/>
  <c r="K121" i="54"/>
  <c r="F124" i="54"/>
  <c r="H126" i="54"/>
  <c r="E116" i="54"/>
  <c r="N117" i="54"/>
  <c r="N119" i="54"/>
  <c r="F122" i="54"/>
  <c r="H124" i="54"/>
  <c r="M126" i="54"/>
  <c r="F116" i="54"/>
  <c r="K120" i="54"/>
  <c r="K122" i="54"/>
  <c r="K124" i="54"/>
  <c r="H116" i="54"/>
  <c r="E118" i="54"/>
  <c r="N122" i="54"/>
  <c r="K116" i="54"/>
  <c r="H118" i="54"/>
  <c r="E105" i="54"/>
  <c r="E102" i="54"/>
  <c r="E98" i="54"/>
  <c r="M98" i="54"/>
  <c r="G81" i="54"/>
  <c r="G84" i="54"/>
  <c r="G82" i="54"/>
  <c r="G87" i="54"/>
  <c r="M87" i="54"/>
  <c r="M85" i="54"/>
  <c r="M80" i="54"/>
  <c r="K82" i="54"/>
  <c r="M89" i="54"/>
  <c r="M66" i="54"/>
  <c r="J64" i="54"/>
  <c r="H60" i="54"/>
  <c r="H64" i="54"/>
  <c r="F66" i="54"/>
  <c r="J59" i="54"/>
  <c r="H65" i="54"/>
  <c r="K68" i="54"/>
  <c r="I66" i="54"/>
  <c r="H69" i="54"/>
  <c r="F60" i="54"/>
  <c r="M59" i="54"/>
  <c r="N66" i="54"/>
  <c r="H70" i="54"/>
  <c r="M50" i="54"/>
  <c r="M47" i="54"/>
  <c r="M51" i="54"/>
  <c r="M41" i="54"/>
  <c r="N50" i="54"/>
  <c r="K46" i="54"/>
  <c r="E41" i="54"/>
  <c r="F43" i="54"/>
  <c r="J47" i="54"/>
  <c r="K50" i="54"/>
  <c r="K43" i="54"/>
  <c r="K47" i="54"/>
  <c r="H30" i="54"/>
  <c r="K26" i="54"/>
  <c r="J23" i="54"/>
  <c r="J33" i="54" s="1"/>
  <c r="K27" i="54"/>
  <c r="G28" i="54"/>
  <c r="E33" i="54"/>
  <c r="N24" i="54"/>
  <c r="K28" i="54"/>
  <c r="G33" i="54"/>
  <c r="H33" i="54"/>
  <c r="K25" i="54"/>
  <c r="E26" i="54"/>
  <c r="G8" i="54"/>
  <c r="G12" i="54"/>
  <c r="J7" i="54"/>
  <c r="H8" i="54"/>
  <c r="H12" i="54"/>
  <c r="I12" i="54"/>
  <c r="L5" i="54"/>
  <c r="I9" i="54"/>
  <c r="H13" i="54"/>
  <c r="J6" i="54"/>
  <c r="D13" i="54"/>
  <c r="J9" i="54"/>
  <c r="G9" i="54"/>
  <c r="L9" i="54"/>
  <c r="K9" i="54"/>
  <c r="H9" i="54"/>
  <c r="G13" i="54"/>
  <c r="G14" i="54"/>
  <c r="D14" i="54"/>
  <c r="K14" i="54"/>
  <c r="J14" i="54"/>
  <c r="H14" i="54"/>
  <c r="J28" i="54"/>
  <c r="N25" i="54"/>
  <c r="F25" i="54"/>
  <c r="H25" i="54"/>
  <c r="E25" i="54"/>
  <c r="D25" i="54"/>
  <c r="N29" i="54"/>
  <c r="H32" i="54"/>
  <c r="E32" i="54"/>
  <c r="L23" i="54"/>
  <c r="L32" i="54" s="1"/>
  <c r="F32" i="54"/>
  <c r="D32" i="54"/>
  <c r="K32" i="54"/>
  <c r="L44" i="54"/>
  <c r="L48" i="54"/>
  <c r="L49" i="54"/>
  <c r="D9" i="54"/>
  <c r="H15" i="54"/>
  <c r="E15" i="54"/>
  <c r="J15" i="54"/>
  <c r="I15" i="54"/>
  <c r="D15" i="54"/>
  <c r="H63" i="54"/>
  <c r="M63" i="54"/>
  <c r="F63" i="54"/>
  <c r="G63" i="54"/>
  <c r="G59" i="54"/>
  <c r="N63" i="54"/>
  <c r="K63" i="54"/>
  <c r="J63" i="54"/>
  <c r="I63" i="54"/>
  <c r="J13" i="54"/>
  <c r="G15" i="54"/>
  <c r="N34" i="54"/>
  <c r="F34" i="54"/>
  <c r="K34" i="54"/>
  <c r="H34" i="54"/>
  <c r="G34" i="54"/>
  <c r="F49" i="54"/>
  <c r="F52" i="54"/>
  <c r="G6" i="54"/>
  <c r="L6" i="54"/>
  <c r="D6" i="54"/>
  <c r="F27" i="54"/>
  <c r="D34" i="54"/>
  <c r="M46" i="54"/>
  <c r="E46" i="54"/>
  <c r="H41" i="54"/>
  <c r="H46" i="54" s="1"/>
  <c r="N46" i="54"/>
  <c r="L46" i="54"/>
  <c r="J46" i="54"/>
  <c r="L47" i="54"/>
  <c r="L13" i="54"/>
  <c r="L8" i="54"/>
  <c r="H6" i="54"/>
  <c r="K15" i="54"/>
  <c r="J49" i="54"/>
  <c r="J50" i="54"/>
  <c r="M5" i="54"/>
  <c r="I6" i="54"/>
  <c r="J10" i="54"/>
  <c r="M12" i="54"/>
  <c r="E12" i="54"/>
  <c r="J12" i="54"/>
  <c r="D12" i="54"/>
  <c r="L12" i="54"/>
  <c r="K12" i="54"/>
  <c r="L15" i="54"/>
  <c r="J16" i="54"/>
  <c r="E27" i="54"/>
  <c r="E30" i="54"/>
  <c r="E28" i="54"/>
  <c r="E29" i="54"/>
  <c r="K29" i="54"/>
  <c r="H29" i="54"/>
  <c r="I23" i="54"/>
  <c r="I25" i="54" s="1"/>
  <c r="G29" i="54"/>
  <c r="N32" i="54"/>
  <c r="E34" i="54"/>
  <c r="L42" i="54"/>
  <c r="K42" i="54"/>
  <c r="F42" i="54"/>
  <c r="E42" i="54"/>
  <c r="N42" i="54"/>
  <c r="M42" i="54"/>
  <c r="D41" i="54"/>
  <c r="F28" i="54"/>
  <c r="N45" i="54"/>
  <c r="F45" i="54"/>
  <c r="L45" i="54"/>
  <c r="K45" i="54"/>
  <c r="J45" i="54"/>
  <c r="G41" i="54"/>
  <c r="G45" i="54" s="1"/>
  <c r="H45" i="54"/>
  <c r="E45" i="54"/>
  <c r="H83" i="54"/>
  <c r="H89" i="54"/>
  <c r="H82" i="54"/>
  <c r="H88" i="54"/>
  <c r="H86" i="54"/>
  <c r="K6" i="54"/>
  <c r="F29" i="54"/>
  <c r="N30" i="54"/>
  <c r="J8" i="54"/>
  <c r="J11" i="54"/>
  <c r="G7" i="54"/>
  <c r="D8" i="54"/>
  <c r="H24" i="54"/>
  <c r="E24" i="54"/>
  <c r="D23" i="54"/>
  <c r="K24" i="54"/>
  <c r="G24" i="54"/>
  <c r="F24" i="54"/>
  <c r="M45" i="54"/>
  <c r="F51" i="54"/>
  <c r="L52" i="54"/>
  <c r="N61" i="54"/>
  <c r="F61" i="54"/>
  <c r="K61" i="54"/>
  <c r="I61" i="54"/>
  <c r="H61" i="54"/>
  <c r="E61" i="54"/>
  <c r="M61" i="54"/>
  <c r="E59" i="54"/>
  <c r="J61" i="54"/>
  <c r="G61" i="54"/>
  <c r="I16" i="54"/>
  <c r="N5" i="54"/>
  <c r="N14" i="54" s="1"/>
  <c r="N16" i="54"/>
  <c r="M16" i="54"/>
  <c r="J26" i="54"/>
  <c r="G26" i="54"/>
  <c r="H28" i="54"/>
  <c r="M48" i="54"/>
  <c r="K66" i="54"/>
  <c r="N67" i="54"/>
  <c r="G88" i="54"/>
  <c r="L88" i="54"/>
  <c r="D88" i="54"/>
  <c r="M88" i="54"/>
  <c r="K88" i="54"/>
  <c r="L79" i="54"/>
  <c r="L89" i="54" s="1"/>
  <c r="G126" i="54"/>
  <c r="G123" i="54"/>
  <c r="G117" i="54"/>
  <c r="G125" i="54"/>
  <c r="G118" i="54"/>
  <c r="E5" i="54"/>
  <c r="L11" i="54"/>
  <c r="D11" i="54"/>
  <c r="I11" i="54"/>
  <c r="N11" i="54"/>
  <c r="I13" i="54"/>
  <c r="D16" i="54"/>
  <c r="D26" i="54"/>
  <c r="N26" i="54"/>
  <c r="G31" i="54"/>
  <c r="D31" i="54"/>
  <c r="N31" i="54"/>
  <c r="E50" i="54"/>
  <c r="E44" i="54"/>
  <c r="M43" i="54"/>
  <c r="E43" i="54"/>
  <c r="L43" i="54"/>
  <c r="J43" i="54"/>
  <c r="J48" i="54"/>
  <c r="N48" i="54"/>
  <c r="J52" i="54"/>
  <c r="N52" i="54"/>
  <c r="E52" i="54"/>
  <c r="M52" i="54"/>
  <c r="K52" i="54"/>
  <c r="M70" i="54"/>
  <c r="M69" i="54"/>
  <c r="J60" i="54"/>
  <c r="K64" i="54"/>
  <c r="K65" i="54"/>
  <c r="H81" i="54"/>
  <c r="M81" i="54"/>
  <c r="D81" i="54"/>
  <c r="L81" i="54"/>
  <c r="K81" i="54"/>
  <c r="N65" i="54"/>
  <c r="K106" i="54"/>
  <c r="K107" i="54"/>
  <c r="K102" i="54"/>
  <c r="K104" i="54"/>
  <c r="K101" i="54"/>
  <c r="H7" i="54"/>
  <c r="M7" i="54"/>
  <c r="E7" i="54"/>
  <c r="N7" i="54"/>
  <c r="G16" i="54"/>
  <c r="F26" i="54"/>
  <c r="I33" i="54"/>
  <c r="N33" i="54"/>
  <c r="F33" i="54"/>
  <c r="H47" i="54"/>
  <c r="N47" i="54"/>
  <c r="F47" i="54"/>
  <c r="E48" i="54"/>
  <c r="J51" i="54"/>
  <c r="K51" i="54"/>
  <c r="D87" i="54"/>
  <c r="D86" i="54"/>
  <c r="D83" i="54"/>
  <c r="L101" i="54"/>
  <c r="L98" i="54"/>
  <c r="L105" i="54"/>
  <c r="L99" i="54"/>
  <c r="D7" i="54"/>
  <c r="I8" i="54"/>
  <c r="F5" i="54"/>
  <c r="F15" i="54" s="1"/>
  <c r="N8" i="54"/>
  <c r="F8" i="54"/>
  <c r="M8" i="54"/>
  <c r="G11" i="54"/>
  <c r="N13" i="54"/>
  <c r="H16" i="54"/>
  <c r="M23" i="54"/>
  <c r="M26" i="54" s="1"/>
  <c r="H26" i="54"/>
  <c r="L28" i="54"/>
  <c r="D28" i="54"/>
  <c r="N28" i="54"/>
  <c r="H31" i="54"/>
  <c r="D33" i="54"/>
  <c r="I41" i="54"/>
  <c r="H43" i="54"/>
  <c r="F48" i="54"/>
  <c r="H52" i="54"/>
  <c r="D67" i="54"/>
  <c r="I67" i="54"/>
  <c r="H67" i="54"/>
  <c r="G67" i="54"/>
  <c r="F67" i="54"/>
  <c r="E67" i="54"/>
  <c r="E79" i="54"/>
  <c r="M108" i="54"/>
  <c r="E108" i="54"/>
  <c r="H108" i="54"/>
  <c r="K108" i="54"/>
  <c r="D108" i="54"/>
  <c r="N97" i="54"/>
  <c r="N101" i="54" s="1"/>
  <c r="L108" i="54"/>
  <c r="J66" i="54"/>
  <c r="J70" i="54"/>
  <c r="J69" i="54"/>
  <c r="H10" i="54"/>
  <c r="K13" i="54"/>
  <c r="H27" i="54"/>
  <c r="K30" i="54"/>
  <c r="K44" i="54"/>
  <c r="I50" i="54"/>
  <c r="L50" i="54"/>
  <c r="G62" i="54"/>
  <c r="N62" i="54"/>
  <c r="M68" i="54"/>
  <c r="E68" i="54"/>
  <c r="L59" i="54"/>
  <c r="L60" i="54" s="1"/>
  <c r="J68" i="54"/>
  <c r="N68" i="54"/>
  <c r="G89" i="54"/>
  <c r="D89" i="54"/>
  <c r="M99" i="54"/>
  <c r="H103" i="54"/>
  <c r="I97" i="54"/>
  <c r="I108" i="54" s="1"/>
  <c r="N103" i="54"/>
  <c r="E103" i="54"/>
  <c r="M103" i="54"/>
  <c r="L103" i="54"/>
  <c r="M104" i="54"/>
  <c r="L104" i="54"/>
  <c r="D104" i="54"/>
  <c r="J97" i="54"/>
  <c r="E104" i="54"/>
  <c r="H104" i="54"/>
  <c r="D105" i="54"/>
  <c r="D107" i="54"/>
  <c r="D98" i="54"/>
  <c r="D103" i="54"/>
  <c r="J138" i="54"/>
  <c r="J136" i="54"/>
  <c r="J141" i="54"/>
  <c r="M60" i="54"/>
  <c r="E60" i="54"/>
  <c r="D59" i="54"/>
  <c r="I64" i="54"/>
  <c r="N64" i="54"/>
  <c r="F64" i="54"/>
  <c r="M64" i="54"/>
  <c r="N69" i="54"/>
  <c r="D85" i="54"/>
  <c r="H85" i="54"/>
  <c r="G85" i="54"/>
  <c r="I79" i="54"/>
  <c r="E85" i="54"/>
  <c r="D123" i="54"/>
  <c r="D117" i="54"/>
  <c r="M125" i="54"/>
  <c r="M117" i="54"/>
  <c r="M124" i="54"/>
  <c r="M116" i="54"/>
  <c r="F13" i="54"/>
  <c r="F30" i="54"/>
  <c r="F44" i="54"/>
  <c r="F50" i="54"/>
  <c r="D60" i="54"/>
  <c r="N60" i="54"/>
  <c r="H62" i="54"/>
  <c r="D64" i="54"/>
  <c r="J65" i="54"/>
  <c r="G65" i="54"/>
  <c r="M65" i="54"/>
  <c r="G68" i="54"/>
  <c r="N70" i="54"/>
  <c r="M84" i="54"/>
  <c r="K89" i="54"/>
  <c r="H90" i="54"/>
  <c r="N79" i="54"/>
  <c r="N88" i="54" s="1"/>
  <c r="M90" i="54"/>
  <c r="E90" i="54"/>
  <c r="G90" i="54"/>
  <c r="D90" i="54"/>
  <c r="H105" i="54"/>
  <c r="H99" i="54"/>
  <c r="K98" i="54"/>
  <c r="M101" i="54"/>
  <c r="K103" i="54"/>
  <c r="E125" i="54"/>
  <c r="E117" i="54"/>
  <c r="E126" i="54"/>
  <c r="D122" i="54"/>
  <c r="J142" i="54"/>
  <c r="I142" i="54"/>
  <c r="G142" i="54"/>
  <c r="M142" i="54"/>
  <c r="H142" i="54"/>
  <c r="K142" i="54"/>
  <c r="L133" i="54"/>
  <c r="L137" i="54" s="1"/>
  <c r="M100" i="54"/>
  <c r="E100" i="54"/>
  <c r="L100" i="54"/>
  <c r="D100" i="54"/>
  <c r="K100" i="54"/>
  <c r="F97" i="54"/>
  <c r="F104" i="54" s="1"/>
  <c r="N136" i="54"/>
  <c r="K69" i="54"/>
  <c r="K70" i="54"/>
  <c r="G80" i="54"/>
  <c r="L80" i="54"/>
  <c r="D80" i="54"/>
  <c r="M86" i="54"/>
  <c r="E86" i="54"/>
  <c r="N86" i="54"/>
  <c r="E99" i="54"/>
  <c r="F79" i="54"/>
  <c r="F89" i="54" s="1"/>
  <c r="M82" i="54"/>
  <c r="N87" i="54"/>
  <c r="L106" i="54"/>
  <c r="D106" i="54"/>
  <c r="I106" i="54"/>
  <c r="M106" i="54"/>
  <c r="J140" i="54"/>
  <c r="H140" i="54"/>
  <c r="G140" i="54"/>
  <c r="M140" i="54"/>
  <c r="E140" i="54"/>
  <c r="N140" i="54"/>
  <c r="F69" i="54"/>
  <c r="F70" i="54"/>
  <c r="J79" i="54"/>
  <c r="J81" i="54" s="1"/>
  <c r="H80" i="54"/>
  <c r="D82" i="54"/>
  <c r="G83" i="54"/>
  <c r="M83" i="54"/>
  <c r="G86" i="54"/>
  <c r="H101" i="54"/>
  <c r="E101" i="54"/>
  <c r="G97" i="54"/>
  <c r="G106" i="54" s="1"/>
  <c r="K105" i="54"/>
  <c r="E106" i="54"/>
  <c r="J125" i="54"/>
  <c r="J117" i="54"/>
  <c r="J123" i="54"/>
  <c r="J120" i="54"/>
  <c r="J118" i="54"/>
  <c r="G139" i="54"/>
  <c r="G138" i="54"/>
  <c r="L134" i="54"/>
  <c r="J134" i="54"/>
  <c r="I134" i="54"/>
  <c r="G134" i="54"/>
  <c r="M134" i="54"/>
  <c r="D133" i="54"/>
  <c r="D139" i="54" s="1"/>
  <c r="H84" i="54"/>
  <c r="K87" i="54"/>
  <c r="H98" i="54"/>
  <c r="M107" i="54"/>
  <c r="E107" i="54"/>
  <c r="H107" i="54"/>
  <c r="G107" i="54"/>
  <c r="J119" i="54"/>
  <c r="G119" i="54"/>
  <c r="M119" i="54"/>
  <c r="E119" i="54"/>
  <c r="L119" i="54"/>
  <c r="D119" i="54"/>
  <c r="D121" i="54"/>
  <c r="G121" i="54"/>
  <c r="I115" i="54"/>
  <c r="I124" i="54" s="1"/>
  <c r="N121" i="54"/>
  <c r="F121" i="54"/>
  <c r="L122" i="54"/>
  <c r="G137" i="54"/>
  <c r="M137" i="54"/>
  <c r="E137" i="54"/>
  <c r="J137" i="54"/>
  <c r="I137" i="54"/>
  <c r="K99" i="54"/>
  <c r="H102" i="54"/>
  <c r="L102" i="54"/>
  <c r="H137" i="54"/>
  <c r="F87" i="54"/>
  <c r="D99" i="54"/>
  <c r="D102" i="54"/>
  <c r="M102" i="54"/>
  <c r="G116" i="54"/>
  <c r="D116" i="54"/>
  <c r="J116" i="54"/>
  <c r="J121" i="54"/>
  <c r="M122" i="54"/>
  <c r="E122" i="54"/>
  <c r="J122" i="54"/>
  <c r="H122" i="54"/>
  <c r="G122" i="54"/>
  <c r="G124" i="54"/>
  <c r="D124" i="54"/>
  <c r="J124" i="54"/>
  <c r="K137" i="54"/>
  <c r="K118" i="54"/>
  <c r="E120" i="54"/>
  <c r="M120" i="54"/>
  <c r="H123" i="54"/>
  <c r="K126" i="54"/>
  <c r="E133" i="54"/>
  <c r="G135" i="54"/>
  <c r="H136" i="54"/>
  <c r="K139" i="54"/>
  <c r="E141" i="54"/>
  <c r="M141" i="54"/>
  <c r="G143" i="54"/>
  <c r="G144" i="54"/>
  <c r="D118" i="54"/>
  <c r="F120" i="54"/>
  <c r="N120" i="54"/>
  <c r="D126" i="54"/>
  <c r="F133" i="54"/>
  <c r="F134" i="54" s="1"/>
  <c r="N133" i="54"/>
  <c r="N134" i="54" s="1"/>
  <c r="H135" i="54"/>
  <c r="I136" i="54"/>
  <c r="L139" i="54"/>
  <c r="N141" i="54"/>
  <c r="H143" i="54"/>
  <c r="H144" i="54"/>
  <c r="F118" i="54"/>
  <c r="N118" i="54"/>
  <c r="H120" i="54"/>
  <c r="K123" i="54"/>
  <c r="J135" i="54"/>
  <c r="K136" i="54"/>
  <c r="F139" i="54"/>
  <c r="N139" i="54"/>
  <c r="H141" i="54"/>
  <c r="J143" i="54"/>
  <c r="J144" i="54"/>
  <c r="K135" i="54"/>
  <c r="K143" i="54"/>
  <c r="K144" i="54"/>
  <c r="H117" i="54"/>
  <c r="F123" i="54"/>
  <c r="E135" i="54"/>
  <c r="E143" i="54"/>
  <c r="E144" i="54"/>
  <c r="G136" i="53"/>
  <c r="E136" i="53"/>
  <c r="G140" i="53"/>
  <c r="E144" i="53"/>
  <c r="F136" i="53"/>
  <c r="J140" i="53"/>
  <c r="G144" i="53"/>
  <c r="M136" i="53"/>
  <c r="M140" i="53"/>
  <c r="G143" i="53"/>
  <c r="M142" i="53"/>
  <c r="G134" i="53"/>
  <c r="E135" i="53"/>
  <c r="G137" i="53"/>
  <c r="E143" i="53"/>
  <c r="L115" i="53"/>
  <c r="L125" i="53" s="1"/>
  <c r="G123" i="53"/>
  <c r="G116" i="53"/>
  <c r="G118" i="53"/>
  <c r="G126" i="53"/>
  <c r="L106" i="53"/>
  <c r="H104" i="53"/>
  <c r="G100" i="53"/>
  <c r="J97" i="53"/>
  <c r="J106" i="53" s="1"/>
  <c r="N105" i="53"/>
  <c r="L97" i="53"/>
  <c r="G101" i="53"/>
  <c r="I98" i="53"/>
  <c r="G108" i="53"/>
  <c r="L79" i="53"/>
  <c r="L88" i="53" s="1"/>
  <c r="M88" i="53"/>
  <c r="E84" i="53"/>
  <c r="N90" i="53"/>
  <c r="H84" i="53"/>
  <c r="E85" i="53"/>
  <c r="H83" i="53"/>
  <c r="H80" i="53"/>
  <c r="M86" i="53"/>
  <c r="F89" i="53"/>
  <c r="N86" i="53"/>
  <c r="M89" i="53"/>
  <c r="D86" i="53"/>
  <c r="D80" i="53"/>
  <c r="D85" i="53"/>
  <c r="D87" i="53"/>
  <c r="D89" i="53"/>
  <c r="M63" i="53"/>
  <c r="J69" i="53"/>
  <c r="E64" i="53"/>
  <c r="E65" i="53"/>
  <c r="F50" i="53"/>
  <c r="J51" i="53"/>
  <c r="D50" i="53"/>
  <c r="H42" i="53"/>
  <c r="H46" i="53"/>
  <c r="F51" i="53"/>
  <c r="M42" i="53"/>
  <c r="N50" i="53"/>
  <c r="H50" i="53"/>
  <c r="N43" i="53"/>
  <c r="M46" i="53"/>
  <c r="J50" i="53"/>
  <c r="H48" i="53"/>
  <c r="N52" i="53"/>
  <c r="M48" i="53"/>
  <c r="N44" i="53"/>
  <c r="H44" i="53"/>
  <c r="D46" i="53"/>
  <c r="M25" i="53"/>
  <c r="M28" i="53"/>
  <c r="N25" i="53"/>
  <c r="H29" i="53"/>
  <c r="K34" i="53"/>
  <c r="H27" i="53"/>
  <c r="H31" i="53"/>
  <c r="M34" i="53"/>
  <c r="M24" i="53"/>
  <c r="M27" i="53"/>
  <c r="K31" i="53"/>
  <c r="E25" i="53"/>
  <c r="N28" i="53"/>
  <c r="M31" i="53"/>
  <c r="G25" i="53"/>
  <c r="E28" i="53"/>
  <c r="K33" i="53"/>
  <c r="I30" i="53"/>
  <c r="H25" i="53"/>
  <c r="E33" i="53"/>
  <c r="K15" i="53"/>
  <c r="K9" i="53"/>
  <c r="K8" i="53"/>
  <c r="K7" i="53"/>
  <c r="J7" i="53"/>
  <c r="G13" i="53"/>
  <c r="H13" i="53"/>
  <c r="J15" i="53"/>
  <c r="H6" i="53"/>
  <c r="J9" i="53"/>
  <c r="G14" i="51"/>
  <c r="H15" i="51"/>
  <c r="L5" i="51"/>
  <c r="L13" i="51" s="1"/>
  <c r="M12" i="51"/>
  <c r="G52" i="53"/>
  <c r="G42" i="53"/>
  <c r="G50" i="53"/>
  <c r="G51" i="53"/>
  <c r="G48" i="53"/>
  <c r="G45" i="53"/>
  <c r="I9" i="53"/>
  <c r="I12" i="53"/>
  <c r="I14" i="53"/>
  <c r="I13" i="53"/>
  <c r="J16" i="53"/>
  <c r="I16" i="53"/>
  <c r="H16" i="53"/>
  <c r="G16" i="53"/>
  <c r="F16" i="53"/>
  <c r="H126" i="53"/>
  <c r="H123" i="53"/>
  <c r="H119" i="53"/>
  <c r="H122" i="53"/>
  <c r="H118" i="53"/>
  <c r="N5" i="53"/>
  <c r="H12" i="53"/>
  <c r="D16" i="53"/>
  <c r="D26" i="53"/>
  <c r="N12" i="53"/>
  <c r="I6" i="53"/>
  <c r="J8" i="53"/>
  <c r="I8" i="53"/>
  <c r="H8" i="53"/>
  <c r="G8" i="53"/>
  <c r="N8" i="53"/>
  <c r="F8" i="53"/>
  <c r="K16" i="53"/>
  <c r="H24" i="53"/>
  <c r="K24" i="53"/>
  <c r="J24" i="53"/>
  <c r="I24" i="53"/>
  <c r="G24" i="53"/>
  <c r="D23" i="53"/>
  <c r="N24" i="53"/>
  <c r="E24" i="53"/>
  <c r="J26" i="53"/>
  <c r="K26" i="53"/>
  <c r="I26" i="53"/>
  <c r="H26" i="53"/>
  <c r="F23" i="53"/>
  <c r="F24" i="53" s="1"/>
  <c r="G26" i="53"/>
  <c r="N26" i="53"/>
  <c r="E26" i="53"/>
  <c r="F13" i="53"/>
  <c r="F9" i="53"/>
  <c r="F10" i="53"/>
  <c r="I15" i="53"/>
  <c r="H15" i="53"/>
  <c r="G15" i="53"/>
  <c r="M5" i="53"/>
  <c r="M11" i="53" s="1"/>
  <c r="N15" i="53"/>
  <c r="F15" i="53"/>
  <c r="I28" i="53"/>
  <c r="I27" i="53"/>
  <c r="I29" i="53"/>
  <c r="M26" i="53"/>
  <c r="J33" i="53"/>
  <c r="J28" i="53"/>
  <c r="J34" i="53"/>
  <c r="J27" i="53"/>
  <c r="J29" i="53"/>
  <c r="J25" i="53"/>
  <c r="J32" i="53"/>
  <c r="H32" i="53"/>
  <c r="G32" i="53"/>
  <c r="K32" i="53"/>
  <c r="I32" i="53"/>
  <c r="E32" i="53"/>
  <c r="L23" i="53"/>
  <c r="L26" i="53" s="1"/>
  <c r="D32" i="53"/>
  <c r="J49" i="53"/>
  <c r="G49" i="53"/>
  <c r="N49" i="53"/>
  <c r="M49" i="53"/>
  <c r="D49" i="53"/>
  <c r="K41" i="53"/>
  <c r="K51" i="53" s="1"/>
  <c r="L49" i="53"/>
  <c r="H49" i="53"/>
  <c r="F49" i="53"/>
  <c r="G64" i="53"/>
  <c r="G69" i="53"/>
  <c r="G63" i="53"/>
  <c r="G61" i="53"/>
  <c r="G70" i="53"/>
  <c r="G66" i="53"/>
  <c r="I7" i="53"/>
  <c r="H7" i="53"/>
  <c r="G7" i="53"/>
  <c r="E5" i="53"/>
  <c r="E16" i="53" s="1"/>
  <c r="N7" i="53"/>
  <c r="F7" i="53"/>
  <c r="H14" i="53"/>
  <c r="M32" i="53"/>
  <c r="N32" i="53"/>
  <c r="N45" i="53"/>
  <c r="F45" i="53"/>
  <c r="H45" i="53"/>
  <c r="M45" i="53"/>
  <c r="D45" i="53"/>
  <c r="K45" i="53"/>
  <c r="J45" i="53"/>
  <c r="L45" i="53"/>
  <c r="H47" i="53"/>
  <c r="G47" i="53"/>
  <c r="N47" i="53"/>
  <c r="M47" i="53"/>
  <c r="D47" i="53"/>
  <c r="K47" i="53"/>
  <c r="J47" i="53"/>
  <c r="L47" i="53"/>
  <c r="I41" i="53"/>
  <c r="I45" i="53" s="1"/>
  <c r="F47" i="53"/>
  <c r="K50" i="53"/>
  <c r="K6" i="53"/>
  <c r="G10" i="53"/>
  <c r="J13" i="53"/>
  <c r="K14" i="53"/>
  <c r="G28" i="53"/>
  <c r="K30" i="53"/>
  <c r="G68" i="53"/>
  <c r="M68" i="53"/>
  <c r="E68" i="53"/>
  <c r="J68" i="53"/>
  <c r="K68" i="53"/>
  <c r="L59" i="53"/>
  <c r="L67" i="53" s="1"/>
  <c r="H68" i="53"/>
  <c r="D68" i="53"/>
  <c r="H10" i="53"/>
  <c r="I11" i="53"/>
  <c r="K13" i="53"/>
  <c r="K25" i="53"/>
  <c r="I31" i="53"/>
  <c r="G31" i="53"/>
  <c r="N31" i="53"/>
  <c r="G34" i="53"/>
  <c r="D5" i="53"/>
  <c r="D14" i="53" s="1"/>
  <c r="L5" i="53"/>
  <c r="M6" i="53"/>
  <c r="H9" i="53"/>
  <c r="I10" i="53"/>
  <c r="J11" i="53"/>
  <c r="K12" i="53"/>
  <c r="D13" i="53"/>
  <c r="L13" i="53"/>
  <c r="M14" i="53"/>
  <c r="I25" i="53"/>
  <c r="D31" i="53"/>
  <c r="K70" i="53"/>
  <c r="K61" i="53"/>
  <c r="K69" i="53"/>
  <c r="K108" i="53"/>
  <c r="K98" i="53"/>
  <c r="K102" i="53"/>
  <c r="F6" i="53"/>
  <c r="N6" i="53"/>
  <c r="J10" i="53"/>
  <c r="K11" i="53"/>
  <c r="F14" i="53"/>
  <c r="N14" i="53"/>
  <c r="K27" i="53"/>
  <c r="N29" i="53"/>
  <c r="H30" i="53"/>
  <c r="N30" i="53"/>
  <c r="M30" i="53"/>
  <c r="E30" i="53"/>
  <c r="K10" i="53"/>
  <c r="G14" i="53"/>
  <c r="J43" i="53"/>
  <c r="H43" i="53"/>
  <c r="G43" i="53"/>
  <c r="E41" i="53"/>
  <c r="E43" i="53" s="1"/>
  <c r="M43" i="53"/>
  <c r="L43" i="53"/>
  <c r="D43" i="53"/>
  <c r="E11" i="53"/>
  <c r="F12" i="53"/>
  <c r="H34" i="53"/>
  <c r="H33" i="53"/>
  <c r="N27" i="53"/>
  <c r="G29" i="53"/>
  <c r="M29" i="53"/>
  <c r="E29" i="53"/>
  <c r="D29" i="53"/>
  <c r="G30" i="53"/>
  <c r="J31" i="53"/>
  <c r="F43" i="53"/>
  <c r="D64" i="53"/>
  <c r="D66" i="53"/>
  <c r="D70" i="53"/>
  <c r="D67" i="53"/>
  <c r="K67" i="53"/>
  <c r="H67" i="53"/>
  <c r="J67" i="53"/>
  <c r="G67" i="53"/>
  <c r="E67" i="53"/>
  <c r="K28" i="53"/>
  <c r="K42" i="53"/>
  <c r="F44" i="53"/>
  <c r="E46" i="53"/>
  <c r="N46" i="53"/>
  <c r="N48" i="53"/>
  <c r="H51" i="53"/>
  <c r="E62" i="53"/>
  <c r="G65" i="53"/>
  <c r="H66" i="53"/>
  <c r="H121" i="53"/>
  <c r="N121" i="53"/>
  <c r="F121" i="53"/>
  <c r="K121" i="53"/>
  <c r="G121" i="53"/>
  <c r="D121" i="53"/>
  <c r="I115" i="53"/>
  <c r="D28" i="53"/>
  <c r="L28" i="53"/>
  <c r="I33" i="53"/>
  <c r="I34" i="53"/>
  <c r="D42" i="53"/>
  <c r="L42" i="53"/>
  <c r="G44" i="53"/>
  <c r="F46" i="53"/>
  <c r="F48" i="53"/>
  <c r="L52" i="53"/>
  <c r="D52" i="53"/>
  <c r="M52" i="53"/>
  <c r="J61" i="53"/>
  <c r="K64" i="53"/>
  <c r="H65" i="53"/>
  <c r="H70" i="53"/>
  <c r="E70" i="53"/>
  <c r="N59" i="53"/>
  <c r="N68" i="53" s="1"/>
  <c r="E88" i="53"/>
  <c r="E81" i="53"/>
  <c r="E80" i="53"/>
  <c r="E90" i="53"/>
  <c r="L121" i="53"/>
  <c r="F88" i="53"/>
  <c r="F90" i="53"/>
  <c r="F42" i="53"/>
  <c r="F52" i="53"/>
  <c r="K62" i="53"/>
  <c r="J63" i="53"/>
  <c r="H63" i="53"/>
  <c r="K63" i="53"/>
  <c r="K65" i="53"/>
  <c r="G81" i="53"/>
  <c r="G80" i="53"/>
  <c r="G90" i="53"/>
  <c r="G83" i="53"/>
  <c r="N107" i="53"/>
  <c r="J107" i="53"/>
  <c r="I107" i="53"/>
  <c r="L107" i="53"/>
  <c r="M97" i="53"/>
  <c r="M107" i="53" s="1"/>
  <c r="G107" i="53"/>
  <c r="K107" i="53"/>
  <c r="H107" i="53"/>
  <c r="J48" i="53"/>
  <c r="L51" i="53"/>
  <c r="D51" i="53"/>
  <c r="M51" i="53"/>
  <c r="G60" i="53"/>
  <c r="M60" i="53"/>
  <c r="E60" i="53"/>
  <c r="D60" i="53"/>
  <c r="K60" i="53"/>
  <c r="D63" i="53"/>
  <c r="H69" i="53"/>
  <c r="N69" i="53"/>
  <c r="D69" i="53"/>
  <c r="H90" i="53"/>
  <c r="H89" i="53"/>
  <c r="H88" i="53"/>
  <c r="H81" i="53"/>
  <c r="H85" i="53"/>
  <c r="G85" i="53"/>
  <c r="I79" i="53"/>
  <c r="I82" i="53" s="1"/>
  <c r="L85" i="53"/>
  <c r="N85" i="53"/>
  <c r="M85" i="53"/>
  <c r="F85" i="53"/>
  <c r="I117" i="53"/>
  <c r="L117" i="53"/>
  <c r="D117" i="53"/>
  <c r="K117" i="53"/>
  <c r="H117" i="53"/>
  <c r="G117" i="53"/>
  <c r="F117" i="53"/>
  <c r="E115" i="53"/>
  <c r="E126" i="53" s="1"/>
  <c r="N117" i="53"/>
  <c r="F87" i="53"/>
  <c r="M44" i="53"/>
  <c r="L44" i="53"/>
  <c r="G46" i="53"/>
  <c r="L46" i="53"/>
  <c r="L48" i="53"/>
  <c r="G62" i="53"/>
  <c r="L62" i="53"/>
  <c r="H62" i="53"/>
  <c r="F59" i="53"/>
  <c r="F67" i="53" s="1"/>
  <c r="D65" i="53"/>
  <c r="J65" i="53"/>
  <c r="I59" i="53"/>
  <c r="I67" i="53" s="1"/>
  <c r="M65" i="53"/>
  <c r="F80" i="53"/>
  <c r="M82" i="53"/>
  <c r="E82" i="53"/>
  <c r="L82" i="53"/>
  <c r="D82" i="53"/>
  <c r="G82" i="53"/>
  <c r="F82" i="53"/>
  <c r="N82" i="53"/>
  <c r="G88" i="53"/>
  <c r="J99" i="53"/>
  <c r="L120" i="53"/>
  <c r="D120" i="53"/>
  <c r="H120" i="53"/>
  <c r="G120" i="53"/>
  <c r="N120" i="53"/>
  <c r="K120" i="53"/>
  <c r="F120" i="53"/>
  <c r="I120" i="53"/>
  <c r="K140" i="53"/>
  <c r="N80" i="53"/>
  <c r="J79" i="53"/>
  <c r="H86" i="53"/>
  <c r="J86" i="53"/>
  <c r="F86" i="53"/>
  <c r="D88" i="53"/>
  <c r="H98" i="53"/>
  <c r="H99" i="53"/>
  <c r="G99" i="53"/>
  <c r="E97" i="53"/>
  <c r="E107" i="53" s="1"/>
  <c r="L99" i="53"/>
  <c r="K99" i="53"/>
  <c r="I99" i="53"/>
  <c r="L84" i="53"/>
  <c r="E86" i="53"/>
  <c r="E99" i="53"/>
  <c r="H108" i="53"/>
  <c r="D141" i="53"/>
  <c r="J141" i="53"/>
  <c r="G141" i="53"/>
  <c r="M141" i="53"/>
  <c r="E141" i="53"/>
  <c r="N141" i="53"/>
  <c r="K141" i="53"/>
  <c r="H61" i="53"/>
  <c r="M61" i="53"/>
  <c r="M66" i="53"/>
  <c r="D84" i="53"/>
  <c r="G86" i="53"/>
  <c r="J87" i="53"/>
  <c r="H87" i="53"/>
  <c r="G87" i="53"/>
  <c r="E87" i="53"/>
  <c r="K79" i="53"/>
  <c r="K82" i="53" s="1"/>
  <c r="I104" i="53"/>
  <c r="I101" i="53"/>
  <c r="K100" i="53"/>
  <c r="F141" i="53"/>
  <c r="K66" i="53"/>
  <c r="J84" i="53"/>
  <c r="K88" i="53"/>
  <c r="I102" i="53"/>
  <c r="L102" i="53"/>
  <c r="M102" i="53"/>
  <c r="H102" i="53"/>
  <c r="L105" i="53"/>
  <c r="D105" i="53"/>
  <c r="H105" i="53"/>
  <c r="G105" i="53"/>
  <c r="K105" i="53"/>
  <c r="I105" i="53"/>
  <c r="M106" i="53"/>
  <c r="E106" i="53"/>
  <c r="I106" i="53"/>
  <c r="H106" i="53"/>
  <c r="N106" i="53"/>
  <c r="K106" i="53"/>
  <c r="L108" i="53"/>
  <c r="N124" i="53"/>
  <c r="N116" i="53"/>
  <c r="N125" i="53"/>
  <c r="E66" i="53"/>
  <c r="N83" i="53"/>
  <c r="F83" i="53"/>
  <c r="M83" i="53"/>
  <c r="E83" i="53"/>
  <c r="D97" i="53"/>
  <c r="D102" i="53" s="1"/>
  <c r="L104" i="53"/>
  <c r="F124" i="53"/>
  <c r="G84" i="53"/>
  <c r="N84" i="53"/>
  <c r="F84" i="53"/>
  <c r="M84" i="53"/>
  <c r="K89" i="53"/>
  <c r="G98" i="53"/>
  <c r="N98" i="53"/>
  <c r="M98" i="53"/>
  <c r="G102" i="53"/>
  <c r="J103" i="53"/>
  <c r="M103" i="53"/>
  <c r="E103" i="53"/>
  <c r="K103" i="53"/>
  <c r="H103" i="53"/>
  <c r="G103" i="53"/>
  <c r="G106" i="53"/>
  <c r="I125" i="53"/>
  <c r="D125" i="53"/>
  <c r="K81" i="53"/>
  <c r="J88" i="53"/>
  <c r="J89" i="53"/>
  <c r="H100" i="53"/>
  <c r="F125" i="53"/>
  <c r="G138" i="53"/>
  <c r="N138" i="53"/>
  <c r="F138" i="53"/>
  <c r="M138" i="53"/>
  <c r="E138" i="53"/>
  <c r="H133" i="53"/>
  <c r="H141" i="53" s="1"/>
  <c r="J138" i="53"/>
  <c r="D81" i="53"/>
  <c r="D90" i="53"/>
  <c r="F97" i="53"/>
  <c r="F105" i="53" s="1"/>
  <c r="I100" i="53"/>
  <c r="N108" i="53"/>
  <c r="I108" i="53"/>
  <c r="G125" i="53"/>
  <c r="N135" i="53"/>
  <c r="N143" i="53"/>
  <c r="N144" i="53"/>
  <c r="L116" i="53"/>
  <c r="N122" i="53"/>
  <c r="F122" i="53"/>
  <c r="I122" i="53"/>
  <c r="J115" i="53"/>
  <c r="J118" i="53" s="1"/>
  <c r="G122" i="53"/>
  <c r="H125" i="53"/>
  <c r="D124" i="53"/>
  <c r="D116" i="53"/>
  <c r="D119" i="53"/>
  <c r="M115" i="53"/>
  <c r="M117" i="53" s="1"/>
  <c r="H116" i="53"/>
  <c r="D122" i="53"/>
  <c r="H124" i="53"/>
  <c r="K125" i="53"/>
  <c r="K118" i="53"/>
  <c r="K126" i="53"/>
  <c r="F134" i="53"/>
  <c r="N134" i="53"/>
  <c r="K139" i="53"/>
  <c r="F142" i="53"/>
  <c r="N142" i="53"/>
  <c r="K101" i="53"/>
  <c r="N104" i="53"/>
  <c r="K116" i="53"/>
  <c r="F119" i="53"/>
  <c r="N119" i="53"/>
  <c r="J123" i="53"/>
  <c r="K124" i="53"/>
  <c r="J136" i="53"/>
  <c r="K137" i="53"/>
  <c r="E139" i="53"/>
  <c r="M139" i="53"/>
  <c r="F140" i="53"/>
  <c r="N140" i="53"/>
  <c r="F118" i="53"/>
  <c r="N118" i="53"/>
  <c r="K123" i="53"/>
  <c r="F126" i="53"/>
  <c r="N126" i="53"/>
  <c r="J135" i="53"/>
  <c r="K136" i="53"/>
  <c r="F139" i="53"/>
  <c r="N139" i="53"/>
  <c r="J143" i="53"/>
  <c r="J144" i="53"/>
  <c r="I133" i="53"/>
  <c r="I135" i="53" s="1"/>
  <c r="J134" i="53"/>
  <c r="K135" i="53"/>
  <c r="G139" i="53"/>
  <c r="J142" i="53"/>
  <c r="K143" i="53"/>
  <c r="K144" i="53"/>
  <c r="K134" i="53"/>
  <c r="K142" i="53"/>
  <c r="D133" i="53"/>
  <c r="L133" i="53"/>
  <c r="L138" i="53" s="1"/>
  <c r="E134" i="53"/>
  <c r="F135" i="53"/>
  <c r="E142" i="53"/>
  <c r="F143" i="53"/>
  <c r="F144" i="53"/>
  <c r="F140" i="51"/>
  <c r="F137" i="51"/>
  <c r="L117" i="51"/>
  <c r="L122" i="51"/>
  <c r="K116" i="51"/>
  <c r="K122" i="51"/>
  <c r="G123" i="51"/>
  <c r="F125" i="51"/>
  <c r="G118" i="51"/>
  <c r="G119" i="51"/>
  <c r="N102" i="51"/>
  <c r="G105" i="51"/>
  <c r="H90" i="51"/>
  <c r="I80" i="51"/>
  <c r="D81" i="51"/>
  <c r="D90" i="51"/>
  <c r="I82" i="51"/>
  <c r="G83" i="51"/>
  <c r="G134" i="51"/>
  <c r="K9" i="51"/>
  <c r="K10" i="51"/>
  <c r="G139" i="51"/>
  <c r="G141" i="51"/>
  <c r="G138" i="51"/>
  <c r="H138" i="51"/>
  <c r="H135" i="51"/>
  <c r="K68" i="51"/>
  <c r="M10" i="51"/>
  <c r="M24" i="51"/>
  <c r="N48" i="51"/>
  <c r="G84" i="51"/>
  <c r="D87" i="51"/>
  <c r="K103" i="51"/>
  <c r="G143" i="51"/>
  <c r="H67" i="51"/>
  <c r="G51" i="51"/>
  <c r="N59" i="51"/>
  <c r="H84" i="51"/>
  <c r="I97" i="51"/>
  <c r="I107" i="51" s="1"/>
  <c r="M32" i="51"/>
  <c r="G15" i="51"/>
  <c r="G52" i="51"/>
  <c r="N79" i="51"/>
  <c r="N82" i="51" s="1"/>
  <c r="D82" i="51"/>
  <c r="F123" i="51"/>
  <c r="H52" i="51"/>
  <c r="N44" i="51"/>
  <c r="H47" i="51"/>
  <c r="K97" i="51"/>
  <c r="K99" i="51" s="1"/>
  <c r="D80" i="51"/>
  <c r="D85" i="51"/>
  <c r="D89" i="51"/>
  <c r="D125" i="51"/>
  <c r="K123" i="51"/>
  <c r="G80" i="51"/>
  <c r="G116" i="51"/>
  <c r="K141" i="51"/>
  <c r="N13" i="51"/>
  <c r="G98" i="51"/>
  <c r="G124" i="51"/>
  <c r="L59" i="51"/>
  <c r="L70" i="51" s="1"/>
  <c r="K67" i="51"/>
  <c r="E67" i="51"/>
  <c r="H61" i="51"/>
  <c r="H68" i="51"/>
  <c r="H62" i="51"/>
  <c r="K62" i="51"/>
  <c r="H69" i="51"/>
  <c r="D59" i="51"/>
  <c r="M45" i="51"/>
  <c r="M46" i="51"/>
  <c r="G47" i="51"/>
  <c r="G45" i="51"/>
  <c r="J52" i="51"/>
  <c r="N45" i="51"/>
  <c r="G48" i="51"/>
  <c r="J41" i="51"/>
  <c r="J42" i="51" s="1"/>
  <c r="K25" i="51"/>
  <c r="K29" i="51"/>
  <c r="K30" i="51"/>
  <c r="K24" i="51"/>
  <c r="M29" i="51"/>
  <c r="M30" i="51"/>
  <c r="E31" i="51"/>
  <c r="F31" i="51"/>
  <c r="N24" i="51"/>
  <c r="E26" i="51"/>
  <c r="N27" i="51"/>
  <c r="N14" i="51"/>
  <c r="N15" i="51"/>
  <c r="N7" i="51"/>
  <c r="N11" i="51"/>
  <c r="K16" i="51"/>
  <c r="K8" i="51"/>
  <c r="L12" i="51"/>
  <c r="G16" i="51"/>
  <c r="H8" i="51"/>
  <c r="K13" i="51"/>
  <c r="H16" i="51"/>
  <c r="N6" i="51"/>
  <c r="H6" i="51"/>
  <c r="D5" i="51"/>
  <c r="D12" i="51" s="1"/>
  <c r="E12" i="51"/>
  <c r="M28" i="51"/>
  <c r="E28" i="51"/>
  <c r="I28" i="51"/>
  <c r="G28" i="51"/>
  <c r="I31" i="51"/>
  <c r="F70" i="51"/>
  <c r="F69" i="51"/>
  <c r="F67" i="51"/>
  <c r="F61" i="51"/>
  <c r="E118" i="51"/>
  <c r="E123" i="51"/>
  <c r="E116" i="51"/>
  <c r="E126" i="51"/>
  <c r="E124" i="51"/>
  <c r="E119" i="51"/>
  <c r="F5" i="51"/>
  <c r="G7" i="51"/>
  <c r="G13" i="51"/>
  <c r="H14" i="51"/>
  <c r="I25" i="51"/>
  <c r="M27" i="51"/>
  <c r="H46" i="51"/>
  <c r="H51" i="51"/>
  <c r="H48" i="51"/>
  <c r="F60" i="51"/>
  <c r="H7" i="51"/>
  <c r="L9" i="51"/>
  <c r="H10" i="51"/>
  <c r="G10" i="51"/>
  <c r="N10" i="51"/>
  <c r="E11" i="51"/>
  <c r="G12" i="51"/>
  <c r="H13" i="51"/>
  <c r="M26" i="51"/>
  <c r="M31" i="51"/>
  <c r="F28" i="51"/>
  <c r="I45" i="51"/>
  <c r="I50" i="51"/>
  <c r="I48" i="51"/>
  <c r="I24" i="51"/>
  <c r="G24" i="51"/>
  <c r="D23" i="51"/>
  <c r="D30" i="51" s="1"/>
  <c r="F24" i="51"/>
  <c r="E24" i="51"/>
  <c r="K28" i="51"/>
  <c r="I29" i="51"/>
  <c r="N29" i="51"/>
  <c r="F29" i="51"/>
  <c r="G29" i="51"/>
  <c r="E29" i="51"/>
  <c r="G63" i="51"/>
  <c r="M63" i="51"/>
  <c r="E63" i="51"/>
  <c r="D63" i="51"/>
  <c r="K63" i="51"/>
  <c r="J63" i="51"/>
  <c r="H63" i="51"/>
  <c r="F63" i="51"/>
  <c r="G59" i="51"/>
  <c r="F142" i="51"/>
  <c r="H142" i="51"/>
  <c r="K142" i="51"/>
  <c r="I142" i="51"/>
  <c r="G142" i="51"/>
  <c r="L133" i="51"/>
  <c r="L142" i="51" s="1"/>
  <c r="E6" i="51"/>
  <c r="H11" i="51"/>
  <c r="G11" i="51"/>
  <c r="I5" i="51"/>
  <c r="I11" i="51" s="1"/>
  <c r="K12" i="51"/>
  <c r="M14" i="51"/>
  <c r="G9" i="51"/>
  <c r="N9" i="51"/>
  <c r="M9" i="51"/>
  <c r="E9" i="51"/>
  <c r="E10" i="51"/>
  <c r="M13" i="51"/>
  <c r="N16" i="51"/>
  <c r="M16" i="51"/>
  <c r="E16" i="51"/>
  <c r="D16" i="51"/>
  <c r="G26" i="51"/>
  <c r="M34" i="51"/>
  <c r="E34" i="51"/>
  <c r="K34" i="51"/>
  <c r="I34" i="51"/>
  <c r="G34" i="51"/>
  <c r="F34" i="51"/>
  <c r="L15" i="51"/>
  <c r="L7" i="51"/>
  <c r="M6" i="51"/>
  <c r="K11" i="51"/>
  <c r="L14" i="51"/>
  <c r="M15" i="51"/>
  <c r="G27" i="51"/>
  <c r="K27" i="51"/>
  <c r="I27" i="51"/>
  <c r="N28" i="51"/>
  <c r="N8" i="51"/>
  <c r="M8" i="51"/>
  <c r="E8" i="51"/>
  <c r="L8" i="51"/>
  <c r="I12" i="51"/>
  <c r="J5" i="51"/>
  <c r="J6" i="51" s="1"/>
  <c r="H12" i="51"/>
  <c r="N12" i="51"/>
  <c r="E14" i="51"/>
  <c r="E27" i="51"/>
  <c r="G30" i="51"/>
  <c r="I30" i="51"/>
  <c r="F30" i="51"/>
  <c r="E30" i="51"/>
  <c r="N30" i="51"/>
  <c r="J23" i="51"/>
  <c r="J34" i="51" s="1"/>
  <c r="F32" i="51"/>
  <c r="F33" i="51"/>
  <c r="D103" i="51"/>
  <c r="D99" i="51"/>
  <c r="D101" i="51"/>
  <c r="D107" i="51"/>
  <c r="D105" i="51"/>
  <c r="D15" i="51"/>
  <c r="M7" i="51"/>
  <c r="G8" i="51"/>
  <c r="M11" i="51"/>
  <c r="H23" i="51"/>
  <c r="H30" i="51" s="1"/>
  <c r="G25" i="51"/>
  <c r="F27" i="51"/>
  <c r="G31" i="51"/>
  <c r="G32" i="51"/>
  <c r="N34" i="51"/>
  <c r="G49" i="51"/>
  <c r="M49" i="51"/>
  <c r="J49" i="51"/>
  <c r="I49" i="51"/>
  <c r="H49" i="51"/>
  <c r="K41" i="51"/>
  <c r="K49" i="51" s="1"/>
  <c r="I42" i="51"/>
  <c r="G43" i="51"/>
  <c r="H50" i="51"/>
  <c r="M50" i="51"/>
  <c r="L41" i="51"/>
  <c r="L42" i="51" s="1"/>
  <c r="N50" i="51"/>
  <c r="G60" i="51"/>
  <c r="J62" i="51"/>
  <c r="E65" i="51"/>
  <c r="J67" i="51"/>
  <c r="M68" i="51"/>
  <c r="H83" i="51"/>
  <c r="K102" i="51"/>
  <c r="N106" i="51"/>
  <c r="G106" i="51"/>
  <c r="L97" i="51"/>
  <c r="L104" i="51" s="1"/>
  <c r="D106" i="51"/>
  <c r="M106" i="51"/>
  <c r="J107" i="51"/>
  <c r="F118" i="51"/>
  <c r="F126" i="51"/>
  <c r="F124" i="51"/>
  <c r="F119" i="51"/>
  <c r="L125" i="51"/>
  <c r="K125" i="51"/>
  <c r="E125" i="51"/>
  <c r="M115" i="51"/>
  <c r="M123" i="51" s="1"/>
  <c r="N125" i="51"/>
  <c r="M125" i="51"/>
  <c r="G125" i="51"/>
  <c r="K7" i="51"/>
  <c r="J14" i="51"/>
  <c r="K15" i="51"/>
  <c r="M25" i="51"/>
  <c r="E25" i="51"/>
  <c r="N25" i="51"/>
  <c r="H33" i="51"/>
  <c r="H43" i="51"/>
  <c r="I51" i="51"/>
  <c r="N51" i="51"/>
  <c r="M51" i="51"/>
  <c r="H60" i="51"/>
  <c r="F65" i="51"/>
  <c r="J66" i="51"/>
  <c r="H66" i="51"/>
  <c r="K66" i="51"/>
  <c r="G66" i="51"/>
  <c r="F66" i="51"/>
  <c r="E68" i="51"/>
  <c r="M70" i="51"/>
  <c r="J82" i="51"/>
  <c r="H82" i="51"/>
  <c r="F79" i="51"/>
  <c r="F86" i="51" s="1"/>
  <c r="G82" i="51"/>
  <c r="H85" i="51"/>
  <c r="D86" i="51"/>
  <c r="I86" i="51"/>
  <c r="H86" i="51"/>
  <c r="H89" i="51"/>
  <c r="G108" i="51"/>
  <c r="N108" i="51"/>
  <c r="D108" i="51"/>
  <c r="J108" i="51"/>
  <c r="F143" i="51"/>
  <c r="F139" i="51"/>
  <c r="F136" i="51"/>
  <c r="K6" i="51"/>
  <c r="K14" i="51"/>
  <c r="K31" i="51"/>
  <c r="K32" i="51"/>
  <c r="I33" i="51"/>
  <c r="J43" i="51"/>
  <c r="H44" i="51"/>
  <c r="I46" i="51"/>
  <c r="N46" i="51"/>
  <c r="K60" i="51"/>
  <c r="J64" i="51"/>
  <c r="K65" i="51"/>
  <c r="D66" i="51"/>
  <c r="M67" i="51"/>
  <c r="D70" i="51"/>
  <c r="N98" i="51"/>
  <c r="J98" i="51"/>
  <c r="K98" i="51"/>
  <c r="G117" i="51"/>
  <c r="K117" i="51"/>
  <c r="E117" i="51"/>
  <c r="D117" i="51"/>
  <c r="N121" i="51"/>
  <c r="F121" i="51"/>
  <c r="I115" i="51"/>
  <c r="I116" i="51" s="1"/>
  <c r="G121" i="51"/>
  <c r="L121" i="51"/>
  <c r="K121" i="51"/>
  <c r="E121" i="51"/>
  <c r="D121" i="51"/>
  <c r="E7" i="51"/>
  <c r="E15" i="51"/>
  <c r="L23" i="51"/>
  <c r="F25" i="51"/>
  <c r="N26" i="51"/>
  <c r="K33" i="51"/>
  <c r="E41" i="51"/>
  <c r="E50" i="51" s="1"/>
  <c r="I44" i="51"/>
  <c r="M47" i="51"/>
  <c r="J47" i="51"/>
  <c r="N47" i="51"/>
  <c r="G50" i="51"/>
  <c r="E51" i="51"/>
  <c r="I52" i="51"/>
  <c r="N52" i="51"/>
  <c r="M52" i="51"/>
  <c r="M60" i="51"/>
  <c r="M65" i="51"/>
  <c r="E66" i="51"/>
  <c r="I90" i="51"/>
  <c r="I85" i="51"/>
  <c r="J80" i="51"/>
  <c r="G86" i="51"/>
  <c r="I87" i="51"/>
  <c r="H87" i="51"/>
  <c r="J87" i="51"/>
  <c r="G87" i="51"/>
  <c r="K79" i="51"/>
  <c r="K81" i="51" s="1"/>
  <c r="J103" i="51"/>
  <c r="J99" i="51"/>
  <c r="J101" i="51"/>
  <c r="D98" i="51"/>
  <c r="N105" i="51"/>
  <c r="K106" i="51"/>
  <c r="I108" i="51"/>
  <c r="L126" i="51"/>
  <c r="L124" i="51"/>
  <c r="L123" i="51"/>
  <c r="L118" i="51"/>
  <c r="F117" i="51"/>
  <c r="I32" i="51"/>
  <c r="N32" i="51"/>
  <c r="F41" i="51"/>
  <c r="F43" i="51" s="1"/>
  <c r="H42" i="51"/>
  <c r="M42" i="51"/>
  <c r="D41" i="51"/>
  <c r="D49" i="51" s="1"/>
  <c r="N42" i="51"/>
  <c r="M61" i="51"/>
  <c r="E64" i="51"/>
  <c r="J90" i="51"/>
  <c r="J85" i="51"/>
  <c r="J86" i="51"/>
  <c r="J88" i="51"/>
  <c r="D88" i="51"/>
  <c r="I88" i="51"/>
  <c r="L79" i="51"/>
  <c r="L89" i="51" s="1"/>
  <c r="H88" i="51"/>
  <c r="J102" i="51"/>
  <c r="G102" i="51"/>
  <c r="D102" i="51"/>
  <c r="H97" i="51"/>
  <c r="H106" i="51" s="1"/>
  <c r="N104" i="51"/>
  <c r="N118" i="51"/>
  <c r="N116" i="51"/>
  <c r="N123" i="51"/>
  <c r="N126" i="51"/>
  <c r="E32" i="51"/>
  <c r="M33" i="51"/>
  <c r="E33" i="51"/>
  <c r="J33" i="51"/>
  <c r="N33" i="51"/>
  <c r="I43" i="51"/>
  <c r="N43" i="51"/>
  <c r="M43" i="51"/>
  <c r="D62" i="51"/>
  <c r="D67" i="51"/>
  <c r="L60" i="51"/>
  <c r="D60" i="51"/>
  <c r="J60" i="51"/>
  <c r="D61" i="51"/>
  <c r="E62" i="51"/>
  <c r="D69" i="51"/>
  <c r="N85" i="51"/>
  <c r="K83" i="51"/>
  <c r="N101" i="51"/>
  <c r="N99" i="51"/>
  <c r="N103" i="51"/>
  <c r="M120" i="51"/>
  <c r="E120" i="51"/>
  <c r="H115" i="51"/>
  <c r="H117" i="51" s="1"/>
  <c r="N120" i="51"/>
  <c r="D120" i="51"/>
  <c r="K120" i="51"/>
  <c r="I120" i="51"/>
  <c r="G120" i="51"/>
  <c r="L120" i="51"/>
  <c r="G44" i="51"/>
  <c r="M44" i="51"/>
  <c r="E60" i="51"/>
  <c r="G65" i="51"/>
  <c r="J65" i="51"/>
  <c r="I59" i="51"/>
  <c r="I63" i="51" s="1"/>
  <c r="H65" i="51"/>
  <c r="I81" i="51"/>
  <c r="G81" i="51"/>
  <c r="E79" i="51"/>
  <c r="E89" i="51" s="1"/>
  <c r="J81" i="51"/>
  <c r="H81" i="51"/>
  <c r="J89" i="51"/>
  <c r="G89" i="51"/>
  <c r="N89" i="51"/>
  <c r="M79" i="51"/>
  <c r="M80" i="51" s="1"/>
  <c r="I89" i="51"/>
  <c r="L98" i="51"/>
  <c r="D123" i="51"/>
  <c r="D118" i="51"/>
  <c r="D116" i="51"/>
  <c r="D126" i="51"/>
  <c r="N117" i="51"/>
  <c r="F120" i="51"/>
  <c r="N122" i="51"/>
  <c r="K26" i="51"/>
  <c r="H45" i="51"/>
  <c r="J61" i="51"/>
  <c r="F62" i="51"/>
  <c r="M62" i="51"/>
  <c r="D104" i="51"/>
  <c r="G104" i="51"/>
  <c r="K119" i="51"/>
  <c r="H136" i="51"/>
  <c r="I136" i="51"/>
  <c r="K136" i="51"/>
  <c r="G136" i="51"/>
  <c r="H137" i="51"/>
  <c r="K61" i="51"/>
  <c r="D68" i="51"/>
  <c r="J68" i="51"/>
  <c r="D84" i="51"/>
  <c r="J84" i="51"/>
  <c r="N84" i="51"/>
  <c r="K124" i="51"/>
  <c r="H141" i="51"/>
  <c r="H134" i="51"/>
  <c r="H139" i="51"/>
  <c r="K144" i="51"/>
  <c r="G144" i="51"/>
  <c r="F144" i="51"/>
  <c r="N144" i="51"/>
  <c r="I144" i="51"/>
  <c r="H144" i="51"/>
  <c r="N133" i="51"/>
  <c r="N134" i="51" s="1"/>
  <c r="I139" i="51"/>
  <c r="I138" i="51"/>
  <c r="I135" i="51"/>
  <c r="I134" i="51"/>
  <c r="F26" i="51"/>
  <c r="E61" i="51"/>
  <c r="G62" i="51"/>
  <c r="H64" i="51"/>
  <c r="F64" i="51"/>
  <c r="M64" i="51"/>
  <c r="F68" i="51"/>
  <c r="M69" i="51"/>
  <c r="H80" i="51"/>
  <c r="N80" i="51"/>
  <c r="K107" i="51"/>
  <c r="K105" i="51"/>
  <c r="H100" i="51"/>
  <c r="J100" i="51"/>
  <c r="F97" i="51"/>
  <c r="G100" i="51"/>
  <c r="N100" i="51"/>
  <c r="J104" i="51"/>
  <c r="G122" i="51"/>
  <c r="M122" i="51"/>
  <c r="D122" i="51"/>
  <c r="J115" i="51"/>
  <c r="J125" i="51" s="1"/>
  <c r="F122" i="51"/>
  <c r="E122" i="51"/>
  <c r="K143" i="51"/>
  <c r="K137" i="51"/>
  <c r="I67" i="51"/>
  <c r="K69" i="51"/>
  <c r="K70" i="51"/>
  <c r="I83" i="51"/>
  <c r="G99" i="51"/>
  <c r="E97" i="51"/>
  <c r="E105" i="51" s="1"/>
  <c r="L116" i="51"/>
  <c r="K118" i="51"/>
  <c r="I123" i="51"/>
  <c r="G135" i="51"/>
  <c r="E133" i="51"/>
  <c r="E136" i="51" s="1"/>
  <c r="K135" i="51"/>
  <c r="F135" i="51"/>
  <c r="N138" i="51"/>
  <c r="F138" i="51"/>
  <c r="F134" i="51"/>
  <c r="K134" i="51"/>
  <c r="E141" i="51"/>
  <c r="I141" i="51"/>
  <c r="F141" i="51"/>
  <c r="E69" i="51"/>
  <c r="E70" i="51"/>
  <c r="L105" i="51"/>
  <c r="G107" i="51"/>
  <c r="M97" i="51"/>
  <c r="M105" i="51" s="1"/>
  <c r="L119" i="51"/>
  <c r="D119" i="51"/>
  <c r="I119" i="51"/>
  <c r="N119" i="51"/>
  <c r="I124" i="51"/>
  <c r="M124" i="51"/>
  <c r="D124" i="51"/>
  <c r="N124" i="51"/>
  <c r="D133" i="51"/>
  <c r="D141" i="51" s="1"/>
  <c r="H140" i="51"/>
  <c r="K140" i="51"/>
  <c r="J133" i="51"/>
  <c r="J142" i="51" s="1"/>
  <c r="G140" i="51"/>
  <c r="K126" i="51"/>
  <c r="I137" i="51"/>
  <c r="G137" i="51"/>
  <c r="K139" i="51"/>
  <c r="M133" i="51"/>
  <c r="M137" i="51" s="1"/>
  <c r="H143" i="51"/>
  <c r="H243" i="50"/>
  <c r="F252" i="50"/>
  <c r="F247" i="50"/>
  <c r="F242" i="50"/>
  <c r="H242" i="50" s="1"/>
  <c r="F246" i="50"/>
  <c r="F253" i="50" s="1"/>
  <c r="F248" i="50"/>
  <c r="E221" i="50"/>
  <c r="F225" i="50"/>
  <c r="E223" i="50"/>
  <c r="E222" i="50"/>
  <c r="F223" i="50"/>
  <c r="F201" i="50"/>
  <c r="F200" i="50"/>
  <c r="E204" i="50"/>
  <c r="F202" i="50"/>
  <c r="E210" i="50"/>
  <c r="F210" i="50"/>
  <c r="F180" i="50"/>
  <c r="E182" i="50"/>
  <c r="E189" i="50"/>
  <c r="F167" i="50"/>
  <c r="F165" i="50"/>
  <c r="E160" i="50"/>
  <c r="E163" i="50"/>
  <c r="F160" i="50"/>
  <c r="F169" i="50" s="1"/>
  <c r="F163" i="50"/>
  <c r="E168" i="50"/>
  <c r="F164" i="50"/>
  <c r="F168" i="50"/>
  <c r="F137" i="50"/>
  <c r="F139" i="50"/>
  <c r="F138" i="50"/>
  <c r="F145" i="50"/>
  <c r="F143" i="50"/>
  <c r="F144" i="50"/>
  <c r="E123" i="50"/>
  <c r="E125" i="50"/>
  <c r="E97" i="50"/>
  <c r="F97" i="50"/>
  <c r="H97" i="50" s="1"/>
  <c r="E96" i="50"/>
  <c r="F96" i="50"/>
  <c r="E100" i="50"/>
  <c r="F98" i="50"/>
  <c r="E28" i="50"/>
  <c r="E9" i="50"/>
  <c r="F75" i="50"/>
  <c r="F81" i="50"/>
  <c r="F74" i="50"/>
  <c r="F78" i="50"/>
  <c r="F72" i="50"/>
  <c r="F76" i="50"/>
  <c r="F71" i="50"/>
  <c r="H71" i="50" s="1"/>
  <c r="F77" i="50"/>
  <c r="F80" i="50"/>
  <c r="F79" i="50"/>
  <c r="E253" i="50"/>
  <c r="E158" i="50"/>
  <c r="E162" i="50"/>
  <c r="E164" i="50"/>
  <c r="E167" i="50"/>
  <c r="E161" i="50"/>
  <c r="E166" i="50"/>
  <c r="E169" i="50" s="1"/>
  <c r="E231" i="50"/>
  <c r="E229" i="50"/>
  <c r="E142" i="50"/>
  <c r="E139" i="50"/>
  <c r="E143" i="50"/>
  <c r="E140" i="50"/>
  <c r="E147" i="50"/>
  <c r="E55" i="50"/>
  <c r="E56" i="50"/>
  <c r="E54" i="50"/>
  <c r="E53" i="50"/>
  <c r="E200" i="50"/>
  <c r="E29" i="50"/>
  <c r="E30" i="50"/>
  <c r="E38" i="50"/>
  <c r="E181" i="50"/>
  <c r="E105" i="50"/>
  <c r="E8" i="50"/>
  <c r="E10" i="50"/>
  <c r="E17" i="50"/>
  <c r="H158" i="50"/>
  <c r="F232" i="50"/>
  <c r="F54" i="50"/>
  <c r="F59" i="50"/>
  <c r="F50" i="50"/>
  <c r="F49" i="50"/>
  <c r="F60" i="50"/>
  <c r="F52" i="50"/>
  <c r="F58" i="50"/>
  <c r="F51" i="50"/>
  <c r="F57" i="50"/>
  <c r="F53" i="50"/>
  <c r="F55" i="50"/>
  <c r="F56" i="50"/>
  <c r="F10" i="50"/>
  <c r="F13" i="50"/>
  <c r="F16" i="50"/>
  <c r="F15" i="50"/>
  <c r="F14" i="50"/>
  <c r="F7" i="50"/>
  <c r="F12" i="50"/>
  <c r="F11" i="50"/>
  <c r="F17" i="50"/>
  <c r="F9" i="50"/>
  <c r="E74" i="50"/>
  <c r="E70" i="50"/>
  <c r="E77" i="50"/>
  <c r="E71" i="50"/>
  <c r="E81" i="50"/>
  <c r="E78" i="50"/>
  <c r="E79" i="50"/>
  <c r="E80" i="50"/>
  <c r="E75" i="50"/>
  <c r="E76" i="50"/>
  <c r="E72" i="50"/>
  <c r="F30" i="50"/>
  <c r="F34" i="50"/>
  <c r="F31" i="50"/>
  <c r="F27" i="50"/>
  <c r="H27" i="50" s="1"/>
  <c r="F36" i="50"/>
  <c r="F37" i="50"/>
  <c r="F35" i="50"/>
  <c r="F33" i="50"/>
  <c r="F32" i="50"/>
  <c r="F38" i="50"/>
  <c r="F29" i="50"/>
  <c r="E11" i="50"/>
  <c r="E12" i="50"/>
  <c r="E32" i="50"/>
  <c r="E57" i="50"/>
  <c r="E95" i="50"/>
  <c r="F100" i="50"/>
  <c r="E102" i="50"/>
  <c r="F121" i="50"/>
  <c r="F123" i="50"/>
  <c r="G158" i="50"/>
  <c r="I158" i="50" s="1"/>
  <c r="F181" i="50"/>
  <c r="E184" i="50"/>
  <c r="F189" i="50"/>
  <c r="E205" i="50"/>
  <c r="F204" i="50"/>
  <c r="E207" i="50"/>
  <c r="E7" i="50"/>
  <c r="E14" i="50"/>
  <c r="E33" i="50"/>
  <c r="E35" i="50"/>
  <c r="E51" i="50"/>
  <c r="E58" i="50"/>
  <c r="F95" i="50"/>
  <c r="H95" i="50" s="1"/>
  <c r="H96" i="50" s="1"/>
  <c r="E103" i="50"/>
  <c r="F102" i="50"/>
  <c r="F125" i="50"/>
  <c r="F146" i="50"/>
  <c r="E179" i="50"/>
  <c r="F184" i="50"/>
  <c r="E186" i="50"/>
  <c r="F205" i="50"/>
  <c r="E209" i="50"/>
  <c r="F207" i="50"/>
  <c r="F231" i="50"/>
  <c r="E230" i="50"/>
  <c r="G242" i="50"/>
  <c r="G243" i="50" s="1"/>
  <c r="E15" i="50"/>
  <c r="E37" i="50"/>
  <c r="E52" i="50"/>
  <c r="E104" i="50"/>
  <c r="F103" i="50"/>
  <c r="F124" i="50"/>
  <c r="E122" i="50"/>
  <c r="G137" i="50"/>
  <c r="F141" i="50"/>
  <c r="F148" i="50" s="1"/>
  <c r="F179" i="50"/>
  <c r="E187" i="50"/>
  <c r="F186" i="50"/>
  <c r="E208" i="50"/>
  <c r="F209" i="50"/>
  <c r="E16" i="50"/>
  <c r="E36" i="50"/>
  <c r="E60" i="50"/>
  <c r="E99" i="50"/>
  <c r="F104" i="50"/>
  <c r="E101" i="50"/>
  <c r="F119" i="50"/>
  <c r="F122" i="50"/>
  <c r="E188" i="50"/>
  <c r="F187" i="50"/>
  <c r="E203" i="50"/>
  <c r="F208" i="50"/>
  <c r="E206" i="50"/>
  <c r="G221" i="50"/>
  <c r="E27" i="50"/>
  <c r="E31" i="50"/>
  <c r="E49" i="50"/>
  <c r="E50" i="50"/>
  <c r="G50" i="50" s="1"/>
  <c r="F99" i="50"/>
  <c r="E183" i="50"/>
  <c r="F188" i="50"/>
  <c r="F203" i="50"/>
  <c r="F183" i="50"/>
  <c r="F185" i="50"/>
  <c r="F245" i="49"/>
  <c r="F244" i="49"/>
  <c r="F253" i="49" s="1"/>
  <c r="F250" i="49"/>
  <c r="F249" i="49"/>
  <c r="F242" i="49"/>
  <c r="H242" i="49" s="1"/>
  <c r="E222" i="49"/>
  <c r="F224" i="49"/>
  <c r="F206" i="49"/>
  <c r="F200" i="49"/>
  <c r="E202" i="49"/>
  <c r="E181" i="49"/>
  <c r="E179" i="49"/>
  <c r="F164" i="49"/>
  <c r="F167" i="49"/>
  <c r="F168" i="49"/>
  <c r="F159" i="49"/>
  <c r="E161" i="49"/>
  <c r="F166" i="49"/>
  <c r="F163" i="49"/>
  <c r="F158" i="49"/>
  <c r="F126" i="49"/>
  <c r="F117" i="49"/>
  <c r="F116" i="49"/>
  <c r="F120" i="49"/>
  <c r="F99" i="49"/>
  <c r="F95" i="49"/>
  <c r="E98" i="49"/>
  <c r="E105" i="49"/>
  <c r="E72" i="49"/>
  <c r="F72" i="49"/>
  <c r="F75" i="49"/>
  <c r="E76" i="49"/>
  <c r="F77" i="49"/>
  <c r="E28" i="49"/>
  <c r="E38" i="49"/>
  <c r="E31" i="49"/>
  <c r="F12" i="49"/>
  <c r="F13" i="49"/>
  <c r="F74" i="49"/>
  <c r="F73" i="49"/>
  <c r="F79" i="49"/>
  <c r="F71" i="49"/>
  <c r="F78" i="49"/>
  <c r="F80" i="49"/>
  <c r="F82" i="49" s="1"/>
  <c r="F76" i="49"/>
  <c r="F50" i="49"/>
  <c r="F58" i="49"/>
  <c r="F56" i="49"/>
  <c r="F59" i="49"/>
  <c r="F36" i="49"/>
  <c r="F32" i="49"/>
  <c r="F30" i="49"/>
  <c r="F34" i="49"/>
  <c r="F31" i="49"/>
  <c r="F9" i="49"/>
  <c r="E243" i="49"/>
  <c r="E247" i="49"/>
  <c r="E252" i="49"/>
  <c r="E248" i="49"/>
  <c r="E242" i="49"/>
  <c r="E251" i="49"/>
  <c r="E250" i="49"/>
  <c r="E158" i="49"/>
  <c r="E162" i="49"/>
  <c r="E166" i="49"/>
  <c r="E159" i="49"/>
  <c r="E169" i="49" s="1"/>
  <c r="E165" i="49"/>
  <c r="E163" i="49"/>
  <c r="E226" i="49"/>
  <c r="E229" i="49"/>
  <c r="E223" i="49"/>
  <c r="E224" i="49"/>
  <c r="E228" i="49"/>
  <c r="E230" i="49"/>
  <c r="E221" i="49"/>
  <c r="E225" i="49"/>
  <c r="E148" i="49"/>
  <c r="E50" i="49"/>
  <c r="E53" i="49"/>
  <c r="E59" i="49"/>
  <c r="E51" i="49"/>
  <c r="E55" i="49"/>
  <c r="E54" i="49"/>
  <c r="E49" i="49"/>
  <c r="E57" i="49"/>
  <c r="E200" i="49"/>
  <c r="E35" i="49"/>
  <c r="E27" i="49"/>
  <c r="E30" i="49"/>
  <c r="E180" i="49"/>
  <c r="E182" i="49"/>
  <c r="E189" i="49"/>
  <c r="E185" i="49"/>
  <c r="E183" i="49"/>
  <c r="E96" i="49"/>
  <c r="E100" i="49"/>
  <c r="E97" i="49"/>
  <c r="E10" i="49"/>
  <c r="E9" i="49"/>
  <c r="E17" i="49"/>
  <c r="E11" i="49"/>
  <c r="E13" i="49"/>
  <c r="E7" i="49"/>
  <c r="E8" i="49"/>
  <c r="E79" i="49"/>
  <c r="E77" i="49"/>
  <c r="E80" i="49"/>
  <c r="E78" i="49"/>
  <c r="E73" i="49"/>
  <c r="F104" i="49"/>
  <c r="F103" i="49"/>
  <c r="F100" i="49"/>
  <c r="F228" i="49"/>
  <c r="F226" i="49"/>
  <c r="E124" i="49"/>
  <c r="H137" i="49"/>
  <c r="H138" i="49" s="1"/>
  <c r="F148" i="49"/>
  <c r="F182" i="49"/>
  <c r="F187" i="49"/>
  <c r="F186" i="49"/>
  <c r="F179" i="49"/>
  <c r="F184" i="49"/>
  <c r="F189" i="49"/>
  <c r="F181" i="49"/>
  <c r="F229" i="49"/>
  <c r="F227" i="49"/>
  <c r="F230" i="49"/>
  <c r="F221" i="49"/>
  <c r="F231" i="49"/>
  <c r="F223" i="49"/>
  <c r="E16" i="49"/>
  <c r="E15" i="49"/>
  <c r="E12" i="49"/>
  <c r="E36" i="49"/>
  <c r="E37" i="49"/>
  <c r="E32" i="49"/>
  <c r="E60" i="49"/>
  <c r="E52" i="49"/>
  <c r="E58" i="49"/>
  <c r="E75" i="49"/>
  <c r="E121" i="49"/>
  <c r="F188" i="49"/>
  <c r="E199" i="49"/>
  <c r="E210" i="49"/>
  <c r="E201" i="49"/>
  <c r="E206" i="49"/>
  <c r="E203" i="49"/>
  <c r="E208" i="49"/>
  <c r="E209" i="49"/>
  <c r="E207" i="49"/>
  <c r="E205" i="49"/>
  <c r="F15" i="49"/>
  <c r="F14" i="49"/>
  <c r="F7" i="49"/>
  <c r="F17" i="49"/>
  <c r="F37" i="49"/>
  <c r="F35" i="49"/>
  <c r="F33" i="49"/>
  <c r="F38" i="49"/>
  <c r="F29" i="49"/>
  <c r="F52" i="49"/>
  <c r="F54" i="49"/>
  <c r="F51" i="49"/>
  <c r="F53" i="49"/>
  <c r="F57" i="49"/>
  <c r="E117" i="49"/>
  <c r="E120" i="49"/>
  <c r="E123" i="49"/>
  <c r="F183" i="49"/>
  <c r="F102" i="49"/>
  <c r="E116" i="49"/>
  <c r="F185" i="49"/>
  <c r="E118" i="49"/>
  <c r="E115" i="49"/>
  <c r="E122" i="49"/>
  <c r="E119" i="49"/>
  <c r="E125" i="49"/>
  <c r="F222" i="49"/>
  <c r="F11" i="49"/>
  <c r="F18" i="49" s="1"/>
  <c r="F27" i="49"/>
  <c r="H27" i="49" s="1"/>
  <c r="F49" i="49"/>
  <c r="E81" i="49"/>
  <c r="E74" i="49"/>
  <c r="F96" i="49"/>
  <c r="F105" i="49"/>
  <c r="E101" i="49"/>
  <c r="E99" i="49"/>
  <c r="E104" i="49"/>
  <c r="E102" i="49"/>
  <c r="E95" i="49"/>
  <c r="F122" i="49"/>
  <c r="F119" i="49"/>
  <c r="F124" i="49"/>
  <c r="F123" i="49"/>
  <c r="F121" i="49"/>
  <c r="F161" i="49"/>
  <c r="E184" i="49"/>
  <c r="F204" i="49"/>
  <c r="E231" i="49"/>
  <c r="E245" i="49"/>
  <c r="E186" i="49"/>
  <c r="F207" i="49"/>
  <c r="F160" i="49"/>
  <c r="F165" i="49"/>
  <c r="E187" i="49"/>
  <c r="F209" i="49"/>
  <c r="E244" i="49"/>
  <c r="E249" i="49"/>
  <c r="E226" i="48"/>
  <c r="E222" i="48"/>
  <c r="F222" i="48"/>
  <c r="F224" i="48"/>
  <c r="F223" i="48"/>
  <c r="E221" i="48"/>
  <c r="F229" i="48"/>
  <c r="F221" i="48"/>
  <c r="F230" i="48"/>
  <c r="E159" i="48"/>
  <c r="E162" i="48"/>
  <c r="F162" i="48"/>
  <c r="F169" i="48" s="1"/>
  <c r="F161" i="48"/>
  <c r="F146" i="48"/>
  <c r="F137" i="48"/>
  <c r="F147" i="48"/>
  <c r="F144" i="48"/>
  <c r="F142" i="48"/>
  <c r="F138" i="48"/>
  <c r="F117" i="48"/>
  <c r="E119" i="48"/>
  <c r="E126" i="48"/>
  <c r="E125" i="48"/>
  <c r="E121" i="48"/>
  <c r="F126" i="48"/>
  <c r="F121" i="48"/>
  <c r="E123" i="48"/>
  <c r="F116" i="48"/>
  <c r="F123" i="48"/>
  <c r="E120" i="48"/>
  <c r="F120" i="48"/>
  <c r="F97" i="48"/>
  <c r="F105" i="48"/>
  <c r="F96" i="48"/>
  <c r="E100" i="48"/>
  <c r="F100" i="48"/>
  <c r="E95" i="48"/>
  <c r="F78" i="48"/>
  <c r="F30" i="48"/>
  <c r="F38" i="48"/>
  <c r="F34" i="48"/>
  <c r="F27" i="48"/>
  <c r="H27" i="48" s="1"/>
  <c r="F17" i="48"/>
  <c r="F13" i="48"/>
  <c r="F14" i="48"/>
  <c r="F8" i="48"/>
  <c r="F52" i="48"/>
  <c r="F56" i="48"/>
  <c r="F35" i="48"/>
  <c r="F36" i="48"/>
  <c r="F10" i="48"/>
  <c r="E245" i="48"/>
  <c r="E244" i="48"/>
  <c r="E248" i="48"/>
  <c r="E242" i="48"/>
  <c r="E247" i="48"/>
  <c r="E253" i="48" s="1"/>
  <c r="E250" i="48"/>
  <c r="E249" i="48"/>
  <c r="E243" i="48"/>
  <c r="E252" i="48"/>
  <c r="E72" i="48"/>
  <c r="E74" i="48"/>
  <c r="E73" i="48"/>
  <c r="E71" i="48"/>
  <c r="E225" i="48"/>
  <c r="E223" i="48"/>
  <c r="E227" i="48"/>
  <c r="E231" i="48"/>
  <c r="E228" i="48"/>
  <c r="E230" i="48"/>
  <c r="E52" i="48"/>
  <c r="E55" i="48"/>
  <c r="E200" i="48"/>
  <c r="E208" i="48"/>
  <c r="E205" i="48"/>
  <c r="E204" i="48"/>
  <c r="E201" i="48"/>
  <c r="E210" i="48"/>
  <c r="E207" i="48"/>
  <c r="E116" i="48"/>
  <c r="E122" i="48"/>
  <c r="E117" i="48"/>
  <c r="E34" i="48"/>
  <c r="E30" i="48"/>
  <c r="E187" i="48"/>
  <c r="E181" i="48"/>
  <c r="E105" i="48"/>
  <c r="E96" i="48"/>
  <c r="E102" i="48"/>
  <c r="E104" i="48"/>
  <c r="E10" i="48"/>
  <c r="E8" i="48"/>
  <c r="E29" i="48"/>
  <c r="E56" i="48"/>
  <c r="F51" i="48"/>
  <c r="F57" i="48"/>
  <c r="E141" i="48"/>
  <c r="F251" i="48"/>
  <c r="E11" i="48"/>
  <c r="E12" i="48"/>
  <c r="E15" i="48"/>
  <c r="E37" i="48"/>
  <c r="F37" i="48"/>
  <c r="F32" i="48"/>
  <c r="E51" i="48"/>
  <c r="E145" i="48"/>
  <c r="F11" i="48"/>
  <c r="E7" i="48"/>
  <c r="F12" i="48"/>
  <c r="E31" i="48"/>
  <c r="E28" i="48"/>
  <c r="E53" i="48"/>
  <c r="E54" i="48"/>
  <c r="E57" i="48"/>
  <c r="E78" i="48"/>
  <c r="E80" i="48"/>
  <c r="E77" i="48"/>
  <c r="E75" i="48"/>
  <c r="E140" i="48"/>
  <c r="E147" i="48"/>
  <c r="E182" i="48"/>
  <c r="E185" i="48"/>
  <c r="E183" i="48"/>
  <c r="E188" i="48"/>
  <c r="E186" i="48"/>
  <c r="E179" i="48"/>
  <c r="E190" i="48" s="1"/>
  <c r="E36" i="48"/>
  <c r="E35" i="48"/>
  <c r="E33" i="48"/>
  <c r="F7" i="48"/>
  <c r="F31" i="48"/>
  <c r="F28" i="48"/>
  <c r="F53" i="48"/>
  <c r="F54" i="48"/>
  <c r="E70" i="48"/>
  <c r="E79" i="48"/>
  <c r="E76" i="48"/>
  <c r="F80" i="48"/>
  <c r="F77" i="48"/>
  <c r="F81" i="48"/>
  <c r="F79" i="48"/>
  <c r="F76" i="48"/>
  <c r="F73" i="48"/>
  <c r="E167" i="48"/>
  <c r="E164" i="48"/>
  <c r="E168" i="48"/>
  <c r="E166" i="48"/>
  <c r="E163" i="48"/>
  <c r="E160" i="48"/>
  <c r="E189" i="48"/>
  <c r="F185" i="48"/>
  <c r="F183" i="48"/>
  <c r="F188" i="48"/>
  <c r="F187" i="48"/>
  <c r="F184" i="48"/>
  <c r="E13" i="48"/>
  <c r="E16" i="48"/>
  <c r="E27" i="48"/>
  <c r="F59" i="48"/>
  <c r="F98" i="48"/>
  <c r="F101" i="48"/>
  <c r="F99" i="48"/>
  <c r="F104" i="48"/>
  <c r="F102" i="48"/>
  <c r="F95" i="48"/>
  <c r="E161" i="48"/>
  <c r="E165" i="48"/>
  <c r="E184" i="48"/>
  <c r="F189" i="48"/>
  <c r="H158" i="48"/>
  <c r="F202" i="48"/>
  <c r="F206" i="48"/>
  <c r="F203" i="48"/>
  <c r="F208" i="48"/>
  <c r="F207" i="48"/>
  <c r="F205" i="48"/>
  <c r="F252" i="48"/>
  <c r="F250" i="48"/>
  <c r="F246" i="48"/>
  <c r="F247" i="48"/>
  <c r="F244" i="48"/>
  <c r="F245" i="48"/>
  <c r="H49" i="48"/>
  <c r="E58" i="48"/>
  <c r="E60" i="48"/>
  <c r="E59" i="48"/>
  <c r="E50" i="48"/>
  <c r="E146" i="48"/>
  <c r="E137" i="48"/>
  <c r="E144" i="48"/>
  <c r="E139" i="48"/>
  <c r="E143" i="48"/>
  <c r="E142" i="48"/>
  <c r="F204" i="48"/>
  <c r="F242" i="48"/>
  <c r="F249" i="48"/>
  <c r="E103" i="48"/>
  <c r="E124" i="48"/>
  <c r="F125" i="48"/>
  <c r="F140" i="48"/>
  <c r="E209" i="48"/>
  <c r="E224" i="48"/>
  <c r="F231" i="48"/>
  <c r="F232" i="48" s="1"/>
  <c r="E99" i="48"/>
  <c r="E106" i="48" s="1"/>
  <c r="E101" i="48"/>
  <c r="E115" i="48"/>
  <c r="F119" i="48"/>
  <c r="E118" i="48"/>
  <c r="F122" i="48"/>
  <c r="F127" i="48" s="1"/>
  <c r="E203" i="48"/>
  <c r="E211" i="48" s="1"/>
  <c r="E206" i="48"/>
  <c r="F252" i="47"/>
  <c r="F245" i="47"/>
  <c r="F249" i="47"/>
  <c r="E248" i="47"/>
  <c r="F229" i="47"/>
  <c r="F224" i="47"/>
  <c r="F222" i="47"/>
  <c r="F230" i="47"/>
  <c r="F221" i="47"/>
  <c r="H221" i="47" s="1"/>
  <c r="H222" i="47" s="1"/>
  <c r="F227" i="47"/>
  <c r="F228" i="47"/>
  <c r="F209" i="47"/>
  <c r="F160" i="47"/>
  <c r="F168" i="47"/>
  <c r="E165" i="47"/>
  <c r="F159" i="47"/>
  <c r="E164" i="47"/>
  <c r="E159" i="47"/>
  <c r="E158" i="47"/>
  <c r="G158" i="47" s="1"/>
  <c r="F164" i="47"/>
  <c r="F158" i="47"/>
  <c r="H158" i="47" s="1"/>
  <c r="F163" i="47"/>
  <c r="F141" i="47"/>
  <c r="F148" i="47" s="1"/>
  <c r="F137" i="47"/>
  <c r="H137" i="47" s="1"/>
  <c r="E120" i="47"/>
  <c r="F118" i="47"/>
  <c r="E119" i="47"/>
  <c r="F125" i="47"/>
  <c r="E122" i="47"/>
  <c r="E123" i="47"/>
  <c r="E96" i="47"/>
  <c r="E98" i="47"/>
  <c r="F103" i="47"/>
  <c r="F78" i="47"/>
  <c r="F76" i="47"/>
  <c r="F71" i="47"/>
  <c r="F81" i="47"/>
  <c r="F80" i="47"/>
  <c r="F79" i="47"/>
  <c r="F73" i="47"/>
  <c r="E242" i="47"/>
  <c r="G242" i="47" s="1"/>
  <c r="G243" i="47" s="1"/>
  <c r="E247" i="47"/>
  <c r="E163" i="47"/>
  <c r="E168" i="47"/>
  <c r="E169" i="47" s="1"/>
  <c r="E162" i="47"/>
  <c r="E161" i="47"/>
  <c r="E226" i="47"/>
  <c r="E227" i="47"/>
  <c r="E224" i="47"/>
  <c r="E231" i="47"/>
  <c r="E229" i="47"/>
  <c r="E221" i="47"/>
  <c r="E228" i="47"/>
  <c r="E51" i="47"/>
  <c r="E56" i="47"/>
  <c r="E52" i="47"/>
  <c r="E53" i="47"/>
  <c r="E59" i="47"/>
  <c r="E55" i="47"/>
  <c r="E208" i="47"/>
  <c r="E204" i="47"/>
  <c r="E202" i="47"/>
  <c r="E201" i="47"/>
  <c r="E209" i="47"/>
  <c r="E210" i="47"/>
  <c r="E200" i="47"/>
  <c r="E115" i="47"/>
  <c r="E121" i="47"/>
  <c r="E118" i="47"/>
  <c r="E116" i="47"/>
  <c r="E125" i="47"/>
  <c r="E117" i="47"/>
  <c r="E124" i="47"/>
  <c r="E127" i="47" s="1"/>
  <c r="E126" i="47"/>
  <c r="E33" i="47"/>
  <c r="E28" i="47"/>
  <c r="E37" i="47"/>
  <c r="E38" i="47"/>
  <c r="E35" i="47"/>
  <c r="E29" i="47"/>
  <c r="E181" i="47"/>
  <c r="E179" i="47"/>
  <c r="E180" i="47"/>
  <c r="E187" i="47"/>
  <c r="E101" i="47"/>
  <c r="E104" i="47"/>
  <c r="E102" i="47"/>
  <c r="E97" i="47"/>
  <c r="E100" i="47"/>
  <c r="E99" i="47"/>
  <c r="E103" i="47"/>
  <c r="E9" i="47"/>
  <c r="E7" i="47"/>
  <c r="E8" i="47"/>
  <c r="E15" i="47"/>
  <c r="E17" i="47"/>
  <c r="E14" i="47"/>
  <c r="F10" i="47"/>
  <c r="F13" i="47"/>
  <c r="F16" i="47"/>
  <c r="F15" i="47"/>
  <c r="F14" i="47"/>
  <c r="F7" i="47"/>
  <c r="F12" i="47"/>
  <c r="F11" i="47"/>
  <c r="F17" i="47"/>
  <c r="F9" i="47"/>
  <c r="H138" i="47"/>
  <c r="F30" i="47"/>
  <c r="F34" i="47"/>
  <c r="F31" i="47"/>
  <c r="F27" i="47"/>
  <c r="H27" i="47" s="1"/>
  <c r="F36" i="47"/>
  <c r="F37" i="47"/>
  <c r="F35" i="47"/>
  <c r="F33" i="47"/>
  <c r="F32" i="47"/>
  <c r="F38" i="47"/>
  <c r="F29" i="47"/>
  <c r="F28" i="47"/>
  <c r="F54" i="47"/>
  <c r="F58" i="47"/>
  <c r="F50" i="47"/>
  <c r="F49" i="47"/>
  <c r="F60" i="47"/>
  <c r="F52" i="47"/>
  <c r="F59" i="47"/>
  <c r="F51" i="47"/>
  <c r="F57" i="47"/>
  <c r="F53" i="47"/>
  <c r="F55" i="47"/>
  <c r="E74" i="47"/>
  <c r="E70" i="47"/>
  <c r="E76" i="47"/>
  <c r="E71" i="47"/>
  <c r="E81" i="47"/>
  <c r="E78" i="47"/>
  <c r="E79" i="47"/>
  <c r="E80" i="47"/>
  <c r="E75" i="47"/>
  <c r="E77" i="47"/>
  <c r="E72" i="47"/>
  <c r="H95" i="47"/>
  <c r="H96" i="47" s="1"/>
  <c r="H97" i="47" s="1"/>
  <c r="F182" i="47"/>
  <c r="F185" i="47"/>
  <c r="F183" i="47"/>
  <c r="F188" i="47"/>
  <c r="F187" i="47"/>
  <c r="F186" i="47"/>
  <c r="F179" i="47"/>
  <c r="F184" i="47"/>
  <c r="F189" i="47"/>
  <c r="F181" i="47"/>
  <c r="E11" i="47"/>
  <c r="E12" i="47"/>
  <c r="E32" i="47"/>
  <c r="E57" i="47"/>
  <c r="F100" i="47"/>
  <c r="F123" i="47"/>
  <c r="F127" i="47" s="1"/>
  <c r="E137" i="47"/>
  <c r="E145" i="47"/>
  <c r="F161" i="47"/>
  <c r="E184" i="47"/>
  <c r="E205" i="47"/>
  <c r="F204" i="47"/>
  <c r="E207" i="47"/>
  <c r="F223" i="47"/>
  <c r="F242" i="47"/>
  <c r="E245" i="47"/>
  <c r="F247" i="47"/>
  <c r="E141" i="47"/>
  <c r="E186" i="47"/>
  <c r="F207" i="47"/>
  <c r="F82" i="47"/>
  <c r="E16" i="47"/>
  <c r="E36" i="47"/>
  <c r="E60" i="47"/>
  <c r="F104" i="47"/>
  <c r="E142" i="47"/>
  <c r="E140" i="47"/>
  <c r="F162" i="47"/>
  <c r="E188" i="47"/>
  <c r="E203" i="47"/>
  <c r="F208" i="47"/>
  <c r="F243" i="47"/>
  <c r="E246" i="47"/>
  <c r="F248" i="47"/>
  <c r="E13" i="47"/>
  <c r="E27" i="47"/>
  <c r="E31" i="47"/>
  <c r="E34" i="47"/>
  <c r="E49" i="47"/>
  <c r="E50" i="47"/>
  <c r="G50" i="47" s="1"/>
  <c r="E58" i="47"/>
  <c r="F99" i="47"/>
  <c r="F101" i="47"/>
  <c r="E144" i="47"/>
  <c r="F167" i="47"/>
  <c r="F166" i="47"/>
  <c r="E183" i="47"/>
  <c r="E185" i="47"/>
  <c r="F203" i="47"/>
  <c r="F206" i="47"/>
  <c r="E251" i="47"/>
  <c r="F246" i="47"/>
  <c r="E250" i="47"/>
  <c r="E138" i="47"/>
  <c r="E146" i="47"/>
  <c r="F251" i="47"/>
  <c r="F251" i="46"/>
  <c r="F243" i="46"/>
  <c r="F252" i="46"/>
  <c r="F246" i="46"/>
  <c r="F242" i="46"/>
  <c r="F245" i="46"/>
  <c r="F244" i="46"/>
  <c r="F250" i="46"/>
  <c r="F224" i="46"/>
  <c r="E208" i="46"/>
  <c r="E200" i="46"/>
  <c r="E205" i="46"/>
  <c r="E201" i="46"/>
  <c r="E202" i="46"/>
  <c r="E203" i="46"/>
  <c r="E210" i="46"/>
  <c r="E204" i="46"/>
  <c r="F167" i="46"/>
  <c r="F164" i="46"/>
  <c r="F159" i="46"/>
  <c r="F169" i="46" s="1"/>
  <c r="F165" i="46"/>
  <c r="F168" i="46"/>
  <c r="E163" i="46"/>
  <c r="F166" i="46"/>
  <c r="F160" i="46"/>
  <c r="F162" i="46"/>
  <c r="F146" i="46"/>
  <c r="F143" i="46"/>
  <c r="E141" i="46"/>
  <c r="F138" i="46"/>
  <c r="F148" i="46" s="1"/>
  <c r="F147" i="46"/>
  <c r="F116" i="46"/>
  <c r="F124" i="46"/>
  <c r="F121" i="46"/>
  <c r="F118" i="46"/>
  <c r="E120" i="46"/>
  <c r="F105" i="46"/>
  <c r="E97" i="46"/>
  <c r="F78" i="46"/>
  <c r="F81" i="46"/>
  <c r="F79" i="46"/>
  <c r="F80" i="46"/>
  <c r="F76" i="46"/>
  <c r="E245" i="46"/>
  <c r="E244" i="46"/>
  <c r="E243" i="46"/>
  <c r="E250" i="46"/>
  <c r="E251" i="46"/>
  <c r="E252" i="46"/>
  <c r="E248" i="46"/>
  <c r="E249" i="46"/>
  <c r="E242" i="46"/>
  <c r="E246" i="46"/>
  <c r="E160" i="46"/>
  <c r="E164" i="46"/>
  <c r="E168" i="46"/>
  <c r="E158" i="46"/>
  <c r="E162" i="46"/>
  <c r="E169" i="46" s="1"/>
  <c r="E221" i="46"/>
  <c r="E222" i="46"/>
  <c r="E225" i="46"/>
  <c r="E223" i="46"/>
  <c r="E227" i="46"/>
  <c r="E226" i="46"/>
  <c r="E230" i="46"/>
  <c r="E232" i="46"/>
  <c r="E137" i="46"/>
  <c r="E144" i="46"/>
  <c r="E143" i="46"/>
  <c r="E140" i="46"/>
  <c r="E142" i="46"/>
  <c r="E138" i="46"/>
  <c r="E147" i="46"/>
  <c r="E57" i="46"/>
  <c r="E55" i="46"/>
  <c r="E52" i="46"/>
  <c r="E116" i="46"/>
  <c r="E121" i="46"/>
  <c r="E123" i="46"/>
  <c r="E29" i="46"/>
  <c r="E28" i="46"/>
  <c r="E38" i="46"/>
  <c r="E189" i="46"/>
  <c r="E96" i="46"/>
  <c r="E104" i="46"/>
  <c r="E95" i="46"/>
  <c r="E100" i="46"/>
  <c r="E105" i="46"/>
  <c r="E99" i="46"/>
  <c r="E9" i="46"/>
  <c r="E8" i="46"/>
  <c r="F10" i="46"/>
  <c r="F13" i="46"/>
  <c r="F16" i="46"/>
  <c r="F15" i="46"/>
  <c r="F14" i="46"/>
  <c r="F7" i="46"/>
  <c r="F12" i="46"/>
  <c r="F11" i="46"/>
  <c r="F17" i="46"/>
  <c r="F9" i="46"/>
  <c r="H137" i="46"/>
  <c r="F182" i="46"/>
  <c r="F185" i="46"/>
  <c r="F183" i="46"/>
  <c r="F188" i="46"/>
  <c r="F187" i="46"/>
  <c r="F186" i="46"/>
  <c r="F179" i="46"/>
  <c r="F184" i="46"/>
  <c r="F189" i="46"/>
  <c r="F181" i="46"/>
  <c r="E74" i="46"/>
  <c r="E70" i="46"/>
  <c r="E78" i="46"/>
  <c r="E71" i="46"/>
  <c r="E81" i="46"/>
  <c r="E79" i="46"/>
  <c r="E76" i="46"/>
  <c r="E80" i="46"/>
  <c r="E75" i="46"/>
  <c r="E77" i="46"/>
  <c r="E73" i="46"/>
  <c r="G158" i="46"/>
  <c r="I158" i="46" s="1"/>
  <c r="F8" i="46"/>
  <c r="F30" i="46"/>
  <c r="F34" i="46"/>
  <c r="F31" i="46"/>
  <c r="F27" i="46"/>
  <c r="H27" i="46" s="1"/>
  <c r="F36" i="46"/>
  <c r="F37" i="46"/>
  <c r="F35" i="46"/>
  <c r="F32" i="46"/>
  <c r="F33" i="46"/>
  <c r="F38" i="46"/>
  <c r="F29" i="46"/>
  <c r="E72" i="46"/>
  <c r="F180" i="46"/>
  <c r="H71" i="46"/>
  <c r="F56" i="46"/>
  <c r="F59" i="46"/>
  <c r="F54" i="46"/>
  <c r="F49" i="46"/>
  <c r="F60" i="46"/>
  <c r="F51" i="46"/>
  <c r="F53" i="46"/>
  <c r="F50" i="46"/>
  <c r="F58" i="46"/>
  <c r="F52" i="46"/>
  <c r="F57" i="46"/>
  <c r="H138" i="46"/>
  <c r="H139" i="46" s="1"/>
  <c r="H140" i="46" s="1"/>
  <c r="H141" i="46" s="1"/>
  <c r="E11" i="46"/>
  <c r="E18" i="46" s="1"/>
  <c r="E12" i="46"/>
  <c r="E33" i="46"/>
  <c r="E58" i="46"/>
  <c r="F100" i="46"/>
  <c r="E102" i="46"/>
  <c r="E125" i="46"/>
  <c r="F123" i="46"/>
  <c r="E184" i="46"/>
  <c r="F205" i="46"/>
  <c r="E207" i="46"/>
  <c r="F222" i="46"/>
  <c r="F249" i="46"/>
  <c r="E7" i="46"/>
  <c r="E14" i="46"/>
  <c r="E32" i="46"/>
  <c r="E35" i="46"/>
  <c r="E50" i="46"/>
  <c r="E53" i="46"/>
  <c r="F95" i="46"/>
  <c r="E103" i="46"/>
  <c r="F102" i="46"/>
  <c r="E124" i="46"/>
  <c r="F125" i="46"/>
  <c r="E179" i="46"/>
  <c r="E186" i="46"/>
  <c r="F204" i="46"/>
  <c r="F207" i="46"/>
  <c r="F231" i="46"/>
  <c r="E15" i="46"/>
  <c r="E37" i="46"/>
  <c r="E51" i="46"/>
  <c r="F82" i="46"/>
  <c r="F103" i="46"/>
  <c r="E119" i="46"/>
  <c r="E122" i="46"/>
  <c r="E187" i="46"/>
  <c r="F209" i="46"/>
  <c r="F225" i="46"/>
  <c r="F230" i="46"/>
  <c r="E16" i="46"/>
  <c r="E36" i="46"/>
  <c r="E60" i="46"/>
  <c r="F104" i="46"/>
  <c r="E115" i="46"/>
  <c r="E118" i="46"/>
  <c r="E188" i="46"/>
  <c r="F208" i="46"/>
  <c r="F227" i="46"/>
  <c r="F248" i="46"/>
  <c r="F253" i="46" s="1"/>
  <c r="E13" i="46"/>
  <c r="E27" i="46"/>
  <c r="E31" i="46"/>
  <c r="E34" i="46"/>
  <c r="E49" i="46"/>
  <c r="E54" i="46"/>
  <c r="E59" i="46"/>
  <c r="F99" i="46"/>
  <c r="F101" i="46"/>
  <c r="E183" i="46"/>
  <c r="E185" i="46"/>
  <c r="E199" i="46"/>
  <c r="F203" i="46"/>
  <c r="F206" i="46"/>
  <c r="E117" i="46"/>
  <c r="F228" i="46"/>
  <c r="E208" i="42"/>
  <c r="E223" i="42"/>
  <c r="F27" i="42"/>
  <c r="H27" i="42" s="1"/>
  <c r="E32" i="42"/>
  <c r="E55" i="42"/>
  <c r="F100" i="42"/>
  <c r="F118" i="42"/>
  <c r="E209" i="42"/>
  <c r="F223" i="42"/>
  <c r="E247" i="42"/>
  <c r="E31" i="42"/>
  <c r="F7" i="42"/>
  <c r="E27" i="42"/>
  <c r="F12" i="42"/>
  <c r="F8" i="42"/>
  <c r="E13" i="42"/>
  <c r="E28" i="42"/>
  <c r="G28" i="42" s="1"/>
  <c r="G29" i="42" s="1"/>
  <c r="F32" i="42"/>
  <c r="E56" i="42"/>
  <c r="F95" i="42"/>
  <c r="E159" i="42"/>
  <c r="E169" i="42" s="1"/>
  <c r="E167" i="42"/>
  <c r="E210" i="42"/>
  <c r="E224" i="42"/>
  <c r="E242" i="42"/>
  <c r="G242" i="42" s="1"/>
  <c r="E252" i="42"/>
  <c r="E29" i="42"/>
  <c r="F34" i="42"/>
  <c r="E201" i="42"/>
  <c r="E228" i="42"/>
  <c r="E243" i="42"/>
  <c r="E33" i="42"/>
  <c r="E200" i="42"/>
  <c r="G200" i="42" s="1"/>
  <c r="G201" i="42" s="1"/>
  <c r="F10" i="42"/>
  <c r="F15" i="42"/>
  <c r="F29" i="42"/>
  <c r="F36" i="42"/>
  <c r="F141" i="42"/>
  <c r="E161" i="42"/>
  <c r="E202" i="42"/>
  <c r="E229" i="42"/>
  <c r="E244" i="42"/>
  <c r="F11" i="42"/>
  <c r="E227" i="42"/>
  <c r="E30" i="42"/>
  <c r="F121" i="42"/>
  <c r="E162" i="42"/>
  <c r="E203" i="42"/>
  <c r="E221" i="42"/>
  <c r="G221" i="42" s="1"/>
  <c r="E231" i="42"/>
  <c r="E245" i="42"/>
  <c r="F8" i="45"/>
  <c r="E158" i="45"/>
  <c r="G158" i="45" s="1"/>
  <c r="G159" i="45" s="1"/>
  <c r="F201" i="45"/>
  <c r="E221" i="45"/>
  <c r="E232" i="45" s="1"/>
  <c r="E95" i="45"/>
  <c r="E120" i="45"/>
  <c r="E159" i="45"/>
  <c r="E229" i="45"/>
  <c r="E248" i="45"/>
  <c r="F72" i="45"/>
  <c r="H72" i="45" s="1"/>
  <c r="E104" i="45"/>
  <c r="F140" i="45"/>
  <c r="E160" i="45"/>
  <c r="F81" i="45"/>
  <c r="E100" i="45"/>
  <c r="F160" i="45"/>
  <c r="F200" i="45"/>
  <c r="E224" i="45"/>
  <c r="E228" i="45"/>
  <c r="E96" i="45"/>
  <c r="F180" i="45"/>
  <c r="F204" i="45"/>
  <c r="F78" i="45"/>
  <c r="E161" i="45"/>
  <c r="E205" i="45"/>
  <c r="F228" i="45"/>
  <c r="H243" i="45"/>
  <c r="E227" i="45"/>
  <c r="F230" i="45"/>
  <c r="F226" i="45"/>
  <c r="F232" i="45" s="1"/>
  <c r="E231" i="45"/>
  <c r="E223" i="45"/>
  <c r="E208" i="45"/>
  <c r="E201" i="45"/>
  <c r="E210" i="45"/>
  <c r="E162" i="45"/>
  <c r="F159" i="45"/>
  <c r="E164" i="45"/>
  <c r="F164" i="45"/>
  <c r="F168" i="45"/>
  <c r="F144" i="45"/>
  <c r="E141" i="45"/>
  <c r="E143" i="45"/>
  <c r="F141" i="45"/>
  <c r="F143" i="45"/>
  <c r="E137" i="45"/>
  <c r="F138" i="45"/>
  <c r="F137" i="45"/>
  <c r="H137" i="45" s="1"/>
  <c r="F139" i="45"/>
  <c r="F142" i="45"/>
  <c r="F145" i="45"/>
  <c r="F147" i="45"/>
  <c r="F122" i="45"/>
  <c r="E118" i="45"/>
  <c r="F118" i="45"/>
  <c r="F125" i="45"/>
  <c r="E98" i="45"/>
  <c r="E101" i="45"/>
  <c r="E97" i="45"/>
  <c r="E106" i="45" s="1"/>
  <c r="E102" i="45"/>
  <c r="F96" i="45"/>
  <c r="F97" i="45"/>
  <c r="F105" i="45"/>
  <c r="F95" i="45"/>
  <c r="F102" i="45"/>
  <c r="F74" i="45"/>
  <c r="F77" i="45"/>
  <c r="F16" i="45"/>
  <c r="E10" i="45"/>
  <c r="F10" i="45"/>
  <c r="E9" i="45"/>
  <c r="F14" i="45"/>
  <c r="F11" i="45"/>
  <c r="F71" i="45"/>
  <c r="H71" i="45" s="1"/>
  <c r="F75" i="45"/>
  <c r="F79" i="45"/>
  <c r="F80" i="45"/>
  <c r="F73" i="45"/>
  <c r="F15" i="45"/>
  <c r="F13" i="45"/>
  <c r="F7" i="45"/>
  <c r="E168" i="45"/>
  <c r="E167" i="45"/>
  <c r="E252" i="45"/>
  <c r="E140" i="45"/>
  <c r="E142" i="45"/>
  <c r="E138" i="45"/>
  <c r="E147" i="45"/>
  <c r="E139" i="45"/>
  <c r="E55" i="45"/>
  <c r="E59" i="45"/>
  <c r="E52" i="45"/>
  <c r="E53" i="45"/>
  <c r="E202" i="45"/>
  <c r="E203" i="45"/>
  <c r="E117" i="45"/>
  <c r="E125" i="45"/>
  <c r="E124" i="45"/>
  <c r="E126" i="45"/>
  <c r="E116" i="45"/>
  <c r="E119" i="45"/>
  <c r="E121" i="45"/>
  <c r="E115" i="45"/>
  <c r="E28" i="45"/>
  <c r="E32" i="45"/>
  <c r="E181" i="45"/>
  <c r="E179" i="45"/>
  <c r="E180" i="45"/>
  <c r="E103" i="45"/>
  <c r="E105" i="45"/>
  <c r="E12" i="45"/>
  <c r="E7" i="45"/>
  <c r="E15" i="45"/>
  <c r="E8" i="45"/>
  <c r="E17" i="45"/>
  <c r="E16" i="45"/>
  <c r="E13" i="45"/>
  <c r="F30" i="45"/>
  <c r="F34" i="45"/>
  <c r="F31" i="45"/>
  <c r="F27" i="45"/>
  <c r="H27" i="45" s="1"/>
  <c r="F36" i="45"/>
  <c r="F29" i="45"/>
  <c r="F37" i="45"/>
  <c r="F35" i="45"/>
  <c r="F32" i="45"/>
  <c r="F33" i="45"/>
  <c r="F38" i="45"/>
  <c r="E74" i="45"/>
  <c r="E70" i="45"/>
  <c r="E77" i="45"/>
  <c r="E72" i="45"/>
  <c r="E81" i="45"/>
  <c r="E78" i="45"/>
  <c r="E80" i="45"/>
  <c r="E79" i="45"/>
  <c r="E76" i="45"/>
  <c r="E75" i="45"/>
  <c r="E71" i="45"/>
  <c r="F56" i="45"/>
  <c r="F58" i="45"/>
  <c r="F54" i="45"/>
  <c r="F49" i="45"/>
  <c r="F60" i="45"/>
  <c r="F51" i="45"/>
  <c r="F59" i="45"/>
  <c r="F50" i="45"/>
  <c r="F57" i="45"/>
  <c r="F52" i="45"/>
  <c r="F53" i="45"/>
  <c r="H244" i="45"/>
  <c r="F127" i="45"/>
  <c r="E33" i="45"/>
  <c r="E57" i="45"/>
  <c r="F100" i="45"/>
  <c r="E145" i="45"/>
  <c r="F161" i="45"/>
  <c r="F181" i="45"/>
  <c r="E184" i="45"/>
  <c r="F189" i="45"/>
  <c r="F205" i="45"/>
  <c r="E245" i="45"/>
  <c r="F184" i="45"/>
  <c r="F207" i="45"/>
  <c r="H221" i="45"/>
  <c r="E37" i="45"/>
  <c r="E51" i="45"/>
  <c r="F103" i="45"/>
  <c r="E122" i="45"/>
  <c r="F158" i="45"/>
  <c r="F162" i="45"/>
  <c r="F179" i="45"/>
  <c r="E187" i="45"/>
  <c r="F186" i="45"/>
  <c r="F209" i="45"/>
  <c r="E242" i="45"/>
  <c r="E246" i="45"/>
  <c r="E29" i="45"/>
  <c r="E36" i="45"/>
  <c r="E60" i="45"/>
  <c r="F104" i="45"/>
  <c r="F163" i="45"/>
  <c r="E188" i="45"/>
  <c r="F187" i="45"/>
  <c r="F208" i="45"/>
  <c r="E247" i="45"/>
  <c r="F17" i="45"/>
  <c r="E27" i="45"/>
  <c r="E31" i="45"/>
  <c r="E34" i="45"/>
  <c r="E49" i="45"/>
  <c r="E54" i="45"/>
  <c r="E58" i="45"/>
  <c r="F99" i="45"/>
  <c r="F101" i="45"/>
  <c r="F166" i="45"/>
  <c r="F167" i="45"/>
  <c r="E183" i="45"/>
  <c r="F188" i="45"/>
  <c r="E185" i="45"/>
  <c r="F203" i="45"/>
  <c r="F206" i="45"/>
  <c r="E250" i="45"/>
  <c r="E251" i="45"/>
  <c r="F253" i="45"/>
  <c r="F183" i="45"/>
  <c r="F185" i="45"/>
  <c r="F251" i="44"/>
  <c r="E242" i="44"/>
  <c r="E253" i="44" s="1"/>
  <c r="F242" i="44"/>
  <c r="F252" i="44"/>
  <c r="F248" i="44"/>
  <c r="F250" i="44"/>
  <c r="F221" i="44"/>
  <c r="F224" i="44"/>
  <c r="F222" i="44"/>
  <c r="E230" i="44"/>
  <c r="E231" i="44"/>
  <c r="F231" i="44"/>
  <c r="E229" i="44"/>
  <c r="F230" i="44"/>
  <c r="F232" i="44" s="1"/>
  <c r="F226" i="44"/>
  <c r="E228" i="44"/>
  <c r="F229" i="44"/>
  <c r="F210" i="44"/>
  <c r="E200" i="44"/>
  <c r="F200" i="44"/>
  <c r="E205" i="44"/>
  <c r="F202" i="44"/>
  <c r="E182" i="44"/>
  <c r="E189" i="44"/>
  <c r="E158" i="44"/>
  <c r="F164" i="44"/>
  <c r="E167" i="44"/>
  <c r="F158" i="44"/>
  <c r="F163" i="44"/>
  <c r="E164" i="44"/>
  <c r="F168" i="44"/>
  <c r="E165" i="44"/>
  <c r="F160" i="44"/>
  <c r="F165" i="44"/>
  <c r="E162" i="44"/>
  <c r="E159" i="44"/>
  <c r="F162" i="44"/>
  <c r="E166" i="44"/>
  <c r="F159" i="44"/>
  <c r="E161" i="44"/>
  <c r="E169" i="44" s="1"/>
  <c r="F143" i="44"/>
  <c r="F148" i="44" s="1"/>
  <c r="F117" i="44"/>
  <c r="F116" i="44"/>
  <c r="F126" i="44"/>
  <c r="F97" i="44"/>
  <c r="F78" i="44"/>
  <c r="F73" i="44"/>
  <c r="F71" i="44"/>
  <c r="F72" i="44"/>
  <c r="F81" i="44"/>
  <c r="F74" i="44"/>
  <c r="F82" i="44" s="1"/>
  <c r="F77" i="44"/>
  <c r="F76" i="44"/>
  <c r="F59" i="44"/>
  <c r="F8" i="44"/>
  <c r="F10" i="44"/>
  <c r="F80" i="44"/>
  <c r="F75" i="44"/>
  <c r="F54" i="44"/>
  <c r="F31" i="44"/>
  <c r="F34" i="44"/>
  <c r="F7" i="44"/>
  <c r="F18" i="44" s="1"/>
  <c r="F14" i="44"/>
  <c r="E244" i="44"/>
  <c r="E248" i="44"/>
  <c r="E243" i="44"/>
  <c r="E251" i="44"/>
  <c r="E247" i="44"/>
  <c r="E249" i="44"/>
  <c r="E252" i="44"/>
  <c r="E160" i="44"/>
  <c r="E168" i="44"/>
  <c r="E221" i="44"/>
  <c r="E227" i="44"/>
  <c r="E226" i="44"/>
  <c r="E222" i="44"/>
  <c r="E232" i="44" s="1"/>
  <c r="E137" i="44"/>
  <c r="E139" i="44"/>
  <c r="E138" i="44"/>
  <c r="E51" i="44"/>
  <c r="E56" i="44"/>
  <c r="E119" i="44"/>
  <c r="E125" i="44"/>
  <c r="E118" i="44"/>
  <c r="E120" i="44"/>
  <c r="E126" i="44"/>
  <c r="E121" i="44"/>
  <c r="E116" i="44"/>
  <c r="E117" i="44"/>
  <c r="E115" i="44"/>
  <c r="E122" i="44"/>
  <c r="E181" i="44"/>
  <c r="E180" i="44"/>
  <c r="E96" i="44"/>
  <c r="E97" i="44"/>
  <c r="E100" i="44"/>
  <c r="E105" i="44"/>
  <c r="E14" i="44"/>
  <c r="E11" i="44"/>
  <c r="E12" i="44"/>
  <c r="E7" i="44"/>
  <c r="E18" i="44" s="1"/>
  <c r="E15" i="44"/>
  <c r="E9" i="44"/>
  <c r="E8" i="44"/>
  <c r="E16" i="44"/>
  <c r="E72" i="44"/>
  <c r="F27" i="44"/>
  <c r="H27" i="44" s="1"/>
  <c r="F30" i="44"/>
  <c r="F56" i="44"/>
  <c r="E34" i="44"/>
  <c r="E31" i="44"/>
  <c r="E27" i="44"/>
  <c r="E36" i="44"/>
  <c r="E29" i="44"/>
  <c r="E37" i="44"/>
  <c r="E35" i="44"/>
  <c r="E32" i="44"/>
  <c r="E33" i="44"/>
  <c r="E59" i="44"/>
  <c r="E54" i="44"/>
  <c r="E49" i="44"/>
  <c r="E60" i="44"/>
  <c r="E52" i="44"/>
  <c r="E58" i="44"/>
  <c r="E50" i="44"/>
  <c r="E57" i="44"/>
  <c r="F182" i="44"/>
  <c r="F185" i="44"/>
  <c r="F183" i="44"/>
  <c r="F188" i="44"/>
  <c r="F187" i="44"/>
  <c r="F186" i="44"/>
  <c r="F179" i="44"/>
  <c r="F184" i="44"/>
  <c r="F189" i="44"/>
  <c r="F181" i="44"/>
  <c r="E71" i="44"/>
  <c r="F49" i="44"/>
  <c r="F36" i="44"/>
  <c r="F29" i="44"/>
  <c r="F37" i="44"/>
  <c r="F35" i="44"/>
  <c r="F32" i="44"/>
  <c r="F33" i="44"/>
  <c r="F38" i="44"/>
  <c r="F60" i="44"/>
  <c r="F52" i="44"/>
  <c r="F58" i="44"/>
  <c r="F50" i="44"/>
  <c r="F57" i="44"/>
  <c r="F53" i="44"/>
  <c r="F55" i="44"/>
  <c r="H158" i="44"/>
  <c r="H221" i="44"/>
  <c r="H222" i="44" s="1"/>
  <c r="E38" i="44"/>
  <c r="E53" i="44"/>
  <c r="E70" i="44"/>
  <c r="E78" i="44"/>
  <c r="E81" i="44"/>
  <c r="E77" i="44"/>
  <c r="E79" i="44"/>
  <c r="E80" i="44"/>
  <c r="E75" i="44"/>
  <c r="E76" i="44"/>
  <c r="E73" i="44"/>
  <c r="E13" i="44"/>
  <c r="E95" i="44"/>
  <c r="F100" i="44"/>
  <c r="E102" i="44"/>
  <c r="F120" i="44"/>
  <c r="F123" i="44"/>
  <c r="E141" i="44"/>
  <c r="H137" i="44"/>
  <c r="H138" i="44" s="1"/>
  <c r="E146" i="44"/>
  <c r="E184" i="44"/>
  <c r="E204" i="44"/>
  <c r="F205" i="44"/>
  <c r="E207" i="44"/>
  <c r="F243" i="44"/>
  <c r="E245" i="44"/>
  <c r="F249" i="44"/>
  <c r="E10" i="44"/>
  <c r="F95" i="44"/>
  <c r="E103" i="44"/>
  <c r="F102" i="44"/>
  <c r="F125" i="44"/>
  <c r="E143" i="44"/>
  <c r="E179" i="44"/>
  <c r="E186" i="44"/>
  <c r="F204" i="44"/>
  <c r="E209" i="44"/>
  <c r="F207" i="44"/>
  <c r="F245" i="44"/>
  <c r="E104" i="44"/>
  <c r="F103" i="44"/>
  <c r="F124" i="44"/>
  <c r="E187" i="44"/>
  <c r="E208" i="44"/>
  <c r="F209" i="44"/>
  <c r="E99" i="44"/>
  <c r="F104" i="44"/>
  <c r="E101" i="44"/>
  <c r="F119" i="44"/>
  <c r="F122" i="44"/>
  <c r="E142" i="44"/>
  <c r="E140" i="44"/>
  <c r="E188" i="44"/>
  <c r="E203" i="44"/>
  <c r="F208" i="44"/>
  <c r="E206" i="44"/>
  <c r="F244" i="44"/>
  <c r="E246" i="44"/>
  <c r="F247" i="44"/>
  <c r="F99" i="44"/>
  <c r="E183" i="44"/>
  <c r="F203" i="44"/>
  <c r="E11" i="43"/>
  <c r="E38" i="43"/>
  <c r="F202" i="43"/>
  <c r="F247" i="43"/>
  <c r="E115" i="43"/>
  <c r="F226" i="43"/>
  <c r="E27" i="43"/>
  <c r="E124" i="43"/>
  <c r="E249" i="43"/>
  <c r="F231" i="43"/>
  <c r="F229" i="43"/>
  <c r="F230" i="43"/>
  <c r="F221" i="43"/>
  <c r="F223" i="43"/>
  <c r="F224" i="43"/>
  <c r="F227" i="43"/>
  <c r="E209" i="43"/>
  <c r="F207" i="43"/>
  <c r="F205" i="43"/>
  <c r="E181" i="43"/>
  <c r="E183" i="43"/>
  <c r="E188" i="43"/>
  <c r="E182" i="43"/>
  <c r="E189" i="43"/>
  <c r="E186" i="43"/>
  <c r="E158" i="43"/>
  <c r="G158" i="43" s="1"/>
  <c r="F159" i="43"/>
  <c r="F160" i="43"/>
  <c r="E168" i="43"/>
  <c r="E161" i="43"/>
  <c r="F147" i="43"/>
  <c r="F145" i="43"/>
  <c r="F138" i="43"/>
  <c r="F137" i="43"/>
  <c r="F144" i="43"/>
  <c r="F139" i="43"/>
  <c r="E121" i="43"/>
  <c r="F97" i="43"/>
  <c r="F95" i="43"/>
  <c r="F102" i="43"/>
  <c r="E33" i="43"/>
  <c r="E28" i="43"/>
  <c r="E36" i="43"/>
  <c r="E30" i="43"/>
  <c r="E12" i="43"/>
  <c r="E8" i="43"/>
  <c r="E16" i="43"/>
  <c r="E10" i="43"/>
  <c r="E15" i="43"/>
  <c r="E9" i="43"/>
  <c r="E13" i="43"/>
  <c r="F100" i="43"/>
  <c r="F98" i="43"/>
  <c r="F103" i="43"/>
  <c r="F246" i="42"/>
  <c r="F247" i="42"/>
  <c r="F224" i="42"/>
  <c r="F226" i="42"/>
  <c r="F209" i="42"/>
  <c r="F201" i="42"/>
  <c r="F182" i="42"/>
  <c r="F244" i="43"/>
  <c r="F252" i="43"/>
  <c r="F251" i="43"/>
  <c r="F245" i="43"/>
  <c r="H242" i="43"/>
  <c r="H243" i="43" s="1"/>
  <c r="F249" i="43"/>
  <c r="F228" i="43"/>
  <c r="F225" i="43"/>
  <c r="F203" i="43"/>
  <c r="F210" i="43"/>
  <c r="F208" i="43"/>
  <c r="F204" i="43"/>
  <c r="F166" i="42"/>
  <c r="F161" i="42"/>
  <c r="F158" i="42"/>
  <c r="F162" i="42"/>
  <c r="F159" i="42"/>
  <c r="F163" i="42"/>
  <c r="F139" i="42"/>
  <c r="F140" i="42"/>
  <c r="F116" i="42"/>
  <c r="H116" i="42" s="1"/>
  <c r="F98" i="42"/>
  <c r="F142" i="43"/>
  <c r="F146" i="43"/>
  <c r="F116" i="43"/>
  <c r="F120" i="43"/>
  <c r="F125" i="43"/>
  <c r="F99" i="43"/>
  <c r="F101" i="43"/>
  <c r="F79" i="43"/>
  <c r="F71" i="43"/>
  <c r="H71" i="43" s="1"/>
  <c r="F77" i="43"/>
  <c r="F72" i="43"/>
  <c r="F80" i="43"/>
  <c r="F76" i="43"/>
  <c r="F81" i="43"/>
  <c r="F78" i="43"/>
  <c r="F73" i="43"/>
  <c r="F75" i="43"/>
  <c r="F14" i="43"/>
  <c r="F7" i="43"/>
  <c r="F10" i="43"/>
  <c r="F8" i="43"/>
  <c r="F18" i="43" s="1"/>
  <c r="F15" i="43"/>
  <c r="F9" i="43"/>
  <c r="F17" i="43"/>
  <c r="F16" i="43"/>
  <c r="F13" i="43"/>
  <c r="F11" i="43"/>
  <c r="E229" i="43"/>
  <c r="E228" i="43"/>
  <c r="E221" i="43"/>
  <c r="E226" i="43"/>
  <c r="E231" i="43"/>
  <c r="E230" i="43"/>
  <c r="E144" i="43"/>
  <c r="E137" i="43"/>
  <c r="E143" i="43"/>
  <c r="E141" i="43"/>
  <c r="E140" i="43"/>
  <c r="E138" i="43"/>
  <c r="E57" i="43"/>
  <c r="E51" i="43"/>
  <c r="E52" i="43"/>
  <c r="E49" i="43"/>
  <c r="E59" i="43"/>
  <c r="E55" i="43"/>
  <c r="E54" i="43"/>
  <c r="E50" i="43"/>
  <c r="E243" i="43"/>
  <c r="E159" i="43"/>
  <c r="G159" i="43" s="1"/>
  <c r="E166" i="43"/>
  <c r="E164" i="43"/>
  <c r="E160" i="43"/>
  <c r="E167" i="43"/>
  <c r="E165" i="43"/>
  <c r="E163" i="43"/>
  <c r="E225" i="43"/>
  <c r="E227" i="43"/>
  <c r="E222" i="43"/>
  <c r="E147" i="43"/>
  <c r="E139" i="43"/>
  <c r="E142" i="43"/>
  <c r="E145" i="43"/>
  <c r="E56" i="43"/>
  <c r="E53" i="43"/>
  <c r="E60" i="43"/>
  <c r="E204" i="43"/>
  <c r="E116" i="43"/>
  <c r="E126" i="43"/>
  <c r="E123" i="43"/>
  <c r="E120" i="43"/>
  <c r="E117" i="43"/>
  <c r="E118" i="43"/>
  <c r="E119" i="43"/>
  <c r="E125" i="43"/>
  <c r="E29" i="43"/>
  <c r="E37" i="43"/>
  <c r="E35" i="43"/>
  <c r="E179" i="43"/>
  <c r="E180" i="43"/>
  <c r="E100" i="43"/>
  <c r="E103" i="43"/>
  <c r="E96" i="43"/>
  <c r="F57" i="43"/>
  <c r="F59" i="43"/>
  <c r="F55" i="43"/>
  <c r="F49" i="43"/>
  <c r="F60" i="43"/>
  <c r="F51" i="43"/>
  <c r="F53" i="43"/>
  <c r="F50" i="43"/>
  <c r="F52" i="43"/>
  <c r="F54" i="43"/>
  <c r="E74" i="43"/>
  <c r="E70" i="43"/>
  <c r="E78" i="43"/>
  <c r="E72" i="43"/>
  <c r="E81" i="43"/>
  <c r="E79" i="43"/>
  <c r="E76" i="43"/>
  <c r="E80" i="43"/>
  <c r="E77" i="43"/>
  <c r="E71" i="43"/>
  <c r="F30" i="43"/>
  <c r="F34" i="43"/>
  <c r="F31" i="43"/>
  <c r="F27" i="43"/>
  <c r="H27" i="43" s="1"/>
  <c r="F36" i="43"/>
  <c r="F29" i="43"/>
  <c r="F37" i="43"/>
  <c r="F35" i="43"/>
  <c r="F33" i="43"/>
  <c r="F38" i="43"/>
  <c r="F182" i="43"/>
  <c r="F185" i="43"/>
  <c r="F183" i="43"/>
  <c r="F188" i="43"/>
  <c r="F187" i="43"/>
  <c r="F186" i="43"/>
  <c r="F179" i="43"/>
  <c r="F184" i="43"/>
  <c r="F189" i="43"/>
  <c r="F181" i="43"/>
  <c r="F58" i="43"/>
  <c r="E75" i="43"/>
  <c r="F32" i="43"/>
  <c r="F180" i="43"/>
  <c r="E95" i="43"/>
  <c r="E102" i="43"/>
  <c r="F121" i="43"/>
  <c r="F123" i="43"/>
  <c r="F161" i="43"/>
  <c r="E184" i="43"/>
  <c r="E205" i="43"/>
  <c r="E207" i="43"/>
  <c r="E245" i="43"/>
  <c r="E244" i="43"/>
  <c r="E104" i="43"/>
  <c r="F124" i="43"/>
  <c r="E122" i="43"/>
  <c r="F158" i="43"/>
  <c r="F164" i="43"/>
  <c r="E187" i="43"/>
  <c r="E208" i="43"/>
  <c r="F209" i="43"/>
  <c r="E242" i="43"/>
  <c r="E248" i="43"/>
  <c r="E99" i="43"/>
  <c r="E101" i="43"/>
  <c r="F119" i="43"/>
  <c r="F122" i="43"/>
  <c r="F162" i="43"/>
  <c r="E203" i="43"/>
  <c r="E206" i="43"/>
  <c r="E246" i="43"/>
  <c r="F248" i="43"/>
  <c r="E98" i="43"/>
  <c r="F118" i="43"/>
  <c r="F167" i="43"/>
  <c r="F163" i="43"/>
  <c r="E202" i="43"/>
  <c r="E223" i="43"/>
  <c r="E251" i="43"/>
  <c r="F246" i="43"/>
  <c r="E247" i="43"/>
  <c r="F166" i="43"/>
  <c r="E250" i="43"/>
  <c r="E97" i="43"/>
  <c r="F117" i="43"/>
  <c r="E201" i="43"/>
  <c r="E16" i="42"/>
  <c r="E18" i="42" s="1"/>
  <c r="F56" i="42"/>
  <c r="F101" i="42"/>
  <c r="E126" i="42"/>
  <c r="F142" i="42"/>
  <c r="F167" i="42"/>
  <c r="F230" i="42"/>
  <c r="H7" i="42"/>
  <c r="F16" i="42"/>
  <c r="E57" i="42"/>
  <c r="F75" i="42"/>
  <c r="F102" i="42"/>
  <c r="F143" i="42"/>
  <c r="E250" i="42"/>
  <c r="E34" i="42"/>
  <c r="E50" i="42"/>
  <c r="G50" i="42" s="1"/>
  <c r="F57" i="42"/>
  <c r="F76" i="42"/>
  <c r="F144" i="42"/>
  <c r="F168" i="42"/>
  <c r="E251" i="42"/>
  <c r="E53" i="42"/>
  <c r="E58" i="42"/>
  <c r="E122" i="42"/>
  <c r="E127" i="42" s="1"/>
  <c r="F146" i="42"/>
  <c r="E205" i="42"/>
  <c r="E35" i="42"/>
  <c r="F53" i="42"/>
  <c r="F59" i="42"/>
  <c r="E123" i="42"/>
  <c r="E206" i="42"/>
  <c r="E75" i="42"/>
  <c r="E76" i="42"/>
  <c r="E71" i="42"/>
  <c r="E80" i="42"/>
  <c r="E77" i="42"/>
  <c r="E74" i="42"/>
  <c r="E73" i="42"/>
  <c r="E81" i="42"/>
  <c r="E78" i="42"/>
  <c r="E147" i="42"/>
  <c r="E146" i="42"/>
  <c r="E142" i="42"/>
  <c r="E145" i="42"/>
  <c r="E137" i="42"/>
  <c r="E143" i="42"/>
  <c r="E138" i="42"/>
  <c r="E140" i="42"/>
  <c r="E139" i="42"/>
  <c r="E144" i="42"/>
  <c r="E141" i="42"/>
  <c r="F54" i="42"/>
  <c r="F55" i="42"/>
  <c r="F50" i="42"/>
  <c r="F58" i="42"/>
  <c r="F52" i="42"/>
  <c r="F49" i="42"/>
  <c r="F51" i="42"/>
  <c r="E70" i="42"/>
  <c r="H158" i="42"/>
  <c r="H159" i="42" s="1"/>
  <c r="H160" i="42" s="1"/>
  <c r="E79" i="42"/>
  <c r="G7" i="42"/>
  <c r="E72" i="42"/>
  <c r="H28" i="42"/>
  <c r="I28" i="42" s="1"/>
  <c r="F33" i="42"/>
  <c r="F30" i="42"/>
  <c r="G117" i="42"/>
  <c r="I116" i="42"/>
  <c r="E185" i="42"/>
  <c r="E189" i="42"/>
  <c r="E181" i="42"/>
  <c r="E184" i="42"/>
  <c r="E187" i="42"/>
  <c r="E182" i="42"/>
  <c r="E179" i="42"/>
  <c r="E186" i="42"/>
  <c r="E188" i="42"/>
  <c r="E183" i="42"/>
  <c r="E180" i="42"/>
  <c r="F78" i="42"/>
  <c r="F79" i="42"/>
  <c r="F71" i="42"/>
  <c r="F73" i="42"/>
  <c r="F74" i="42"/>
  <c r="F72" i="42"/>
  <c r="F17" i="42"/>
  <c r="F9" i="42"/>
  <c r="F13" i="42"/>
  <c r="F35" i="42"/>
  <c r="F38" i="42"/>
  <c r="F39" i="42" s="1"/>
  <c r="F77" i="42"/>
  <c r="F80" i="42"/>
  <c r="G96" i="42"/>
  <c r="H117" i="42"/>
  <c r="H118" i="42" s="1"/>
  <c r="H119" i="42" s="1"/>
  <c r="G158" i="42"/>
  <c r="F188" i="42"/>
  <c r="F180" i="42"/>
  <c r="F184" i="42"/>
  <c r="F187" i="42"/>
  <c r="F179" i="42"/>
  <c r="F186" i="42"/>
  <c r="F181" i="42"/>
  <c r="F183" i="42"/>
  <c r="E103" i="42"/>
  <c r="F122" i="42"/>
  <c r="F125" i="42"/>
  <c r="F123" i="42"/>
  <c r="F126" i="42"/>
  <c r="F206" i="42"/>
  <c r="F204" i="42"/>
  <c r="F210" i="42"/>
  <c r="F202" i="42"/>
  <c r="F205" i="42"/>
  <c r="F208" i="42"/>
  <c r="F200" i="42"/>
  <c r="F207" i="42"/>
  <c r="H95" i="42"/>
  <c r="I95" i="42" s="1"/>
  <c r="E101" i="42"/>
  <c r="E102" i="42"/>
  <c r="G243" i="42"/>
  <c r="E37" i="42"/>
  <c r="E38" i="42"/>
  <c r="E59" i="42"/>
  <c r="E51" i="42"/>
  <c r="E49" i="42"/>
  <c r="E60" i="42"/>
  <c r="E52" i="42"/>
  <c r="E104" i="42"/>
  <c r="F104" i="42"/>
  <c r="F96" i="42"/>
  <c r="F105" i="42"/>
  <c r="F97" i="42"/>
  <c r="F120" i="42"/>
  <c r="F229" i="42"/>
  <c r="F221" i="42"/>
  <c r="F227" i="42"/>
  <c r="F225" i="42"/>
  <c r="F228" i="42"/>
  <c r="F138" i="42"/>
  <c r="G202" i="42"/>
  <c r="F252" i="42"/>
  <c r="F244" i="42"/>
  <c r="F250" i="42"/>
  <c r="F242" i="42"/>
  <c r="F248" i="42"/>
  <c r="F251" i="42"/>
  <c r="F243" i="42"/>
  <c r="F137" i="42"/>
  <c r="F145" i="42"/>
  <c r="F164" i="42"/>
  <c r="E225" i="42"/>
  <c r="E248" i="42"/>
  <c r="E253" i="42" s="1"/>
  <c r="E222" i="42"/>
  <c r="E230" i="42"/>
  <c r="F353" i="22"/>
  <c r="F346" i="22"/>
  <c r="E352" i="22"/>
  <c r="F345" i="22"/>
  <c r="F352" i="22"/>
  <c r="E351" i="22"/>
  <c r="F344" i="22"/>
  <c r="H344" i="22" s="1"/>
  <c r="F347" i="22"/>
  <c r="F354" i="22"/>
  <c r="E350" i="22"/>
  <c r="E348" i="22"/>
  <c r="F351" i="22"/>
  <c r="E344" i="22"/>
  <c r="F350" i="22"/>
  <c r="E354" i="22"/>
  <c r="E346" i="22"/>
  <c r="F349" i="22"/>
  <c r="E349" i="22"/>
  <c r="E347" i="22"/>
  <c r="E353" i="22"/>
  <c r="G344" i="22"/>
  <c r="G345" i="22" s="1"/>
  <c r="G204" i="27"/>
  <c r="G235" i="27"/>
  <c r="K266" i="27"/>
  <c r="J266" i="27"/>
  <c r="I266" i="27"/>
  <c r="H266" i="27"/>
  <c r="G266" i="27"/>
  <c r="F266" i="27"/>
  <c r="E266" i="27"/>
  <c r="D266" i="27"/>
  <c r="C266" i="27"/>
  <c r="L265" i="27"/>
  <c r="L264" i="27"/>
  <c r="L263" i="27"/>
  <c r="L262" i="27"/>
  <c r="L261" i="27"/>
  <c r="L260" i="27"/>
  <c r="L259" i="27"/>
  <c r="L258" i="27"/>
  <c r="L257" i="27"/>
  <c r="L256" i="27"/>
  <c r="L255" i="27"/>
  <c r="K235" i="27"/>
  <c r="J235" i="27"/>
  <c r="I235" i="27"/>
  <c r="H235" i="27"/>
  <c r="F235" i="27"/>
  <c r="E235" i="27"/>
  <c r="D235" i="27"/>
  <c r="C235" i="27"/>
  <c r="L234" i="27"/>
  <c r="L233" i="27"/>
  <c r="L232" i="27"/>
  <c r="L231" i="27"/>
  <c r="L230" i="27"/>
  <c r="L229" i="27"/>
  <c r="L228" i="27"/>
  <c r="L227" i="27"/>
  <c r="L226" i="27"/>
  <c r="L225" i="27"/>
  <c r="L224" i="27"/>
  <c r="K204" i="27"/>
  <c r="J204" i="27"/>
  <c r="I204" i="27"/>
  <c r="H204" i="27"/>
  <c r="F204" i="27"/>
  <c r="E204" i="27"/>
  <c r="D204" i="27"/>
  <c r="C204" i="27"/>
  <c r="L203" i="27"/>
  <c r="L202" i="27"/>
  <c r="L201" i="27"/>
  <c r="L200" i="27"/>
  <c r="L199" i="27"/>
  <c r="L198" i="27"/>
  <c r="L197" i="27"/>
  <c r="L196" i="27"/>
  <c r="L195" i="27"/>
  <c r="L194" i="27"/>
  <c r="L193" i="27"/>
  <c r="G173" i="27"/>
  <c r="H142" i="27"/>
  <c r="G142" i="27"/>
  <c r="G111" i="27"/>
  <c r="H80" i="27"/>
  <c r="I80" i="27"/>
  <c r="G80" i="27"/>
  <c r="G48" i="27"/>
  <c r="K173" i="27"/>
  <c r="J173" i="27"/>
  <c r="I173" i="27"/>
  <c r="H173" i="27"/>
  <c r="F173" i="27"/>
  <c r="E173" i="27"/>
  <c r="D173" i="27"/>
  <c r="C173" i="27"/>
  <c r="L172" i="27"/>
  <c r="L171" i="27"/>
  <c r="L170" i="27"/>
  <c r="L169" i="27"/>
  <c r="L168" i="27"/>
  <c r="L167" i="27"/>
  <c r="L166" i="27"/>
  <c r="L165" i="27"/>
  <c r="L164" i="27"/>
  <c r="L163" i="27"/>
  <c r="L162" i="27"/>
  <c r="S14" i="14"/>
  <c r="S13" i="14"/>
  <c r="S12" i="14"/>
  <c r="S11" i="14"/>
  <c r="S10" i="14"/>
  <c r="S9" i="14"/>
  <c r="S8" i="14"/>
  <c r="S7" i="14"/>
  <c r="S6" i="14"/>
  <c r="S5" i="14"/>
  <c r="S4" i="14"/>
  <c r="K142" i="27"/>
  <c r="J142" i="27"/>
  <c r="I142" i="27"/>
  <c r="F142" i="27"/>
  <c r="E142" i="27"/>
  <c r="D142" i="27"/>
  <c r="C142" i="27"/>
  <c r="L141" i="27"/>
  <c r="L140" i="27"/>
  <c r="L139" i="27"/>
  <c r="L138" i="27"/>
  <c r="L137" i="27"/>
  <c r="L136" i="27"/>
  <c r="L135" i="27"/>
  <c r="L134" i="27"/>
  <c r="L133" i="27"/>
  <c r="L132" i="27"/>
  <c r="L131" i="27"/>
  <c r="K111" i="27"/>
  <c r="J111" i="27"/>
  <c r="I111" i="27"/>
  <c r="H111" i="27"/>
  <c r="F111" i="27"/>
  <c r="E111" i="27"/>
  <c r="D111" i="27"/>
  <c r="C111" i="27"/>
  <c r="L110" i="27"/>
  <c r="L109" i="27"/>
  <c r="L108" i="27"/>
  <c r="L107" i="27"/>
  <c r="L106" i="27"/>
  <c r="L105" i="27"/>
  <c r="L104" i="27"/>
  <c r="L103" i="27"/>
  <c r="L102" i="27"/>
  <c r="L101" i="27"/>
  <c r="L100" i="27"/>
  <c r="C48" i="27"/>
  <c r="D48" i="27"/>
  <c r="E48" i="27"/>
  <c r="F48" i="27"/>
  <c r="G16" i="27"/>
  <c r="D18" i="22"/>
  <c r="D39" i="22"/>
  <c r="D61" i="22"/>
  <c r="D82" i="22"/>
  <c r="K80" i="27"/>
  <c r="J80" i="27"/>
  <c r="F80" i="27"/>
  <c r="E80" i="27"/>
  <c r="D80" i="27"/>
  <c r="C80" i="27"/>
  <c r="L79" i="27"/>
  <c r="L78" i="27"/>
  <c r="L77" i="27"/>
  <c r="L76" i="27"/>
  <c r="L75" i="27"/>
  <c r="L74" i="27"/>
  <c r="L73" i="27"/>
  <c r="L72" i="27"/>
  <c r="L71" i="27"/>
  <c r="L70" i="27"/>
  <c r="L69" i="27"/>
  <c r="O69" i="14"/>
  <c r="O70" i="14"/>
  <c r="O71" i="14"/>
  <c r="O72" i="14"/>
  <c r="O73" i="14"/>
  <c r="O74" i="14"/>
  <c r="O75" i="14"/>
  <c r="O76" i="14"/>
  <c r="O77" i="14"/>
  <c r="O78" i="14"/>
  <c r="O68" i="14"/>
  <c r="J123" i="59" l="1"/>
  <c r="J124" i="59"/>
  <c r="F126" i="59"/>
  <c r="I118" i="59"/>
  <c r="L108" i="59"/>
  <c r="L106" i="59"/>
  <c r="I107" i="59"/>
  <c r="L99" i="59"/>
  <c r="L98" i="59"/>
  <c r="H86" i="59"/>
  <c r="K89" i="59"/>
  <c r="K80" i="59"/>
  <c r="K85" i="59"/>
  <c r="K81" i="59"/>
  <c r="I86" i="59"/>
  <c r="I87" i="59"/>
  <c r="I82" i="59"/>
  <c r="K87" i="59"/>
  <c r="K86" i="59"/>
  <c r="K83" i="59"/>
  <c r="M70" i="59"/>
  <c r="L69" i="59"/>
  <c r="F70" i="59"/>
  <c r="M69" i="59"/>
  <c r="M62" i="59"/>
  <c r="M61" i="59"/>
  <c r="M68" i="59"/>
  <c r="L60" i="59"/>
  <c r="G68" i="59"/>
  <c r="G66" i="59"/>
  <c r="L67" i="59"/>
  <c r="L66" i="59"/>
  <c r="G63" i="59"/>
  <c r="M65" i="59"/>
  <c r="G62" i="59"/>
  <c r="M67" i="59"/>
  <c r="L61" i="59"/>
  <c r="G65" i="59"/>
  <c r="M63" i="59"/>
  <c r="L62" i="59"/>
  <c r="D67" i="59"/>
  <c r="D69" i="59"/>
  <c r="D66" i="59"/>
  <c r="D60" i="59"/>
  <c r="D65" i="59"/>
  <c r="F47" i="59"/>
  <c r="D44" i="59"/>
  <c r="D45" i="59"/>
  <c r="L10" i="59"/>
  <c r="H8" i="59"/>
  <c r="H14" i="59"/>
  <c r="I121" i="59"/>
  <c r="L138" i="59"/>
  <c r="F102" i="59"/>
  <c r="I138" i="59"/>
  <c r="I140" i="59"/>
  <c r="I137" i="59"/>
  <c r="F87" i="59"/>
  <c r="F89" i="59"/>
  <c r="F81" i="59"/>
  <c r="F86" i="59"/>
  <c r="F80" i="59"/>
  <c r="F88" i="59"/>
  <c r="F85" i="59"/>
  <c r="F82" i="59"/>
  <c r="E16" i="59"/>
  <c r="E12" i="59"/>
  <c r="E15" i="59"/>
  <c r="E9" i="59"/>
  <c r="E8" i="59"/>
  <c r="E7" i="59"/>
  <c r="E13" i="59"/>
  <c r="E14" i="59"/>
  <c r="E6" i="59"/>
  <c r="E11" i="59"/>
  <c r="E10" i="59"/>
  <c r="J89" i="59"/>
  <c r="J88" i="59"/>
  <c r="J86" i="59"/>
  <c r="J81" i="59"/>
  <c r="J83" i="59"/>
  <c r="J90" i="59"/>
  <c r="J80" i="59"/>
  <c r="J85" i="59"/>
  <c r="J82" i="59"/>
  <c r="J87" i="59"/>
  <c r="I104" i="59"/>
  <c r="I105" i="59"/>
  <c r="I101" i="59"/>
  <c r="I99" i="59"/>
  <c r="I103" i="59"/>
  <c r="I102" i="59"/>
  <c r="I108" i="59"/>
  <c r="E64" i="59"/>
  <c r="E62" i="59"/>
  <c r="E69" i="59"/>
  <c r="E63" i="59"/>
  <c r="E66" i="59"/>
  <c r="E67" i="59"/>
  <c r="E70" i="59"/>
  <c r="N42" i="59"/>
  <c r="N51" i="59"/>
  <c r="N49" i="59"/>
  <c r="N46" i="59"/>
  <c r="N47" i="59"/>
  <c r="N50" i="59"/>
  <c r="N52" i="59"/>
  <c r="N43" i="59"/>
  <c r="N45" i="59"/>
  <c r="N44" i="59"/>
  <c r="N48" i="59"/>
  <c r="D141" i="59"/>
  <c r="L142" i="59"/>
  <c r="D137" i="59"/>
  <c r="I144" i="59"/>
  <c r="F104" i="59"/>
  <c r="I125" i="59"/>
  <c r="I119" i="59"/>
  <c r="I124" i="59"/>
  <c r="I120" i="59"/>
  <c r="I116" i="59"/>
  <c r="I122" i="59"/>
  <c r="I100" i="59"/>
  <c r="J119" i="59"/>
  <c r="J125" i="59"/>
  <c r="J117" i="59"/>
  <c r="J121" i="59"/>
  <c r="J126" i="59"/>
  <c r="E61" i="59"/>
  <c r="E68" i="59"/>
  <c r="D9" i="59"/>
  <c r="D16" i="59"/>
  <c r="D11" i="59"/>
  <c r="D8" i="59"/>
  <c r="D13" i="59"/>
  <c r="D10" i="59"/>
  <c r="D7" i="59"/>
  <c r="D6" i="59"/>
  <c r="D12" i="59"/>
  <c r="D14" i="59"/>
  <c r="D15" i="59"/>
  <c r="I143" i="59"/>
  <c r="F90" i="59"/>
  <c r="I139" i="59"/>
  <c r="J122" i="59"/>
  <c r="F64" i="59"/>
  <c r="F65" i="59"/>
  <c r="F62" i="59"/>
  <c r="F61" i="59"/>
  <c r="F60" i="59"/>
  <c r="F68" i="59"/>
  <c r="F69" i="59"/>
  <c r="F63" i="59"/>
  <c r="F67" i="59"/>
  <c r="F101" i="59"/>
  <c r="F105" i="59"/>
  <c r="F100" i="59"/>
  <c r="F99" i="59"/>
  <c r="F106" i="59"/>
  <c r="F103" i="59"/>
  <c r="F98" i="59"/>
  <c r="N64" i="59"/>
  <c r="N62" i="59"/>
  <c r="N66" i="59"/>
  <c r="N60" i="59"/>
  <c r="N69" i="59"/>
  <c r="N61" i="59"/>
  <c r="N65" i="59"/>
  <c r="N67" i="59"/>
  <c r="N70" i="59"/>
  <c r="N63" i="59"/>
  <c r="L144" i="59"/>
  <c r="L143" i="59"/>
  <c r="L135" i="59"/>
  <c r="L136" i="59"/>
  <c r="L140" i="59"/>
  <c r="L141" i="59"/>
  <c r="L134" i="59"/>
  <c r="E60" i="59"/>
  <c r="D144" i="59"/>
  <c r="D143" i="59"/>
  <c r="D135" i="59"/>
  <c r="D136" i="59"/>
  <c r="D140" i="59"/>
  <c r="D139" i="59"/>
  <c r="D134" i="59"/>
  <c r="I142" i="59"/>
  <c r="I106" i="59"/>
  <c r="L137" i="59"/>
  <c r="E65" i="59"/>
  <c r="D50" i="59"/>
  <c r="D49" i="59"/>
  <c r="D46" i="59"/>
  <c r="D43" i="59"/>
  <c r="D47" i="59"/>
  <c r="D48" i="59"/>
  <c r="D42" i="59"/>
  <c r="D52" i="59"/>
  <c r="J84" i="59"/>
  <c r="I65" i="59"/>
  <c r="I85" i="59"/>
  <c r="I61" i="59"/>
  <c r="M66" i="59"/>
  <c r="E49" i="59"/>
  <c r="E46" i="59"/>
  <c r="E50" i="59"/>
  <c r="E47" i="59"/>
  <c r="E51" i="59"/>
  <c r="E45" i="59"/>
  <c r="M8" i="59"/>
  <c r="M9" i="59"/>
  <c r="M16" i="59"/>
  <c r="M12" i="59"/>
  <c r="H12" i="59"/>
  <c r="H11" i="59"/>
  <c r="H9" i="59"/>
  <c r="I28" i="59"/>
  <c r="I25" i="59"/>
  <c r="I32" i="59"/>
  <c r="I27" i="59"/>
  <c r="I33" i="59"/>
  <c r="I30" i="59"/>
  <c r="I34" i="59"/>
  <c r="F118" i="59"/>
  <c r="I64" i="59"/>
  <c r="I68" i="59"/>
  <c r="I70" i="59"/>
  <c r="I81" i="59"/>
  <c r="I89" i="59"/>
  <c r="I88" i="59"/>
  <c r="I80" i="59"/>
  <c r="I83" i="59"/>
  <c r="I90" i="59"/>
  <c r="D64" i="59"/>
  <c r="D68" i="59"/>
  <c r="D61" i="59"/>
  <c r="H81" i="59"/>
  <c r="H87" i="59"/>
  <c r="H88" i="59"/>
  <c r="H80" i="59"/>
  <c r="H89" i="59"/>
  <c r="H90" i="59"/>
  <c r="M11" i="59"/>
  <c r="I31" i="59"/>
  <c r="G67" i="59"/>
  <c r="G70" i="59"/>
  <c r="G64" i="59"/>
  <c r="G69" i="59"/>
  <c r="H13" i="59"/>
  <c r="H6" i="59"/>
  <c r="H7" i="59"/>
  <c r="I63" i="59"/>
  <c r="K24" i="59"/>
  <c r="K29" i="59"/>
  <c r="K34" i="59"/>
  <c r="M15" i="59"/>
  <c r="F123" i="59"/>
  <c r="F124" i="59"/>
  <c r="F116" i="59"/>
  <c r="F125" i="59"/>
  <c r="F117" i="59"/>
  <c r="F121" i="59"/>
  <c r="I66" i="59"/>
  <c r="H84" i="59"/>
  <c r="F50" i="59"/>
  <c r="F52" i="59"/>
  <c r="F42" i="59"/>
  <c r="F48" i="59"/>
  <c r="F45" i="59"/>
  <c r="F49" i="59"/>
  <c r="F46" i="59"/>
  <c r="L9" i="59"/>
  <c r="L13" i="59"/>
  <c r="L8" i="59"/>
  <c r="L16" i="59"/>
  <c r="L11" i="59"/>
  <c r="L6" i="59"/>
  <c r="H10" i="59"/>
  <c r="K31" i="59"/>
  <c r="I49" i="59"/>
  <c r="I46" i="59"/>
  <c r="I45" i="59"/>
  <c r="I51" i="59"/>
  <c r="I43" i="59"/>
  <c r="I50" i="59"/>
  <c r="I52" i="59"/>
  <c r="I62" i="59"/>
  <c r="M60" i="59"/>
  <c r="D63" i="59"/>
  <c r="N25" i="59"/>
  <c r="N30" i="59"/>
  <c r="N27" i="59"/>
  <c r="N26" i="59"/>
  <c r="N32" i="59"/>
  <c r="N24" i="59"/>
  <c r="M6" i="59"/>
  <c r="I69" i="59"/>
  <c r="E44" i="59"/>
  <c r="D32" i="59"/>
  <c r="D28" i="59"/>
  <c r="D30" i="59"/>
  <c r="D25" i="59"/>
  <c r="M13" i="59"/>
  <c r="J141" i="58"/>
  <c r="J143" i="58"/>
  <c r="J140" i="58"/>
  <c r="J135" i="58"/>
  <c r="J137" i="58"/>
  <c r="J120" i="58"/>
  <c r="J124" i="58"/>
  <c r="L120" i="58"/>
  <c r="L119" i="58"/>
  <c r="F119" i="58"/>
  <c r="J126" i="58"/>
  <c r="H103" i="58"/>
  <c r="F101" i="58"/>
  <c r="K86" i="58"/>
  <c r="K83" i="58"/>
  <c r="K85" i="58"/>
  <c r="K82" i="58"/>
  <c r="K87" i="58"/>
  <c r="K88" i="58"/>
  <c r="K84" i="58"/>
  <c r="D62" i="58"/>
  <c r="D68" i="58"/>
  <c r="D65" i="58"/>
  <c r="G45" i="58"/>
  <c r="G44" i="58"/>
  <c r="G47" i="58"/>
  <c r="D27" i="58"/>
  <c r="D31" i="58"/>
  <c r="D26" i="58"/>
  <c r="F7" i="58"/>
  <c r="N13" i="58"/>
  <c r="I134" i="58"/>
  <c r="I139" i="58"/>
  <c r="N144" i="58"/>
  <c r="N143" i="58"/>
  <c r="N136" i="58"/>
  <c r="N137" i="58"/>
  <c r="N138" i="58"/>
  <c r="N142" i="58"/>
  <c r="N135" i="58"/>
  <c r="N134" i="58"/>
  <c r="E107" i="58"/>
  <c r="F106" i="58"/>
  <c r="F100" i="58"/>
  <c r="F98" i="58"/>
  <c r="F107" i="58"/>
  <c r="F103" i="58"/>
  <c r="F108" i="58"/>
  <c r="F102" i="58"/>
  <c r="F104" i="58"/>
  <c r="E103" i="58"/>
  <c r="N104" i="58"/>
  <c r="F99" i="58"/>
  <c r="H66" i="58"/>
  <c r="H61" i="58"/>
  <c r="H62" i="58"/>
  <c r="H60" i="58"/>
  <c r="H65" i="58"/>
  <c r="H63" i="58"/>
  <c r="H68" i="58"/>
  <c r="H67" i="58"/>
  <c r="H69" i="58"/>
  <c r="F144" i="58"/>
  <c r="F143" i="58"/>
  <c r="F136" i="58"/>
  <c r="F137" i="58"/>
  <c r="F138" i="58"/>
  <c r="F134" i="58"/>
  <c r="F142" i="58"/>
  <c r="F135" i="58"/>
  <c r="M49" i="58"/>
  <c r="F141" i="58"/>
  <c r="F139" i="58"/>
  <c r="N105" i="58"/>
  <c r="N103" i="58"/>
  <c r="I141" i="58"/>
  <c r="I142" i="58"/>
  <c r="I137" i="58"/>
  <c r="I138" i="58"/>
  <c r="I143" i="58"/>
  <c r="E106" i="58"/>
  <c r="E98" i="58"/>
  <c r="E100" i="58"/>
  <c r="E105" i="58"/>
  <c r="E101" i="58"/>
  <c r="E104" i="58"/>
  <c r="E47" i="58"/>
  <c r="E42" i="58"/>
  <c r="E52" i="58"/>
  <c r="E45" i="58"/>
  <c r="E44" i="58"/>
  <c r="E51" i="58"/>
  <c r="E50" i="58"/>
  <c r="E49" i="58"/>
  <c r="E48" i="58"/>
  <c r="M47" i="58"/>
  <c r="M45" i="58"/>
  <c r="M44" i="58"/>
  <c r="M52" i="58"/>
  <c r="M48" i="58"/>
  <c r="M43" i="58"/>
  <c r="M46" i="58"/>
  <c r="M50" i="58"/>
  <c r="I135" i="58"/>
  <c r="I136" i="58"/>
  <c r="I140" i="58"/>
  <c r="J106" i="58"/>
  <c r="J104" i="58"/>
  <c r="J101" i="58"/>
  <c r="J98" i="58"/>
  <c r="J107" i="58"/>
  <c r="J99" i="58"/>
  <c r="J108" i="58"/>
  <c r="E108" i="58"/>
  <c r="M42" i="58"/>
  <c r="L70" i="58"/>
  <c r="L63" i="58"/>
  <c r="L67" i="58"/>
  <c r="L64" i="58"/>
  <c r="L61" i="58"/>
  <c r="L66" i="58"/>
  <c r="L69" i="58"/>
  <c r="L60" i="58"/>
  <c r="L65" i="58"/>
  <c r="F123" i="58"/>
  <c r="F124" i="58"/>
  <c r="F116" i="58"/>
  <c r="F117" i="58"/>
  <c r="F122" i="58"/>
  <c r="F121" i="58"/>
  <c r="F125" i="58"/>
  <c r="F118" i="58"/>
  <c r="F120" i="58"/>
  <c r="E102" i="58"/>
  <c r="N106" i="58"/>
  <c r="N100" i="58"/>
  <c r="N98" i="58"/>
  <c r="N99" i="58"/>
  <c r="N102" i="58"/>
  <c r="J116" i="58"/>
  <c r="J121" i="58"/>
  <c r="J125" i="58"/>
  <c r="J118" i="58"/>
  <c r="J117" i="58"/>
  <c r="N123" i="58"/>
  <c r="N124" i="58"/>
  <c r="N116" i="58"/>
  <c r="N122" i="58"/>
  <c r="N121" i="58"/>
  <c r="N125" i="58"/>
  <c r="N117" i="58"/>
  <c r="D29" i="58"/>
  <c r="N15" i="58"/>
  <c r="I29" i="58"/>
  <c r="H52" i="58"/>
  <c r="H45" i="58"/>
  <c r="H42" i="58"/>
  <c r="H48" i="58"/>
  <c r="H47" i="58"/>
  <c r="H46" i="58"/>
  <c r="L30" i="58"/>
  <c r="L25" i="58"/>
  <c r="L34" i="58"/>
  <c r="L33" i="58"/>
  <c r="L27" i="58"/>
  <c r="L26" i="58"/>
  <c r="F9" i="58"/>
  <c r="F10" i="58"/>
  <c r="F11" i="58"/>
  <c r="F12" i="58"/>
  <c r="F14" i="58"/>
  <c r="F6" i="58"/>
  <c r="F15" i="58"/>
  <c r="F8" i="58"/>
  <c r="D28" i="58"/>
  <c r="L9" i="58"/>
  <c r="L12" i="58"/>
  <c r="L14" i="58"/>
  <c r="L6" i="58"/>
  <c r="L7" i="58"/>
  <c r="H32" i="58"/>
  <c r="H34" i="58"/>
  <c r="H33" i="58"/>
  <c r="H26" i="58"/>
  <c r="H31" i="58"/>
  <c r="H25" i="58"/>
  <c r="H24" i="58"/>
  <c r="D9" i="58"/>
  <c r="D12" i="58"/>
  <c r="D14" i="58"/>
  <c r="D6" i="58"/>
  <c r="H101" i="58"/>
  <c r="H100" i="58"/>
  <c r="D11" i="58"/>
  <c r="G25" i="58"/>
  <c r="G32" i="58"/>
  <c r="G34" i="58"/>
  <c r="G33" i="58"/>
  <c r="G30" i="58"/>
  <c r="G31" i="58"/>
  <c r="G24" i="58"/>
  <c r="AE39" i="58" a="1"/>
  <c r="AE39" i="58" s="1"/>
  <c r="J123" i="58"/>
  <c r="J142" i="58"/>
  <c r="J134" i="58"/>
  <c r="J138" i="58"/>
  <c r="H105" i="58"/>
  <c r="D69" i="58"/>
  <c r="H30" i="58"/>
  <c r="E86" i="58"/>
  <c r="E89" i="58"/>
  <c r="E88" i="58"/>
  <c r="E80" i="58"/>
  <c r="E83" i="58"/>
  <c r="E87" i="58"/>
  <c r="L29" i="58"/>
  <c r="I67" i="58"/>
  <c r="I63" i="58"/>
  <c r="I66" i="58"/>
  <c r="I62" i="58"/>
  <c r="I61" i="58"/>
  <c r="D16" i="58"/>
  <c r="G27" i="58"/>
  <c r="N16" i="58"/>
  <c r="E9" i="58"/>
  <c r="E10" i="58"/>
  <c r="E12" i="58"/>
  <c r="E7" i="58"/>
  <c r="H28" i="58"/>
  <c r="H108" i="58"/>
  <c r="I34" i="58"/>
  <c r="I33" i="58"/>
  <c r="I26" i="58"/>
  <c r="I27" i="58"/>
  <c r="I30" i="58"/>
  <c r="I25" i="58"/>
  <c r="I32" i="58"/>
  <c r="D30" i="58"/>
  <c r="D25" i="58"/>
  <c r="D34" i="58"/>
  <c r="D33" i="58"/>
  <c r="D32" i="58"/>
  <c r="D66" i="58"/>
  <c r="D70" i="58"/>
  <c r="D64" i="58"/>
  <c r="D63" i="58"/>
  <c r="D61" i="58"/>
  <c r="N9" i="58"/>
  <c r="N10" i="58"/>
  <c r="N11" i="58"/>
  <c r="N12" i="58"/>
  <c r="N14" i="58"/>
  <c r="N6" i="58"/>
  <c r="N8" i="58"/>
  <c r="K136" i="57"/>
  <c r="N136" i="57"/>
  <c r="K142" i="57"/>
  <c r="E134" i="57"/>
  <c r="K135" i="57"/>
  <c r="M135" i="57"/>
  <c r="L126" i="57"/>
  <c r="L118" i="57"/>
  <c r="L122" i="57"/>
  <c r="L123" i="57"/>
  <c r="L103" i="57"/>
  <c r="N106" i="57"/>
  <c r="L104" i="57"/>
  <c r="N100" i="57"/>
  <c r="L108" i="57"/>
  <c r="F102" i="57"/>
  <c r="L106" i="57"/>
  <c r="L107" i="57"/>
  <c r="J87" i="57"/>
  <c r="J82" i="57"/>
  <c r="J81" i="57"/>
  <c r="J84" i="57"/>
  <c r="D70" i="57"/>
  <c r="D62" i="57"/>
  <c r="D65" i="57"/>
  <c r="E51" i="57"/>
  <c r="L47" i="57"/>
  <c r="E49" i="57"/>
  <c r="L50" i="57"/>
  <c r="E50" i="57"/>
  <c r="E42" i="57"/>
  <c r="D49" i="57"/>
  <c r="D42" i="57"/>
  <c r="D52" i="57"/>
  <c r="M24" i="57"/>
  <c r="M30" i="57"/>
  <c r="E30" i="57"/>
  <c r="M34" i="57"/>
  <c r="D34" i="57"/>
  <c r="M13" i="57"/>
  <c r="L11" i="57"/>
  <c r="L13" i="57"/>
  <c r="E13" i="57"/>
  <c r="L9" i="57"/>
  <c r="E12" i="57"/>
  <c r="L7" i="57"/>
  <c r="E7" i="57"/>
  <c r="L6" i="57"/>
  <c r="N6" i="57"/>
  <c r="G13" i="57"/>
  <c r="G10" i="57"/>
  <c r="G11" i="57"/>
  <c r="N14" i="57"/>
  <c r="M15" i="57"/>
  <c r="F141" i="57"/>
  <c r="K106" i="57"/>
  <c r="K105" i="57"/>
  <c r="K107" i="57"/>
  <c r="K99" i="57"/>
  <c r="K104" i="57"/>
  <c r="K100" i="57"/>
  <c r="K101" i="57"/>
  <c r="K103" i="57"/>
  <c r="K108" i="57"/>
  <c r="K98" i="57"/>
  <c r="M143" i="57"/>
  <c r="M144" i="57"/>
  <c r="N138" i="57"/>
  <c r="N139" i="57"/>
  <c r="N144" i="57"/>
  <c r="N143" i="57"/>
  <c r="N135" i="57"/>
  <c r="N137" i="57"/>
  <c r="N134" i="57"/>
  <c r="N142" i="57"/>
  <c r="N141" i="57"/>
  <c r="F138" i="57"/>
  <c r="F139" i="57"/>
  <c r="F144" i="57"/>
  <c r="F137" i="57"/>
  <c r="F143" i="57"/>
  <c r="F142" i="57"/>
  <c r="F134" i="57"/>
  <c r="F140" i="57"/>
  <c r="F135" i="57"/>
  <c r="M100" i="57"/>
  <c r="M101" i="57"/>
  <c r="M103" i="57"/>
  <c r="M99" i="57"/>
  <c r="M98" i="57"/>
  <c r="M108" i="57"/>
  <c r="M102" i="57"/>
  <c r="M104" i="57"/>
  <c r="H125" i="57"/>
  <c r="H124" i="57"/>
  <c r="H119" i="57"/>
  <c r="H118" i="57"/>
  <c r="H117" i="57"/>
  <c r="H126" i="57"/>
  <c r="H116" i="57"/>
  <c r="H120" i="57"/>
  <c r="H122" i="57"/>
  <c r="H121" i="57"/>
  <c r="M137" i="57"/>
  <c r="M138" i="57"/>
  <c r="M139" i="57"/>
  <c r="M136" i="57"/>
  <c r="M142" i="57"/>
  <c r="M141" i="57"/>
  <c r="M105" i="57"/>
  <c r="F101" i="57"/>
  <c r="F107" i="57"/>
  <c r="F104" i="57"/>
  <c r="F103" i="57"/>
  <c r="I64" i="57"/>
  <c r="E107" i="57"/>
  <c r="E101" i="57"/>
  <c r="E106" i="57"/>
  <c r="E100" i="57"/>
  <c r="E103" i="57"/>
  <c r="N43" i="57"/>
  <c r="H85" i="57"/>
  <c r="E48" i="57"/>
  <c r="E47" i="57"/>
  <c r="E45" i="57"/>
  <c r="E43" i="57"/>
  <c r="L44" i="57"/>
  <c r="L48" i="57"/>
  <c r="L45" i="57"/>
  <c r="L52" i="57"/>
  <c r="L51" i="57"/>
  <c r="L46" i="57"/>
  <c r="L29" i="57"/>
  <c r="N32" i="57"/>
  <c r="E15" i="57"/>
  <c r="J90" i="57"/>
  <c r="J83" i="57"/>
  <c r="J85" i="57"/>
  <c r="J80" i="57"/>
  <c r="L28" i="57"/>
  <c r="L31" i="57"/>
  <c r="N25" i="57"/>
  <c r="N13" i="57"/>
  <c r="N104" i="57"/>
  <c r="N103" i="57"/>
  <c r="N107" i="57"/>
  <c r="N102" i="57"/>
  <c r="N101" i="57"/>
  <c r="I67" i="57"/>
  <c r="I70" i="57"/>
  <c r="I66" i="57"/>
  <c r="I68" i="57"/>
  <c r="I62" i="57"/>
  <c r="I69" i="57"/>
  <c r="F9" i="57"/>
  <c r="F10" i="57"/>
  <c r="F11" i="57"/>
  <c r="F12" i="57"/>
  <c r="E28" i="57"/>
  <c r="E27" i="57"/>
  <c r="E25" i="57"/>
  <c r="I121" i="57"/>
  <c r="M8" i="57"/>
  <c r="M6" i="57"/>
  <c r="M9" i="57"/>
  <c r="M10" i="57"/>
  <c r="M11" i="57"/>
  <c r="M16" i="57"/>
  <c r="N7" i="57"/>
  <c r="M31" i="57"/>
  <c r="M7" i="57"/>
  <c r="F27" i="57"/>
  <c r="F28" i="57"/>
  <c r="F26" i="57"/>
  <c r="F29" i="57"/>
  <c r="L42" i="57"/>
  <c r="H84" i="57"/>
  <c r="H89" i="57"/>
  <c r="D106" i="57"/>
  <c r="D103" i="57"/>
  <c r="D107" i="57"/>
  <c r="D101" i="57"/>
  <c r="F98" i="57"/>
  <c r="N51" i="57"/>
  <c r="F16" i="57"/>
  <c r="E9" i="57"/>
  <c r="E16" i="57"/>
  <c r="E10" i="57"/>
  <c r="E11" i="57"/>
  <c r="E6" i="57"/>
  <c r="E8" i="57"/>
  <c r="M14" i="57"/>
  <c r="M29" i="57"/>
  <c r="E138" i="57"/>
  <c r="E139" i="57"/>
  <c r="E136" i="57"/>
  <c r="E137" i="57"/>
  <c r="H104" i="57"/>
  <c r="H106" i="57"/>
  <c r="H105" i="57"/>
  <c r="H103" i="57"/>
  <c r="H102" i="57"/>
  <c r="E68" i="57"/>
  <c r="H108" i="57"/>
  <c r="D48" i="57"/>
  <c r="D47" i="57"/>
  <c r="D45" i="57"/>
  <c r="D44" i="57"/>
  <c r="H98" i="57"/>
  <c r="M48" i="57"/>
  <c r="M47" i="57"/>
  <c r="M49" i="57"/>
  <c r="M46" i="57"/>
  <c r="M45" i="57"/>
  <c r="E98" i="57"/>
  <c r="N98" i="57"/>
  <c r="N24" i="57"/>
  <c r="E44" i="57"/>
  <c r="E24" i="57"/>
  <c r="J86" i="57"/>
  <c r="E34" i="57"/>
  <c r="E33" i="57"/>
  <c r="N16" i="57"/>
  <c r="N31" i="57"/>
  <c r="F14" i="57"/>
  <c r="F6" i="57"/>
  <c r="F7" i="57"/>
  <c r="H90" i="57"/>
  <c r="H83" i="57"/>
  <c r="H87" i="57"/>
  <c r="H82" i="57"/>
  <c r="H81" i="57"/>
  <c r="N99" i="57"/>
  <c r="I65" i="57"/>
  <c r="E66" i="57"/>
  <c r="E62" i="57"/>
  <c r="E67" i="57"/>
  <c r="E65" i="57"/>
  <c r="E64" i="57"/>
  <c r="E60" i="57"/>
  <c r="E61" i="57"/>
  <c r="L30" i="57"/>
  <c r="L33" i="57"/>
  <c r="L27" i="57"/>
  <c r="L26" i="57"/>
  <c r="L24" i="57"/>
  <c r="L32" i="57"/>
  <c r="N108" i="57"/>
  <c r="I60" i="57"/>
  <c r="N15" i="57"/>
  <c r="D30" i="57"/>
  <c r="D33" i="57"/>
  <c r="D32" i="57"/>
  <c r="D27" i="57"/>
  <c r="D26" i="57"/>
  <c r="D24" i="57"/>
  <c r="H86" i="57"/>
  <c r="F8" i="57"/>
  <c r="L25" i="57"/>
  <c r="I126" i="57"/>
  <c r="I118" i="57"/>
  <c r="I125" i="57"/>
  <c r="I117" i="57"/>
  <c r="I119" i="57"/>
  <c r="D90" i="57"/>
  <c r="D83" i="57"/>
  <c r="D81" i="57"/>
  <c r="D89" i="57"/>
  <c r="D85" i="57"/>
  <c r="N48" i="57"/>
  <c r="N47" i="57"/>
  <c r="N50" i="57"/>
  <c r="N45" i="57"/>
  <c r="N44" i="57"/>
  <c r="E63" i="57"/>
  <c r="I61" i="57"/>
  <c r="F15" i="57"/>
  <c r="D86" i="57"/>
  <c r="N27" i="57"/>
  <c r="N34" i="57"/>
  <c r="N26" i="57"/>
  <c r="N29" i="57"/>
  <c r="N28" i="57"/>
  <c r="N33" i="57"/>
  <c r="M25" i="57"/>
  <c r="M27" i="57"/>
  <c r="M28" i="57"/>
  <c r="N12" i="57"/>
  <c r="N10" i="57"/>
  <c r="N11" i="57"/>
  <c r="K134" i="56"/>
  <c r="F141" i="56"/>
  <c r="K135" i="56"/>
  <c r="K144" i="56"/>
  <c r="K138" i="56"/>
  <c r="L140" i="56"/>
  <c r="L134" i="56"/>
  <c r="K137" i="56"/>
  <c r="K139" i="56"/>
  <c r="K140" i="56"/>
  <c r="K141" i="56"/>
  <c r="K136" i="56"/>
  <c r="D140" i="56"/>
  <c r="D137" i="56"/>
  <c r="D141" i="56"/>
  <c r="E126" i="56"/>
  <c r="E122" i="56"/>
  <c r="E123" i="56"/>
  <c r="E119" i="56"/>
  <c r="E125" i="56"/>
  <c r="E121" i="56"/>
  <c r="E116" i="56"/>
  <c r="E124" i="56"/>
  <c r="L106" i="56"/>
  <c r="L102" i="56"/>
  <c r="L105" i="56"/>
  <c r="L100" i="56"/>
  <c r="J98" i="56"/>
  <c r="L103" i="56"/>
  <c r="J102" i="56"/>
  <c r="J101" i="56"/>
  <c r="J107" i="56"/>
  <c r="J106" i="56"/>
  <c r="J103" i="56"/>
  <c r="J105" i="56"/>
  <c r="J108" i="56"/>
  <c r="L101" i="56"/>
  <c r="L99" i="56"/>
  <c r="D101" i="56"/>
  <c r="D108" i="56"/>
  <c r="G80" i="56"/>
  <c r="K63" i="56"/>
  <c r="K65" i="56"/>
  <c r="L48" i="56"/>
  <c r="L50" i="56"/>
  <c r="AE40" i="56" s="1"/>
  <c r="L44" i="56"/>
  <c r="L42" i="56"/>
  <c r="H12" i="56"/>
  <c r="L9" i="56"/>
  <c r="H10" i="56"/>
  <c r="M12" i="56"/>
  <c r="L12" i="56"/>
  <c r="L15" i="56"/>
  <c r="M15" i="56"/>
  <c r="L13" i="56"/>
  <c r="K8" i="56"/>
  <c r="K16" i="56"/>
  <c r="K12" i="56"/>
  <c r="K11" i="56"/>
  <c r="K10" i="56"/>
  <c r="M10" i="56"/>
  <c r="L8" i="56"/>
  <c r="N137" i="56"/>
  <c r="N138" i="56"/>
  <c r="N144" i="56"/>
  <c r="N143" i="56"/>
  <c r="N142" i="56"/>
  <c r="N134" i="56"/>
  <c r="N135" i="56"/>
  <c r="N136" i="56"/>
  <c r="J140" i="56"/>
  <c r="N139" i="56"/>
  <c r="N124" i="56"/>
  <c r="N116" i="56"/>
  <c r="N125" i="56"/>
  <c r="N121" i="56"/>
  <c r="N118" i="56"/>
  <c r="N117" i="56"/>
  <c r="N122" i="56"/>
  <c r="N120" i="56"/>
  <c r="N119" i="56"/>
  <c r="F137" i="56"/>
  <c r="F138" i="56"/>
  <c r="F139" i="56"/>
  <c r="F134" i="56"/>
  <c r="F144" i="56"/>
  <c r="F142" i="56"/>
  <c r="F143" i="56"/>
  <c r="J49" i="56"/>
  <c r="J51" i="56"/>
  <c r="J42" i="56"/>
  <c r="J46" i="56"/>
  <c r="J43" i="56"/>
  <c r="J52" i="56"/>
  <c r="J48" i="56"/>
  <c r="J44" i="56"/>
  <c r="J47" i="56"/>
  <c r="D31" i="56"/>
  <c r="E14" i="56"/>
  <c r="E13" i="56"/>
  <c r="E12" i="56"/>
  <c r="E16" i="56"/>
  <c r="E11" i="56"/>
  <c r="E6" i="56"/>
  <c r="E8" i="56"/>
  <c r="E15" i="56"/>
  <c r="E9" i="56"/>
  <c r="E7" i="56"/>
  <c r="E10" i="56"/>
  <c r="E140" i="56"/>
  <c r="M68" i="56"/>
  <c r="M66" i="56"/>
  <c r="M63" i="56"/>
  <c r="M69" i="56"/>
  <c r="M60" i="56"/>
  <c r="M61" i="56"/>
  <c r="M70" i="56"/>
  <c r="M64" i="56"/>
  <c r="M67" i="56"/>
  <c r="M65" i="56"/>
  <c r="F135" i="56"/>
  <c r="I66" i="56"/>
  <c r="I68" i="56"/>
  <c r="I63" i="56"/>
  <c r="I60" i="56"/>
  <c r="I64" i="56"/>
  <c r="I61" i="56"/>
  <c r="I62" i="56"/>
  <c r="I67" i="56"/>
  <c r="I65" i="56"/>
  <c r="I70" i="56"/>
  <c r="F83" i="56"/>
  <c r="H34" i="56"/>
  <c r="H33" i="56"/>
  <c r="H28" i="56"/>
  <c r="H29" i="56"/>
  <c r="H31" i="56"/>
  <c r="H26" i="56"/>
  <c r="H25" i="56"/>
  <c r="H32" i="56"/>
  <c r="H27" i="56"/>
  <c r="H30" i="56"/>
  <c r="E102" i="56"/>
  <c r="E101" i="56"/>
  <c r="E104" i="56"/>
  <c r="E106" i="56"/>
  <c r="E105" i="56"/>
  <c r="E107" i="56"/>
  <c r="E100" i="56"/>
  <c r="E98" i="56"/>
  <c r="E60" i="56"/>
  <c r="E70" i="56"/>
  <c r="E64" i="56"/>
  <c r="E61" i="56"/>
  <c r="E69" i="56"/>
  <c r="E68" i="56"/>
  <c r="E63" i="56"/>
  <c r="E66" i="56"/>
  <c r="E67" i="56"/>
  <c r="E52" i="56"/>
  <c r="E46" i="56"/>
  <c r="E44" i="56"/>
  <c r="E47" i="56"/>
  <c r="E49" i="56"/>
  <c r="E51" i="56"/>
  <c r="E42" i="56"/>
  <c r="AE39" i="56" s="1" a="1"/>
  <c r="AE39" i="56" s="1"/>
  <c r="AA46" i="56" s="1"/>
  <c r="E50" i="56"/>
  <c r="E43" i="56"/>
  <c r="E45" i="56"/>
  <c r="D34" i="56"/>
  <c r="D33" i="56"/>
  <c r="D24" i="56"/>
  <c r="D30" i="56"/>
  <c r="D25" i="56"/>
  <c r="D32" i="56"/>
  <c r="D26" i="56"/>
  <c r="N141" i="56"/>
  <c r="N104" i="56"/>
  <c r="N140" i="56"/>
  <c r="N126" i="56"/>
  <c r="D29" i="56"/>
  <c r="M62" i="56"/>
  <c r="H125" i="56"/>
  <c r="H116" i="56"/>
  <c r="H124" i="56"/>
  <c r="H120" i="56"/>
  <c r="H123" i="56"/>
  <c r="H117" i="56"/>
  <c r="H118" i="56"/>
  <c r="H126" i="56"/>
  <c r="J124" i="56"/>
  <c r="J116" i="56"/>
  <c r="J121" i="56"/>
  <c r="J117" i="56"/>
  <c r="J118" i="56"/>
  <c r="J119" i="56"/>
  <c r="J125" i="56"/>
  <c r="J120" i="56"/>
  <c r="J122" i="56"/>
  <c r="AE113" i="56" s="1" a="1"/>
  <c r="AE113" i="56" s="1"/>
  <c r="L25" i="56"/>
  <c r="L34" i="56"/>
  <c r="L33" i="56"/>
  <c r="L24" i="56"/>
  <c r="L28" i="56"/>
  <c r="L30" i="56"/>
  <c r="L32" i="56"/>
  <c r="L31" i="56"/>
  <c r="L29" i="56"/>
  <c r="G28" i="56"/>
  <c r="G30" i="56"/>
  <c r="G31" i="56"/>
  <c r="G25" i="56"/>
  <c r="G34" i="56"/>
  <c r="G33" i="56"/>
  <c r="G24" i="56"/>
  <c r="G26" i="56"/>
  <c r="G32" i="56"/>
  <c r="G29" i="56"/>
  <c r="L26" i="56"/>
  <c r="L27" i="56"/>
  <c r="J141" i="56"/>
  <c r="J142" i="56"/>
  <c r="J137" i="56"/>
  <c r="J143" i="56"/>
  <c r="J134" i="56"/>
  <c r="J139" i="56"/>
  <c r="J144" i="56"/>
  <c r="J138" i="56"/>
  <c r="J136" i="56"/>
  <c r="N105" i="56"/>
  <c r="N102" i="56"/>
  <c r="N98" i="56"/>
  <c r="N101" i="56"/>
  <c r="N106" i="56"/>
  <c r="N107" i="56"/>
  <c r="N103" i="56"/>
  <c r="N99" i="56"/>
  <c r="N108" i="56"/>
  <c r="E65" i="56"/>
  <c r="F80" i="56"/>
  <c r="F89" i="56"/>
  <c r="F88" i="56"/>
  <c r="F84" i="56"/>
  <c r="F87" i="56"/>
  <c r="F82" i="56"/>
  <c r="F86" i="56"/>
  <c r="F85" i="56"/>
  <c r="F90" i="56"/>
  <c r="E141" i="56"/>
  <c r="E134" i="56"/>
  <c r="E138" i="56"/>
  <c r="E142" i="56"/>
  <c r="E137" i="56"/>
  <c r="E136" i="56"/>
  <c r="E135" i="56"/>
  <c r="K68" i="56"/>
  <c r="H13" i="56"/>
  <c r="H16" i="56"/>
  <c r="H8" i="56"/>
  <c r="H7" i="56"/>
  <c r="D87" i="56"/>
  <c r="D84" i="56"/>
  <c r="D82" i="56"/>
  <c r="H15" i="56"/>
  <c r="D81" i="56"/>
  <c r="I29" i="56"/>
  <c r="I30" i="56"/>
  <c r="I27" i="56"/>
  <c r="I25" i="56"/>
  <c r="I34" i="56"/>
  <c r="I33" i="56"/>
  <c r="I24" i="56"/>
  <c r="K67" i="56"/>
  <c r="M14" i="56"/>
  <c r="M8" i="56"/>
  <c r="M13" i="56"/>
  <c r="M16" i="56"/>
  <c r="M6" i="56"/>
  <c r="I28" i="56"/>
  <c r="G87" i="56"/>
  <c r="G90" i="56"/>
  <c r="G89" i="56"/>
  <c r="G86" i="56"/>
  <c r="G82" i="56"/>
  <c r="G88" i="56"/>
  <c r="G81" i="56"/>
  <c r="F101" i="56"/>
  <c r="F98" i="56"/>
  <c r="F103" i="56"/>
  <c r="F107" i="56"/>
  <c r="F102" i="56"/>
  <c r="F105" i="56"/>
  <c r="G7" i="56"/>
  <c r="I32" i="56"/>
  <c r="M7" i="56"/>
  <c r="G12" i="56"/>
  <c r="F60" i="56"/>
  <c r="F70" i="56"/>
  <c r="F61" i="56"/>
  <c r="F64" i="56"/>
  <c r="F68" i="56"/>
  <c r="F63" i="56"/>
  <c r="M11" i="56"/>
  <c r="H14" i="56"/>
  <c r="H9" i="56"/>
  <c r="K70" i="56"/>
  <c r="K64" i="56"/>
  <c r="K69" i="56"/>
  <c r="K66" i="56"/>
  <c r="K62" i="56"/>
  <c r="K61" i="56"/>
  <c r="G13" i="56"/>
  <c r="G8" i="56"/>
  <c r="G6" i="56"/>
  <c r="G16" i="56"/>
  <c r="G11" i="56"/>
  <c r="G10" i="56"/>
  <c r="G14" i="56"/>
  <c r="H139" i="55"/>
  <c r="L136" i="55"/>
  <c r="L137" i="55"/>
  <c r="L134" i="55"/>
  <c r="L140" i="55"/>
  <c r="H138" i="55"/>
  <c r="J141" i="55"/>
  <c r="L135" i="55"/>
  <c r="L144" i="55"/>
  <c r="L139" i="55"/>
  <c r="G118" i="55"/>
  <c r="L121" i="55"/>
  <c r="L123" i="55"/>
  <c r="L119" i="55"/>
  <c r="L118" i="55"/>
  <c r="L126" i="55"/>
  <c r="D121" i="55"/>
  <c r="D123" i="55"/>
  <c r="D126" i="55"/>
  <c r="D120" i="55"/>
  <c r="D125" i="55"/>
  <c r="D119" i="55"/>
  <c r="J101" i="55"/>
  <c r="L100" i="55"/>
  <c r="L103" i="55"/>
  <c r="L107" i="55"/>
  <c r="J102" i="55"/>
  <c r="J100" i="55"/>
  <c r="J103" i="55"/>
  <c r="J104" i="55"/>
  <c r="J107" i="55"/>
  <c r="J99" i="55"/>
  <c r="J98" i="55"/>
  <c r="J106" i="55"/>
  <c r="J90" i="55"/>
  <c r="J87" i="55"/>
  <c r="H85" i="55"/>
  <c r="D83" i="55"/>
  <c r="D84" i="55"/>
  <c r="D87" i="55"/>
  <c r="D82" i="55"/>
  <c r="D80" i="55"/>
  <c r="M64" i="55"/>
  <c r="M66" i="55"/>
  <c r="E65" i="55"/>
  <c r="E64" i="55"/>
  <c r="F47" i="55"/>
  <c r="F52" i="55"/>
  <c r="I28" i="54"/>
  <c r="J29" i="54"/>
  <c r="J25" i="54"/>
  <c r="J32" i="54"/>
  <c r="J24" i="54"/>
  <c r="J30" i="54"/>
  <c r="J27" i="54"/>
  <c r="J14" i="55"/>
  <c r="G13" i="55"/>
  <c r="G10" i="55"/>
  <c r="G11" i="55"/>
  <c r="G12" i="55"/>
  <c r="G16" i="55"/>
  <c r="G6" i="55"/>
  <c r="G7" i="55"/>
  <c r="G126" i="55"/>
  <c r="F104" i="55"/>
  <c r="F106" i="55"/>
  <c r="F108" i="55"/>
  <c r="F98" i="55"/>
  <c r="F105" i="55"/>
  <c r="F103" i="55"/>
  <c r="F107" i="55"/>
  <c r="J142" i="55"/>
  <c r="J134" i="55"/>
  <c r="J139" i="55"/>
  <c r="J137" i="55"/>
  <c r="J138" i="55"/>
  <c r="J136" i="55"/>
  <c r="I144" i="55"/>
  <c r="I143" i="55"/>
  <c r="I138" i="55"/>
  <c r="I137" i="55"/>
  <c r="I135" i="55"/>
  <c r="I136" i="55"/>
  <c r="I139" i="55"/>
  <c r="G123" i="55"/>
  <c r="G121" i="55"/>
  <c r="G120" i="55"/>
  <c r="G116" i="55"/>
  <c r="G122" i="55"/>
  <c r="G117" i="55"/>
  <c r="G119" i="55"/>
  <c r="L70" i="55"/>
  <c r="L69" i="55"/>
  <c r="L66" i="55"/>
  <c r="L61" i="55"/>
  <c r="L65" i="55"/>
  <c r="L68" i="55"/>
  <c r="L67" i="55"/>
  <c r="L63" i="55"/>
  <c r="L64" i="55"/>
  <c r="L60" i="55"/>
  <c r="I141" i="55"/>
  <c r="J143" i="55"/>
  <c r="J135" i="55"/>
  <c r="H142" i="55"/>
  <c r="H135" i="55"/>
  <c r="H137" i="55"/>
  <c r="H136" i="55"/>
  <c r="H134" i="55"/>
  <c r="H143" i="55"/>
  <c r="H144" i="55"/>
  <c r="H140" i="55"/>
  <c r="I142" i="55"/>
  <c r="I134" i="55"/>
  <c r="G125" i="55"/>
  <c r="K100" i="55"/>
  <c r="K103" i="55"/>
  <c r="K101" i="55"/>
  <c r="F51" i="55"/>
  <c r="K99" i="55"/>
  <c r="G62" i="55"/>
  <c r="M26" i="55"/>
  <c r="M24" i="55"/>
  <c r="M31" i="55"/>
  <c r="M27" i="55"/>
  <c r="M32" i="55"/>
  <c r="I11" i="55"/>
  <c r="I6" i="55"/>
  <c r="I14" i="55"/>
  <c r="I9" i="55"/>
  <c r="I10" i="55"/>
  <c r="M33" i="55"/>
  <c r="I26" i="55"/>
  <c r="I31" i="55"/>
  <c r="I25" i="55"/>
  <c r="I33" i="55"/>
  <c r="I34" i="55"/>
  <c r="I27" i="55"/>
  <c r="I12" i="55"/>
  <c r="M30" i="55"/>
  <c r="F9" i="55"/>
  <c r="N117" i="55"/>
  <c r="L52" i="55"/>
  <c r="L51" i="55"/>
  <c r="L45" i="55"/>
  <c r="L46" i="55"/>
  <c r="L43" i="55"/>
  <c r="L42" i="55"/>
  <c r="L48" i="55"/>
  <c r="L50" i="55"/>
  <c r="F10" i="55"/>
  <c r="D86" i="55"/>
  <c r="I16" i="55"/>
  <c r="N46" i="55"/>
  <c r="N48" i="55"/>
  <c r="N42" i="55"/>
  <c r="N45" i="55"/>
  <c r="N44" i="55"/>
  <c r="N50" i="55"/>
  <c r="N107" i="55"/>
  <c r="N105" i="55"/>
  <c r="N101" i="55"/>
  <c r="N102" i="55"/>
  <c r="L49" i="55"/>
  <c r="D106" i="55"/>
  <c r="D103" i="55"/>
  <c r="D102" i="55"/>
  <c r="D101" i="55"/>
  <c r="D105" i="55"/>
  <c r="D104" i="55"/>
  <c r="F65" i="55"/>
  <c r="F66" i="55"/>
  <c r="F67" i="55"/>
  <c r="F60" i="55"/>
  <c r="N10" i="55"/>
  <c r="J25" i="55"/>
  <c r="L47" i="55"/>
  <c r="N8" i="55"/>
  <c r="M123" i="55"/>
  <c r="M121" i="55"/>
  <c r="M124" i="55"/>
  <c r="M120" i="55"/>
  <c r="M118" i="55"/>
  <c r="M116" i="55"/>
  <c r="H84" i="55"/>
  <c r="E123" i="55"/>
  <c r="E124" i="55"/>
  <c r="E118" i="55"/>
  <c r="E116" i="55"/>
  <c r="E120" i="55"/>
  <c r="E121" i="55"/>
  <c r="E119" i="55"/>
  <c r="F46" i="55"/>
  <c r="F48" i="55"/>
  <c r="F50" i="55"/>
  <c r="F44" i="55"/>
  <c r="F42" i="55"/>
  <c r="F45" i="55"/>
  <c r="G64" i="55"/>
  <c r="F49" i="55"/>
  <c r="F16" i="55"/>
  <c r="D85" i="55"/>
  <c r="D89" i="55"/>
  <c r="D88" i="55"/>
  <c r="H80" i="55"/>
  <c r="J27" i="55"/>
  <c r="J32" i="55"/>
  <c r="J24" i="55"/>
  <c r="J26" i="55"/>
  <c r="I8" i="55"/>
  <c r="M34" i="55"/>
  <c r="H89" i="55"/>
  <c r="H88" i="55"/>
  <c r="H83" i="55"/>
  <c r="H82" i="55"/>
  <c r="H90" i="55"/>
  <c r="H87" i="55"/>
  <c r="H66" i="55"/>
  <c r="H67" i="55"/>
  <c r="H60" i="55"/>
  <c r="H61" i="55"/>
  <c r="H70" i="55"/>
  <c r="H69" i="55"/>
  <c r="H65" i="55"/>
  <c r="G68" i="55"/>
  <c r="N98" i="55"/>
  <c r="H86" i="55"/>
  <c r="J33" i="55"/>
  <c r="F11" i="55"/>
  <c r="F6" i="55"/>
  <c r="F15" i="55"/>
  <c r="F7" i="55"/>
  <c r="F14" i="55"/>
  <c r="F8" i="55"/>
  <c r="F13" i="55"/>
  <c r="G66" i="55"/>
  <c r="G67" i="55"/>
  <c r="G60" i="55"/>
  <c r="G61" i="55"/>
  <c r="G70" i="55"/>
  <c r="G69" i="55"/>
  <c r="N7" i="55"/>
  <c r="N14" i="55"/>
  <c r="N15" i="55"/>
  <c r="N11" i="55"/>
  <c r="N6" i="55"/>
  <c r="N16" i="55"/>
  <c r="N123" i="55"/>
  <c r="N120" i="55"/>
  <c r="N125" i="55"/>
  <c r="N119" i="55"/>
  <c r="N121" i="55"/>
  <c r="G65" i="55"/>
  <c r="M117" i="55"/>
  <c r="N108" i="55"/>
  <c r="N51" i="55"/>
  <c r="N43" i="55"/>
  <c r="H32" i="55"/>
  <c r="H25" i="55"/>
  <c r="H26" i="55"/>
  <c r="H33" i="55"/>
  <c r="H34" i="55"/>
  <c r="H24" i="55"/>
  <c r="H30" i="55"/>
  <c r="E105" i="55"/>
  <c r="E100" i="55"/>
  <c r="E103" i="55"/>
  <c r="H29" i="55"/>
  <c r="N9" i="55"/>
  <c r="K98" i="55"/>
  <c r="H62" i="55"/>
  <c r="J89" i="55"/>
  <c r="J88" i="55"/>
  <c r="J83" i="55"/>
  <c r="J84" i="55"/>
  <c r="J86" i="55"/>
  <c r="J85" i="55"/>
  <c r="AE77" i="55" s="1" a="1"/>
  <c r="AE77" i="55" s="1"/>
  <c r="J28" i="55"/>
  <c r="D52" i="55"/>
  <c r="D51" i="55"/>
  <c r="D45" i="55"/>
  <c r="D46" i="55"/>
  <c r="D50" i="55"/>
  <c r="D43" i="55"/>
  <c r="D42" i="55"/>
  <c r="D48" i="55"/>
  <c r="J34" i="55"/>
  <c r="J11" i="55"/>
  <c r="J12" i="55"/>
  <c r="J7" i="55"/>
  <c r="J15" i="55"/>
  <c r="J9" i="55"/>
  <c r="E89" i="55"/>
  <c r="E88" i="55"/>
  <c r="E83" i="55"/>
  <c r="E87" i="55"/>
  <c r="M29" i="55"/>
  <c r="F136" i="54"/>
  <c r="D137" i="54"/>
  <c r="L124" i="54"/>
  <c r="I119" i="54"/>
  <c r="L126" i="54"/>
  <c r="L121" i="54"/>
  <c r="L125" i="54"/>
  <c r="L120" i="54"/>
  <c r="L118" i="54"/>
  <c r="L117" i="54"/>
  <c r="L123" i="54"/>
  <c r="I99" i="54"/>
  <c r="G101" i="54"/>
  <c r="F106" i="54"/>
  <c r="N106" i="54"/>
  <c r="N100" i="54"/>
  <c r="N104" i="54"/>
  <c r="J86" i="54"/>
  <c r="L85" i="54"/>
  <c r="N80" i="54"/>
  <c r="N82" i="54"/>
  <c r="N81" i="54"/>
  <c r="J88" i="54"/>
  <c r="F88" i="54"/>
  <c r="J67" i="54"/>
  <c r="J62" i="54"/>
  <c r="M62" i="54"/>
  <c r="M67" i="54"/>
  <c r="G48" i="54"/>
  <c r="E51" i="54"/>
  <c r="E47" i="54"/>
  <c r="E49" i="54"/>
  <c r="G51" i="54"/>
  <c r="M44" i="54"/>
  <c r="M49" i="54"/>
  <c r="L31" i="54"/>
  <c r="L29" i="54"/>
  <c r="L34" i="54"/>
  <c r="J34" i="54"/>
  <c r="J31" i="54"/>
  <c r="L16" i="54"/>
  <c r="L10" i="54"/>
  <c r="L7" i="54"/>
  <c r="L14" i="54"/>
  <c r="F6" i="54"/>
  <c r="N12" i="54"/>
  <c r="G105" i="54"/>
  <c r="G102" i="54"/>
  <c r="G98" i="54"/>
  <c r="G99" i="54"/>
  <c r="G108" i="54"/>
  <c r="G103" i="54"/>
  <c r="G104" i="54"/>
  <c r="G100" i="54"/>
  <c r="L65" i="54"/>
  <c r="L70" i="54"/>
  <c r="L69" i="54"/>
  <c r="L68" i="54"/>
  <c r="L64" i="54"/>
  <c r="L66" i="54"/>
  <c r="L61" i="54"/>
  <c r="L62" i="54"/>
  <c r="L63" i="54"/>
  <c r="L67" i="54"/>
  <c r="F138" i="54"/>
  <c r="F144" i="54"/>
  <c r="F135" i="54"/>
  <c r="F137" i="54"/>
  <c r="F143" i="54"/>
  <c r="F140" i="54"/>
  <c r="F142" i="54"/>
  <c r="F141" i="54"/>
  <c r="F86" i="54"/>
  <c r="F80" i="54"/>
  <c r="F84" i="54"/>
  <c r="F90" i="54"/>
  <c r="F83" i="54"/>
  <c r="F81" i="54"/>
  <c r="F85" i="54"/>
  <c r="F82" i="54"/>
  <c r="I100" i="54"/>
  <c r="D142" i="54"/>
  <c r="I84" i="54"/>
  <c r="I83" i="54"/>
  <c r="I80" i="54"/>
  <c r="I86" i="54"/>
  <c r="I87" i="54"/>
  <c r="I85" i="54"/>
  <c r="I88" i="54"/>
  <c r="I82" i="54"/>
  <c r="I90" i="54"/>
  <c r="I81" i="54"/>
  <c r="I89" i="54"/>
  <c r="D49" i="54"/>
  <c r="D44" i="54"/>
  <c r="D50" i="54"/>
  <c r="D48" i="54"/>
  <c r="D42" i="54"/>
  <c r="D46" i="54"/>
  <c r="D51" i="54"/>
  <c r="D52" i="54"/>
  <c r="D45" i="54"/>
  <c r="D47" i="54"/>
  <c r="I126" i="54"/>
  <c r="I118" i="54"/>
  <c r="I117" i="54"/>
  <c r="I125" i="54"/>
  <c r="I122" i="54"/>
  <c r="I120" i="54"/>
  <c r="I121" i="54"/>
  <c r="I116" i="54"/>
  <c r="I123" i="54"/>
  <c r="I44" i="54"/>
  <c r="I49" i="54"/>
  <c r="I52" i="54"/>
  <c r="I43" i="54"/>
  <c r="I42" i="54"/>
  <c r="I48" i="54"/>
  <c r="I46" i="54"/>
  <c r="I45" i="54"/>
  <c r="I51" i="54"/>
  <c r="M28" i="54"/>
  <c r="M31" i="54"/>
  <c r="M27" i="54"/>
  <c r="M25" i="54"/>
  <c r="M30" i="54"/>
  <c r="M32" i="54"/>
  <c r="M29" i="54"/>
  <c r="M33" i="54"/>
  <c r="I47" i="54"/>
  <c r="D43" i="54"/>
  <c r="M34" i="54"/>
  <c r="E138" i="54"/>
  <c r="E136" i="54"/>
  <c r="E142" i="54"/>
  <c r="E139" i="54"/>
  <c r="E134" i="54"/>
  <c r="M24" i="54"/>
  <c r="D136" i="54"/>
  <c r="D144" i="54"/>
  <c r="D138" i="54"/>
  <c r="D143" i="54"/>
  <c r="D135" i="54"/>
  <c r="D141" i="54"/>
  <c r="D134" i="54"/>
  <c r="D140" i="54"/>
  <c r="J98" i="54"/>
  <c r="J101" i="54"/>
  <c r="J105" i="54"/>
  <c r="J99" i="54"/>
  <c r="J107" i="54"/>
  <c r="J103" i="54"/>
  <c r="J100" i="54"/>
  <c r="J106" i="54"/>
  <c r="J104" i="54"/>
  <c r="J102" i="54"/>
  <c r="J108" i="54"/>
  <c r="I102" i="54"/>
  <c r="I104" i="54"/>
  <c r="I98" i="54"/>
  <c r="I105" i="54"/>
  <c r="I101" i="54"/>
  <c r="I103" i="54"/>
  <c r="I107" i="54"/>
  <c r="N138" i="54"/>
  <c r="N135" i="54"/>
  <c r="N137" i="54"/>
  <c r="N144" i="54"/>
  <c r="N143" i="54"/>
  <c r="D69" i="54"/>
  <c r="D68" i="54"/>
  <c r="D70" i="54"/>
  <c r="D66" i="54"/>
  <c r="D65" i="54"/>
  <c r="L83" i="54"/>
  <c r="L87" i="54"/>
  <c r="L86" i="54"/>
  <c r="L84" i="54"/>
  <c r="L82" i="54"/>
  <c r="L90" i="54"/>
  <c r="D27" i="54"/>
  <c r="D30" i="54"/>
  <c r="D29" i="54"/>
  <c r="N6" i="54"/>
  <c r="G49" i="54"/>
  <c r="G52" i="54"/>
  <c r="G43" i="54"/>
  <c r="G50" i="54"/>
  <c r="G44" i="54"/>
  <c r="G47" i="54"/>
  <c r="G42" i="54"/>
  <c r="G46" i="54"/>
  <c r="L136" i="54"/>
  <c r="L143" i="54"/>
  <c r="L141" i="54"/>
  <c r="L138" i="54"/>
  <c r="L135" i="54"/>
  <c r="L144" i="54"/>
  <c r="J89" i="54"/>
  <c r="N105" i="54"/>
  <c r="N99" i="54"/>
  <c r="N98" i="54"/>
  <c r="N107" i="54"/>
  <c r="N102" i="54"/>
  <c r="F11" i="54"/>
  <c r="F10" i="54"/>
  <c r="F7" i="54"/>
  <c r="E10" i="54"/>
  <c r="E13" i="54"/>
  <c r="E11" i="54"/>
  <c r="E16" i="54"/>
  <c r="E9" i="54"/>
  <c r="E14" i="54"/>
  <c r="E8" i="54"/>
  <c r="G66" i="54"/>
  <c r="G64" i="54"/>
  <c r="G60" i="54"/>
  <c r="G70" i="54"/>
  <c r="G69" i="54"/>
  <c r="D24" i="54"/>
  <c r="J83" i="54"/>
  <c r="L140" i="54"/>
  <c r="F105" i="54"/>
  <c r="F107" i="54"/>
  <c r="F102" i="54"/>
  <c r="F98" i="54"/>
  <c r="F99" i="54"/>
  <c r="F103" i="54"/>
  <c r="F101" i="54"/>
  <c r="F100" i="54"/>
  <c r="L142" i="54"/>
  <c r="D62" i="54"/>
  <c r="F108" i="54"/>
  <c r="F16" i="54"/>
  <c r="E70" i="54"/>
  <c r="E69" i="54"/>
  <c r="E62" i="54"/>
  <c r="E66" i="54"/>
  <c r="E64" i="54"/>
  <c r="E65" i="54"/>
  <c r="I30" i="54"/>
  <c r="I29" i="54"/>
  <c r="I27" i="54"/>
  <c r="I26" i="54"/>
  <c r="I32" i="54"/>
  <c r="I31" i="54"/>
  <c r="I24" i="54"/>
  <c r="M13" i="54"/>
  <c r="M11" i="54"/>
  <c r="M10" i="54"/>
  <c r="M9" i="54"/>
  <c r="M14" i="54"/>
  <c r="M15" i="54"/>
  <c r="N90" i="54"/>
  <c r="N83" i="54"/>
  <c r="N84" i="54"/>
  <c r="N85" i="54"/>
  <c r="N89" i="54"/>
  <c r="E87" i="54"/>
  <c r="E80" i="54"/>
  <c r="E89" i="54"/>
  <c r="E84" i="54"/>
  <c r="E82" i="54"/>
  <c r="E83" i="54"/>
  <c r="E81" i="54"/>
  <c r="D63" i="54"/>
  <c r="L27" i="54"/>
  <c r="L33" i="54"/>
  <c r="L26" i="54"/>
  <c r="L25" i="54"/>
  <c r="L24" i="54"/>
  <c r="L30" i="54"/>
  <c r="N108" i="54"/>
  <c r="E88" i="54"/>
  <c r="N10" i="54"/>
  <c r="N15" i="54"/>
  <c r="N9" i="54"/>
  <c r="F12" i="54"/>
  <c r="H49" i="54"/>
  <c r="H44" i="54"/>
  <c r="H48" i="54"/>
  <c r="H42" i="54"/>
  <c r="H51" i="54"/>
  <c r="H50" i="54"/>
  <c r="M6" i="54"/>
  <c r="I34" i="54"/>
  <c r="F14" i="54"/>
  <c r="F9" i="54"/>
  <c r="J84" i="54"/>
  <c r="J87" i="54"/>
  <c r="J82" i="54"/>
  <c r="J90" i="54"/>
  <c r="J85" i="54"/>
  <c r="J80" i="54"/>
  <c r="N142" i="54"/>
  <c r="D61" i="54"/>
  <c r="E6" i="54"/>
  <c r="E63" i="54"/>
  <c r="I142" i="53"/>
  <c r="H137" i="53"/>
  <c r="L136" i="53"/>
  <c r="I144" i="53"/>
  <c r="H134" i="53"/>
  <c r="H142" i="53"/>
  <c r="H138" i="53"/>
  <c r="I141" i="53"/>
  <c r="L123" i="53"/>
  <c r="L124" i="53"/>
  <c r="E120" i="53"/>
  <c r="M118" i="53"/>
  <c r="E125" i="53"/>
  <c r="E118" i="53"/>
  <c r="E121" i="53"/>
  <c r="M126" i="53"/>
  <c r="M122" i="53"/>
  <c r="L118" i="53"/>
  <c r="L126" i="53"/>
  <c r="L119" i="53"/>
  <c r="L122" i="53"/>
  <c r="J108" i="53"/>
  <c r="F98" i="53"/>
  <c r="J98" i="53"/>
  <c r="J104" i="53"/>
  <c r="J105" i="53"/>
  <c r="J100" i="53"/>
  <c r="L101" i="53"/>
  <c r="L98" i="53"/>
  <c r="L103" i="53"/>
  <c r="L100" i="53"/>
  <c r="J101" i="53"/>
  <c r="F102" i="53"/>
  <c r="J102" i="53"/>
  <c r="F107" i="53"/>
  <c r="F104" i="53"/>
  <c r="F99" i="53"/>
  <c r="I87" i="53"/>
  <c r="L81" i="53"/>
  <c r="L80" i="53"/>
  <c r="K90" i="53"/>
  <c r="L89" i="53"/>
  <c r="L86" i="53"/>
  <c r="L87" i="53"/>
  <c r="L83" i="53"/>
  <c r="L90" i="53"/>
  <c r="I64" i="53"/>
  <c r="F61" i="53"/>
  <c r="N70" i="53"/>
  <c r="N61" i="53"/>
  <c r="L65" i="53"/>
  <c r="I70" i="53"/>
  <c r="N67" i="53"/>
  <c r="L69" i="53"/>
  <c r="I69" i="53"/>
  <c r="L70" i="53"/>
  <c r="I48" i="53"/>
  <c r="I51" i="53"/>
  <c r="L25" i="53"/>
  <c r="L29" i="53"/>
  <c r="L32" i="53"/>
  <c r="L30" i="53"/>
  <c r="E14" i="53"/>
  <c r="E6" i="53"/>
  <c r="E7" i="53"/>
  <c r="M16" i="53"/>
  <c r="M7" i="53"/>
  <c r="E15" i="53"/>
  <c r="E8" i="53"/>
  <c r="D7" i="53"/>
  <c r="D6" i="53"/>
  <c r="D15" i="53"/>
  <c r="D10" i="53"/>
  <c r="L16" i="51"/>
  <c r="L10" i="51"/>
  <c r="L11" i="51"/>
  <c r="L6" i="51"/>
  <c r="J8" i="51"/>
  <c r="L144" i="53"/>
  <c r="L143" i="53"/>
  <c r="L135" i="53"/>
  <c r="L137" i="53"/>
  <c r="L140" i="53"/>
  <c r="L139" i="53"/>
  <c r="L142" i="53"/>
  <c r="L134" i="53"/>
  <c r="L141" i="53"/>
  <c r="L11" i="53"/>
  <c r="L12" i="53"/>
  <c r="L9" i="53"/>
  <c r="L8" i="53"/>
  <c r="L15" i="53"/>
  <c r="L7" i="53"/>
  <c r="L16" i="53"/>
  <c r="L14" i="53"/>
  <c r="L10" i="53"/>
  <c r="L6" i="53"/>
  <c r="F33" i="53"/>
  <c r="F34" i="53"/>
  <c r="F29" i="53"/>
  <c r="F27" i="53"/>
  <c r="F25" i="53"/>
  <c r="F26" i="53"/>
  <c r="F31" i="53"/>
  <c r="F30" i="53"/>
  <c r="F32" i="53"/>
  <c r="F28" i="53"/>
  <c r="J124" i="53"/>
  <c r="J119" i="53"/>
  <c r="J116" i="53"/>
  <c r="J121" i="53"/>
  <c r="J122" i="53"/>
  <c r="J120" i="53"/>
  <c r="J126" i="53"/>
  <c r="J117" i="53"/>
  <c r="J125" i="53"/>
  <c r="I143" i="53"/>
  <c r="H139" i="53"/>
  <c r="H140" i="53"/>
  <c r="H136" i="53"/>
  <c r="H144" i="53"/>
  <c r="H143" i="53"/>
  <c r="H135" i="53"/>
  <c r="K83" i="53"/>
  <c r="K87" i="53"/>
  <c r="K84" i="53"/>
  <c r="J80" i="53"/>
  <c r="J83" i="53"/>
  <c r="J81" i="53"/>
  <c r="J90" i="53"/>
  <c r="J85" i="53"/>
  <c r="E44" i="53"/>
  <c r="K80" i="53"/>
  <c r="F69" i="53"/>
  <c r="N65" i="53"/>
  <c r="D11" i="53"/>
  <c r="D12" i="53"/>
  <c r="D8" i="53"/>
  <c r="D9" i="53"/>
  <c r="L68" i="53"/>
  <c r="E47" i="53"/>
  <c r="E49" i="53"/>
  <c r="L34" i="53"/>
  <c r="L33" i="53"/>
  <c r="L27" i="53"/>
  <c r="L24" i="53"/>
  <c r="L31" i="53"/>
  <c r="M15" i="53"/>
  <c r="M8" i="53"/>
  <c r="I140" i="53"/>
  <c r="I137" i="53"/>
  <c r="I139" i="53"/>
  <c r="I136" i="53"/>
  <c r="I134" i="53"/>
  <c r="M124" i="53"/>
  <c r="M116" i="53"/>
  <c r="M123" i="53"/>
  <c r="M119" i="53"/>
  <c r="F100" i="53"/>
  <c r="F103" i="53"/>
  <c r="F101" i="53"/>
  <c r="F106" i="53"/>
  <c r="I86" i="53"/>
  <c r="I66" i="53"/>
  <c r="I63" i="53"/>
  <c r="I60" i="53"/>
  <c r="I61" i="53"/>
  <c r="I65" i="53"/>
  <c r="D107" i="53"/>
  <c r="I68" i="53"/>
  <c r="I52" i="53"/>
  <c r="I42" i="53"/>
  <c r="I50" i="53"/>
  <c r="I43" i="53"/>
  <c r="F65" i="53"/>
  <c r="I62" i="53"/>
  <c r="I85" i="53"/>
  <c r="I44" i="53"/>
  <c r="F68" i="53"/>
  <c r="I47" i="53"/>
  <c r="E45" i="53"/>
  <c r="M125" i="53"/>
  <c r="E119" i="53"/>
  <c r="E123" i="53"/>
  <c r="E124" i="53"/>
  <c r="E122" i="53"/>
  <c r="E116" i="53"/>
  <c r="E117" i="53"/>
  <c r="K85" i="53"/>
  <c r="F63" i="53"/>
  <c r="N66" i="53"/>
  <c r="N64" i="53"/>
  <c r="N62" i="53"/>
  <c r="N63" i="53"/>
  <c r="N60" i="53"/>
  <c r="F62" i="53"/>
  <c r="I124" i="53"/>
  <c r="I116" i="53"/>
  <c r="I119" i="53"/>
  <c r="I123" i="53"/>
  <c r="I126" i="53"/>
  <c r="I118" i="53"/>
  <c r="I121" i="53"/>
  <c r="E48" i="53"/>
  <c r="E12" i="53"/>
  <c r="E13" i="53"/>
  <c r="E10" i="53"/>
  <c r="E9" i="53"/>
  <c r="I49" i="53"/>
  <c r="M12" i="53"/>
  <c r="M13" i="53"/>
  <c r="M10" i="53"/>
  <c r="M9" i="53"/>
  <c r="N13" i="53"/>
  <c r="N9" i="53"/>
  <c r="N10" i="53"/>
  <c r="N11" i="53"/>
  <c r="I46" i="53"/>
  <c r="N16" i="53"/>
  <c r="K52" i="53"/>
  <c r="K48" i="53"/>
  <c r="K46" i="53"/>
  <c r="K44" i="53"/>
  <c r="K43" i="53"/>
  <c r="I90" i="53"/>
  <c r="I80" i="53"/>
  <c r="I88" i="53"/>
  <c r="I81" i="53"/>
  <c r="I83" i="53"/>
  <c r="I89" i="53"/>
  <c r="I84" i="53"/>
  <c r="M121" i="53"/>
  <c r="E50" i="53"/>
  <c r="E42" i="53"/>
  <c r="E52" i="53"/>
  <c r="E51" i="53"/>
  <c r="K49" i="53"/>
  <c r="D144" i="53"/>
  <c r="D143" i="53"/>
  <c r="D135" i="53"/>
  <c r="D137" i="53"/>
  <c r="D140" i="53"/>
  <c r="D142" i="53"/>
  <c r="D134" i="53"/>
  <c r="D139" i="53"/>
  <c r="D136" i="53"/>
  <c r="F108" i="53"/>
  <c r="D138" i="53"/>
  <c r="I138" i="53"/>
  <c r="D101" i="53"/>
  <c r="D104" i="53"/>
  <c r="D108" i="53"/>
  <c r="D99" i="53"/>
  <c r="D98" i="53"/>
  <c r="D100" i="53"/>
  <c r="D103" i="53"/>
  <c r="D106" i="53"/>
  <c r="E108" i="53"/>
  <c r="E104" i="53"/>
  <c r="E102" i="53"/>
  <c r="E98" i="53"/>
  <c r="E100" i="53"/>
  <c r="E105" i="53"/>
  <c r="E101" i="53"/>
  <c r="K86" i="53"/>
  <c r="M120" i="53"/>
  <c r="F66" i="53"/>
  <c r="F64" i="53"/>
  <c r="F60" i="53"/>
  <c r="M108" i="53"/>
  <c r="M105" i="53"/>
  <c r="M104" i="53"/>
  <c r="M100" i="53"/>
  <c r="M101" i="53"/>
  <c r="M99" i="53"/>
  <c r="F70" i="53"/>
  <c r="J82" i="53"/>
  <c r="L64" i="53"/>
  <c r="L63" i="53"/>
  <c r="L66" i="53"/>
  <c r="L61" i="53"/>
  <c r="L60" i="53"/>
  <c r="D34" i="53"/>
  <c r="D30" i="53"/>
  <c r="D27" i="53"/>
  <c r="D25" i="53"/>
  <c r="D24" i="53"/>
  <c r="D33" i="53"/>
  <c r="L136" i="51"/>
  <c r="L101" i="51"/>
  <c r="I105" i="51"/>
  <c r="I103" i="51"/>
  <c r="L102" i="51"/>
  <c r="K108" i="51"/>
  <c r="L107" i="51"/>
  <c r="I98" i="51"/>
  <c r="N83" i="51"/>
  <c r="N88" i="51"/>
  <c r="N90" i="51"/>
  <c r="N86" i="51"/>
  <c r="N81" i="51"/>
  <c r="F84" i="51"/>
  <c r="F89" i="51"/>
  <c r="F80" i="51"/>
  <c r="F81" i="51"/>
  <c r="F82" i="51"/>
  <c r="F87" i="51"/>
  <c r="L143" i="51"/>
  <c r="I101" i="51"/>
  <c r="K90" i="51"/>
  <c r="H104" i="51"/>
  <c r="M102" i="51"/>
  <c r="M121" i="51"/>
  <c r="K86" i="51"/>
  <c r="L67" i="51"/>
  <c r="L63" i="51"/>
  <c r="J136" i="51"/>
  <c r="K88" i="51"/>
  <c r="H98" i="51"/>
  <c r="K82" i="51"/>
  <c r="N61" i="51"/>
  <c r="N66" i="51"/>
  <c r="N65" i="51"/>
  <c r="L140" i="51"/>
  <c r="L138" i="51"/>
  <c r="N64" i="51"/>
  <c r="L144" i="51"/>
  <c r="L65" i="51"/>
  <c r="L61" i="51"/>
  <c r="L86" i="51"/>
  <c r="K46" i="51"/>
  <c r="K100" i="51"/>
  <c r="K101" i="51"/>
  <c r="K104" i="51"/>
  <c r="K85" i="51"/>
  <c r="N68" i="51"/>
  <c r="I99" i="51"/>
  <c r="K89" i="51"/>
  <c r="I102" i="51"/>
  <c r="K43" i="51"/>
  <c r="L64" i="51"/>
  <c r="D8" i="51"/>
  <c r="I106" i="51"/>
  <c r="N87" i="51"/>
  <c r="H123" i="51"/>
  <c r="I100" i="51"/>
  <c r="J138" i="51"/>
  <c r="N67" i="51"/>
  <c r="N62" i="51"/>
  <c r="N70" i="51"/>
  <c r="N69" i="51"/>
  <c r="L69" i="51"/>
  <c r="N63" i="51"/>
  <c r="N60" i="51"/>
  <c r="I104" i="51"/>
  <c r="L66" i="51"/>
  <c r="L68" i="51"/>
  <c r="L62" i="51"/>
  <c r="I65" i="51"/>
  <c r="I60" i="51"/>
  <c r="D64" i="51"/>
  <c r="D65" i="51"/>
  <c r="K44" i="51"/>
  <c r="F51" i="51"/>
  <c r="E42" i="51"/>
  <c r="F44" i="51"/>
  <c r="K45" i="51"/>
  <c r="F48" i="51"/>
  <c r="F52" i="51"/>
  <c r="E46" i="51"/>
  <c r="L49" i="51"/>
  <c r="J51" i="51"/>
  <c r="J44" i="51"/>
  <c r="F49" i="51"/>
  <c r="J48" i="51"/>
  <c r="J45" i="51"/>
  <c r="J50" i="51"/>
  <c r="J46" i="51"/>
  <c r="D46" i="51"/>
  <c r="J32" i="51"/>
  <c r="J25" i="51"/>
  <c r="H24" i="51"/>
  <c r="H29" i="51"/>
  <c r="H31" i="51"/>
  <c r="J30" i="51"/>
  <c r="J12" i="51"/>
  <c r="J11" i="51"/>
  <c r="D6" i="51"/>
  <c r="D7" i="51"/>
  <c r="D11" i="51"/>
  <c r="D10" i="51"/>
  <c r="D13" i="51"/>
  <c r="D9" i="51"/>
  <c r="D14" i="51"/>
  <c r="H122" i="51"/>
  <c r="E137" i="51"/>
  <c r="J134" i="51"/>
  <c r="J144" i="51"/>
  <c r="J137" i="51"/>
  <c r="J139" i="51"/>
  <c r="J143" i="51"/>
  <c r="J140" i="51"/>
  <c r="J141" i="51"/>
  <c r="J135" i="51"/>
  <c r="J121" i="51"/>
  <c r="L103" i="51"/>
  <c r="L100" i="51"/>
  <c r="L108" i="51"/>
  <c r="L106" i="51"/>
  <c r="L99" i="51"/>
  <c r="D137" i="51"/>
  <c r="D138" i="51"/>
  <c r="D135" i="51"/>
  <c r="D139" i="51"/>
  <c r="D134" i="51"/>
  <c r="D140" i="51"/>
  <c r="E143" i="51"/>
  <c r="E135" i="51"/>
  <c r="E139" i="51"/>
  <c r="E140" i="51"/>
  <c r="E142" i="51"/>
  <c r="D136" i="51"/>
  <c r="M139" i="51"/>
  <c r="M138" i="51"/>
  <c r="M136" i="51"/>
  <c r="M135" i="51"/>
  <c r="M142" i="51"/>
  <c r="M144" i="51"/>
  <c r="M140" i="51"/>
  <c r="M141" i="51"/>
  <c r="E138" i="51"/>
  <c r="E101" i="51"/>
  <c r="E99" i="51"/>
  <c r="E103" i="51"/>
  <c r="E104" i="51"/>
  <c r="E107" i="51"/>
  <c r="E98" i="51"/>
  <c r="E100" i="51"/>
  <c r="E108" i="51"/>
  <c r="E106" i="51"/>
  <c r="E144" i="51"/>
  <c r="D144" i="51"/>
  <c r="E83" i="51"/>
  <c r="E87" i="51"/>
  <c r="E80" i="51"/>
  <c r="E90" i="51"/>
  <c r="E86" i="51"/>
  <c r="E84" i="51"/>
  <c r="E81" i="51"/>
  <c r="E88" i="51"/>
  <c r="E85" i="51"/>
  <c r="H126" i="51"/>
  <c r="H124" i="51"/>
  <c r="H118" i="51"/>
  <c r="H116" i="51"/>
  <c r="H119" i="51"/>
  <c r="H120" i="51"/>
  <c r="H121" i="51"/>
  <c r="H125" i="51"/>
  <c r="E82" i="51"/>
  <c r="L26" i="51"/>
  <c r="L31" i="51"/>
  <c r="L29" i="51"/>
  <c r="L34" i="51"/>
  <c r="L25" i="51"/>
  <c r="L32" i="51"/>
  <c r="L30" i="51"/>
  <c r="L28" i="51"/>
  <c r="L24" i="51"/>
  <c r="L33" i="51"/>
  <c r="N143" i="51"/>
  <c r="N141" i="51"/>
  <c r="N139" i="51"/>
  <c r="N135" i="51"/>
  <c r="N140" i="51"/>
  <c r="N142" i="51"/>
  <c r="N136" i="51"/>
  <c r="N137" i="51"/>
  <c r="M82" i="51"/>
  <c r="M90" i="51"/>
  <c r="M86" i="51"/>
  <c r="M83" i="51"/>
  <c r="M87" i="51"/>
  <c r="M84" i="51"/>
  <c r="M89" i="51"/>
  <c r="M85" i="51"/>
  <c r="M81" i="51"/>
  <c r="M88" i="51"/>
  <c r="M143" i="51"/>
  <c r="E134" i="51"/>
  <c r="M134" i="51"/>
  <c r="D142" i="51"/>
  <c r="F14" i="51"/>
  <c r="F15" i="51"/>
  <c r="F7" i="51"/>
  <c r="F13" i="51"/>
  <c r="F6" i="51"/>
  <c r="F8" i="51"/>
  <c r="F10" i="51"/>
  <c r="F16" i="51"/>
  <c r="F12" i="51"/>
  <c r="F9" i="51"/>
  <c r="F11" i="51"/>
  <c r="D143" i="51"/>
  <c r="J124" i="51"/>
  <c r="J123" i="51"/>
  <c r="J118" i="51"/>
  <c r="J116" i="51"/>
  <c r="J119" i="51"/>
  <c r="J122" i="51"/>
  <c r="J126" i="51"/>
  <c r="J117" i="51"/>
  <c r="J120" i="51"/>
  <c r="F107" i="51"/>
  <c r="F99" i="51"/>
  <c r="F101" i="51"/>
  <c r="F105" i="51"/>
  <c r="F100" i="51"/>
  <c r="F103" i="51"/>
  <c r="F106" i="51"/>
  <c r="F104" i="51"/>
  <c r="F108" i="51"/>
  <c r="F102" i="51"/>
  <c r="E102" i="51"/>
  <c r="F98" i="51"/>
  <c r="L27" i="51"/>
  <c r="D31" i="51"/>
  <c r="D25" i="51"/>
  <c r="D34" i="51"/>
  <c r="D33" i="51"/>
  <c r="D26" i="51"/>
  <c r="D28" i="51"/>
  <c r="D27" i="51"/>
  <c r="D32" i="51"/>
  <c r="D29" i="51"/>
  <c r="D24" i="51"/>
  <c r="L84" i="51"/>
  <c r="K48" i="51"/>
  <c r="H105" i="51"/>
  <c r="H101" i="51"/>
  <c r="H108" i="51"/>
  <c r="H107" i="51"/>
  <c r="H103" i="51"/>
  <c r="H102" i="51"/>
  <c r="H99" i="51"/>
  <c r="K80" i="51"/>
  <c r="K87" i="51"/>
  <c r="K84" i="51"/>
  <c r="E52" i="51"/>
  <c r="E45" i="51"/>
  <c r="E43" i="51"/>
  <c r="E48" i="51"/>
  <c r="L46" i="51"/>
  <c r="F88" i="51"/>
  <c r="F83" i="51"/>
  <c r="F90" i="51"/>
  <c r="F85" i="51"/>
  <c r="L88" i="51"/>
  <c r="H26" i="51"/>
  <c r="H25" i="51"/>
  <c r="H32" i="51"/>
  <c r="H27" i="51"/>
  <c r="J26" i="51"/>
  <c r="J29" i="51"/>
  <c r="J24" i="51"/>
  <c r="J31" i="51"/>
  <c r="L43" i="51"/>
  <c r="J28" i="51"/>
  <c r="L90" i="51"/>
  <c r="L82" i="51"/>
  <c r="L85" i="51"/>
  <c r="L83" i="51"/>
  <c r="L80" i="51"/>
  <c r="F47" i="51"/>
  <c r="F46" i="51"/>
  <c r="F45" i="51"/>
  <c r="F50" i="51"/>
  <c r="F42" i="51"/>
  <c r="I126" i="51"/>
  <c r="I118" i="51"/>
  <c r="I122" i="51"/>
  <c r="L139" i="51"/>
  <c r="L137" i="51"/>
  <c r="L135" i="51"/>
  <c r="L141" i="51"/>
  <c r="L134" i="51"/>
  <c r="L44" i="51"/>
  <c r="M103" i="51"/>
  <c r="M99" i="51"/>
  <c r="M107" i="51"/>
  <c r="M104" i="51"/>
  <c r="M100" i="51"/>
  <c r="M101" i="51"/>
  <c r="I70" i="51"/>
  <c r="I69" i="51"/>
  <c r="I64" i="51"/>
  <c r="I68" i="51"/>
  <c r="I66" i="51"/>
  <c r="I61" i="51"/>
  <c r="I62" i="51"/>
  <c r="L87" i="51"/>
  <c r="E47" i="51"/>
  <c r="K42" i="51"/>
  <c r="M119" i="51"/>
  <c r="M116" i="51"/>
  <c r="M118" i="51"/>
  <c r="M117" i="51"/>
  <c r="M126" i="51"/>
  <c r="E44" i="51"/>
  <c r="L51" i="51"/>
  <c r="I13" i="51"/>
  <c r="I16" i="51"/>
  <c r="I9" i="51"/>
  <c r="I10" i="51"/>
  <c r="I6" i="51"/>
  <c r="I7" i="51"/>
  <c r="I14" i="51"/>
  <c r="I15" i="51"/>
  <c r="H28" i="51"/>
  <c r="L48" i="51"/>
  <c r="L52" i="51"/>
  <c r="L47" i="51"/>
  <c r="L45" i="51"/>
  <c r="L50" i="51"/>
  <c r="J27" i="51"/>
  <c r="H34" i="51"/>
  <c r="L81" i="51"/>
  <c r="I121" i="51"/>
  <c r="I117" i="51"/>
  <c r="M108" i="51"/>
  <c r="I125" i="51"/>
  <c r="E49" i="51"/>
  <c r="J13" i="51"/>
  <c r="J10" i="51"/>
  <c r="J7" i="51"/>
  <c r="J16" i="51"/>
  <c r="J9" i="51"/>
  <c r="J15" i="51"/>
  <c r="I8" i="51"/>
  <c r="D48" i="51"/>
  <c r="D43" i="51"/>
  <c r="D42" i="51"/>
  <c r="D52" i="51"/>
  <c r="D47" i="51"/>
  <c r="D51" i="51"/>
  <c r="D50" i="51"/>
  <c r="D45" i="51"/>
  <c r="D44" i="51"/>
  <c r="M98" i="51"/>
  <c r="K50" i="51"/>
  <c r="K52" i="51"/>
  <c r="K47" i="51"/>
  <c r="K51" i="51"/>
  <c r="G67" i="51"/>
  <c r="G70" i="51"/>
  <c r="G64" i="51"/>
  <c r="G68" i="51"/>
  <c r="G69" i="51"/>
  <c r="G61" i="51"/>
  <c r="I243" i="50"/>
  <c r="E211" i="50"/>
  <c r="I159" i="50"/>
  <c r="G159" i="50"/>
  <c r="H159" i="50"/>
  <c r="E148" i="50"/>
  <c r="E127" i="50"/>
  <c r="H72" i="50"/>
  <c r="F82" i="50"/>
  <c r="E232" i="50"/>
  <c r="E39" i="50"/>
  <c r="E190" i="50"/>
  <c r="E106" i="50"/>
  <c r="E18" i="50"/>
  <c r="G51" i="50"/>
  <c r="G138" i="50"/>
  <c r="F39" i="50"/>
  <c r="E61" i="50"/>
  <c r="I242" i="50"/>
  <c r="H9" i="50"/>
  <c r="F18" i="50"/>
  <c r="F127" i="50"/>
  <c r="G222" i="50"/>
  <c r="F190" i="50"/>
  <c r="E82" i="50"/>
  <c r="H49" i="50"/>
  <c r="F61" i="50"/>
  <c r="F211" i="50"/>
  <c r="H7" i="50"/>
  <c r="H8" i="50" s="1"/>
  <c r="F106" i="50"/>
  <c r="E39" i="49"/>
  <c r="E18" i="49"/>
  <c r="E232" i="49"/>
  <c r="G50" i="49"/>
  <c r="G51" i="49" s="1"/>
  <c r="E61" i="49"/>
  <c r="E190" i="49"/>
  <c r="F127" i="49"/>
  <c r="F169" i="49"/>
  <c r="E127" i="49"/>
  <c r="F39" i="49"/>
  <c r="F61" i="49"/>
  <c r="H49" i="49"/>
  <c r="G158" i="49"/>
  <c r="F106" i="49"/>
  <c r="E82" i="49"/>
  <c r="E253" i="49"/>
  <c r="E106" i="49"/>
  <c r="E211" i="49"/>
  <c r="F232" i="49"/>
  <c r="F190" i="49"/>
  <c r="F211" i="49"/>
  <c r="E232" i="48"/>
  <c r="E127" i="48"/>
  <c r="H28" i="48"/>
  <c r="E82" i="48"/>
  <c r="E18" i="48"/>
  <c r="G71" i="48"/>
  <c r="F253" i="48"/>
  <c r="G242" i="48"/>
  <c r="G221" i="48"/>
  <c r="F190" i="48"/>
  <c r="E148" i="48"/>
  <c r="E61" i="48"/>
  <c r="F148" i="48"/>
  <c r="F82" i="48"/>
  <c r="H242" i="48"/>
  <c r="F61" i="48"/>
  <c r="F106" i="48"/>
  <c r="F39" i="48"/>
  <c r="F211" i="48"/>
  <c r="E169" i="48"/>
  <c r="G179" i="48"/>
  <c r="F18" i="48"/>
  <c r="E39" i="48"/>
  <c r="E253" i="47"/>
  <c r="F232" i="47"/>
  <c r="G159" i="47"/>
  <c r="I159" i="47" s="1"/>
  <c r="H159" i="47"/>
  <c r="E39" i="47"/>
  <c r="E18" i="47"/>
  <c r="E232" i="47"/>
  <c r="E61" i="47"/>
  <c r="E211" i="47"/>
  <c r="E190" i="47"/>
  <c r="E106" i="47"/>
  <c r="G51" i="47"/>
  <c r="H49" i="47"/>
  <c r="F61" i="47"/>
  <c r="F169" i="47"/>
  <c r="H223" i="47"/>
  <c r="H224" i="47" s="1"/>
  <c r="F190" i="47"/>
  <c r="I158" i="47"/>
  <c r="F106" i="47"/>
  <c r="F39" i="47"/>
  <c r="F253" i="47"/>
  <c r="E148" i="47"/>
  <c r="E82" i="47"/>
  <c r="F18" i="47"/>
  <c r="F211" i="47"/>
  <c r="E211" i="46"/>
  <c r="H159" i="46"/>
  <c r="H160" i="46" s="1"/>
  <c r="E148" i="46"/>
  <c r="H142" i="46"/>
  <c r="E106" i="46"/>
  <c r="E253" i="46"/>
  <c r="E39" i="46"/>
  <c r="E190" i="46"/>
  <c r="H49" i="46"/>
  <c r="F61" i="46"/>
  <c r="F106" i="46"/>
  <c r="F18" i="46"/>
  <c r="E82" i="46"/>
  <c r="F232" i="46"/>
  <c r="F190" i="46"/>
  <c r="E127" i="46"/>
  <c r="H180" i="46"/>
  <c r="G95" i="46"/>
  <c r="I95" i="46" s="1"/>
  <c r="F211" i="46"/>
  <c r="F39" i="46"/>
  <c r="E61" i="46"/>
  <c r="G221" i="46"/>
  <c r="H95" i="46"/>
  <c r="H96" i="46" s="1"/>
  <c r="F127" i="46"/>
  <c r="H179" i="46"/>
  <c r="E232" i="42"/>
  <c r="E211" i="42"/>
  <c r="H8" i="42"/>
  <c r="H9" i="42" s="1"/>
  <c r="H10" i="42" s="1"/>
  <c r="H11" i="42" s="1"/>
  <c r="H12" i="42" s="1"/>
  <c r="H13" i="42" s="1"/>
  <c r="H14" i="42" s="1"/>
  <c r="H15" i="42" s="1"/>
  <c r="H16" i="42" s="1"/>
  <c r="H17" i="42" s="1"/>
  <c r="H161" i="42"/>
  <c r="E18" i="45"/>
  <c r="E169" i="45"/>
  <c r="E211" i="45"/>
  <c r="E148" i="45"/>
  <c r="F148" i="45"/>
  <c r="F106" i="45"/>
  <c r="F82" i="45"/>
  <c r="F18" i="45"/>
  <c r="H7" i="45"/>
  <c r="H8" i="45" s="1"/>
  <c r="E61" i="45"/>
  <c r="E127" i="45"/>
  <c r="G179" i="45"/>
  <c r="G221" i="45"/>
  <c r="E39" i="45"/>
  <c r="H158" i="45"/>
  <c r="F169" i="45"/>
  <c r="F190" i="45"/>
  <c r="G242" i="45"/>
  <c r="E253" i="45"/>
  <c r="G137" i="45"/>
  <c r="I137" i="45" s="1"/>
  <c r="G71" i="45"/>
  <c r="E82" i="45"/>
  <c r="G95" i="45"/>
  <c r="H49" i="45"/>
  <c r="F61" i="45"/>
  <c r="F211" i="45"/>
  <c r="G7" i="45"/>
  <c r="F39" i="45"/>
  <c r="H179" i="45"/>
  <c r="H180" i="45" s="1"/>
  <c r="H181" i="45" s="1"/>
  <c r="E190" i="45"/>
  <c r="H159" i="44"/>
  <c r="F169" i="44"/>
  <c r="H160" i="44"/>
  <c r="E127" i="44"/>
  <c r="E190" i="44"/>
  <c r="F211" i="44"/>
  <c r="E106" i="44"/>
  <c r="F190" i="44"/>
  <c r="G50" i="44"/>
  <c r="H95" i="44"/>
  <c r="H96" i="44" s="1"/>
  <c r="H97" i="44" s="1"/>
  <c r="E39" i="44"/>
  <c r="F253" i="44"/>
  <c r="E148" i="44"/>
  <c r="H179" i="44"/>
  <c r="H180" i="44" s="1"/>
  <c r="F106" i="44"/>
  <c r="G7" i="44"/>
  <c r="E61" i="44"/>
  <c r="G221" i="44"/>
  <c r="E82" i="44"/>
  <c r="F61" i="44"/>
  <c r="H49" i="44"/>
  <c r="F39" i="44"/>
  <c r="F127" i="44"/>
  <c r="G95" i="44"/>
  <c r="E211" i="44"/>
  <c r="H72" i="43"/>
  <c r="E232" i="43"/>
  <c r="E18" i="43"/>
  <c r="E190" i="43"/>
  <c r="E169" i="43"/>
  <c r="F148" i="43"/>
  <c r="F106" i="43"/>
  <c r="F232" i="43"/>
  <c r="H162" i="42"/>
  <c r="H163" i="42" s="1"/>
  <c r="F169" i="42"/>
  <c r="F82" i="43"/>
  <c r="E148" i="43"/>
  <c r="E61" i="43"/>
  <c r="E127" i="43"/>
  <c r="E39" i="43"/>
  <c r="H158" i="43"/>
  <c r="F169" i="43"/>
  <c r="E211" i="43"/>
  <c r="G137" i="43"/>
  <c r="F127" i="43"/>
  <c r="G242" i="43"/>
  <c r="E253" i="43"/>
  <c r="F253" i="43"/>
  <c r="F211" i="43"/>
  <c r="F39" i="43"/>
  <c r="E106" i="43"/>
  <c r="G7" i="43"/>
  <c r="F190" i="43"/>
  <c r="G71" i="43"/>
  <c r="E82" i="43"/>
  <c r="H49" i="43"/>
  <c r="F61" i="43"/>
  <c r="G51" i="42"/>
  <c r="G52" i="42" s="1"/>
  <c r="E106" i="42"/>
  <c r="E39" i="42"/>
  <c r="H221" i="42"/>
  <c r="H222" i="42" s="1"/>
  <c r="H223" i="42" s="1"/>
  <c r="H224" i="42" s="1"/>
  <c r="F232" i="42"/>
  <c r="I158" i="42"/>
  <c r="G159" i="42"/>
  <c r="I159" i="42"/>
  <c r="E148" i="42"/>
  <c r="G137" i="42"/>
  <c r="F18" i="42"/>
  <c r="G179" i="42"/>
  <c r="E190" i="42"/>
  <c r="G118" i="42"/>
  <c r="I118" i="42"/>
  <c r="I117" i="42"/>
  <c r="G8" i="42"/>
  <c r="I7" i="42"/>
  <c r="H200" i="42"/>
  <c r="F211" i="42"/>
  <c r="G203" i="42"/>
  <c r="H96" i="42"/>
  <c r="H97" i="42" s="1"/>
  <c r="H98" i="42" s="1"/>
  <c r="H99" i="42" s="1"/>
  <c r="H100" i="42" s="1"/>
  <c r="H101" i="42" s="1"/>
  <c r="H102" i="42" s="1"/>
  <c r="H103" i="42" s="1"/>
  <c r="H104" i="42" s="1"/>
  <c r="H105" i="42" s="1"/>
  <c r="F106" i="42"/>
  <c r="F61" i="42"/>
  <c r="H49" i="42"/>
  <c r="H29" i="42"/>
  <c r="I29" i="42" s="1"/>
  <c r="G244" i="42"/>
  <c r="H242" i="42"/>
  <c r="I242" i="42" s="1"/>
  <c r="F253" i="42"/>
  <c r="H120" i="42"/>
  <c r="H121" i="42" s="1"/>
  <c r="H122" i="42" s="1"/>
  <c r="H123" i="42" s="1"/>
  <c r="H124" i="42" s="1"/>
  <c r="H125" i="42" s="1"/>
  <c r="H126" i="42" s="1"/>
  <c r="F127" i="42"/>
  <c r="F190" i="42"/>
  <c r="H179" i="42"/>
  <c r="H180" i="42" s="1"/>
  <c r="H181" i="42" s="1"/>
  <c r="H182" i="42" s="1"/>
  <c r="H183" i="42" s="1"/>
  <c r="H184" i="42" s="1"/>
  <c r="H185" i="42" s="1"/>
  <c r="H186" i="42" s="1"/>
  <c r="H187" i="42" s="1"/>
  <c r="H188" i="42" s="1"/>
  <c r="H189" i="42" s="1"/>
  <c r="G97" i="42"/>
  <c r="F148" i="42"/>
  <c r="H137" i="42"/>
  <c r="H138" i="42" s="1"/>
  <c r="H139" i="42" s="1"/>
  <c r="H140" i="42" s="1"/>
  <c r="H141" i="42" s="1"/>
  <c r="H142" i="42" s="1"/>
  <c r="H143" i="42" s="1"/>
  <c r="H144" i="42" s="1"/>
  <c r="H145" i="42" s="1"/>
  <c r="H146" i="42" s="1"/>
  <c r="H147" i="42" s="1"/>
  <c r="H225" i="42"/>
  <c r="H226" i="42" s="1"/>
  <c r="H227" i="42" s="1"/>
  <c r="H228" i="42" s="1"/>
  <c r="H229" i="42" s="1"/>
  <c r="H230" i="42" s="1"/>
  <c r="H231" i="42" s="1"/>
  <c r="F82" i="42"/>
  <c r="H71" i="42"/>
  <c r="H72" i="42" s="1"/>
  <c r="H73" i="42" s="1"/>
  <c r="H74" i="42" s="1"/>
  <c r="H75" i="42" s="1"/>
  <c r="H76" i="42" s="1"/>
  <c r="H77" i="42" s="1"/>
  <c r="H78" i="42" s="1"/>
  <c r="H79" i="42" s="1"/>
  <c r="H80" i="42" s="1"/>
  <c r="H81" i="42" s="1"/>
  <c r="H164" i="42"/>
  <c r="H165" i="42" s="1"/>
  <c r="H166" i="42" s="1"/>
  <c r="H167" i="42" s="1"/>
  <c r="H168" i="42" s="1"/>
  <c r="G222" i="42"/>
  <c r="I222" i="42" s="1"/>
  <c r="I221" i="42"/>
  <c r="H50" i="42"/>
  <c r="I50" i="42" s="1"/>
  <c r="G30" i="42"/>
  <c r="E61" i="42"/>
  <c r="E82" i="42"/>
  <c r="G71" i="42"/>
  <c r="L80" i="27"/>
  <c r="H345" i="22"/>
  <c r="H346" i="22" s="1"/>
  <c r="H347" i="22" s="1"/>
  <c r="H348" i="22" s="1"/>
  <c r="H349" i="22" s="1"/>
  <c r="H350" i="22" s="1"/>
  <c r="H351" i="22" s="1"/>
  <c r="H352" i="22" s="1"/>
  <c r="H353" i="22" s="1"/>
  <c r="H354" i="22" s="1"/>
  <c r="F355" i="22"/>
  <c r="E355" i="22"/>
  <c r="I344" i="22"/>
  <c r="G346" i="22"/>
  <c r="G347" i="22" s="1"/>
  <c r="L204" i="27"/>
  <c r="L235" i="27"/>
  <c r="L266" i="27"/>
  <c r="L173" i="27"/>
  <c r="L142" i="27"/>
  <c r="L111" i="27"/>
  <c r="O8" i="14"/>
  <c r="C23" i="40"/>
  <c r="D23" i="40"/>
  <c r="E23" i="40"/>
  <c r="F23" i="40"/>
  <c r="G23" i="40"/>
  <c r="H23" i="40"/>
  <c r="I23" i="40"/>
  <c r="J23" i="40"/>
  <c r="K23" i="40"/>
  <c r="C24" i="40"/>
  <c r="D24" i="40"/>
  <c r="E24" i="40"/>
  <c r="F24" i="40"/>
  <c r="G24" i="40"/>
  <c r="H24" i="40"/>
  <c r="I24" i="40"/>
  <c r="J24" i="40"/>
  <c r="K24" i="40"/>
  <c r="C25" i="40"/>
  <c r="D25" i="40"/>
  <c r="E25" i="40"/>
  <c r="F25" i="40"/>
  <c r="G25" i="40"/>
  <c r="H25" i="40"/>
  <c r="I25" i="40"/>
  <c r="J25" i="40"/>
  <c r="K25" i="40"/>
  <c r="C26" i="40"/>
  <c r="D26" i="40"/>
  <c r="E26" i="40"/>
  <c r="F26" i="40"/>
  <c r="G26" i="40"/>
  <c r="H26" i="40"/>
  <c r="I26" i="40"/>
  <c r="J26" i="40"/>
  <c r="K26" i="40"/>
  <c r="C27" i="40"/>
  <c r="D27" i="40"/>
  <c r="E27" i="40"/>
  <c r="F27" i="40"/>
  <c r="G27" i="40"/>
  <c r="H27" i="40"/>
  <c r="I27" i="40"/>
  <c r="J27" i="40"/>
  <c r="K27" i="40"/>
  <c r="C28" i="40"/>
  <c r="D28" i="40"/>
  <c r="E28" i="40"/>
  <c r="F28" i="40"/>
  <c r="G28" i="40"/>
  <c r="H28" i="40"/>
  <c r="I28" i="40"/>
  <c r="J28" i="40"/>
  <c r="K28" i="40"/>
  <c r="C29" i="40"/>
  <c r="D29" i="40"/>
  <c r="E29" i="40"/>
  <c r="F29" i="40"/>
  <c r="G29" i="40"/>
  <c r="H29" i="40"/>
  <c r="I29" i="40"/>
  <c r="J29" i="40"/>
  <c r="K29" i="40"/>
  <c r="C30" i="40"/>
  <c r="D30" i="40"/>
  <c r="E30" i="40"/>
  <c r="F30" i="40"/>
  <c r="G30" i="40"/>
  <c r="H30" i="40"/>
  <c r="I30" i="40"/>
  <c r="J30" i="40"/>
  <c r="K30" i="40"/>
  <c r="C31" i="40"/>
  <c r="D31" i="40"/>
  <c r="E31" i="40"/>
  <c r="F31" i="40"/>
  <c r="G31" i="40"/>
  <c r="H31" i="40"/>
  <c r="I31" i="40"/>
  <c r="J31" i="40"/>
  <c r="K31" i="40"/>
  <c r="C32" i="40"/>
  <c r="D32" i="40"/>
  <c r="E32" i="40"/>
  <c r="F32" i="40"/>
  <c r="G32" i="40"/>
  <c r="H32" i="40"/>
  <c r="I32" i="40"/>
  <c r="J32" i="40"/>
  <c r="K32" i="40"/>
  <c r="D22" i="40"/>
  <c r="E22" i="40"/>
  <c r="F22" i="40"/>
  <c r="G22" i="40"/>
  <c r="H22" i="40"/>
  <c r="I22" i="40"/>
  <c r="J22" i="40"/>
  <c r="K22" i="40"/>
  <c r="C22" i="40"/>
  <c r="AH16" i="40"/>
  <c r="AA16" i="40"/>
  <c r="AB16" i="40"/>
  <c r="AC16" i="40"/>
  <c r="AD16" i="40"/>
  <c r="AE16" i="40"/>
  <c r="AF16" i="40"/>
  <c r="AG16" i="40"/>
  <c r="Z16" i="40"/>
  <c r="M68" i="14"/>
  <c r="M69" i="14"/>
  <c r="M70" i="14"/>
  <c r="M71" i="14"/>
  <c r="M72" i="14"/>
  <c r="M73" i="14"/>
  <c r="M74" i="14"/>
  <c r="M75" i="14"/>
  <c r="M76" i="14"/>
  <c r="M77" i="14"/>
  <c r="M78" i="14"/>
  <c r="K48" i="27"/>
  <c r="J48" i="27"/>
  <c r="I48" i="27"/>
  <c r="H48" i="27"/>
  <c r="L47" i="27"/>
  <c r="L46" i="27"/>
  <c r="L45" i="27"/>
  <c r="L44" i="27"/>
  <c r="L43" i="27"/>
  <c r="L42" i="27"/>
  <c r="L41" i="27"/>
  <c r="L40" i="27"/>
  <c r="L39" i="27"/>
  <c r="L38" i="27"/>
  <c r="L37" i="27"/>
  <c r="AE114" i="59" l="1"/>
  <c r="AE77" i="59" a="1"/>
  <c r="AE77" i="59" s="1"/>
  <c r="S85" i="59" s="1"/>
  <c r="AE58" i="59"/>
  <c r="AE57" i="59" a="1"/>
  <c r="AE57" i="59" s="1"/>
  <c r="S64" i="59" s="1"/>
  <c r="AE113" i="59" a="1"/>
  <c r="AE113" i="59" s="1"/>
  <c r="V115" i="59" s="1"/>
  <c r="AE78" i="59"/>
  <c r="AE95" i="59" a="1"/>
  <c r="AE95" i="59" s="1"/>
  <c r="S98" i="59" s="1"/>
  <c r="AE96" i="59"/>
  <c r="AE21" i="59" a="1"/>
  <c r="AE21" i="59" s="1"/>
  <c r="Q29" i="59" s="1"/>
  <c r="AE22" i="59"/>
  <c r="AE132" i="59"/>
  <c r="AE131" i="59" a="1"/>
  <c r="AE131" i="59" s="1"/>
  <c r="Q135" i="59" s="1"/>
  <c r="AE4" i="59"/>
  <c r="AE3" i="59" a="1"/>
  <c r="AE3" i="59" s="1"/>
  <c r="Z11" i="59" s="1"/>
  <c r="AE40" i="59"/>
  <c r="AE39" i="59" a="1"/>
  <c r="AE39" i="59" s="1"/>
  <c r="R48" i="59" s="1"/>
  <c r="AE131" i="58" a="1"/>
  <c r="AE131" i="58" s="1"/>
  <c r="V139" i="58" s="1"/>
  <c r="AE40" i="58"/>
  <c r="X50" i="58" s="1"/>
  <c r="AE22" i="58"/>
  <c r="T43" i="58"/>
  <c r="X45" i="58"/>
  <c r="V45" i="58"/>
  <c r="S42" i="58"/>
  <c r="Q44" i="58"/>
  <c r="Y43" i="58"/>
  <c r="AA47" i="58"/>
  <c r="Y42" i="58"/>
  <c r="S47" i="58"/>
  <c r="Q50" i="58"/>
  <c r="U49" i="58"/>
  <c r="Z41" i="58"/>
  <c r="AE132" i="58"/>
  <c r="AE21" i="58" a="1"/>
  <c r="AE21" i="58" s="1"/>
  <c r="T26" i="58" s="1"/>
  <c r="AE95" i="58" a="1"/>
  <c r="AE95" i="58" s="1"/>
  <c r="W106" i="58" s="1"/>
  <c r="AE96" i="58"/>
  <c r="AE114" i="58"/>
  <c r="AE113" i="58" a="1"/>
  <c r="AE113" i="58" s="1"/>
  <c r="AA123" i="58" s="1"/>
  <c r="AE57" i="58" a="1"/>
  <c r="AE57" i="58" s="1"/>
  <c r="U59" i="58" s="1"/>
  <c r="AE77" i="58" a="1"/>
  <c r="AE77" i="58" s="1"/>
  <c r="R82" i="58" s="1"/>
  <c r="U41" i="58"/>
  <c r="AE58" i="58"/>
  <c r="Z42" i="58"/>
  <c r="AE78" i="58"/>
  <c r="AE3" i="58" a="1"/>
  <c r="AE3" i="58" s="1"/>
  <c r="S8" i="58" s="1"/>
  <c r="AE4" i="58"/>
  <c r="AE131" i="57" a="1"/>
  <c r="AE131" i="57" s="1"/>
  <c r="T139" i="57" s="1"/>
  <c r="AE95" i="57" a="1"/>
  <c r="AE95" i="57" s="1"/>
  <c r="Q101" i="57" s="1"/>
  <c r="AE78" i="57"/>
  <c r="AE114" i="57"/>
  <c r="AE113" i="57" a="1"/>
  <c r="AE113" i="57" s="1"/>
  <c r="U125" i="57" s="1"/>
  <c r="AE57" i="57" a="1"/>
  <c r="AE57" i="57" s="1"/>
  <c r="V69" i="57" s="1"/>
  <c r="AE58" i="57"/>
  <c r="AE132" i="57"/>
  <c r="AE3" i="57" a="1"/>
  <c r="AE3" i="57" s="1"/>
  <c r="S14" i="57" s="1"/>
  <c r="AE22" i="57"/>
  <c r="AE21" i="57" a="1"/>
  <c r="AE21" i="57" s="1"/>
  <c r="AA26" i="57" s="1"/>
  <c r="AE96" i="57"/>
  <c r="AE4" i="57"/>
  <c r="AE39" i="57" a="1"/>
  <c r="AE39" i="57" s="1"/>
  <c r="AA46" i="57" s="1"/>
  <c r="AE40" i="57"/>
  <c r="AE77" i="57" a="1"/>
  <c r="AE77" i="57" s="1"/>
  <c r="U84" i="57" s="1"/>
  <c r="W122" i="56"/>
  <c r="AE114" i="56"/>
  <c r="Y122" i="56" s="1"/>
  <c r="Q120" i="56"/>
  <c r="V121" i="56"/>
  <c r="Y125" i="56"/>
  <c r="T116" i="56"/>
  <c r="Z124" i="56"/>
  <c r="W125" i="56"/>
  <c r="X121" i="56"/>
  <c r="Y123" i="56"/>
  <c r="R118" i="56"/>
  <c r="AE95" i="56" a="1"/>
  <c r="AE95" i="56" s="1"/>
  <c r="AA101" i="56" s="1"/>
  <c r="Z42" i="56"/>
  <c r="S44" i="56"/>
  <c r="S45" i="56"/>
  <c r="Q44" i="56"/>
  <c r="Y51" i="56"/>
  <c r="Y42" i="56"/>
  <c r="Z44" i="56"/>
  <c r="V50" i="56"/>
  <c r="AA41" i="56"/>
  <c r="AE96" i="56"/>
  <c r="Q121" i="56"/>
  <c r="T45" i="56"/>
  <c r="S116" i="56"/>
  <c r="AE4" i="56"/>
  <c r="AE3" i="56" a="1"/>
  <c r="AE3" i="56" s="1"/>
  <c r="R14" i="56" s="1"/>
  <c r="T117" i="56"/>
  <c r="T124" i="56"/>
  <c r="S120" i="56"/>
  <c r="Z45" i="56"/>
  <c r="U45" i="56"/>
  <c r="U41" i="56"/>
  <c r="U49" i="56"/>
  <c r="Z46" i="56"/>
  <c r="U43" i="56"/>
  <c r="Z50" i="56"/>
  <c r="Q48" i="56"/>
  <c r="AA42" i="56"/>
  <c r="AA49" i="56"/>
  <c r="X48" i="56"/>
  <c r="AA50" i="56"/>
  <c r="V42" i="56"/>
  <c r="Q43" i="56"/>
  <c r="S51" i="56"/>
  <c r="Z49" i="56"/>
  <c r="Z43" i="56"/>
  <c r="Q49" i="56"/>
  <c r="V46" i="56"/>
  <c r="T43" i="56"/>
  <c r="Q50" i="56"/>
  <c r="Z41" i="56"/>
  <c r="X45" i="56"/>
  <c r="AA47" i="56"/>
  <c r="Q51" i="56"/>
  <c r="AA44" i="56"/>
  <c r="X43" i="56"/>
  <c r="V45" i="56"/>
  <c r="U48" i="56"/>
  <c r="S49" i="56"/>
  <c r="U46" i="56"/>
  <c r="X49" i="56"/>
  <c r="Y45" i="56"/>
  <c r="AA45" i="56"/>
  <c r="V44" i="56"/>
  <c r="R47" i="56"/>
  <c r="X42" i="56"/>
  <c r="Z48" i="56"/>
  <c r="U47" i="56"/>
  <c r="Q41" i="56"/>
  <c r="V47" i="56"/>
  <c r="T51" i="56"/>
  <c r="T49" i="56"/>
  <c r="T46" i="56"/>
  <c r="Y43" i="56"/>
  <c r="T42" i="56"/>
  <c r="Y46" i="56"/>
  <c r="S43" i="56"/>
  <c r="T48" i="56"/>
  <c r="W49" i="56"/>
  <c r="V43" i="56"/>
  <c r="V51" i="56"/>
  <c r="Z47" i="56"/>
  <c r="S50" i="56"/>
  <c r="U44" i="56"/>
  <c r="Q47" i="56"/>
  <c r="S46" i="56"/>
  <c r="Z51" i="56"/>
  <c r="U51" i="56"/>
  <c r="Y44" i="56"/>
  <c r="Q42" i="56"/>
  <c r="Y41" i="56"/>
  <c r="X47" i="56"/>
  <c r="T41" i="56"/>
  <c r="S41" i="56"/>
  <c r="X46" i="56"/>
  <c r="Y48" i="56"/>
  <c r="X50" i="56"/>
  <c r="T47" i="56"/>
  <c r="V48" i="56"/>
  <c r="V41" i="56"/>
  <c r="W44" i="56"/>
  <c r="S48" i="56"/>
  <c r="AA43" i="56"/>
  <c r="Q46" i="56"/>
  <c r="S42" i="56"/>
  <c r="X41" i="56"/>
  <c r="Y49" i="56"/>
  <c r="T44" i="56"/>
  <c r="S47" i="56"/>
  <c r="AA51" i="56"/>
  <c r="AA48" i="56"/>
  <c r="X51" i="56"/>
  <c r="V49" i="56"/>
  <c r="Y47" i="56"/>
  <c r="U50" i="56"/>
  <c r="Q45" i="56"/>
  <c r="Y50" i="56"/>
  <c r="X44" i="56"/>
  <c r="AE132" i="56"/>
  <c r="AE131" i="56" a="1"/>
  <c r="AE131" i="56" s="1"/>
  <c r="W142" i="56" s="1"/>
  <c r="R124" i="56"/>
  <c r="R116" i="56"/>
  <c r="X125" i="56"/>
  <c r="Y116" i="56"/>
  <c r="V120" i="56"/>
  <c r="V115" i="56"/>
  <c r="R120" i="56"/>
  <c r="Q118" i="56"/>
  <c r="S117" i="56"/>
  <c r="Z115" i="56"/>
  <c r="R123" i="56"/>
  <c r="X117" i="56"/>
  <c r="Y119" i="56"/>
  <c r="S124" i="56"/>
  <c r="V118" i="56"/>
  <c r="R115" i="56"/>
  <c r="S115" i="56"/>
  <c r="V124" i="56"/>
  <c r="X118" i="56"/>
  <c r="X122" i="56"/>
  <c r="Z121" i="56"/>
  <c r="Y120" i="56"/>
  <c r="Q124" i="56"/>
  <c r="Y124" i="56"/>
  <c r="X120" i="56"/>
  <c r="Q119" i="56"/>
  <c r="Q115" i="56"/>
  <c r="R125" i="56"/>
  <c r="V116" i="56"/>
  <c r="T120" i="56"/>
  <c r="U118" i="56"/>
  <c r="X116" i="56"/>
  <c r="V117" i="56"/>
  <c r="Z125" i="56"/>
  <c r="Z118" i="56"/>
  <c r="U121" i="56"/>
  <c r="Q116" i="56"/>
  <c r="Z119" i="56"/>
  <c r="Q117" i="56"/>
  <c r="Y117" i="56"/>
  <c r="Y118" i="56"/>
  <c r="Z117" i="56"/>
  <c r="R119" i="56"/>
  <c r="X123" i="56"/>
  <c r="S123" i="56"/>
  <c r="S119" i="56"/>
  <c r="T119" i="56"/>
  <c r="Z123" i="56"/>
  <c r="Z116" i="56"/>
  <c r="Q123" i="56"/>
  <c r="T122" i="56"/>
  <c r="Z122" i="56"/>
  <c r="R121" i="56"/>
  <c r="V119" i="56"/>
  <c r="Q122" i="56"/>
  <c r="T125" i="56"/>
  <c r="X119" i="56"/>
  <c r="T115" i="56"/>
  <c r="R117" i="56"/>
  <c r="V125" i="56"/>
  <c r="Y121" i="56"/>
  <c r="X115" i="56"/>
  <c r="S122" i="56"/>
  <c r="T121" i="56"/>
  <c r="Z120" i="56"/>
  <c r="V123" i="56"/>
  <c r="S125" i="56"/>
  <c r="R122" i="56"/>
  <c r="X124" i="56"/>
  <c r="T118" i="56"/>
  <c r="Q125" i="56"/>
  <c r="Y115" i="56"/>
  <c r="S121" i="56"/>
  <c r="AA122" i="56"/>
  <c r="U120" i="56"/>
  <c r="T50" i="56"/>
  <c r="U42" i="56"/>
  <c r="S118" i="56"/>
  <c r="T123" i="56"/>
  <c r="AE77" i="56" a="1"/>
  <c r="AE77" i="56" s="1"/>
  <c r="S82" i="56" s="1"/>
  <c r="AE78" i="56"/>
  <c r="V122" i="56"/>
  <c r="W118" i="56"/>
  <c r="U125" i="56"/>
  <c r="U123" i="56"/>
  <c r="R50" i="56"/>
  <c r="W41" i="56"/>
  <c r="AA116" i="56"/>
  <c r="W117" i="56"/>
  <c r="U115" i="56"/>
  <c r="R48" i="56"/>
  <c r="W50" i="56"/>
  <c r="AA117" i="56"/>
  <c r="W116" i="56"/>
  <c r="U124" i="56"/>
  <c r="R46" i="56"/>
  <c r="W46" i="56"/>
  <c r="W48" i="56"/>
  <c r="AA120" i="56"/>
  <c r="W120" i="56"/>
  <c r="AE21" i="56" a="1"/>
  <c r="AE21" i="56" s="1"/>
  <c r="V32" i="56" s="1"/>
  <c r="AE22" i="56"/>
  <c r="R43" i="56"/>
  <c r="AE57" i="56" a="1"/>
  <c r="AE57" i="56" s="1"/>
  <c r="S60" i="56" s="1"/>
  <c r="AE58" i="56"/>
  <c r="W43" i="56"/>
  <c r="AA124" i="56"/>
  <c r="W115" i="56"/>
  <c r="U117" i="56"/>
  <c r="R44" i="56"/>
  <c r="R45" i="56"/>
  <c r="W47" i="56"/>
  <c r="AA115" i="56"/>
  <c r="W121" i="56"/>
  <c r="W123" i="56"/>
  <c r="U116" i="56"/>
  <c r="R42" i="56"/>
  <c r="R51" i="56"/>
  <c r="W51" i="56"/>
  <c r="AA118" i="56"/>
  <c r="AA123" i="56"/>
  <c r="W119" i="56"/>
  <c r="U122" i="56"/>
  <c r="R49" i="56"/>
  <c r="W42" i="56"/>
  <c r="AA119" i="56"/>
  <c r="W124" i="56"/>
  <c r="U119" i="56"/>
  <c r="AA125" i="56"/>
  <c r="R41" i="56"/>
  <c r="W45" i="56"/>
  <c r="AA121" i="56"/>
  <c r="AE96" i="55"/>
  <c r="AE3" i="55" a="1"/>
  <c r="AE3" i="55" s="1"/>
  <c r="V9" i="55" s="1"/>
  <c r="AE95" i="55" a="1"/>
  <c r="AE95" i="55" s="1"/>
  <c r="X98" i="55" s="1"/>
  <c r="AE22" i="55"/>
  <c r="AE21" i="55" a="1"/>
  <c r="AE21" i="55" s="1"/>
  <c r="W33" i="55" s="1"/>
  <c r="AE4" i="55"/>
  <c r="AE57" i="55" a="1"/>
  <c r="AE57" i="55" s="1"/>
  <c r="T66" i="55" s="1"/>
  <c r="AE78" i="55"/>
  <c r="V81" i="55" s="1"/>
  <c r="AE40" i="55"/>
  <c r="AE39" i="55" a="1"/>
  <c r="AE39" i="55" s="1"/>
  <c r="Q44" i="55" s="1"/>
  <c r="AE114" i="55"/>
  <c r="AE113" i="55" a="1"/>
  <c r="AE113" i="55" s="1"/>
  <c r="AE131" i="55" a="1"/>
  <c r="AE131" i="55" s="1"/>
  <c r="W133" i="55" s="1"/>
  <c r="AE132" i="55"/>
  <c r="AE58" i="55"/>
  <c r="AE77" i="54" a="1"/>
  <c r="AE77" i="54" s="1"/>
  <c r="X80" i="54" s="1"/>
  <c r="AE78" i="54"/>
  <c r="AE96" i="54"/>
  <c r="AE95" i="54" a="1"/>
  <c r="AE95" i="54" s="1"/>
  <c r="T101" i="54" s="1"/>
  <c r="AE3" i="54" a="1"/>
  <c r="AE3" i="54" s="1"/>
  <c r="R13" i="54" s="1"/>
  <c r="AE57" i="54" a="1"/>
  <c r="AE57" i="54" s="1"/>
  <c r="R63" i="54" s="1"/>
  <c r="AE4" i="54"/>
  <c r="AE22" i="54"/>
  <c r="AE21" i="54" a="1"/>
  <c r="AE21" i="54" s="1"/>
  <c r="Y24" i="54" s="1"/>
  <c r="AE58" i="54"/>
  <c r="AE113" i="54" a="1"/>
  <c r="AE113" i="54" s="1"/>
  <c r="AE40" i="54"/>
  <c r="AE39" i="54" a="1"/>
  <c r="AE39" i="54" s="1"/>
  <c r="U50" i="54" s="1"/>
  <c r="AE132" i="54"/>
  <c r="AE131" i="54" a="1"/>
  <c r="AE131" i="54" s="1"/>
  <c r="AE114" i="54"/>
  <c r="AE40" i="53"/>
  <c r="AE22" i="53"/>
  <c r="AE21" i="53" a="1"/>
  <c r="AE21" i="53" s="1"/>
  <c r="S25" i="53" s="1"/>
  <c r="AE58" i="53"/>
  <c r="AE4" i="53"/>
  <c r="AE57" i="53" a="1"/>
  <c r="AE57" i="53" s="1"/>
  <c r="Y59" i="53" s="1"/>
  <c r="AE114" i="53"/>
  <c r="AE113" i="53" a="1"/>
  <c r="AE113" i="53" s="1"/>
  <c r="W115" i="53" s="1"/>
  <c r="AE96" i="53"/>
  <c r="AE95" i="53" a="1"/>
  <c r="AE95" i="53" s="1"/>
  <c r="R97" i="53" s="1"/>
  <c r="AE39" i="53" a="1"/>
  <c r="AE39" i="53" s="1"/>
  <c r="V49" i="53" s="1"/>
  <c r="AE77" i="53" a="1"/>
  <c r="AE77" i="53" s="1"/>
  <c r="W81" i="53" s="1"/>
  <c r="AE78" i="53"/>
  <c r="AE3" i="53" a="1"/>
  <c r="AE3" i="53" s="1"/>
  <c r="Y7" i="53" s="1"/>
  <c r="AE131" i="53" a="1"/>
  <c r="AE131" i="53" s="1"/>
  <c r="V138" i="53" s="1"/>
  <c r="AE132" i="53"/>
  <c r="AE113" i="51" a="1"/>
  <c r="AE113" i="51" s="1"/>
  <c r="Y116" i="51" s="1"/>
  <c r="AE114" i="51"/>
  <c r="AE96" i="51"/>
  <c r="AE58" i="51"/>
  <c r="AE3" i="51" a="1"/>
  <c r="AE3" i="51" s="1"/>
  <c r="X15" i="51" s="1"/>
  <c r="AE22" i="51"/>
  <c r="AE21" i="51" a="1"/>
  <c r="AE21" i="51" s="1"/>
  <c r="Q24" i="51" s="1"/>
  <c r="AE40" i="51"/>
  <c r="AE39" i="51" a="1"/>
  <c r="AE39" i="51" s="1"/>
  <c r="R44" i="51" s="1"/>
  <c r="AE131" i="51" a="1"/>
  <c r="AE131" i="51" s="1"/>
  <c r="AA135" i="51" s="1"/>
  <c r="AE132" i="51"/>
  <c r="AE4" i="51"/>
  <c r="AE57" i="51" a="1"/>
  <c r="AE57" i="51" s="1"/>
  <c r="AE77" i="51" a="1"/>
  <c r="AE77" i="51" s="1"/>
  <c r="AE78" i="51"/>
  <c r="AE95" i="51" a="1"/>
  <c r="AE95" i="51" s="1"/>
  <c r="Z99" i="51" s="1"/>
  <c r="H179" i="50"/>
  <c r="H180" i="50" s="1"/>
  <c r="G244" i="50"/>
  <c r="G7" i="50"/>
  <c r="G116" i="50"/>
  <c r="G71" i="50"/>
  <c r="G72" i="50" s="1"/>
  <c r="G160" i="50"/>
  <c r="H50" i="50"/>
  <c r="G95" i="50"/>
  <c r="G179" i="50"/>
  <c r="H179" i="49"/>
  <c r="H180" i="49" s="1"/>
  <c r="H221" i="49"/>
  <c r="G71" i="49"/>
  <c r="G7" i="49"/>
  <c r="G95" i="49"/>
  <c r="G28" i="49"/>
  <c r="G29" i="49" s="1"/>
  <c r="G179" i="49"/>
  <c r="G242" i="49"/>
  <c r="I242" i="49" s="1"/>
  <c r="H29" i="48"/>
  <c r="G180" i="48"/>
  <c r="G181" i="48" s="1"/>
  <c r="G95" i="48"/>
  <c r="G50" i="48"/>
  <c r="H179" i="48"/>
  <c r="H180" i="48" s="1"/>
  <c r="I242" i="48"/>
  <c r="G116" i="48"/>
  <c r="G200" i="48"/>
  <c r="G158" i="48"/>
  <c r="I158" i="48" s="1"/>
  <c r="G7" i="48"/>
  <c r="H50" i="47"/>
  <c r="G221" i="47"/>
  <c r="G95" i="47"/>
  <c r="I95" i="47" s="1"/>
  <c r="H179" i="47"/>
  <c r="H180" i="47" s="1"/>
  <c r="G160" i="47"/>
  <c r="G116" i="47"/>
  <c r="I179" i="47"/>
  <c r="G179" i="47"/>
  <c r="G96" i="47"/>
  <c r="G97" i="47" s="1"/>
  <c r="G244" i="47"/>
  <c r="G71" i="47"/>
  <c r="G137" i="47"/>
  <c r="H242" i="47"/>
  <c r="H243" i="47" s="1"/>
  <c r="I243" i="47" s="1"/>
  <c r="G7" i="47"/>
  <c r="H181" i="46"/>
  <c r="H97" i="46"/>
  <c r="H7" i="46"/>
  <c r="H8" i="46" s="1"/>
  <c r="G242" i="46"/>
  <c r="G137" i="46"/>
  <c r="I137" i="46"/>
  <c r="G7" i="46"/>
  <c r="H50" i="46"/>
  <c r="G96" i="46"/>
  <c r="G179" i="46"/>
  <c r="I179" i="46" s="1"/>
  <c r="G159" i="46"/>
  <c r="G200" i="46"/>
  <c r="G71" i="46"/>
  <c r="I71" i="46" s="1"/>
  <c r="I8" i="42"/>
  <c r="H9" i="45"/>
  <c r="I9" i="45" s="1"/>
  <c r="H95" i="45"/>
  <c r="I242" i="45"/>
  <c r="G243" i="45"/>
  <c r="I243" i="45" s="1"/>
  <c r="G160" i="45"/>
  <c r="G116" i="45"/>
  <c r="I221" i="45"/>
  <c r="G8" i="45"/>
  <c r="G9" i="45" s="1"/>
  <c r="I71" i="45"/>
  <c r="G72" i="45"/>
  <c r="I72" i="45" s="1"/>
  <c r="I7" i="45"/>
  <c r="G200" i="45"/>
  <c r="I158" i="45"/>
  <c r="H159" i="45"/>
  <c r="G180" i="45"/>
  <c r="G96" i="45"/>
  <c r="G97" i="45" s="1"/>
  <c r="I179" i="45"/>
  <c r="H181" i="44"/>
  <c r="G179" i="44"/>
  <c r="I179" i="44" s="1"/>
  <c r="G96" i="44"/>
  <c r="I95" i="44"/>
  <c r="G242" i="44"/>
  <c r="G243" i="44" s="1"/>
  <c r="G244" i="44" s="1"/>
  <c r="G158" i="44"/>
  <c r="G200" i="44"/>
  <c r="G8" i="44"/>
  <c r="G222" i="44"/>
  <c r="I222" i="44"/>
  <c r="I221" i="44"/>
  <c r="G116" i="44"/>
  <c r="G51" i="44"/>
  <c r="G221" i="43"/>
  <c r="H179" i="43"/>
  <c r="H180" i="43" s="1"/>
  <c r="G160" i="43"/>
  <c r="I242" i="43"/>
  <c r="G243" i="43"/>
  <c r="I243" i="43"/>
  <c r="I158" i="43"/>
  <c r="H159" i="43"/>
  <c r="I71" i="43"/>
  <c r="G72" i="43"/>
  <c r="I72" i="43" s="1"/>
  <c r="G8" i="43"/>
  <c r="G116" i="43"/>
  <c r="G117" i="43" s="1"/>
  <c r="G179" i="43"/>
  <c r="H30" i="42"/>
  <c r="G31" i="42"/>
  <c r="G180" i="42"/>
  <c r="I180" i="42" s="1"/>
  <c r="I179" i="42"/>
  <c r="G223" i="42"/>
  <c r="I223" i="42"/>
  <c r="G9" i="42"/>
  <c r="I9" i="42" s="1"/>
  <c r="I200" i="42"/>
  <c r="H201" i="42"/>
  <c r="G98" i="42"/>
  <c r="I98" i="42" s="1"/>
  <c r="G138" i="42"/>
  <c r="I137" i="42"/>
  <c r="I96" i="42"/>
  <c r="H243" i="42"/>
  <c r="G245" i="42"/>
  <c r="I97" i="42"/>
  <c r="G204" i="42"/>
  <c r="G160" i="42"/>
  <c r="I160" i="42"/>
  <c r="G53" i="42"/>
  <c r="I71" i="42"/>
  <c r="G72" i="42"/>
  <c r="H51" i="42"/>
  <c r="G119" i="42"/>
  <c r="I119" i="42"/>
  <c r="I345" i="22"/>
  <c r="I346" i="22"/>
  <c r="I347" i="22"/>
  <c r="G348" i="22"/>
  <c r="L69" i="14"/>
  <c r="K69" i="14" s="1"/>
  <c r="J69" i="14" s="1"/>
  <c r="I69" i="14" s="1"/>
  <c r="H69" i="14" s="1"/>
  <c r="G69" i="14" s="1"/>
  <c r="F69" i="14" s="1"/>
  <c r="E69" i="14" s="1"/>
  <c r="D69" i="14" s="1"/>
  <c r="L68" i="14"/>
  <c r="K68" i="14" s="1"/>
  <c r="J68" i="14" s="1"/>
  <c r="I68" i="14" s="1"/>
  <c r="H68" i="14" s="1"/>
  <c r="G68" i="14" s="1"/>
  <c r="F68" i="14" s="1"/>
  <c r="E68" i="14" s="1"/>
  <c r="D68" i="14" s="1"/>
  <c r="L75" i="14"/>
  <c r="K75" i="14" s="1"/>
  <c r="J75" i="14" s="1"/>
  <c r="I75" i="14" s="1"/>
  <c r="H75" i="14" s="1"/>
  <c r="G75" i="14" s="1"/>
  <c r="F75" i="14" s="1"/>
  <c r="E75" i="14" s="1"/>
  <c r="D75" i="14" s="1"/>
  <c r="L76" i="14"/>
  <c r="K76" i="14" s="1"/>
  <c r="J76" i="14" s="1"/>
  <c r="I76" i="14" s="1"/>
  <c r="H76" i="14" s="1"/>
  <c r="G76" i="14" s="1"/>
  <c r="F76" i="14" s="1"/>
  <c r="E76" i="14" s="1"/>
  <c r="D76" i="14" s="1"/>
  <c r="L74" i="14"/>
  <c r="K74" i="14" s="1"/>
  <c r="J74" i="14" s="1"/>
  <c r="I74" i="14" s="1"/>
  <c r="H74" i="14" s="1"/>
  <c r="G74" i="14" s="1"/>
  <c r="F74" i="14" s="1"/>
  <c r="E74" i="14" s="1"/>
  <c r="D74" i="14" s="1"/>
  <c r="L73" i="14"/>
  <c r="K73" i="14" s="1"/>
  <c r="J73" i="14" s="1"/>
  <c r="I73" i="14" s="1"/>
  <c r="H73" i="14" s="1"/>
  <c r="G73" i="14" s="1"/>
  <c r="F73" i="14" s="1"/>
  <c r="E73" i="14" s="1"/>
  <c r="D73" i="14" s="1"/>
  <c r="L72" i="14"/>
  <c r="K72" i="14" s="1"/>
  <c r="J72" i="14" s="1"/>
  <c r="I72" i="14" s="1"/>
  <c r="H72" i="14" s="1"/>
  <c r="G72" i="14" s="1"/>
  <c r="F72" i="14" s="1"/>
  <c r="E72" i="14" s="1"/>
  <c r="D72" i="14" s="1"/>
  <c r="L71" i="14"/>
  <c r="K71" i="14" s="1"/>
  <c r="J71" i="14" s="1"/>
  <c r="I71" i="14" s="1"/>
  <c r="H71" i="14" s="1"/>
  <c r="G71" i="14" s="1"/>
  <c r="F71" i="14" s="1"/>
  <c r="E71" i="14" s="1"/>
  <c r="D71" i="14" s="1"/>
  <c r="L77" i="14"/>
  <c r="K77" i="14" s="1"/>
  <c r="J77" i="14" s="1"/>
  <c r="I77" i="14" s="1"/>
  <c r="H77" i="14" s="1"/>
  <c r="G77" i="14" s="1"/>
  <c r="F77" i="14" s="1"/>
  <c r="E77" i="14" s="1"/>
  <c r="D77" i="14" s="1"/>
  <c r="L78" i="14"/>
  <c r="K78" i="14" s="1"/>
  <c r="J78" i="14" s="1"/>
  <c r="I78" i="14" s="1"/>
  <c r="H78" i="14" s="1"/>
  <c r="G78" i="14" s="1"/>
  <c r="F78" i="14" s="1"/>
  <c r="E78" i="14" s="1"/>
  <c r="D78" i="14" s="1"/>
  <c r="L70" i="14"/>
  <c r="K70" i="14" s="1"/>
  <c r="J70" i="14" s="1"/>
  <c r="I70" i="14" s="1"/>
  <c r="H70" i="14" s="1"/>
  <c r="G70" i="14" s="1"/>
  <c r="F70" i="14" s="1"/>
  <c r="E70" i="14" s="1"/>
  <c r="D70" i="14" s="1"/>
  <c r="L48" i="27"/>
  <c r="D374" i="22"/>
  <c r="C374" i="22"/>
  <c r="H362" i="22"/>
  <c r="D335" i="22"/>
  <c r="C273" i="22"/>
  <c r="C293" i="22"/>
  <c r="C190" i="22"/>
  <c r="E188" i="22" s="1"/>
  <c r="D253" i="22"/>
  <c r="F248" i="22" s="1"/>
  <c r="C253" i="22"/>
  <c r="E245" i="22" s="1"/>
  <c r="H241" i="22"/>
  <c r="D232" i="22"/>
  <c r="F228" i="22" s="1"/>
  <c r="C232" i="22"/>
  <c r="E225" i="22" s="1"/>
  <c r="H220" i="22"/>
  <c r="D211" i="22"/>
  <c r="F204" i="22" s="1"/>
  <c r="C211" i="22"/>
  <c r="E210" i="22" s="1"/>
  <c r="H199" i="22"/>
  <c r="D190" i="22"/>
  <c r="F187" i="22" s="1"/>
  <c r="H178" i="22"/>
  <c r="Y142" i="59" l="1"/>
  <c r="Q138" i="59"/>
  <c r="V143" i="59"/>
  <c r="Q134" i="59"/>
  <c r="Y134" i="59"/>
  <c r="Y143" i="59"/>
  <c r="V136" i="59"/>
  <c r="Q142" i="59"/>
  <c r="V142" i="59"/>
  <c r="Q139" i="59"/>
  <c r="Y139" i="59"/>
  <c r="Q133" i="59"/>
  <c r="V141" i="59"/>
  <c r="Y136" i="59"/>
  <c r="W120" i="59"/>
  <c r="S124" i="59"/>
  <c r="V121" i="59"/>
  <c r="W118" i="59"/>
  <c r="S123" i="59"/>
  <c r="V118" i="59"/>
  <c r="W124" i="59"/>
  <c r="W116" i="59"/>
  <c r="W125" i="59"/>
  <c r="S117" i="59"/>
  <c r="S116" i="59"/>
  <c r="V123" i="59"/>
  <c r="S122" i="59"/>
  <c r="W121" i="59"/>
  <c r="S115" i="59"/>
  <c r="S86" i="59"/>
  <c r="W85" i="59"/>
  <c r="X87" i="59"/>
  <c r="T87" i="59"/>
  <c r="S84" i="59"/>
  <c r="S79" i="59"/>
  <c r="V87" i="59"/>
  <c r="Q86" i="59"/>
  <c r="W86" i="59"/>
  <c r="U80" i="59"/>
  <c r="V60" i="59"/>
  <c r="V65" i="59"/>
  <c r="R63" i="59"/>
  <c r="R61" i="59"/>
  <c r="V48" i="59"/>
  <c r="AA47" i="59"/>
  <c r="AA49" i="59"/>
  <c r="S45" i="59"/>
  <c r="Q42" i="59"/>
  <c r="R45" i="59"/>
  <c r="AA48" i="59"/>
  <c r="AA42" i="59"/>
  <c r="Q51" i="59"/>
  <c r="S48" i="59"/>
  <c r="Q41" i="59"/>
  <c r="AA50" i="59"/>
  <c r="AA46" i="59"/>
  <c r="V45" i="59"/>
  <c r="S44" i="59"/>
  <c r="Q45" i="59"/>
  <c r="R46" i="59"/>
  <c r="R43" i="59"/>
  <c r="AA41" i="59"/>
  <c r="AA51" i="59"/>
  <c r="Q46" i="59"/>
  <c r="R44" i="59"/>
  <c r="AA44" i="59"/>
  <c r="R49" i="59"/>
  <c r="S41" i="59"/>
  <c r="S51" i="59"/>
  <c r="S47" i="59"/>
  <c r="Q48" i="59"/>
  <c r="S49" i="59"/>
  <c r="R15" i="59"/>
  <c r="W63" i="59"/>
  <c r="W60" i="59"/>
  <c r="X69" i="59"/>
  <c r="U67" i="59"/>
  <c r="Y65" i="59"/>
  <c r="Y66" i="59"/>
  <c r="Y61" i="59"/>
  <c r="Y67" i="59"/>
  <c r="AA67" i="59"/>
  <c r="X59" i="59"/>
  <c r="X63" i="59"/>
  <c r="Y68" i="59"/>
  <c r="U60" i="59"/>
  <c r="X67" i="59"/>
  <c r="U65" i="59"/>
  <c r="Q66" i="59"/>
  <c r="Y64" i="59"/>
  <c r="Z66" i="59"/>
  <c r="W67" i="59"/>
  <c r="T61" i="59"/>
  <c r="Y60" i="59"/>
  <c r="W59" i="59"/>
  <c r="X65" i="59"/>
  <c r="Z62" i="59"/>
  <c r="Z61" i="59"/>
  <c r="W62" i="59"/>
  <c r="Q59" i="59"/>
  <c r="Q69" i="59"/>
  <c r="V66" i="59"/>
  <c r="Y69" i="59"/>
  <c r="S69" i="59"/>
  <c r="V59" i="59"/>
  <c r="W65" i="59"/>
  <c r="T60" i="59"/>
  <c r="Z60" i="59"/>
  <c r="U68" i="59"/>
  <c r="U61" i="59"/>
  <c r="Y59" i="59"/>
  <c r="U66" i="59"/>
  <c r="W69" i="59"/>
  <c r="T64" i="59"/>
  <c r="T62" i="59"/>
  <c r="Z67" i="59"/>
  <c r="W66" i="59"/>
  <c r="Q68" i="59"/>
  <c r="U59" i="59"/>
  <c r="U63" i="59"/>
  <c r="Z63" i="59"/>
  <c r="Z64" i="59"/>
  <c r="T65" i="59"/>
  <c r="S65" i="59"/>
  <c r="U69" i="59"/>
  <c r="X62" i="59"/>
  <c r="X66" i="59"/>
  <c r="T59" i="59"/>
  <c r="W68" i="59"/>
  <c r="W64" i="59"/>
  <c r="X64" i="59"/>
  <c r="U62" i="59"/>
  <c r="T67" i="59"/>
  <c r="W61" i="59"/>
  <c r="Q64" i="59"/>
  <c r="Q61" i="59"/>
  <c r="Z68" i="59"/>
  <c r="X60" i="59"/>
  <c r="Z69" i="59"/>
  <c r="Y62" i="59"/>
  <c r="X68" i="59"/>
  <c r="Y63" i="59"/>
  <c r="X61" i="59"/>
  <c r="Q65" i="59"/>
  <c r="U64" i="59"/>
  <c r="Y80" i="59"/>
  <c r="T84" i="59"/>
  <c r="X33" i="59"/>
  <c r="Q24" i="59"/>
  <c r="W88" i="59"/>
  <c r="S60" i="59"/>
  <c r="W81" i="59"/>
  <c r="S81" i="59"/>
  <c r="Q6" i="59"/>
  <c r="V137" i="59"/>
  <c r="V119" i="59"/>
  <c r="AA69" i="59"/>
  <c r="V79" i="59"/>
  <c r="S88" i="59"/>
  <c r="V120" i="59"/>
  <c r="R62" i="59"/>
  <c r="S66" i="59"/>
  <c r="V102" i="59"/>
  <c r="Y140" i="59"/>
  <c r="U89" i="59"/>
  <c r="V138" i="59"/>
  <c r="U11" i="59"/>
  <c r="Q89" i="59"/>
  <c r="Q12" i="59"/>
  <c r="Y87" i="59"/>
  <c r="R82" i="59"/>
  <c r="V100" i="59"/>
  <c r="AA87" i="59"/>
  <c r="V44" i="59"/>
  <c r="W84" i="59"/>
  <c r="Q67" i="59"/>
  <c r="V50" i="59"/>
  <c r="Q49" i="59"/>
  <c r="Q60" i="59"/>
  <c r="X81" i="59"/>
  <c r="S62" i="59"/>
  <c r="T80" i="59"/>
  <c r="X88" i="59"/>
  <c r="Z84" i="59"/>
  <c r="AA88" i="59"/>
  <c r="V85" i="59"/>
  <c r="X82" i="59"/>
  <c r="V49" i="59"/>
  <c r="V51" i="59"/>
  <c r="S82" i="59"/>
  <c r="V99" i="59"/>
  <c r="V107" i="59"/>
  <c r="R8" i="59"/>
  <c r="S59" i="59"/>
  <c r="V30" i="59"/>
  <c r="V26" i="59"/>
  <c r="U81" i="59"/>
  <c r="Z83" i="59"/>
  <c r="Z79" i="59"/>
  <c r="AA23" i="59"/>
  <c r="Q85" i="59"/>
  <c r="U88" i="59"/>
  <c r="S105" i="59"/>
  <c r="X84" i="59"/>
  <c r="Z88" i="59"/>
  <c r="V83" i="59"/>
  <c r="R85" i="59"/>
  <c r="Z89" i="59"/>
  <c r="V68" i="59"/>
  <c r="V61" i="59"/>
  <c r="Q63" i="59"/>
  <c r="R6" i="59"/>
  <c r="S104" i="59"/>
  <c r="R65" i="59"/>
  <c r="S61" i="59"/>
  <c r="Y84" i="59"/>
  <c r="R67" i="59"/>
  <c r="U87" i="59"/>
  <c r="Z81" i="59"/>
  <c r="R84" i="59"/>
  <c r="R69" i="59"/>
  <c r="W87" i="59"/>
  <c r="S102" i="59"/>
  <c r="Z8" i="59"/>
  <c r="R7" i="59"/>
  <c r="R60" i="59"/>
  <c r="U86" i="59"/>
  <c r="W80" i="59"/>
  <c r="S80" i="59"/>
  <c r="AA59" i="59"/>
  <c r="AA137" i="59"/>
  <c r="S137" i="59"/>
  <c r="U139" i="59"/>
  <c r="X135" i="59"/>
  <c r="R140" i="59"/>
  <c r="S135" i="59"/>
  <c r="U135" i="59"/>
  <c r="W139" i="59"/>
  <c r="T134" i="59"/>
  <c r="U136" i="59"/>
  <c r="AA136" i="59"/>
  <c r="AA134" i="59"/>
  <c r="S136" i="59"/>
  <c r="AA142" i="59"/>
  <c r="S133" i="59"/>
  <c r="U137" i="59"/>
  <c r="AA135" i="59"/>
  <c r="AA141" i="59"/>
  <c r="T136" i="59"/>
  <c r="S141" i="59"/>
  <c r="W137" i="59"/>
  <c r="T137" i="59"/>
  <c r="T143" i="59"/>
  <c r="T142" i="59"/>
  <c r="X139" i="59"/>
  <c r="AA143" i="59"/>
  <c r="AA133" i="59"/>
  <c r="Z133" i="59"/>
  <c r="T135" i="59"/>
  <c r="S142" i="59"/>
  <c r="W140" i="59"/>
  <c r="Z139" i="59"/>
  <c r="S134" i="59"/>
  <c r="AA140" i="59"/>
  <c r="AA138" i="59"/>
  <c r="V140" i="59"/>
  <c r="X137" i="59"/>
  <c r="Z143" i="59"/>
  <c r="W143" i="59"/>
  <c r="W142" i="59"/>
  <c r="U142" i="59"/>
  <c r="Z138" i="59"/>
  <c r="X142" i="59"/>
  <c r="T133" i="59"/>
  <c r="X141" i="59"/>
  <c r="S140" i="59"/>
  <c r="R137" i="59"/>
  <c r="X136" i="59"/>
  <c r="W133" i="59"/>
  <c r="V133" i="59"/>
  <c r="V135" i="59"/>
  <c r="T138" i="59"/>
  <c r="Y138" i="59"/>
  <c r="U140" i="59"/>
  <c r="Z136" i="59"/>
  <c r="W141" i="59"/>
  <c r="Q141" i="59"/>
  <c r="T139" i="59"/>
  <c r="Q137" i="59"/>
  <c r="X133" i="59"/>
  <c r="R139" i="59"/>
  <c r="V134" i="59"/>
  <c r="S139" i="59"/>
  <c r="R141" i="59"/>
  <c r="R134" i="59"/>
  <c r="X134" i="59"/>
  <c r="W135" i="59"/>
  <c r="R143" i="59"/>
  <c r="R133" i="59"/>
  <c r="T140" i="59"/>
  <c r="Z137" i="59"/>
  <c r="T141" i="59"/>
  <c r="S138" i="59"/>
  <c r="S143" i="59"/>
  <c r="R135" i="59"/>
  <c r="Z142" i="59"/>
  <c r="U134" i="59"/>
  <c r="X138" i="59"/>
  <c r="W134" i="59"/>
  <c r="R136" i="59"/>
  <c r="R138" i="59"/>
  <c r="Z141" i="59"/>
  <c r="X140" i="59"/>
  <c r="X143" i="59"/>
  <c r="W138" i="59"/>
  <c r="U138" i="59"/>
  <c r="U141" i="59"/>
  <c r="AA139" i="59"/>
  <c r="Z135" i="59"/>
  <c r="Z134" i="59"/>
  <c r="R142" i="59"/>
  <c r="U143" i="59"/>
  <c r="U133" i="59"/>
  <c r="Z140" i="59"/>
  <c r="W136" i="59"/>
  <c r="Y137" i="59"/>
  <c r="X80" i="59"/>
  <c r="V88" i="59"/>
  <c r="Y8" i="59"/>
  <c r="S100" i="59"/>
  <c r="U10" i="59"/>
  <c r="Q81" i="59"/>
  <c r="Z82" i="59"/>
  <c r="U5" i="59"/>
  <c r="Z59" i="59"/>
  <c r="U84" i="59"/>
  <c r="U79" i="59"/>
  <c r="Y82" i="59"/>
  <c r="S68" i="59"/>
  <c r="T66" i="59"/>
  <c r="V101" i="59"/>
  <c r="AA65" i="59"/>
  <c r="T85" i="59"/>
  <c r="AA86" i="59"/>
  <c r="T89" i="59"/>
  <c r="Q83" i="59"/>
  <c r="R80" i="59"/>
  <c r="AA81" i="59"/>
  <c r="Q31" i="59"/>
  <c r="W83" i="59"/>
  <c r="AA83" i="59"/>
  <c r="AA29" i="59"/>
  <c r="S101" i="59"/>
  <c r="AA66" i="59"/>
  <c r="V27" i="59"/>
  <c r="AA8" i="59"/>
  <c r="T5" i="59"/>
  <c r="S10" i="59"/>
  <c r="T9" i="59"/>
  <c r="T15" i="59"/>
  <c r="V11" i="59"/>
  <c r="AA7" i="59"/>
  <c r="W13" i="59"/>
  <c r="T8" i="59"/>
  <c r="T10" i="59"/>
  <c r="W12" i="59"/>
  <c r="AA12" i="59"/>
  <c r="AA9" i="59"/>
  <c r="T7" i="59"/>
  <c r="V12" i="59"/>
  <c r="S15" i="59"/>
  <c r="W5" i="59"/>
  <c r="Y13" i="59"/>
  <c r="U13" i="59"/>
  <c r="X8" i="59"/>
  <c r="X12" i="59"/>
  <c r="AA13" i="59"/>
  <c r="W9" i="59"/>
  <c r="X9" i="59"/>
  <c r="S14" i="59"/>
  <c r="Y14" i="59"/>
  <c r="AA6" i="59"/>
  <c r="S12" i="59"/>
  <c r="X14" i="59"/>
  <c r="X6" i="59"/>
  <c r="Y11" i="59"/>
  <c r="AA15" i="59"/>
  <c r="T12" i="59"/>
  <c r="X5" i="59"/>
  <c r="AA5" i="59"/>
  <c r="V7" i="59"/>
  <c r="W7" i="59"/>
  <c r="S13" i="59"/>
  <c r="X15" i="59"/>
  <c r="Y9" i="59"/>
  <c r="S9" i="59"/>
  <c r="U7" i="59"/>
  <c r="S8" i="59"/>
  <c r="V13" i="59"/>
  <c r="X10" i="59"/>
  <c r="V6" i="59"/>
  <c r="V8" i="59"/>
  <c r="W10" i="59"/>
  <c r="X11" i="59"/>
  <c r="S5" i="59"/>
  <c r="AA10" i="59"/>
  <c r="Z6" i="59"/>
  <c r="W6" i="59"/>
  <c r="W8" i="59"/>
  <c r="V5" i="59"/>
  <c r="W14" i="59"/>
  <c r="AA11" i="59"/>
  <c r="W15" i="59"/>
  <c r="V14" i="59"/>
  <c r="Y6" i="59"/>
  <c r="T6" i="59"/>
  <c r="Z13" i="59"/>
  <c r="Z9" i="59"/>
  <c r="S6" i="59"/>
  <c r="U14" i="59"/>
  <c r="S7" i="59"/>
  <c r="X13" i="59"/>
  <c r="T14" i="59"/>
  <c r="V10" i="59"/>
  <c r="V15" i="59"/>
  <c r="W11" i="59"/>
  <c r="T13" i="59"/>
  <c r="X7" i="59"/>
  <c r="S11" i="59"/>
  <c r="V9" i="59"/>
  <c r="AA14" i="59"/>
  <c r="T11" i="59"/>
  <c r="U15" i="59"/>
  <c r="V105" i="59"/>
  <c r="T68" i="59"/>
  <c r="V104" i="59"/>
  <c r="R12" i="59"/>
  <c r="Q10" i="59"/>
  <c r="S87" i="59"/>
  <c r="AA60" i="59"/>
  <c r="Q82" i="59"/>
  <c r="U9" i="59"/>
  <c r="V32" i="59"/>
  <c r="Y12" i="59"/>
  <c r="Y133" i="59"/>
  <c r="AA31" i="59"/>
  <c r="Q143" i="59"/>
  <c r="T83" i="59"/>
  <c r="Z7" i="59"/>
  <c r="R123" i="59"/>
  <c r="Z119" i="59"/>
  <c r="X117" i="59"/>
  <c r="Z123" i="59"/>
  <c r="X123" i="59"/>
  <c r="Z122" i="59"/>
  <c r="AA120" i="59"/>
  <c r="T125" i="59"/>
  <c r="Q118" i="59"/>
  <c r="T115" i="59"/>
  <c r="U118" i="59"/>
  <c r="U116" i="59"/>
  <c r="Z124" i="59"/>
  <c r="X118" i="59"/>
  <c r="Y119" i="59"/>
  <c r="T124" i="59"/>
  <c r="Z115" i="59"/>
  <c r="T116" i="59"/>
  <c r="R115" i="59"/>
  <c r="T122" i="59"/>
  <c r="T123" i="59"/>
  <c r="U115" i="59"/>
  <c r="R119" i="59"/>
  <c r="Z120" i="59"/>
  <c r="U122" i="59"/>
  <c r="R122" i="59"/>
  <c r="R120" i="59"/>
  <c r="X115" i="59"/>
  <c r="W122" i="59"/>
  <c r="Z116" i="59"/>
  <c r="X119" i="59"/>
  <c r="T121" i="59"/>
  <c r="Q119" i="59"/>
  <c r="AA121" i="59"/>
  <c r="W123" i="59"/>
  <c r="AA117" i="59"/>
  <c r="X120" i="59"/>
  <c r="AA119" i="59"/>
  <c r="Y120" i="59"/>
  <c r="Y121" i="59"/>
  <c r="X122" i="59"/>
  <c r="Y125" i="59"/>
  <c r="Y117" i="59"/>
  <c r="W115" i="59"/>
  <c r="T120" i="59"/>
  <c r="U125" i="59"/>
  <c r="V117" i="59"/>
  <c r="R124" i="59"/>
  <c r="W117" i="59"/>
  <c r="AA123" i="59"/>
  <c r="AA122" i="59"/>
  <c r="Z125" i="59"/>
  <c r="R118" i="59"/>
  <c r="X124" i="59"/>
  <c r="T118" i="59"/>
  <c r="T119" i="59"/>
  <c r="R125" i="59"/>
  <c r="X116" i="59"/>
  <c r="V116" i="59"/>
  <c r="U119" i="59"/>
  <c r="R117" i="59"/>
  <c r="S125" i="59"/>
  <c r="X125" i="59"/>
  <c r="U123" i="59"/>
  <c r="U120" i="59"/>
  <c r="V122" i="59"/>
  <c r="Q120" i="59"/>
  <c r="S118" i="59"/>
  <c r="V125" i="59"/>
  <c r="Q121" i="59"/>
  <c r="R121" i="59"/>
  <c r="Q124" i="59"/>
  <c r="S119" i="59"/>
  <c r="Z121" i="59"/>
  <c r="AA125" i="59"/>
  <c r="Z118" i="59"/>
  <c r="Z117" i="59"/>
  <c r="AA115" i="59"/>
  <c r="R116" i="59"/>
  <c r="Y123" i="59"/>
  <c r="U124" i="59"/>
  <c r="Y122" i="59"/>
  <c r="W119" i="59"/>
  <c r="T117" i="59"/>
  <c r="Q125" i="59"/>
  <c r="U121" i="59"/>
  <c r="U117" i="59"/>
  <c r="AA116" i="59"/>
  <c r="AA118" i="59"/>
  <c r="Y115" i="59"/>
  <c r="Q115" i="59"/>
  <c r="S121" i="59"/>
  <c r="Q122" i="59"/>
  <c r="Q117" i="59"/>
  <c r="Y124" i="59"/>
  <c r="AA124" i="59"/>
  <c r="Y118" i="59"/>
  <c r="Y116" i="59"/>
  <c r="Q116" i="59"/>
  <c r="X121" i="59"/>
  <c r="Q123" i="59"/>
  <c r="Q136" i="59"/>
  <c r="T86" i="59"/>
  <c r="Z85" i="59"/>
  <c r="Y79" i="59"/>
  <c r="T81" i="59"/>
  <c r="Q80" i="59"/>
  <c r="R86" i="59"/>
  <c r="AA85" i="59"/>
  <c r="Q15" i="59"/>
  <c r="V69" i="59"/>
  <c r="AA24" i="59"/>
  <c r="V31" i="59"/>
  <c r="Y88" i="59"/>
  <c r="AA100" i="59"/>
  <c r="AA99" i="59"/>
  <c r="Z100" i="59"/>
  <c r="AA105" i="59"/>
  <c r="Z104" i="59"/>
  <c r="Y97" i="59"/>
  <c r="R98" i="59"/>
  <c r="R103" i="59"/>
  <c r="Z98" i="59"/>
  <c r="AA101" i="59"/>
  <c r="Z107" i="59"/>
  <c r="U97" i="59"/>
  <c r="Q103" i="59"/>
  <c r="X98" i="59"/>
  <c r="AA104" i="59"/>
  <c r="R100" i="59"/>
  <c r="R104" i="59"/>
  <c r="Q98" i="59"/>
  <c r="Z106" i="59"/>
  <c r="Z103" i="59"/>
  <c r="Z99" i="59"/>
  <c r="U103" i="59"/>
  <c r="R99" i="59"/>
  <c r="AA98" i="59"/>
  <c r="Z97" i="59"/>
  <c r="U106" i="59"/>
  <c r="R106" i="59"/>
  <c r="Y98" i="59"/>
  <c r="U99" i="59"/>
  <c r="Q97" i="59"/>
  <c r="R97" i="59"/>
  <c r="U102" i="59"/>
  <c r="X100" i="59"/>
  <c r="W105" i="59"/>
  <c r="U105" i="59"/>
  <c r="X103" i="59"/>
  <c r="Q106" i="59"/>
  <c r="T97" i="59"/>
  <c r="U98" i="59"/>
  <c r="V97" i="59"/>
  <c r="Q107" i="59"/>
  <c r="T105" i="59"/>
  <c r="V106" i="59"/>
  <c r="X104" i="59"/>
  <c r="Y104" i="59"/>
  <c r="T101" i="59"/>
  <c r="T98" i="59"/>
  <c r="AA106" i="59"/>
  <c r="Z101" i="59"/>
  <c r="Y106" i="59"/>
  <c r="Q100" i="59"/>
  <c r="T103" i="59"/>
  <c r="W101" i="59"/>
  <c r="X99" i="59"/>
  <c r="S106" i="59"/>
  <c r="U101" i="59"/>
  <c r="T104" i="59"/>
  <c r="S107" i="59"/>
  <c r="Y100" i="59"/>
  <c r="U107" i="59"/>
  <c r="Q105" i="59"/>
  <c r="Q99" i="59"/>
  <c r="W98" i="59"/>
  <c r="W107" i="59"/>
  <c r="R102" i="59"/>
  <c r="R107" i="59"/>
  <c r="X102" i="59"/>
  <c r="R105" i="59"/>
  <c r="W104" i="59"/>
  <c r="Q102" i="59"/>
  <c r="T102" i="59"/>
  <c r="Y103" i="59"/>
  <c r="Y105" i="59"/>
  <c r="AA103" i="59"/>
  <c r="W106" i="59"/>
  <c r="AA102" i="59"/>
  <c r="W102" i="59"/>
  <c r="T106" i="59"/>
  <c r="Y99" i="59"/>
  <c r="Q104" i="59"/>
  <c r="Y101" i="59"/>
  <c r="T107" i="59"/>
  <c r="U100" i="59"/>
  <c r="X105" i="59"/>
  <c r="T100" i="59"/>
  <c r="T99" i="59"/>
  <c r="Y107" i="59"/>
  <c r="X107" i="59"/>
  <c r="X101" i="59"/>
  <c r="Z102" i="59"/>
  <c r="Z105" i="59"/>
  <c r="W97" i="59"/>
  <c r="R101" i="59"/>
  <c r="X97" i="59"/>
  <c r="W103" i="59"/>
  <c r="X106" i="59"/>
  <c r="U104" i="59"/>
  <c r="AA97" i="59"/>
  <c r="Q101" i="59"/>
  <c r="Y102" i="59"/>
  <c r="W100" i="59"/>
  <c r="AA107" i="59"/>
  <c r="W99" i="59"/>
  <c r="R79" i="59"/>
  <c r="R64" i="59"/>
  <c r="Q87" i="59"/>
  <c r="AA84" i="59"/>
  <c r="R87" i="59"/>
  <c r="Z5" i="59"/>
  <c r="AA61" i="59"/>
  <c r="Y83" i="59"/>
  <c r="V86" i="59"/>
  <c r="AA89" i="59"/>
  <c r="Z87" i="59"/>
  <c r="S83" i="59"/>
  <c r="Z80" i="59"/>
  <c r="T69" i="59"/>
  <c r="Q13" i="59"/>
  <c r="Y85" i="59"/>
  <c r="Q27" i="59"/>
  <c r="V80" i="59"/>
  <c r="Y31" i="59"/>
  <c r="S29" i="59"/>
  <c r="T26" i="59"/>
  <c r="S31" i="59"/>
  <c r="Y25" i="59"/>
  <c r="U31" i="59"/>
  <c r="U27" i="59"/>
  <c r="U23" i="59"/>
  <c r="U24" i="59"/>
  <c r="Y24" i="59"/>
  <c r="Z24" i="59"/>
  <c r="T27" i="59"/>
  <c r="W27" i="59"/>
  <c r="S25" i="59"/>
  <c r="U25" i="59"/>
  <c r="S24" i="59"/>
  <c r="U26" i="59"/>
  <c r="S26" i="59"/>
  <c r="W29" i="59"/>
  <c r="Y29" i="59"/>
  <c r="Z31" i="59"/>
  <c r="R27" i="59"/>
  <c r="X29" i="59"/>
  <c r="U28" i="59"/>
  <c r="R31" i="59"/>
  <c r="AA33" i="59"/>
  <c r="AA27" i="59"/>
  <c r="X24" i="59"/>
  <c r="Z28" i="59"/>
  <c r="X25" i="59"/>
  <c r="Q23" i="59"/>
  <c r="T29" i="59"/>
  <c r="Y27" i="59"/>
  <c r="Z27" i="59"/>
  <c r="R28" i="59"/>
  <c r="V25" i="59"/>
  <c r="X26" i="59"/>
  <c r="AA30" i="59"/>
  <c r="AA32" i="59"/>
  <c r="Y23" i="59"/>
  <c r="Q32" i="59"/>
  <c r="W30" i="59"/>
  <c r="Z29" i="59"/>
  <c r="Z23" i="59"/>
  <c r="W28" i="59"/>
  <c r="W25" i="59"/>
  <c r="W32" i="59"/>
  <c r="R32" i="59"/>
  <c r="R29" i="59"/>
  <c r="X27" i="59"/>
  <c r="Z32" i="59"/>
  <c r="Y33" i="59"/>
  <c r="Y26" i="59"/>
  <c r="Q26" i="59"/>
  <c r="Y30" i="59"/>
  <c r="Z33" i="59"/>
  <c r="Z26" i="59"/>
  <c r="S33" i="59"/>
  <c r="Z25" i="59"/>
  <c r="T30" i="59"/>
  <c r="R30" i="59"/>
  <c r="R26" i="59"/>
  <c r="V28" i="59"/>
  <c r="Z30" i="59"/>
  <c r="Q33" i="59"/>
  <c r="T25" i="59"/>
  <c r="T33" i="59"/>
  <c r="R33" i="59"/>
  <c r="AA28" i="59"/>
  <c r="Y32" i="59"/>
  <c r="W24" i="59"/>
  <c r="W26" i="59"/>
  <c r="W33" i="59"/>
  <c r="S32" i="59"/>
  <c r="T23" i="59"/>
  <c r="V23" i="59"/>
  <c r="W23" i="59"/>
  <c r="R24" i="59"/>
  <c r="U30" i="59"/>
  <c r="R25" i="59"/>
  <c r="Q25" i="59"/>
  <c r="T31" i="59"/>
  <c r="U33" i="59"/>
  <c r="T28" i="59"/>
  <c r="Q30" i="59"/>
  <c r="T32" i="59"/>
  <c r="X32" i="59"/>
  <c r="U29" i="59"/>
  <c r="S23" i="59"/>
  <c r="S27" i="59"/>
  <c r="R23" i="59"/>
  <c r="Q28" i="59"/>
  <c r="X31" i="59"/>
  <c r="Y28" i="59"/>
  <c r="T24" i="59"/>
  <c r="U32" i="59"/>
  <c r="W31" i="59"/>
  <c r="S28" i="59"/>
  <c r="S30" i="59"/>
  <c r="AA26" i="59"/>
  <c r="S97" i="59"/>
  <c r="U12" i="59"/>
  <c r="T88" i="59"/>
  <c r="V64" i="59"/>
  <c r="T82" i="59"/>
  <c r="V81" i="59"/>
  <c r="R66" i="59"/>
  <c r="AA62" i="59"/>
  <c r="U82" i="59"/>
  <c r="AA80" i="59"/>
  <c r="X79" i="59"/>
  <c r="U85" i="59"/>
  <c r="X85" i="59"/>
  <c r="Y86" i="59"/>
  <c r="S103" i="59"/>
  <c r="Z10" i="59"/>
  <c r="Q62" i="59"/>
  <c r="V103" i="59"/>
  <c r="Q14" i="59"/>
  <c r="R11" i="59"/>
  <c r="R10" i="59"/>
  <c r="R9" i="59"/>
  <c r="T63" i="59"/>
  <c r="S67" i="59"/>
  <c r="Z15" i="59"/>
  <c r="R5" i="59"/>
  <c r="R68" i="59"/>
  <c r="AA64" i="59"/>
  <c r="U6" i="59"/>
  <c r="Z65" i="59"/>
  <c r="T79" i="59"/>
  <c r="V84" i="59"/>
  <c r="Y15" i="59"/>
  <c r="Y89" i="59"/>
  <c r="V63" i="59"/>
  <c r="Y10" i="59"/>
  <c r="Q8" i="59"/>
  <c r="V67" i="59"/>
  <c r="AA79" i="59"/>
  <c r="AA82" i="59"/>
  <c r="R81" i="59"/>
  <c r="X86" i="59"/>
  <c r="Q7" i="59"/>
  <c r="R14" i="59"/>
  <c r="Q5" i="59"/>
  <c r="R13" i="59"/>
  <c r="Q9" i="59"/>
  <c r="W89" i="59"/>
  <c r="S89" i="59"/>
  <c r="S99" i="59"/>
  <c r="U8" i="59"/>
  <c r="W82" i="59"/>
  <c r="X23" i="59"/>
  <c r="AA25" i="59"/>
  <c r="R89" i="59"/>
  <c r="X45" i="59"/>
  <c r="X41" i="59"/>
  <c r="X46" i="59"/>
  <c r="Y49" i="59"/>
  <c r="Y45" i="59"/>
  <c r="T45" i="59"/>
  <c r="U49" i="59"/>
  <c r="U46" i="59"/>
  <c r="X48" i="59"/>
  <c r="X42" i="59"/>
  <c r="Y42" i="59"/>
  <c r="T48" i="59"/>
  <c r="Z50" i="59"/>
  <c r="Y47" i="59"/>
  <c r="T51" i="59"/>
  <c r="Y44" i="59"/>
  <c r="U51" i="59"/>
  <c r="X44" i="59"/>
  <c r="Y48" i="59"/>
  <c r="R42" i="59"/>
  <c r="Z42" i="59"/>
  <c r="R47" i="59"/>
  <c r="U41" i="59"/>
  <c r="Z51" i="59"/>
  <c r="U43" i="59"/>
  <c r="X51" i="59"/>
  <c r="U42" i="59"/>
  <c r="T43" i="59"/>
  <c r="W41" i="59"/>
  <c r="W51" i="59"/>
  <c r="T44" i="59"/>
  <c r="V41" i="59"/>
  <c r="R41" i="59"/>
  <c r="Y43" i="59"/>
  <c r="W48" i="59"/>
  <c r="T50" i="59"/>
  <c r="X47" i="59"/>
  <c r="T42" i="59"/>
  <c r="U48" i="59"/>
  <c r="X43" i="59"/>
  <c r="Q43" i="59"/>
  <c r="X50" i="59"/>
  <c r="S50" i="59"/>
  <c r="V47" i="59"/>
  <c r="T41" i="59"/>
  <c r="Z48" i="59"/>
  <c r="U44" i="59"/>
  <c r="Y51" i="59"/>
  <c r="W47" i="59"/>
  <c r="Z47" i="59"/>
  <c r="V46" i="59"/>
  <c r="Y50" i="59"/>
  <c r="V43" i="59"/>
  <c r="Z44" i="59"/>
  <c r="T49" i="59"/>
  <c r="Z49" i="59"/>
  <c r="W45" i="59"/>
  <c r="Z43" i="59"/>
  <c r="Q44" i="59"/>
  <c r="U45" i="59"/>
  <c r="W46" i="59"/>
  <c r="S46" i="59"/>
  <c r="Z46" i="59"/>
  <c r="T46" i="59"/>
  <c r="X49" i="59"/>
  <c r="S42" i="59"/>
  <c r="Z45" i="59"/>
  <c r="Q50" i="59"/>
  <c r="S43" i="59"/>
  <c r="U50" i="59"/>
  <c r="W43" i="59"/>
  <c r="T47" i="59"/>
  <c r="W50" i="59"/>
  <c r="U47" i="59"/>
  <c r="R51" i="59"/>
  <c r="Z41" i="59"/>
  <c r="Y46" i="59"/>
  <c r="Y41" i="59"/>
  <c r="W49" i="59"/>
  <c r="W44" i="59"/>
  <c r="W42" i="59"/>
  <c r="V62" i="59"/>
  <c r="AA43" i="59"/>
  <c r="AA63" i="59"/>
  <c r="V24" i="59"/>
  <c r="V139" i="59"/>
  <c r="Q140" i="59"/>
  <c r="V98" i="59"/>
  <c r="S63" i="59"/>
  <c r="W79" i="59"/>
  <c r="AA68" i="59"/>
  <c r="V29" i="59"/>
  <c r="V124" i="59"/>
  <c r="R50" i="59"/>
  <c r="Z14" i="59"/>
  <c r="AA45" i="59"/>
  <c r="Q47" i="59"/>
  <c r="X28" i="59"/>
  <c r="Z12" i="59"/>
  <c r="V33" i="59"/>
  <c r="Y7" i="59"/>
  <c r="X83" i="59"/>
  <c r="V82" i="59"/>
  <c r="X30" i="59"/>
  <c r="Y141" i="59"/>
  <c r="Y81" i="59"/>
  <c r="V89" i="59"/>
  <c r="V42" i="59"/>
  <c r="Q11" i="59"/>
  <c r="R83" i="59"/>
  <c r="R88" i="59"/>
  <c r="X89" i="59"/>
  <c r="Q88" i="59"/>
  <c r="Z86" i="59"/>
  <c r="Q84" i="59"/>
  <c r="Y5" i="59"/>
  <c r="R59" i="59"/>
  <c r="U83" i="59"/>
  <c r="Y135" i="59"/>
  <c r="S120" i="59"/>
  <c r="Q79" i="59"/>
  <c r="W137" i="58"/>
  <c r="S134" i="58"/>
  <c r="V138" i="58"/>
  <c r="AA121" i="58"/>
  <c r="S124" i="58"/>
  <c r="AA122" i="58"/>
  <c r="AA124" i="58"/>
  <c r="R105" i="58"/>
  <c r="AA102" i="58"/>
  <c r="S105" i="58"/>
  <c r="R100" i="58"/>
  <c r="W100" i="58"/>
  <c r="U99" i="58"/>
  <c r="AA105" i="58"/>
  <c r="R87" i="58"/>
  <c r="U62" i="58"/>
  <c r="V61" i="58"/>
  <c r="V62" i="58"/>
  <c r="Q69" i="58"/>
  <c r="Y60" i="58"/>
  <c r="R43" i="58"/>
  <c r="S49" i="58"/>
  <c r="Q43" i="58"/>
  <c r="T47" i="58"/>
  <c r="W51" i="58"/>
  <c r="X42" i="58"/>
  <c r="Z46" i="58"/>
  <c r="Z51" i="58"/>
  <c r="AA41" i="58"/>
  <c r="Y48" i="58"/>
  <c r="T49" i="58"/>
  <c r="W44" i="58"/>
  <c r="S50" i="58"/>
  <c r="Y41" i="58"/>
  <c r="Q45" i="58"/>
  <c r="X49" i="58"/>
  <c r="R42" i="58"/>
  <c r="Z50" i="58"/>
  <c r="V46" i="58"/>
  <c r="Q51" i="58"/>
  <c r="R44" i="58"/>
  <c r="R48" i="58"/>
  <c r="R51" i="58"/>
  <c r="V43" i="58"/>
  <c r="V51" i="58"/>
  <c r="AA46" i="58"/>
  <c r="S41" i="58"/>
  <c r="AB51" i="58" s="1"/>
  <c r="T45" i="58"/>
  <c r="Y51" i="58"/>
  <c r="S45" i="58"/>
  <c r="V41" i="58"/>
  <c r="X48" i="58"/>
  <c r="X47" i="58"/>
  <c r="T46" i="58"/>
  <c r="V48" i="58"/>
  <c r="Q47" i="58"/>
  <c r="S44" i="58"/>
  <c r="W47" i="58"/>
  <c r="Z48" i="58"/>
  <c r="W41" i="58"/>
  <c r="Z45" i="58"/>
  <c r="R46" i="58"/>
  <c r="W48" i="58"/>
  <c r="U44" i="58"/>
  <c r="U47" i="58"/>
  <c r="R50" i="58"/>
  <c r="R47" i="58"/>
  <c r="W50" i="58"/>
  <c r="T48" i="58"/>
  <c r="Y50" i="58"/>
  <c r="V50" i="58"/>
  <c r="Y49" i="58"/>
  <c r="X46" i="58"/>
  <c r="AA51" i="58"/>
  <c r="X44" i="58"/>
  <c r="X51" i="58"/>
  <c r="AA48" i="58"/>
  <c r="AA50" i="58"/>
  <c r="S43" i="58"/>
  <c r="U51" i="58"/>
  <c r="U48" i="58"/>
  <c r="Y47" i="58"/>
  <c r="W46" i="58"/>
  <c r="Y46" i="58"/>
  <c r="W42" i="58"/>
  <c r="Y45" i="58"/>
  <c r="S51" i="58"/>
  <c r="Q46" i="58"/>
  <c r="R41" i="58"/>
  <c r="Y44" i="58"/>
  <c r="T42" i="58"/>
  <c r="AA45" i="58"/>
  <c r="U50" i="58"/>
  <c r="R45" i="58"/>
  <c r="AA44" i="58"/>
  <c r="Z43" i="58"/>
  <c r="Z44" i="58"/>
  <c r="U46" i="58"/>
  <c r="AA49" i="58"/>
  <c r="Q49" i="58"/>
  <c r="U42" i="58"/>
  <c r="S48" i="58"/>
  <c r="W45" i="58"/>
  <c r="Q42" i="58"/>
  <c r="V44" i="58"/>
  <c r="W49" i="58"/>
  <c r="Q41" i="58"/>
  <c r="AA43" i="58"/>
  <c r="X41" i="58"/>
  <c r="U45" i="58"/>
  <c r="R49" i="58"/>
  <c r="Z47" i="58"/>
  <c r="Z49" i="58"/>
  <c r="T50" i="58"/>
  <c r="V49" i="58"/>
  <c r="X43" i="58"/>
  <c r="T41" i="58"/>
  <c r="AA42" i="58"/>
  <c r="U43" i="58"/>
  <c r="S46" i="58"/>
  <c r="Q48" i="58"/>
  <c r="T51" i="58"/>
  <c r="V42" i="58"/>
  <c r="T44" i="58"/>
  <c r="W43" i="58"/>
  <c r="V47" i="58"/>
  <c r="T31" i="58"/>
  <c r="U32" i="58"/>
  <c r="Y29" i="58"/>
  <c r="T29" i="58"/>
  <c r="V25" i="58"/>
  <c r="Y5" i="58"/>
  <c r="R9" i="58"/>
  <c r="AA8" i="58"/>
  <c r="AA14" i="58"/>
  <c r="S5" i="58"/>
  <c r="Q8" i="58"/>
  <c r="AA5" i="58"/>
  <c r="Y13" i="58"/>
  <c r="S14" i="58"/>
  <c r="AA15" i="58"/>
  <c r="W133" i="58"/>
  <c r="S136" i="58"/>
  <c r="T140" i="58"/>
  <c r="Y135" i="58"/>
  <c r="Z135" i="58"/>
  <c r="AA133" i="58"/>
  <c r="S103" i="58"/>
  <c r="W98" i="58"/>
  <c r="U67" i="58"/>
  <c r="AA13" i="58"/>
  <c r="AA99" i="58"/>
  <c r="S99" i="58"/>
  <c r="Q63" i="58"/>
  <c r="AA116" i="58"/>
  <c r="AA137" i="58"/>
  <c r="S11" i="58"/>
  <c r="Y66" i="58"/>
  <c r="S137" i="58"/>
  <c r="S102" i="58"/>
  <c r="R8" i="58"/>
  <c r="S122" i="58"/>
  <c r="R79" i="58"/>
  <c r="Y11" i="58"/>
  <c r="AA141" i="58"/>
  <c r="U107" i="58"/>
  <c r="AA115" i="58"/>
  <c r="W140" i="58"/>
  <c r="Y142" i="58"/>
  <c r="Q140" i="58"/>
  <c r="S143" i="58"/>
  <c r="W9" i="58"/>
  <c r="V11" i="58"/>
  <c r="Z7" i="58"/>
  <c r="W13" i="58"/>
  <c r="W14" i="58"/>
  <c r="Z8" i="58"/>
  <c r="W5" i="58"/>
  <c r="T9" i="58"/>
  <c r="W15" i="58"/>
  <c r="Z6" i="58"/>
  <c r="Z9" i="58"/>
  <c r="V10" i="58"/>
  <c r="T11" i="58"/>
  <c r="W12" i="58"/>
  <c r="X13" i="58"/>
  <c r="X15" i="58"/>
  <c r="X11" i="58"/>
  <c r="U15" i="58"/>
  <c r="T15" i="58"/>
  <c r="W6" i="58"/>
  <c r="U9" i="58"/>
  <c r="X14" i="58"/>
  <c r="Z11" i="58"/>
  <c r="W11" i="58"/>
  <c r="X8" i="58"/>
  <c r="T8" i="58"/>
  <c r="W8" i="58"/>
  <c r="U10" i="58"/>
  <c r="T10" i="58"/>
  <c r="X5" i="58"/>
  <c r="V6" i="58"/>
  <c r="Q6" i="58"/>
  <c r="R7" i="58"/>
  <c r="T6" i="58"/>
  <c r="X7" i="58"/>
  <c r="Z10" i="58"/>
  <c r="W10" i="58"/>
  <c r="V9" i="58"/>
  <c r="W7" i="58"/>
  <c r="X9" i="58"/>
  <c r="U5" i="58"/>
  <c r="V7" i="58"/>
  <c r="Q14" i="58"/>
  <c r="V5" i="58"/>
  <c r="S12" i="58"/>
  <c r="X12" i="58"/>
  <c r="U7" i="58"/>
  <c r="U8" i="58"/>
  <c r="U13" i="58"/>
  <c r="R5" i="58"/>
  <c r="Y14" i="58"/>
  <c r="X10" i="58"/>
  <c r="S15" i="58"/>
  <c r="Z12" i="58"/>
  <c r="U11" i="58"/>
  <c r="R13" i="58"/>
  <c r="T14" i="58"/>
  <c r="V14" i="58"/>
  <c r="S6" i="58"/>
  <c r="AA12" i="58"/>
  <c r="Q7" i="58"/>
  <c r="AA6" i="58"/>
  <c r="X6" i="58"/>
  <c r="Q9" i="58"/>
  <c r="R14" i="58"/>
  <c r="T7" i="58"/>
  <c r="U6" i="58"/>
  <c r="Y7" i="58"/>
  <c r="Y12" i="58"/>
  <c r="R12" i="58"/>
  <c r="Z14" i="58"/>
  <c r="V15" i="58"/>
  <c r="U12" i="58"/>
  <c r="R10" i="58"/>
  <c r="V13" i="58"/>
  <c r="Z15" i="58"/>
  <c r="R15" i="58"/>
  <c r="Z13" i="58"/>
  <c r="T13" i="58"/>
  <c r="Y10" i="58"/>
  <c r="V8" i="58"/>
  <c r="Y15" i="58"/>
  <c r="V12" i="58"/>
  <c r="U14" i="58"/>
  <c r="T5" i="58"/>
  <c r="Y9" i="58"/>
  <c r="Q12" i="58"/>
  <c r="Z5" i="58"/>
  <c r="T12" i="58"/>
  <c r="AA97" i="58"/>
  <c r="T24" i="58"/>
  <c r="R107" i="58"/>
  <c r="R103" i="58"/>
  <c r="V33" i="58"/>
  <c r="S98" i="58"/>
  <c r="S119" i="58"/>
  <c r="U33" i="58"/>
  <c r="Y32" i="58"/>
  <c r="V60" i="58"/>
  <c r="Y69" i="58"/>
  <c r="U25" i="58"/>
  <c r="AA103" i="58"/>
  <c r="S107" i="58"/>
  <c r="W116" i="58"/>
  <c r="V24" i="58"/>
  <c r="R104" i="58"/>
  <c r="Q28" i="58"/>
  <c r="AA11" i="58"/>
  <c r="U138" i="58"/>
  <c r="R135" i="58"/>
  <c r="U134" i="58"/>
  <c r="AA140" i="58"/>
  <c r="Z142" i="58"/>
  <c r="R137" i="58"/>
  <c r="Y138" i="58"/>
  <c r="Q137" i="58"/>
  <c r="R133" i="58"/>
  <c r="X141" i="58"/>
  <c r="Z133" i="58"/>
  <c r="V29" i="58"/>
  <c r="X137" i="58"/>
  <c r="AA134" i="58"/>
  <c r="Y68" i="58"/>
  <c r="Y6" i="58"/>
  <c r="U23" i="58"/>
  <c r="AA104" i="58"/>
  <c r="V65" i="58"/>
  <c r="Y65" i="58"/>
  <c r="U68" i="58"/>
  <c r="U104" i="58"/>
  <c r="S142" i="58"/>
  <c r="Q60" i="58"/>
  <c r="U61" i="58"/>
  <c r="Q5" i="58"/>
  <c r="S120" i="58"/>
  <c r="U31" i="58"/>
  <c r="W122" i="58"/>
  <c r="AA120" i="58"/>
  <c r="AA7" i="58"/>
  <c r="S121" i="58"/>
  <c r="W139" i="58"/>
  <c r="S123" i="58"/>
  <c r="S140" i="58"/>
  <c r="Q10" i="58"/>
  <c r="V141" i="58"/>
  <c r="W117" i="58"/>
  <c r="Q68" i="58"/>
  <c r="Y63" i="58"/>
  <c r="R85" i="58"/>
  <c r="Y64" i="58"/>
  <c r="Y24" i="58"/>
  <c r="Q24" i="58"/>
  <c r="U66" i="58"/>
  <c r="W115" i="58"/>
  <c r="Q11" i="58"/>
  <c r="S13" i="58"/>
  <c r="Y8" i="58"/>
  <c r="R11" i="58"/>
  <c r="S116" i="58"/>
  <c r="Y59" i="58"/>
  <c r="T32" i="58"/>
  <c r="S135" i="58"/>
  <c r="AA10" i="58"/>
  <c r="Q15" i="58"/>
  <c r="Q136" i="58"/>
  <c r="AA139" i="58"/>
  <c r="T138" i="58"/>
  <c r="U142" i="58"/>
  <c r="U140" i="58"/>
  <c r="Q138" i="58"/>
  <c r="Z139" i="58"/>
  <c r="Y136" i="58"/>
  <c r="X140" i="58"/>
  <c r="Z143" i="58"/>
  <c r="Z141" i="58"/>
  <c r="V119" i="58"/>
  <c r="Z123" i="58"/>
  <c r="R119" i="58"/>
  <c r="U122" i="58"/>
  <c r="V115" i="58"/>
  <c r="R123" i="58"/>
  <c r="Q122" i="58"/>
  <c r="Y118" i="58"/>
  <c r="Z115" i="58"/>
  <c r="X120" i="58"/>
  <c r="X115" i="58"/>
  <c r="U115" i="58"/>
  <c r="Y119" i="58"/>
  <c r="Z116" i="58"/>
  <c r="X121" i="58"/>
  <c r="Q119" i="58"/>
  <c r="V123" i="58"/>
  <c r="X122" i="58"/>
  <c r="U123" i="58"/>
  <c r="V124" i="58"/>
  <c r="R115" i="58"/>
  <c r="R122" i="58"/>
  <c r="X117" i="58"/>
  <c r="U118" i="58"/>
  <c r="Z122" i="58"/>
  <c r="V116" i="58"/>
  <c r="Z119" i="58"/>
  <c r="R120" i="58"/>
  <c r="Z120" i="58"/>
  <c r="X123" i="58"/>
  <c r="X119" i="58"/>
  <c r="U124" i="58"/>
  <c r="T117" i="58"/>
  <c r="U121" i="58"/>
  <c r="T123" i="58"/>
  <c r="U125" i="58"/>
  <c r="W121" i="58"/>
  <c r="X125" i="58"/>
  <c r="Y125" i="58"/>
  <c r="R124" i="58"/>
  <c r="AA118" i="58"/>
  <c r="Q124" i="58"/>
  <c r="U120" i="58"/>
  <c r="Y117" i="58"/>
  <c r="Z118" i="58"/>
  <c r="T118" i="58"/>
  <c r="X118" i="58"/>
  <c r="Y122" i="58"/>
  <c r="Y115" i="58"/>
  <c r="Q121" i="58"/>
  <c r="T115" i="58"/>
  <c r="T116" i="58"/>
  <c r="R121" i="58"/>
  <c r="Q118" i="58"/>
  <c r="T119" i="58"/>
  <c r="X124" i="58"/>
  <c r="W123" i="58"/>
  <c r="R116" i="58"/>
  <c r="Q125" i="58"/>
  <c r="T120" i="58"/>
  <c r="V118" i="58"/>
  <c r="S125" i="58"/>
  <c r="W125" i="58"/>
  <c r="V125" i="58"/>
  <c r="R125" i="58"/>
  <c r="S118" i="58"/>
  <c r="T125" i="58"/>
  <c r="Q115" i="58"/>
  <c r="R117" i="58"/>
  <c r="Z117" i="58"/>
  <c r="V122" i="58"/>
  <c r="W119" i="58"/>
  <c r="U117" i="58"/>
  <c r="AA125" i="58"/>
  <c r="X116" i="58"/>
  <c r="R118" i="58"/>
  <c r="V120" i="58"/>
  <c r="Q120" i="58"/>
  <c r="Y124" i="58"/>
  <c r="T124" i="58"/>
  <c r="Z121" i="58"/>
  <c r="Q123" i="58"/>
  <c r="U119" i="58"/>
  <c r="AA117" i="58"/>
  <c r="T122" i="58"/>
  <c r="AA119" i="58"/>
  <c r="V117" i="58"/>
  <c r="Y123" i="58"/>
  <c r="T121" i="58"/>
  <c r="Q117" i="58"/>
  <c r="W118" i="58"/>
  <c r="Z124" i="58"/>
  <c r="Y120" i="58"/>
  <c r="Y116" i="58"/>
  <c r="Q116" i="58"/>
  <c r="V121" i="58"/>
  <c r="U116" i="58"/>
  <c r="Y121" i="58"/>
  <c r="Z125" i="58"/>
  <c r="Q13" i="58"/>
  <c r="Q32" i="58"/>
  <c r="V133" i="58"/>
  <c r="S115" i="58"/>
  <c r="V137" i="58"/>
  <c r="U24" i="58"/>
  <c r="Y25" i="58"/>
  <c r="T23" i="58"/>
  <c r="X134" i="58"/>
  <c r="X142" i="58"/>
  <c r="Y143" i="58"/>
  <c r="W134" i="58"/>
  <c r="X138" i="58"/>
  <c r="Y133" i="58"/>
  <c r="X135" i="58"/>
  <c r="V143" i="58"/>
  <c r="R136" i="58"/>
  <c r="T135" i="58"/>
  <c r="X139" i="58"/>
  <c r="X136" i="58"/>
  <c r="X86" i="58"/>
  <c r="W79" i="58"/>
  <c r="Y85" i="58"/>
  <c r="Q81" i="58"/>
  <c r="S79" i="58"/>
  <c r="W87" i="58"/>
  <c r="AA83" i="58"/>
  <c r="Z82" i="58"/>
  <c r="V86" i="58"/>
  <c r="W88" i="58"/>
  <c r="Q85" i="58"/>
  <c r="X81" i="58"/>
  <c r="Y88" i="58"/>
  <c r="X85" i="58"/>
  <c r="W83" i="58"/>
  <c r="V79" i="58"/>
  <c r="Z84" i="58"/>
  <c r="Q86" i="58"/>
  <c r="U85" i="58"/>
  <c r="Y83" i="58"/>
  <c r="U86" i="58"/>
  <c r="T79" i="58"/>
  <c r="Y81" i="58"/>
  <c r="Y86" i="58"/>
  <c r="W81" i="58"/>
  <c r="X82" i="58"/>
  <c r="X84" i="58"/>
  <c r="V89" i="58"/>
  <c r="S83" i="58"/>
  <c r="S86" i="58"/>
  <c r="Q83" i="58"/>
  <c r="S88" i="58"/>
  <c r="AA79" i="58"/>
  <c r="T84" i="58"/>
  <c r="Y87" i="58"/>
  <c r="T86" i="58"/>
  <c r="T85" i="58"/>
  <c r="T89" i="58"/>
  <c r="T80" i="58"/>
  <c r="W80" i="58"/>
  <c r="AA81" i="58"/>
  <c r="Z79" i="58"/>
  <c r="AA89" i="58"/>
  <c r="AA87" i="58"/>
  <c r="V81" i="58"/>
  <c r="Z81" i="58"/>
  <c r="T81" i="58"/>
  <c r="Z89" i="58"/>
  <c r="Z88" i="58"/>
  <c r="W86" i="58"/>
  <c r="S80" i="58"/>
  <c r="Q89" i="58"/>
  <c r="R84" i="58"/>
  <c r="X87" i="58"/>
  <c r="R83" i="58"/>
  <c r="V87" i="58"/>
  <c r="S89" i="58"/>
  <c r="S84" i="58"/>
  <c r="R81" i="58"/>
  <c r="T88" i="58"/>
  <c r="Q79" i="58"/>
  <c r="W82" i="58"/>
  <c r="S81" i="58"/>
  <c r="V85" i="58"/>
  <c r="U83" i="58"/>
  <c r="Q88" i="58"/>
  <c r="AA84" i="58"/>
  <c r="X79" i="58"/>
  <c r="Z87" i="58"/>
  <c r="Y80" i="58"/>
  <c r="Z80" i="58"/>
  <c r="AA82" i="58"/>
  <c r="Q80" i="58"/>
  <c r="R80" i="58"/>
  <c r="Q87" i="58"/>
  <c r="X88" i="58"/>
  <c r="AA88" i="58"/>
  <c r="Y79" i="58"/>
  <c r="T83" i="58"/>
  <c r="AA86" i="58"/>
  <c r="Z83" i="58"/>
  <c r="U88" i="58"/>
  <c r="X80" i="58"/>
  <c r="R89" i="58"/>
  <c r="Z85" i="58"/>
  <c r="Q84" i="58"/>
  <c r="U89" i="58"/>
  <c r="Y84" i="58"/>
  <c r="U81" i="58"/>
  <c r="Y89" i="58"/>
  <c r="S85" i="58"/>
  <c r="V84" i="58"/>
  <c r="V88" i="58"/>
  <c r="U87" i="58"/>
  <c r="AA85" i="58"/>
  <c r="W89" i="58"/>
  <c r="U84" i="58"/>
  <c r="U79" i="58"/>
  <c r="S87" i="58"/>
  <c r="U82" i="58"/>
  <c r="V82" i="58"/>
  <c r="V83" i="58"/>
  <c r="S82" i="58"/>
  <c r="V80" i="58"/>
  <c r="T82" i="58"/>
  <c r="AA80" i="58"/>
  <c r="W85" i="58"/>
  <c r="Y82" i="58"/>
  <c r="T87" i="58"/>
  <c r="X83" i="58"/>
  <c r="W84" i="58"/>
  <c r="Q82" i="58"/>
  <c r="X89" i="58"/>
  <c r="U80" i="58"/>
  <c r="Z86" i="58"/>
  <c r="Q99" i="58"/>
  <c r="Y99" i="58"/>
  <c r="T105" i="58"/>
  <c r="Q105" i="58"/>
  <c r="Q97" i="58"/>
  <c r="Y97" i="58"/>
  <c r="Y102" i="58"/>
  <c r="T102" i="58"/>
  <c r="T99" i="58"/>
  <c r="Y105" i="58"/>
  <c r="X104" i="58"/>
  <c r="Y104" i="58"/>
  <c r="R98" i="58"/>
  <c r="Q100" i="58"/>
  <c r="X99" i="58"/>
  <c r="X103" i="58"/>
  <c r="T104" i="58"/>
  <c r="Q107" i="58"/>
  <c r="U105" i="58"/>
  <c r="W104" i="58"/>
  <c r="W101" i="58"/>
  <c r="Z100" i="58"/>
  <c r="U103" i="58"/>
  <c r="Z99" i="58"/>
  <c r="Q104" i="58"/>
  <c r="U106" i="58"/>
  <c r="V98" i="58"/>
  <c r="S100" i="58"/>
  <c r="Z105" i="58"/>
  <c r="Z103" i="58"/>
  <c r="Y98" i="58"/>
  <c r="T107" i="58"/>
  <c r="T101" i="58"/>
  <c r="V97" i="58"/>
  <c r="V107" i="58"/>
  <c r="Z104" i="58"/>
  <c r="V99" i="58"/>
  <c r="Y107" i="58"/>
  <c r="AA100" i="58"/>
  <c r="S104" i="58"/>
  <c r="W99" i="58"/>
  <c r="V102" i="58"/>
  <c r="U97" i="58"/>
  <c r="V100" i="58"/>
  <c r="X101" i="58"/>
  <c r="U98" i="58"/>
  <c r="Z97" i="58"/>
  <c r="V106" i="58"/>
  <c r="T106" i="58"/>
  <c r="X107" i="58"/>
  <c r="Z98" i="58"/>
  <c r="Z106" i="58"/>
  <c r="Z102" i="58"/>
  <c r="AA107" i="58"/>
  <c r="AA106" i="58"/>
  <c r="W102" i="58"/>
  <c r="Y100" i="58"/>
  <c r="T97" i="58"/>
  <c r="Z101" i="58"/>
  <c r="Z107" i="58"/>
  <c r="T98" i="58"/>
  <c r="V105" i="58"/>
  <c r="V104" i="58"/>
  <c r="Q102" i="58"/>
  <c r="X98" i="58"/>
  <c r="U102" i="58"/>
  <c r="X102" i="58"/>
  <c r="V103" i="58"/>
  <c r="X105" i="58"/>
  <c r="Y106" i="58"/>
  <c r="Y103" i="58"/>
  <c r="Q103" i="58"/>
  <c r="Q98" i="58"/>
  <c r="U101" i="58"/>
  <c r="T103" i="58"/>
  <c r="V101" i="58"/>
  <c r="X97" i="58"/>
  <c r="Q101" i="58"/>
  <c r="X100" i="58"/>
  <c r="Q106" i="58"/>
  <c r="X106" i="58"/>
  <c r="T100" i="58"/>
  <c r="Y101" i="58"/>
  <c r="W105" i="58"/>
  <c r="W136" i="58"/>
  <c r="R140" i="58"/>
  <c r="R86" i="58"/>
  <c r="T133" i="58"/>
  <c r="R139" i="58"/>
  <c r="Y140" i="58"/>
  <c r="U135" i="58"/>
  <c r="AA143" i="58"/>
  <c r="V28" i="58"/>
  <c r="Y26" i="58"/>
  <c r="AA142" i="58"/>
  <c r="X69" i="58"/>
  <c r="S66" i="58"/>
  <c r="X63" i="58"/>
  <c r="X65" i="58"/>
  <c r="S64" i="58"/>
  <c r="X59" i="58"/>
  <c r="T63" i="58"/>
  <c r="Z63" i="58"/>
  <c r="AA65" i="58"/>
  <c r="AA62" i="58"/>
  <c r="W66" i="58"/>
  <c r="S65" i="58"/>
  <c r="T65" i="58"/>
  <c r="X66" i="58"/>
  <c r="Z61" i="58"/>
  <c r="X62" i="58"/>
  <c r="X61" i="58"/>
  <c r="X64" i="58"/>
  <c r="T60" i="58"/>
  <c r="Q66" i="58"/>
  <c r="U63" i="58"/>
  <c r="W67" i="58"/>
  <c r="Z59" i="58"/>
  <c r="AA59" i="58"/>
  <c r="W69" i="58"/>
  <c r="AA61" i="58"/>
  <c r="T67" i="58"/>
  <c r="T69" i="58"/>
  <c r="S62" i="58"/>
  <c r="Z68" i="58"/>
  <c r="R67" i="58"/>
  <c r="R63" i="58"/>
  <c r="Y67" i="58"/>
  <c r="S67" i="58"/>
  <c r="Z65" i="58"/>
  <c r="Q61" i="58"/>
  <c r="W64" i="58"/>
  <c r="Z64" i="58"/>
  <c r="X67" i="58"/>
  <c r="S60" i="58"/>
  <c r="S68" i="58"/>
  <c r="R69" i="58"/>
  <c r="W68" i="58"/>
  <c r="W63" i="58"/>
  <c r="T64" i="58"/>
  <c r="T68" i="58"/>
  <c r="R59" i="58"/>
  <c r="S63" i="58"/>
  <c r="V68" i="58"/>
  <c r="V69" i="58"/>
  <c r="Q64" i="58"/>
  <c r="AA66" i="58"/>
  <c r="W62" i="58"/>
  <c r="AA64" i="58"/>
  <c r="R64" i="58"/>
  <c r="V63" i="58"/>
  <c r="Z60" i="58"/>
  <c r="T61" i="58"/>
  <c r="Q59" i="58"/>
  <c r="Z67" i="58"/>
  <c r="AA60" i="58"/>
  <c r="R61" i="58"/>
  <c r="T59" i="58"/>
  <c r="W59" i="58"/>
  <c r="W65" i="58"/>
  <c r="T62" i="58"/>
  <c r="S59" i="58"/>
  <c r="W61" i="58"/>
  <c r="U69" i="58"/>
  <c r="Y61" i="58"/>
  <c r="S61" i="58"/>
  <c r="X60" i="58"/>
  <c r="Z62" i="58"/>
  <c r="V67" i="58"/>
  <c r="X68" i="58"/>
  <c r="AA68" i="58"/>
  <c r="AA67" i="58"/>
  <c r="Z66" i="58"/>
  <c r="T66" i="58"/>
  <c r="R62" i="58"/>
  <c r="AA69" i="58"/>
  <c r="S69" i="58"/>
  <c r="AA63" i="58"/>
  <c r="R66" i="58"/>
  <c r="W60" i="58"/>
  <c r="R65" i="58"/>
  <c r="V59" i="58"/>
  <c r="R68" i="58"/>
  <c r="V64" i="58"/>
  <c r="R60" i="58"/>
  <c r="Q67" i="58"/>
  <c r="Z69" i="58"/>
  <c r="V32" i="58"/>
  <c r="S97" i="58"/>
  <c r="AA98" i="58"/>
  <c r="T33" i="58"/>
  <c r="Q31" i="58"/>
  <c r="AA136" i="58"/>
  <c r="AA101" i="58"/>
  <c r="R6" i="58"/>
  <c r="R99" i="58"/>
  <c r="U100" i="58"/>
  <c r="S101" i="58"/>
  <c r="V66" i="58"/>
  <c r="W138" i="58"/>
  <c r="W142" i="58"/>
  <c r="W135" i="58"/>
  <c r="Q143" i="58"/>
  <c r="U141" i="58"/>
  <c r="Q134" i="58"/>
  <c r="Z138" i="58"/>
  <c r="X143" i="58"/>
  <c r="Z140" i="58"/>
  <c r="Y139" i="58"/>
  <c r="AA135" i="58"/>
  <c r="V135" i="58"/>
  <c r="U30" i="58"/>
  <c r="S106" i="58"/>
  <c r="W103" i="58"/>
  <c r="S10" i="58"/>
  <c r="S133" i="58"/>
  <c r="S7" i="58"/>
  <c r="Q65" i="58"/>
  <c r="S141" i="58"/>
  <c r="S117" i="58"/>
  <c r="R88" i="58"/>
  <c r="R106" i="58"/>
  <c r="W97" i="58"/>
  <c r="Y33" i="58"/>
  <c r="Q33" i="58"/>
  <c r="U65" i="58"/>
  <c r="W120" i="58"/>
  <c r="W141" i="58"/>
  <c r="Q62" i="58"/>
  <c r="U60" i="58"/>
  <c r="W124" i="58"/>
  <c r="V26" i="58"/>
  <c r="R97" i="58"/>
  <c r="V134" i="58"/>
  <c r="T30" i="58"/>
  <c r="U64" i="58"/>
  <c r="R134" i="58"/>
  <c r="Y137" i="58"/>
  <c r="T139" i="58"/>
  <c r="Y141" i="58"/>
  <c r="AA138" i="58"/>
  <c r="R138" i="58"/>
  <c r="R142" i="58"/>
  <c r="U143" i="58"/>
  <c r="T134" i="58"/>
  <c r="Z134" i="58"/>
  <c r="X133" i="58"/>
  <c r="R25" i="58"/>
  <c r="W29" i="58"/>
  <c r="W32" i="58"/>
  <c r="W24" i="58"/>
  <c r="Z29" i="58"/>
  <c r="W25" i="58"/>
  <c r="W33" i="58"/>
  <c r="AA26" i="58"/>
  <c r="Z28" i="58"/>
  <c r="S30" i="58"/>
  <c r="W30" i="58"/>
  <c r="AA29" i="58"/>
  <c r="R30" i="58"/>
  <c r="X25" i="58"/>
  <c r="W26" i="58"/>
  <c r="AA23" i="58"/>
  <c r="X29" i="58"/>
  <c r="X31" i="58"/>
  <c r="R28" i="58"/>
  <c r="W27" i="58"/>
  <c r="W28" i="58"/>
  <c r="Q25" i="58"/>
  <c r="Y31" i="58"/>
  <c r="V30" i="58"/>
  <c r="AA30" i="58"/>
  <c r="S33" i="58"/>
  <c r="Y23" i="58"/>
  <c r="R23" i="58"/>
  <c r="Y27" i="58"/>
  <c r="S27" i="58"/>
  <c r="AA27" i="58"/>
  <c r="T28" i="58"/>
  <c r="R31" i="58"/>
  <c r="V23" i="58"/>
  <c r="R27" i="58"/>
  <c r="X26" i="58"/>
  <c r="Z31" i="58"/>
  <c r="Z26" i="58"/>
  <c r="Z25" i="58"/>
  <c r="X33" i="58"/>
  <c r="W31" i="58"/>
  <c r="T25" i="58"/>
  <c r="AA25" i="58"/>
  <c r="U28" i="58"/>
  <c r="X24" i="58"/>
  <c r="T27" i="58"/>
  <c r="AA32" i="58"/>
  <c r="AA24" i="58"/>
  <c r="X28" i="58"/>
  <c r="Z23" i="58"/>
  <c r="AA31" i="58"/>
  <c r="X30" i="58"/>
  <c r="S24" i="58"/>
  <c r="Z24" i="58"/>
  <c r="Z27" i="58"/>
  <c r="S32" i="58"/>
  <c r="AA28" i="58"/>
  <c r="S25" i="58"/>
  <c r="Y30" i="58"/>
  <c r="R32" i="58"/>
  <c r="X23" i="58"/>
  <c r="AA33" i="58"/>
  <c r="V27" i="58"/>
  <c r="S26" i="58"/>
  <c r="S31" i="58"/>
  <c r="W23" i="58"/>
  <c r="Q23" i="58"/>
  <c r="Z32" i="58"/>
  <c r="Q26" i="58"/>
  <c r="R26" i="58"/>
  <c r="U26" i="58"/>
  <c r="S28" i="58"/>
  <c r="Z33" i="58"/>
  <c r="R29" i="58"/>
  <c r="X27" i="58"/>
  <c r="S23" i="58"/>
  <c r="S29" i="58"/>
  <c r="X32" i="58"/>
  <c r="R24" i="58"/>
  <c r="Q30" i="58"/>
  <c r="Z30" i="58"/>
  <c r="R33" i="58"/>
  <c r="Y62" i="58"/>
  <c r="U29" i="58"/>
  <c r="S138" i="58"/>
  <c r="R101" i="58"/>
  <c r="U27" i="58"/>
  <c r="Q142" i="58"/>
  <c r="U133" i="58"/>
  <c r="R143" i="58"/>
  <c r="U139" i="58"/>
  <c r="Q135" i="58"/>
  <c r="T141" i="58"/>
  <c r="W143" i="58"/>
  <c r="Q133" i="58"/>
  <c r="R141" i="58"/>
  <c r="T142" i="58"/>
  <c r="T137" i="58"/>
  <c r="AA9" i="58"/>
  <c r="V136" i="58"/>
  <c r="Q141" i="58"/>
  <c r="Z137" i="58"/>
  <c r="U136" i="58"/>
  <c r="Q29" i="58"/>
  <c r="S9" i="58"/>
  <c r="R102" i="58"/>
  <c r="Q27" i="58"/>
  <c r="V140" i="58"/>
  <c r="W107" i="58"/>
  <c r="V142" i="58"/>
  <c r="V31" i="58"/>
  <c r="Y134" i="58"/>
  <c r="Q139" i="58"/>
  <c r="S139" i="58"/>
  <c r="Z136" i="58"/>
  <c r="T143" i="58"/>
  <c r="U137" i="58"/>
  <c r="T136" i="58"/>
  <c r="Y28" i="58"/>
  <c r="S138" i="57"/>
  <c r="U143" i="57"/>
  <c r="Z140" i="57"/>
  <c r="T135" i="57"/>
  <c r="Z134" i="57"/>
  <c r="T136" i="57"/>
  <c r="Z138" i="57"/>
  <c r="T141" i="57"/>
  <c r="V135" i="57"/>
  <c r="W136" i="57"/>
  <c r="W135" i="57"/>
  <c r="Y135" i="57"/>
  <c r="R136" i="57"/>
  <c r="R134" i="57"/>
  <c r="U136" i="57"/>
  <c r="Y139" i="57"/>
  <c r="AA134" i="57"/>
  <c r="AA141" i="57"/>
  <c r="W140" i="57"/>
  <c r="U140" i="57"/>
  <c r="S139" i="57"/>
  <c r="R137" i="57"/>
  <c r="AA138" i="57"/>
  <c r="Z142" i="57"/>
  <c r="Z141" i="57"/>
  <c r="AA133" i="57"/>
  <c r="R135" i="57"/>
  <c r="V137" i="57"/>
  <c r="Q141" i="57"/>
  <c r="X139" i="57"/>
  <c r="V143" i="57"/>
  <c r="U134" i="57"/>
  <c r="X142" i="57"/>
  <c r="X137" i="57"/>
  <c r="S133" i="57"/>
  <c r="AA142" i="57"/>
  <c r="S140" i="57"/>
  <c r="S136" i="57"/>
  <c r="AA137" i="57"/>
  <c r="W138" i="57"/>
  <c r="V133" i="57"/>
  <c r="AA135" i="57"/>
  <c r="U139" i="57"/>
  <c r="V139" i="57"/>
  <c r="Z133" i="57"/>
  <c r="T140" i="57"/>
  <c r="Z137" i="57"/>
  <c r="S137" i="57"/>
  <c r="Z143" i="57"/>
  <c r="AA140" i="57"/>
  <c r="Y140" i="57"/>
  <c r="T133" i="57"/>
  <c r="R142" i="57"/>
  <c r="V138" i="57"/>
  <c r="Y143" i="57"/>
  <c r="Y141" i="57"/>
  <c r="R141" i="57"/>
  <c r="S134" i="57"/>
  <c r="AA136" i="57"/>
  <c r="R138" i="57"/>
  <c r="S141" i="57"/>
  <c r="X143" i="57"/>
  <c r="AA139" i="57"/>
  <c r="Y142" i="57"/>
  <c r="V140" i="57"/>
  <c r="Y138" i="57"/>
  <c r="Q142" i="57"/>
  <c r="W137" i="57"/>
  <c r="AA143" i="57"/>
  <c r="Z135" i="57"/>
  <c r="S143" i="57"/>
  <c r="Z136" i="57"/>
  <c r="W134" i="57"/>
  <c r="V142" i="57"/>
  <c r="Q137" i="57"/>
  <c r="V141" i="57"/>
  <c r="Q135" i="57"/>
  <c r="X133" i="57"/>
  <c r="U138" i="57"/>
  <c r="Y136" i="57"/>
  <c r="Z139" i="57"/>
  <c r="Q134" i="57"/>
  <c r="U133" i="57"/>
  <c r="W139" i="57"/>
  <c r="Q140" i="57"/>
  <c r="Q133" i="57"/>
  <c r="T138" i="57"/>
  <c r="V120" i="57"/>
  <c r="U123" i="57"/>
  <c r="U118" i="57"/>
  <c r="U117" i="57"/>
  <c r="U120" i="57"/>
  <c r="U124" i="57"/>
  <c r="U119" i="57"/>
  <c r="U121" i="57"/>
  <c r="V124" i="57"/>
  <c r="V116" i="57"/>
  <c r="V118" i="57"/>
  <c r="U115" i="57"/>
  <c r="U116" i="57"/>
  <c r="R100" i="57"/>
  <c r="Q105" i="57"/>
  <c r="Q100" i="57"/>
  <c r="Y100" i="57"/>
  <c r="X106" i="57"/>
  <c r="AA102" i="57"/>
  <c r="U103" i="57"/>
  <c r="R102" i="57"/>
  <c r="S100" i="57"/>
  <c r="Y102" i="57"/>
  <c r="T102" i="57"/>
  <c r="V101" i="57"/>
  <c r="U107" i="57"/>
  <c r="T97" i="57"/>
  <c r="V104" i="57"/>
  <c r="S102" i="57"/>
  <c r="X99" i="57"/>
  <c r="AA100" i="57"/>
  <c r="X102" i="57"/>
  <c r="R97" i="57"/>
  <c r="V97" i="57"/>
  <c r="W102" i="57"/>
  <c r="Z98" i="57"/>
  <c r="X98" i="57"/>
  <c r="AA106" i="57"/>
  <c r="S106" i="57"/>
  <c r="V103" i="57"/>
  <c r="W99" i="57"/>
  <c r="U105" i="57"/>
  <c r="U98" i="57"/>
  <c r="Z101" i="57"/>
  <c r="Q106" i="57"/>
  <c r="Z99" i="57"/>
  <c r="U101" i="57"/>
  <c r="R106" i="57"/>
  <c r="S104" i="57"/>
  <c r="U100" i="57"/>
  <c r="AA98" i="57"/>
  <c r="R105" i="57"/>
  <c r="Z106" i="57"/>
  <c r="X103" i="57"/>
  <c r="R99" i="57"/>
  <c r="X100" i="57"/>
  <c r="X104" i="57"/>
  <c r="Q99" i="57"/>
  <c r="S107" i="57"/>
  <c r="S103" i="57"/>
  <c r="Z97" i="57"/>
  <c r="U104" i="57"/>
  <c r="V105" i="57"/>
  <c r="Z103" i="57"/>
  <c r="X97" i="57"/>
  <c r="R101" i="57"/>
  <c r="U81" i="57"/>
  <c r="Q80" i="57"/>
  <c r="W89" i="57"/>
  <c r="V68" i="57"/>
  <c r="R59" i="57"/>
  <c r="R62" i="57"/>
  <c r="V67" i="57"/>
  <c r="R64" i="57"/>
  <c r="Y45" i="57"/>
  <c r="R44" i="57"/>
  <c r="Y30" i="57"/>
  <c r="AA25" i="57"/>
  <c r="Z30" i="57"/>
  <c r="S27" i="57"/>
  <c r="Q32" i="57"/>
  <c r="AA23" i="57"/>
  <c r="Q29" i="57"/>
  <c r="S28" i="57"/>
  <c r="Y23" i="57"/>
  <c r="R33" i="57"/>
  <c r="Z26" i="57"/>
  <c r="R27" i="57"/>
  <c r="AA31" i="57"/>
  <c r="R26" i="57"/>
  <c r="Q23" i="57"/>
  <c r="R24" i="57"/>
  <c r="R23" i="57"/>
  <c r="S25" i="57"/>
  <c r="R32" i="57"/>
  <c r="AA33" i="57"/>
  <c r="Z24" i="57"/>
  <c r="AA28" i="57"/>
  <c r="Y25" i="57"/>
  <c r="AA30" i="57"/>
  <c r="Q25" i="57"/>
  <c r="Z9" i="57"/>
  <c r="S10" i="57"/>
  <c r="S9" i="57"/>
  <c r="S11" i="57"/>
  <c r="AA10" i="57"/>
  <c r="AA9" i="57"/>
  <c r="S7" i="57"/>
  <c r="R15" i="57"/>
  <c r="R9" i="57"/>
  <c r="Z5" i="57"/>
  <c r="Z8" i="57"/>
  <c r="S5" i="57"/>
  <c r="S15" i="57"/>
  <c r="AA15" i="57"/>
  <c r="R10" i="57"/>
  <c r="AA6" i="57"/>
  <c r="S8" i="57"/>
  <c r="S13" i="57"/>
  <c r="Z6" i="57"/>
  <c r="S82" i="57"/>
  <c r="R83" i="57"/>
  <c r="X80" i="57"/>
  <c r="Y86" i="57"/>
  <c r="T83" i="57"/>
  <c r="R89" i="57"/>
  <c r="V82" i="57"/>
  <c r="AA89" i="57"/>
  <c r="X81" i="57"/>
  <c r="X87" i="57"/>
  <c r="AA82" i="57"/>
  <c r="Y80" i="57"/>
  <c r="S87" i="57"/>
  <c r="X83" i="57"/>
  <c r="T82" i="57"/>
  <c r="X89" i="57"/>
  <c r="T87" i="57"/>
  <c r="T81" i="57"/>
  <c r="T89" i="57"/>
  <c r="S89" i="57"/>
  <c r="T80" i="57"/>
  <c r="S80" i="57"/>
  <c r="AA87" i="57"/>
  <c r="V88" i="57"/>
  <c r="Z89" i="57"/>
  <c r="X84" i="57"/>
  <c r="X79" i="57"/>
  <c r="T84" i="57"/>
  <c r="AA84" i="57"/>
  <c r="R86" i="57"/>
  <c r="Z87" i="57"/>
  <c r="T88" i="57"/>
  <c r="Z84" i="57"/>
  <c r="Z82" i="57"/>
  <c r="Z88" i="57"/>
  <c r="R80" i="57"/>
  <c r="Z83" i="57"/>
  <c r="AA81" i="57"/>
  <c r="Q87" i="57"/>
  <c r="X82" i="57"/>
  <c r="Y81" i="57"/>
  <c r="V80" i="57"/>
  <c r="W88" i="57"/>
  <c r="W81" i="57"/>
  <c r="V86" i="57"/>
  <c r="W86" i="57"/>
  <c r="Y88" i="57"/>
  <c r="S86" i="57"/>
  <c r="Y82" i="57"/>
  <c r="X86" i="57"/>
  <c r="Y89" i="57"/>
  <c r="Y79" i="57"/>
  <c r="Y85" i="57"/>
  <c r="Z79" i="57"/>
  <c r="R88" i="57"/>
  <c r="U79" i="57"/>
  <c r="R82" i="57"/>
  <c r="S81" i="57"/>
  <c r="X88" i="57"/>
  <c r="AA83" i="57"/>
  <c r="Y87" i="57"/>
  <c r="T79" i="57"/>
  <c r="R81" i="57"/>
  <c r="V81" i="57"/>
  <c r="Q86" i="57"/>
  <c r="V79" i="57"/>
  <c r="AA85" i="57"/>
  <c r="AA86" i="57"/>
  <c r="S79" i="57"/>
  <c r="Z86" i="57"/>
  <c r="W80" i="57"/>
  <c r="V84" i="57"/>
  <c r="R84" i="57"/>
  <c r="R85" i="57"/>
  <c r="AA80" i="57"/>
  <c r="W87" i="57"/>
  <c r="V83" i="57"/>
  <c r="AA88" i="57"/>
  <c r="S88" i="57"/>
  <c r="Y83" i="57"/>
  <c r="S83" i="57"/>
  <c r="Z81" i="57"/>
  <c r="AA79" i="57"/>
  <c r="R79" i="57"/>
  <c r="V85" i="57"/>
  <c r="V89" i="57"/>
  <c r="U87" i="57"/>
  <c r="T86" i="57"/>
  <c r="Q79" i="57"/>
  <c r="X85" i="57"/>
  <c r="T85" i="57"/>
  <c r="Y84" i="57"/>
  <c r="S85" i="57"/>
  <c r="S84" i="57"/>
  <c r="R87" i="57"/>
  <c r="Z80" i="57"/>
  <c r="V87" i="57"/>
  <c r="Q81" i="57"/>
  <c r="Q83" i="57"/>
  <c r="W83" i="57"/>
  <c r="Z85" i="57"/>
  <c r="V64" i="57"/>
  <c r="Y28" i="57"/>
  <c r="U83" i="57"/>
  <c r="V125" i="57"/>
  <c r="Z107" i="57"/>
  <c r="AA101" i="57"/>
  <c r="Z13" i="57"/>
  <c r="Y31" i="57"/>
  <c r="V63" i="57"/>
  <c r="Q102" i="57"/>
  <c r="Q26" i="57"/>
  <c r="R43" i="57"/>
  <c r="AA44" i="57"/>
  <c r="Y44" i="57"/>
  <c r="U102" i="57"/>
  <c r="V59" i="57"/>
  <c r="X107" i="57"/>
  <c r="Y51" i="57"/>
  <c r="S97" i="57"/>
  <c r="S6" i="57"/>
  <c r="Y50" i="57"/>
  <c r="S26" i="57"/>
  <c r="Q82" i="57"/>
  <c r="V107" i="57"/>
  <c r="T105" i="57"/>
  <c r="T100" i="57"/>
  <c r="W103" i="57"/>
  <c r="W106" i="57"/>
  <c r="Z105" i="57"/>
  <c r="V99" i="57"/>
  <c r="AA104" i="57"/>
  <c r="V106" i="57"/>
  <c r="AA27" i="57"/>
  <c r="W143" i="57"/>
  <c r="W133" i="57"/>
  <c r="X141" i="57"/>
  <c r="Y134" i="57"/>
  <c r="Q138" i="57"/>
  <c r="U135" i="57"/>
  <c r="Q139" i="57"/>
  <c r="R140" i="57"/>
  <c r="X136" i="57"/>
  <c r="T142" i="57"/>
  <c r="T137" i="57"/>
  <c r="Q85" i="57"/>
  <c r="V65" i="57"/>
  <c r="R63" i="57"/>
  <c r="W82" i="57"/>
  <c r="AA50" i="57"/>
  <c r="Q88" i="57"/>
  <c r="V61" i="57"/>
  <c r="U86" i="57"/>
  <c r="Q44" i="57"/>
  <c r="AA14" i="57"/>
  <c r="Y27" i="57"/>
  <c r="R5" i="57"/>
  <c r="U80" i="57"/>
  <c r="Z102" i="57"/>
  <c r="R14" i="57"/>
  <c r="Y41" i="57"/>
  <c r="V60" i="57"/>
  <c r="Q97" i="57"/>
  <c r="T106" i="57"/>
  <c r="Q98" i="57"/>
  <c r="W107" i="57"/>
  <c r="X101" i="57"/>
  <c r="W100" i="57"/>
  <c r="Q104" i="57"/>
  <c r="S105" i="57"/>
  <c r="V102" i="57"/>
  <c r="AA47" i="57"/>
  <c r="Z48" i="57"/>
  <c r="R67" i="57"/>
  <c r="Y43" i="57"/>
  <c r="R65" i="57"/>
  <c r="T32" i="57"/>
  <c r="W26" i="57"/>
  <c r="T28" i="57"/>
  <c r="T29" i="57"/>
  <c r="W29" i="57"/>
  <c r="X33" i="57"/>
  <c r="V30" i="57"/>
  <c r="V33" i="57"/>
  <c r="T27" i="57"/>
  <c r="W31" i="57"/>
  <c r="V23" i="57"/>
  <c r="W23" i="57"/>
  <c r="X24" i="57"/>
  <c r="T26" i="57"/>
  <c r="W24" i="57"/>
  <c r="X25" i="57"/>
  <c r="X30" i="57"/>
  <c r="V28" i="57"/>
  <c r="V31" i="57"/>
  <c r="V32" i="57"/>
  <c r="W32" i="57"/>
  <c r="V25" i="57"/>
  <c r="W25" i="57"/>
  <c r="Z33" i="57"/>
  <c r="R25" i="57"/>
  <c r="Z29" i="57"/>
  <c r="W30" i="57"/>
  <c r="U29" i="57"/>
  <c r="S29" i="57"/>
  <c r="X28" i="57"/>
  <c r="X32" i="57"/>
  <c r="T23" i="57"/>
  <c r="S30" i="57"/>
  <c r="U24" i="57"/>
  <c r="V24" i="57"/>
  <c r="Z32" i="57"/>
  <c r="Q24" i="57"/>
  <c r="W27" i="57"/>
  <c r="Q28" i="57"/>
  <c r="S31" i="57"/>
  <c r="R30" i="57"/>
  <c r="W28" i="57"/>
  <c r="T24" i="57"/>
  <c r="W33" i="57"/>
  <c r="U23" i="57"/>
  <c r="S23" i="57"/>
  <c r="S33" i="57"/>
  <c r="R29" i="57"/>
  <c r="U30" i="57"/>
  <c r="X26" i="57"/>
  <c r="S32" i="57"/>
  <c r="U27" i="57"/>
  <c r="X23" i="57"/>
  <c r="T31" i="57"/>
  <c r="V27" i="57"/>
  <c r="U32" i="57"/>
  <c r="Z31" i="57"/>
  <c r="V29" i="57"/>
  <c r="Y33" i="57"/>
  <c r="X29" i="57"/>
  <c r="R28" i="57"/>
  <c r="Z23" i="57"/>
  <c r="T30" i="57"/>
  <c r="U26" i="57"/>
  <c r="X31" i="57"/>
  <c r="V26" i="57"/>
  <c r="Z25" i="57"/>
  <c r="Q27" i="57"/>
  <c r="AA29" i="57"/>
  <c r="T25" i="57"/>
  <c r="U31" i="57"/>
  <c r="U25" i="57"/>
  <c r="X27" i="57"/>
  <c r="R31" i="57"/>
  <c r="T33" i="57"/>
  <c r="U33" i="57"/>
  <c r="Q33" i="57"/>
  <c r="Q30" i="57"/>
  <c r="U28" i="57"/>
  <c r="S24" i="57"/>
  <c r="S142" i="57"/>
  <c r="V66" i="57"/>
  <c r="Z28" i="57"/>
  <c r="R66" i="57"/>
  <c r="AA24" i="57"/>
  <c r="R7" i="57"/>
  <c r="AA32" i="57"/>
  <c r="T98" i="57"/>
  <c r="R103" i="57"/>
  <c r="V98" i="57"/>
  <c r="Y107" i="57"/>
  <c r="S98" i="57"/>
  <c r="U99" i="57"/>
  <c r="Y104" i="57"/>
  <c r="U106" i="57"/>
  <c r="Y105" i="57"/>
  <c r="R139" i="57"/>
  <c r="U142" i="57"/>
  <c r="W142" i="57"/>
  <c r="X134" i="57"/>
  <c r="Q143" i="57"/>
  <c r="V136" i="57"/>
  <c r="R143" i="57"/>
  <c r="T134" i="57"/>
  <c r="Q136" i="57"/>
  <c r="S135" i="57"/>
  <c r="X140" i="57"/>
  <c r="Z27" i="57"/>
  <c r="W49" i="57"/>
  <c r="W51" i="57"/>
  <c r="T49" i="57"/>
  <c r="T46" i="57"/>
  <c r="U50" i="57"/>
  <c r="W44" i="57"/>
  <c r="X49" i="57"/>
  <c r="X45" i="57"/>
  <c r="U44" i="57"/>
  <c r="T48" i="57"/>
  <c r="T41" i="57"/>
  <c r="W47" i="57"/>
  <c r="X51" i="57"/>
  <c r="U49" i="57"/>
  <c r="T45" i="57"/>
  <c r="U46" i="57"/>
  <c r="X43" i="57"/>
  <c r="W45" i="57"/>
  <c r="T44" i="57"/>
  <c r="T47" i="57"/>
  <c r="U47" i="57"/>
  <c r="W46" i="57"/>
  <c r="V48" i="57"/>
  <c r="Q41" i="57"/>
  <c r="Q48" i="57"/>
  <c r="S50" i="57"/>
  <c r="X41" i="57"/>
  <c r="Z51" i="57"/>
  <c r="V43" i="57"/>
  <c r="V51" i="57"/>
  <c r="U51" i="57"/>
  <c r="W50" i="57"/>
  <c r="S49" i="57"/>
  <c r="S47" i="57"/>
  <c r="Z43" i="57"/>
  <c r="X46" i="57"/>
  <c r="W43" i="57"/>
  <c r="T50" i="57"/>
  <c r="S51" i="57"/>
  <c r="Q42" i="57"/>
  <c r="Y46" i="57"/>
  <c r="W48" i="57"/>
  <c r="R50" i="57"/>
  <c r="W41" i="57"/>
  <c r="U43" i="57"/>
  <c r="Z50" i="57"/>
  <c r="X48" i="57"/>
  <c r="Y42" i="57"/>
  <c r="T51" i="57"/>
  <c r="R45" i="57"/>
  <c r="S43" i="57"/>
  <c r="U48" i="57"/>
  <c r="S45" i="57"/>
  <c r="V42" i="57"/>
  <c r="U45" i="57"/>
  <c r="X47" i="57"/>
  <c r="AA45" i="57"/>
  <c r="Q49" i="57"/>
  <c r="U41" i="57"/>
  <c r="AA51" i="57"/>
  <c r="Q50" i="57"/>
  <c r="Y49" i="57"/>
  <c r="V49" i="57"/>
  <c r="V46" i="57"/>
  <c r="Y48" i="57"/>
  <c r="X44" i="57"/>
  <c r="V44" i="57"/>
  <c r="T42" i="57"/>
  <c r="V50" i="57"/>
  <c r="Z42" i="57"/>
  <c r="X42" i="57"/>
  <c r="U42" i="57"/>
  <c r="X50" i="57"/>
  <c r="S41" i="57"/>
  <c r="R48" i="57"/>
  <c r="AA48" i="57"/>
  <c r="W42" i="57"/>
  <c r="S44" i="57"/>
  <c r="S48" i="57"/>
  <c r="T43" i="57"/>
  <c r="Z49" i="57"/>
  <c r="R41" i="57"/>
  <c r="Q51" i="57"/>
  <c r="AA41" i="57"/>
  <c r="R49" i="57"/>
  <c r="S46" i="57"/>
  <c r="Z41" i="57"/>
  <c r="V45" i="57"/>
  <c r="V41" i="57"/>
  <c r="V47" i="57"/>
  <c r="R51" i="57"/>
  <c r="S42" i="57"/>
  <c r="Q45" i="57"/>
  <c r="Z45" i="57"/>
  <c r="W79" i="57"/>
  <c r="Q47" i="57"/>
  <c r="Y47" i="57"/>
  <c r="Z100" i="57"/>
  <c r="Y32" i="57"/>
  <c r="AA103" i="57"/>
  <c r="Y101" i="57"/>
  <c r="R104" i="57"/>
  <c r="Y103" i="57"/>
  <c r="W105" i="57"/>
  <c r="T104" i="57"/>
  <c r="W101" i="57"/>
  <c r="AA99" i="57"/>
  <c r="S99" i="57"/>
  <c r="W98" i="57"/>
  <c r="Q31" i="57"/>
  <c r="Z44" i="57"/>
  <c r="Z47" i="57"/>
  <c r="Y125" i="57"/>
  <c r="Z117" i="57"/>
  <c r="R116" i="57"/>
  <c r="X115" i="57"/>
  <c r="S116" i="57"/>
  <c r="X122" i="57"/>
  <c r="S118" i="57"/>
  <c r="R117" i="57"/>
  <c r="Z115" i="57"/>
  <c r="X123" i="57"/>
  <c r="T115" i="57"/>
  <c r="R122" i="57"/>
  <c r="R125" i="57"/>
  <c r="R124" i="57"/>
  <c r="Z122" i="57"/>
  <c r="Y121" i="57"/>
  <c r="X120" i="57"/>
  <c r="S125" i="57"/>
  <c r="T116" i="57"/>
  <c r="X124" i="57"/>
  <c r="X121" i="57"/>
  <c r="Y122" i="57"/>
  <c r="Z124" i="57"/>
  <c r="Z116" i="57"/>
  <c r="R123" i="57"/>
  <c r="S124" i="57"/>
  <c r="Z123" i="57"/>
  <c r="Z125" i="57"/>
  <c r="Y123" i="57"/>
  <c r="X118" i="57"/>
  <c r="V121" i="57"/>
  <c r="Q118" i="57"/>
  <c r="T122" i="57"/>
  <c r="W115" i="57"/>
  <c r="Q124" i="57"/>
  <c r="Z119" i="57"/>
  <c r="AA118" i="57"/>
  <c r="AA115" i="57"/>
  <c r="X119" i="57"/>
  <c r="W122" i="57"/>
  <c r="AA122" i="57"/>
  <c r="Q125" i="57"/>
  <c r="S117" i="57"/>
  <c r="T120" i="57"/>
  <c r="AA125" i="57"/>
  <c r="T123" i="57"/>
  <c r="S119" i="57"/>
  <c r="Z120" i="57"/>
  <c r="AA120" i="57"/>
  <c r="R121" i="57"/>
  <c r="Z121" i="57"/>
  <c r="AA119" i="57"/>
  <c r="W123" i="57"/>
  <c r="Q123" i="57"/>
  <c r="R119" i="57"/>
  <c r="X117" i="57"/>
  <c r="Y117" i="57"/>
  <c r="AA123" i="57"/>
  <c r="W118" i="57"/>
  <c r="S122" i="57"/>
  <c r="Y115" i="57"/>
  <c r="V122" i="57"/>
  <c r="S121" i="57"/>
  <c r="W124" i="57"/>
  <c r="W117" i="57"/>
  <c r="T125" i="57"/>
  <c r="AA124" i="57"/>
  <c r="Q122" i="57"/>
  <c r="S120" i="57"/>
  <c r="S123" i="57"/>
  <c r="T124" i="57"/>
  <c r="S115" i="57"/>
  <c r="Y124" i="57"/>
  <c r="W125" i="57"/>
  <c r="W121" i="57"/>
  <c r="W120" i="57"/>
  <c r="AA117" i="57"/>
  <c r="Y119" i="57"/>
  <c r="Q117" i="57"/>
  <c r="Y116" i="57"/>
  <c r="Y118" i="57"/>
  <c r="R118" i="57"/>
  <c r="Z118" i="57"/>
  <c r="T121" i="57"/>
  <c r="X116" i="57"/>
  <c r="R115" i="57"/>
  <c r="AA121" i="57"/>
  <c r="Y120" i="57"/>
  <c r="Q119" i="57"/>
  <c r="X125" i="57"/>
  <c r="V123" i="57"/>
  <c r="V115" i="57"/>
  <c r="Q121" i="57"/>
  <c r="W116" i="57"/>
  <c r="U122" i="57"/>
  <c r="T118" i="57"/>
  <c r="R120" i="57"/>
  <c r="W119" i="57"/>
  <c r="Q120" i="57"/>
  <c r="AA116" i="57"/>
  <c r="Q115" i="57"/>
  <c r="T117" i="57"/>
  <c r="Q116" i="57"/>
  <c r="T119" i="57"/>
  <c r="V119" i="57"/>
  <c r="Q43" i="57"/>
  <c r="U69" i="57"/>
  <c r="X59" i="57"/>
  <c r="Q61" i="57"/>
  <c r="W59" i="57"/>
  <c r="X67" i="57"/>
  <c r="U59" i="57"/>
  <c r="U65" i="57"/>
  <c r="Z62" i="57"/>
  <c r="X68" i="57"/>
  <c r="X63" i="57"/>
  <c r="S61" i="57"/>
  <c r="T59" i="57"/>
  <c r="U61" i="57"/>
  <c r="Q69" i="57"/>
  <c r="W69" i="57"/>
  <c r="U67" i="57"/>
  <c r="X64" i="57"/>
  <c r="AA64" i="57"/>
  <c r="X69" i="57"/>
  <c r="Y62" i="57"/>
  <c r="U66" i="57"/>
  <c r="Q64" i="57"/>
  <c r="AA60" i="57"/>
  <c r="W66" i="57"/>
  <c r="AA59" i="57"/>
  <c r="Y63" i="57"/>
  <c r="W63" i="57"/>
  <c r="AA63" i="57"/>
  <c r="S64" i="57"/>
  <c r="S65" i="57"/>
  <c r="T66" i="57"/>
  <c r="S67" i="57"/>
  <c r="Q66" i="57"/>
  <c r="AA67" i="57"/>
  <c r="X62" i="57"/>
  <c r="Q67" i="57"/>
  <c r="Z67" i="57"/>
  <c r="W61" i="57"/>
  <c r="U62" i="57"/>
  <c r="W67" i="57"/>
  <c r="Q63" i="57"/>
  <c r="R68" i="57"/>
  <c r="AA69" i="57"/>
  <c r="U68" i="57"/>
  <c r="T67" i="57"/>
  <c r="Z65" i="57"/>
  <c r="Y64" i="57"/>
  <c r="X66" i="57"/>
  <c r="Q65" i="57"/>
  <c r="Y60" i="57"/>
  <c r="U60" i="57"/>
  <c r="W65" i="57"/>
  <c r="Y68" i="57"/>
  <c r="Z64" i="57"/>
  <c r="X61" i="57"/>
  <c r="Z63" i="57"/>
  <c r="Z59" i="57"/>
  <c r="T64" i="57"/>
  <c r="Z66" i="57"/>
  <c r="AA66" i="57"/>
  <c r="S66" i="57"/>
  <c r="Z61" i="57"/>
  <c r="AA68" i="57"/>
  <c r="S60" i="57"/>
  <c r="W62" i="57"/>
  <c r="W68" i="57"/>
  <c r="Z60" i="57"/>
  <c r="Y69" i="57"/>
  <c r="T63" i="57"/>
  <c r="V62" i="57"/>
  <c r="R69" i="57"/>
  <c r="Z69" i="57"/>
  <c r="W60" i="57"/>
  <c r="Q60" i="57"/>
  <c r="AA65" i="57"/>
  <c r="Y59" i="57"/>
  <c r="X65" i="57"/>
  <c r="T60" i="57"/>
  <c r="Y61" i="57"/>
  <c r="U64" i="57"/>
  <c r="Q62" i="57"/>
  <c r="Y67" i="57"/>
  <c r="AA61" i="57"/>
  <c r="Y66" i="57"/>
  <c r="X60" i="57"/>
  <c r="S63" i="57"/>
  <c r="T68" i="57"/>
  <c r="AA62" i="57"/>
  <c r="S69" i="57"/>
  <c r="T62" i="57"/>
  <c r="S59" i="57"/>
  <c r="Z68" i="57"/>
  <c r="S68" i="57"/>
  <c r="U63" i="57"/>
  <c r="T61" i="57"/>
  <c r="S62" i="57"/>
  <c r="Q59" i="57"/>
  <c r="Y65" i="57"/>
  <c r="Q68" i="57"/>
  <c r="T69" i="57"/>
  <c r="T65" i="57"/>
  <c r="W64" i="57"/>
  <c r="AA43" i="57"/>
  <c r="Z46" i="57"/>
  <c r="W84" i="57"/>
  <c r="U82" i="57"/>
  <c r="Q46" i="57"/>
  <c r="R61" i="57"/>
  <c r="W9" i="57"/>
  <c r="T12" i="57"/>
  <c r="Q12" i="57"/>
  <c r="V9" i="57"/>
  <c r="V13" i="57"/>
  <c r="U9" i="57"/>
  <c r="U8" i="57"/>
  <c r="T10" i="57"/>
  <c r="X15" i="57"/>
  <c r="V5" i="57"/>
  <c r="X13" i="57"/>
  <c r="W5" i="57"/>
  <c r="W14" i="57"/>
  <c r="Y7" i="57"/>
  <c r="X9" i="57"/>
  <c r="X14" i="57"/>
  <c r="V14" i="57"/>
  <c r="W15" i="57"/>
  <c r="X5" i="57"/>
  <c r="W10" i="57"/>
  <c r="Q8" i="57"/>
  <c r="T9" i="57"/>
  <c r="Q13" i="57"/>
  <c r="X8" i="57"/>
  <c r="U11" i="57"/>
  <c r="AA7" i="57"/>
  <c r="V11" i="57"/>
  <c r="Q7" i="57"/>
  <c r="Q15" i="57"/>
  <c r="Y6" i="57"/>
  <c r="R12" i="57"/>
  <c r="Y10" i="57"/>
  <c r="X7" i="57"/>
  <c r="Q11" i="57"/>
  <c r="V15" i="57"/>
  <c r="W8" i="57"/>
  <c r="Y13" i="57"/>
  <c r="Q10" i="57"/>
  <c r="Y15" i="57"/>
  <c r="Y12" i="57"/>
  <c r="T15" i="57"/>
  <c r="AA13" i="57"/>
  <c r="V8" i="57"/>
  <c r="W7" i="57"/>
  <c r="W6" i="57"/>
  <c r="Y8" i="57"/>
  <c r="Y5" i="57"/>
  <c r="W12" i="57"/>
  <c r="Q9" i="57"/>
  <c r="AA5" i="57"/>
  <c r="T13" i="57"/>
  <c r="W13" i="57"/>
  <c r="U7" i="57"/>
  <c r="Y9" i="57"/>
  <c r="X10" i="57"/>
  <c r="W11" i="57"/>
  <c r="T14" i="57"/>
  <c r="T5" i="57"/>
  <c r="Y11" i="57"/>
  <c r="Z11" i="57"/>
  <c r="X11" i="57"/>
  <c r="V6" i="57"/>
  <c r="R6" i="57"/>
  <c r="T11" i="57"/>
  <c r="Q5" i="57"/>
  <c r="T7" i="57"/>
  <c r="Q6" i="57"/>
  <c r="Z12" i="57"/>
  <c r="V10" i="57"/>
  <c r="U14" i="57"/>
  <c r="Z14" i="57"/>
  <c r="AA8" i="57"/>
  <c r="X12" i="57"/>
  <c r="Q14" i="57"/>
  <c r="U13" i="57"/>
  <c r="X6" i="57"/>
  <c r="U12" i="57"/>
  <c r="R13" i="57"/>
  <c r="R11" i="57"/>
  <c r="Y14" i="57"/>
  <c r="V7" i="57"/>
  <c r="U5" i="57"/>
  <c r="T6" i="57"/>
  <c r="U6" i="57"/>
  <c r="S12" i="57"/>
  <c r="U10" i="57"/>
  <c r="T8" i="57"/>
  <c r="V12" i="57"/>
  <c r="U15" i="57"/>
  <c r="AA97" i="57"/>
  <c r="AA42" i="57"/>
  <c r="Y26" i="57"/>
  <c r="Y98" i="57"/>
  <c r="T99" i="57"/>
  <c r="W97" i="57"/>
  <c r="W104" i="57"/>
  <c r="T103" i="57"/>
  <c r="S101" i="57"/>
  <c r="R107" i="57"/>
  <c r="R98" i="57"/>
  <c r="Y106" i="57"/>
  <c r="R60" i="57"/>
  <c r="Y133" i="57"/>
  <c r="U137" i="57"/>
  <c r="U141" i="57"/>
  <c r="T143" i="57"/>
  <c r="V134" i="57"/>
  <c r="R133" i="57"/>
  <c r="Y137" i="57"/>
  <c r="X135" i="57"/>
  <c r="W141" i="57"/>
  <c r="X138" i="57"/>
  <c r="V117" i="57"/>
  <c r="Y24" i="57"/>
  <c r="AA49" i="57"/>
  <c r="R42" i="57"/>
  <c r="AA12" i="57"/>
  <c r="R8" i="57"/>
  <c r="U89" i="57"/>
  <c r="Z10" i="57"/>
  <c r="AA107" i="57"/>
  <c r="Z15" i="57"/>
  <c r="U97" i="57"/>
  <c r="AA11" i="57"/>
  <c r="Z104" i="57"/>
  <c r="Y29" i="57"/>
  <c r="X105" i="57"/>
  <c r="R47" i="57"/>
  <c r="U88" i="57"/>
  <c r="W85" i="57"/>
  <c r="R46" i="57"/>
  <c r="Z7" i="57"/>
  <c r="U85" i="57"/>
  <c r="Y99" i="57"/>
  <c r="Q107" i="57"/>
  <c r="Y97" i="57"/>
  <c r="T101" i="57"/>
  <c r="AA105" i="57"/>
  <c r="V100" i="57"/>
  <c r="Q103" i="57"/>
  <c r="T107" i="57"/>
  <c r="Q84" i="57"/>
  <c r="Q89" i="57"/>
  <c r="R133" i="56"/>
  <c r="S143" i="56"/>
  <c r="W135" i="56"/>
  <c r="S137" i="56"/>
  <c r="S138" i="56"/>
  <c r="W143" i="56"/>
  <c r="AA140" i="56"/>
  <c r="R136" i="56"/>
  <c r="R137" i="56"/>
  <c r="AA143" i="56"/>
  <c r="W141" i="56"/>
  <c r="AA134" i="56"/>
  <c r="R139" i="56"/>
  <c r="AA136" i="56"/>
  <c r="R135" i="56"/>
  <c r="AA141" i="56"/>
  <c r="W137" i="56"/>
  <c r="S141" i="56"/>
  <c r="AA142" i="56"/>
  <c r="W133" i="56"/>
  <c r="R141" i="56"/>
  <c r="AA133" i="56"/>
  <c r="R140" i="56"/>
  <c r="AA135" i="56"/>
  <c r="S134" i="56"/>
  <c r="AA137" i="56"/>
  <c r="S142" i="56"/>
  <c r="W136" i="56"/>
  <c r="R99" i="56"/>
  <c r="AA100" i="56"/>
  <c r="AA107" i="56"/>
  <c r="AA102" i="56"/>
  <c r="S106" i="56"/>
  <c r="S100" i="56"/>
  <c r="R103" i="56"/>
  <c r="AA98" i="56"/>
  <c r="R106" i="56"/>
  <c r="R100" i="56"/>
  <c r="AA97" i="56"/>
  <c r="AA106" i="56"/>
  <c r="R104" i="56"/>
  <c r="W100" i="56"/>
  <c r="R105" i="56"/>
  <c r="AA104" i="56"/>
  <c r="AA103" i="56"/>
  <c r="Q80" i="56"/>
  <c r="T85" i="56"/>
  <c r="S86" i="56"/>
  <c r="T89" i="56"/>
  <c r="T81" i="56"/>
  <c r="S87" i="56"/>
  <c r="S81" i="56"/>
  <c r="S88" i="56"/>
  <c r="V59" i="56"/>
  <c r="Z69" i="56"/>
  <c r="Z66" i="56"/>
  <c r="Z67" i="56"/>
  <c r="V63" i="56"/>
  <c r="R64" i="56"/>
  <c r="V61" i="56"/>
  <c r="V66" i="56"/>
  <c r="X68" i="56"/>
  <c r="R67" i="56"/>
  <c r="R65" i="56"/>
  <c r="Z60" i="56"/>
  <c r="Z61" i="56"/>
  <c r="Z63" i="56"/>
  <c r="V60" i="56"/>
  <c r="Q25" i="56"/>
  <c r="Q33" i="56"/>
  <c r="U31" i="56"/>
  <c r="Z12" i="56"/>
  <c r="R9" i="56"/>
  <c r="Z5" i="56"/>
  <c r="T13" i="56"/>
  <c r="R13" i="56"/>
  <c r="R6" i="56"/>
  <c r="U14" i="56"/>
  <c r="U8" i="56"/>
  <c r="R5" i="56"/>
  <c r="Z15" i="56"/>
  <c r="T12" i="56"/>
  <c r="U12" i="56"/>
  <c r="T6" i="56"/>
  <c r="R10" i="56"/>
  <c r="R15" i="56"/>
  <c r="Z7" i="56"/>
  <c r="Z6" i="56"/>
  <c r="R7" i="56"/>
  <c r="T11" i="56"/>
  <c r="R8" i="56"/>
  <c r="Z13" i="56"/>
  <c r="T10" i="56"/>
  <c r="U32" i="56"/>
  <c r="R11" i="56"/>
  <c r="R62" i="56"/>
  <c r="T24" i="56"/>
  <c r="Q83" i="56"/>
  <c r="R101" i="56"/>
  <c r="Y29" i="56"/>
  <c r="V26" i="56"/>
  <c r="Z64" i="56"/>
  <c r="W140" i="56"/>
  <c r="X66" i="56"/>
  <c r="V65" i="56"/>
  <c r="V33" i="56"/>
  <c r="AA139" i="56"/>
  <c r="S63" i="56"/>
  <c r="S62" i="56"/>
  <c r="S104" i="56"/>
  <c r="AB51" i="56"/>
  <c r="V31" i="56"/>
  <c r="S59" i="56"/>
  <c r="X63" i="56"/>
  <c r="Q99" i="56"/>
  <c r="U101" i="56"/>
  <c r="W99" i="56"/>
  <c r="Q104" i="56"/>
  <c r="Z103" i="56"/>
  <c r="Z101" i="56"/>
  <c r="T98" i="56"/>
  <c r="V105" i="56"/>
  <c r="T104" i="56"/>
  <c r="W103" i="56"/>
  <c r="Y100" i="56"/>
  <c r="Q107" i="56"/>
  <c r="V29" i="56"/>
  <c r="T33" i="56"/>
  <c r="V64" i="56"/>
  <c r="Y30" i="56"/>
  <c r="V27" i="56"/>
  <c r="U30" i="56"/>
  <c r="Y24" i="56"/>
  <c r="Z59" i="56"/>
  <c r="X60" i="56"/>
  <c r="S102" i="56"/>
  <c r="Z10" i="56"/>
  <c r="X13" i="56"/>
  <c r="S5" i="56"/>
  <c r="S13" i="56"/>
  <c r="X5" i="56"/>
  <c r="AA12" i="56"/>
  <c r="Q11" i="56"/>
  <c r="W12" i="56"/>
  <c r="X9" i="56"/>
  <c r="S11" i="56"/>
  <c r="W13" i="56"/>
  <c r="V11" i="56"/>
  <c r="W15" i="56"/>
  <c r="X11" i="56"/>
  <c r="X12" i="56"/>
  <c r="X7" i="56"/>
  <c r="W7" i="56"/>
  <c r="X10" i="56"/>
  <c r="AA11" i="56"/>
  <c r="X15" i="56"/>
  <c r="S12" i="56"/>
  <c r="V15" i="56"/>
  <c r="S14" i="56"/>
  <c r="W5" i="56"/>
  <c r="Q7" i="56"/>
  <c r="Z11" i="56"/>
  <c r="U11" i="56"/>
  <c r="W9" i="56"/>
  <c r="Y14" i="56"/>
  <c r="S6" i="56"/>
  <c r="AA5" i="56"/>
  <c r="V14" i="56"/>
  <c r="W10" i="56"/>
  <c r="V13" i="56"/>
  <c r="S7" i="56"/>
  <c r="V6" i="56"/>
  <c r="Y15" i="56"/>
  <c r="W8" i="56"/>
  <c r="T14" i="56"/>
  <c r="X14" i="56"/>
  <c r="V12" i="56"/>
  <c r="T8" i="56"/>
  <c r="U10" i="56"/>
  <c r="S9" i="56"/>
  <c r="V9" i="56"/>
  <c r="AA8" i="56"/>
  <c r="V7" i="56"/>
  <c r="X6" i="56"/>
  <c r="AA6" i="56"/>
  <c r="Y12" i="56"/>
  <c r="Z9" i="56"/>
  <c r="AA13" i="56"/>
  <c r="Q13" i="56"/>
  <c r="Y13" i="56"/>
  <c r="Q9" i="56"/>
  <c r="V8" i="56"/>
  <c r="S10" i="56"/>
  <c r="Y8" i="56"/>
  <c r="Y6" i="56"/>
  <c r="Q5" i="56"/>
  <c r="Z8" i="56"/>
  <c r="Q14" i="56"/>
  <c r="V5" i="56"/>
  <c r="AA14" i="56"/>
  <c r="AA15" i="56"/>
  <c r="U9" i="56"/>
  <c r="Y5" i="56"/>
  <c r="W14" i="56"/>
  <c r="Q15" i="56"/>
  <c r="X8" i="56"/>
  <c r="Y11" i="56"/>
  <c r="AA9" i="56"/>
  <c r="AA10" i="56"/>
  <c r="V10" i="56"/>
  <c r="AA7" i="56"/>
  <c r="Q12" i="56"/>
  <c r="Y10" i="56"/>
  <c r="Q8" i="56"/>
  <c r="W11" i="56"/>
  <c r="Y7" i="56"/>
  <c r="U5" i="56"/>
  <c r="S15" i="56"/>
  <c r="Q6" i="56"/>
  <c r="S8" i="56"/>
  <c r="W6" i="56"/>
  <c r="Y9" i="56"/>
  <c r="Q10" i="56"/>
  <c r="Z14" i="56"/>
  <c r="Z99" i="56"/>
  <c r="Y104" i="56"/>
  <c r="V104" i="56"/>
  <c r="V97" i="56"/>
  <c r="Q105" i="56"/>
  <c r="U102" i="56"/>
  <c r="T106" i="56"/>
  <c r="S107" i="56"/>
  <c r="R98" i="56"/>
  <c r="X104" i="56"/>
  <c r="X103" i="56"/>
  <c r="Z107" i="56"/>
  <c r="Y23" i="56"/>
  <c r="U27" i="56"/>
  <c r="Q23" i="56"/>
  <c r="U28" i="56"/>
  <c r="T23" i="56"/>
  <c r="Y28" i="56"/>
  <c r="V62" i="56"/>
  <c r="S89" i="56"/>
  <c r="X69" i="56"/>
  <c r="U99" i="56"/>
  <c r="V100" i="56"/>
  <c r="Y97" i="56"/>
  <c r="V99" i="56"/>
  <c r="U105" i="56"/>
  <c r="Q103" i="56"/>
  <c r="X97" i="56"/>
  <c r="V102" i="56"/>
  <c r="W105" i="56"/>
  <c r="X101" i="56"/>
  <c r="T103" i="56"/>
  <c r="W102" i="56"/>
  <c r="X30" i="56"/>
  <c r="W29" i="56"/>
  <c r="R29" i="56"/>
  <c r="W33" i="56"/>
  <c r="X32" i="56"/>
  <c r="AA31" i="56"/>
  <c r="W24" i="56"/>
  <c r="X25" i="56"/>
  <c r="Z29" i="56"/>
  <c r="X33" i="56"/>
  <c r="W32" i="56"/>
  <c r="AA29" i="56"/>
  <c r="Z28" i="56"/>
  <c r="R30" i="56"/>
  <c r="S23" i="56"/>
  <c r="W25" i="56"/>
  <c r="AA28" i="56"/>
  <c r="X27" i="56"/>
  <c r="R25" i="56"/>
  <c r="Z30" i="56"/>
  <c r="AA32" i="56"/>
  <c r="X28" i="56"/>
  <c r="W27" i="56"/>
  <c r="X23" i="56"/>
  <c r="AA26" i="56"/>
  <c r="S24" i="56"/>
  <c r="V25" i="56"/>
  <c r="Z27" i="56"/>
  <c r="Z26" i="56"/>
  <c r="W26" i="56"/>
  <c r="S25" i="56"/>
  <c r="R24" i="56"/>
  <c r="Z25" i="56"/>
  <c r="S27" i="56"/>
  <c r="AA24" i="56"/>
  <c r="S26" i="56"/>
  <c r="X24" i="56"/>
  <c r="R27" i="56"/>
  <c r="AA23" i="56"/>
  <c r="X26" i="56"/>
  <c r="AA33" i="56"/>
  <c r="R31" i="56"/>
  <c r="U23" i="56"/>
  <c r="Z32" i="56"/>
  <c r="Z24" i="56"/>
  <c r="T26" i="56"/>
  <c r="W31" i="56"/>
  <c r="Z33" i="56"/>
  <c r="V30" i="56"/>
  <c r="Q26" i="56"/>
  <c r="R23" i="56"/>
  <c r="X31" i="56"/>
  <c r="S32" i="56"/>
  <c r="S29" i="56"/>
  <c r="R28" i="56"/>
  <c r="Z31" i="56"/>
  <c r="Z23" i="56"/>
  <c r="W28" i="56"/>
  <c r="X29" i="56"/>
  <c r="S33" i="56"/>
  <c r="AA27" i="56"/>
  <c r="Q27" i="56"/>
  <c r="R33" i="56"/>
  <c r="W30" i="56"/>
  <c r="R32" i="56"/>
  <c r="R26" i="56"/>
  <c r="AA30" i="56"/>
  <c r="S31" i="56"/>
  <c r="S30" i="56"/>
  <c r="AA25" i="56"/>
  <c r="S28" i="56"/>
  <c r="W23" i="56"/>
  <c r="S85" i="56"/>
  <c r="Q30" i="56"/>
  <c r="R63" i="56"/>
  <c r="T25" i="56"/>
  <c r="U25" i="56"/>
  <c r="Z87" i="56"/>
  <c r="AA81" i="56"/>
  <c r="W89" i="56"/>
  <c r="Z88" i="56"/>
  <c r="AA86" i="56"/>
  <c r="X79" i="56"/>
  <c r="Z86" i="56"/>
  <c r="Y85" i="56"/>
  <c r="Z84" i="56"/>
  <c r="Y81" i="56"/>
  <c r="X89" i="56"/>
  <c r="W84" i="56"/>
  <c r="W81" i="56"/>
  <c r="W79" i="56"/>
  <c r="AA83" i="56"/>
  <c r="X86" i="56"/>
  <c r="X80" i="56"/>
  <c r="X83" i="56"/>
  <c r="Y89" i="56"/>
  <c r="Q84" i="56"/>
  <c r="W87" i="56"/>
  <c r="W88" i="56"/>
  <c r="Q79" i="56"/>
  <c r="Q87" i="56"/>
  <c r="V85" i="56"/>
  <c r="V80" i="56"/>
  <c r="Z79" i="56"/>
  <c r="Y86" i="56"/>
  <c r="U86" i="56"/>
  <c r="W85" i="56"/>
  <c r="T83" i="56"/>
  <c r="R80" i="56"/>
  <c r="X88" i="56"/>
  <c r="V86" i="56"/>
  <c r="Q88" i="56"/>
  <c r="X85" i="56"/>
  <c r="AA79" i="56"/>
  <c r="W82" i="56"/>
  <c r="X82" i="56"/>
  <c r="AA85" i="56"/>
  <c r="W86" i="56"/>
  <c r="V79" i="56"/>
  <c r="S80" i="56"/>
  <c r="W83" i="56"/>
  <c r="V83" i="56"/>
  <c r="R84" i="56"/>
  <c r="U87" i="56"/>
  <c r="Y83" i="56"/>
  <c r="U89" i="56"/>
  <c r="Z85" i="56"/>
  <c r="R88" i="56"/>
  <c r="R83" i="56"/>
  <c r="U85" i="56"/>
  <c r="Z83" i="56"/>
  <c r="Y88" i="56"/>
  <c r="Y87" i="56"/>
  <c r="U79" i="56"/>
  <c r="U88" i="56"/>
  <c r="Q82" i="56"/>
  <c r="V81" i="56"/>
  <c r="AA82" i="56"/>
  <c r="R89" i="56"/>
  <c r="R81" i="56"/>
  <c r="Y79" i="56"/>
  <c r="AA87" i="56"/>
  <c r="R86" i="56"/>
  <c r="V84" i="56"/>
  <c r="V88" i="56"/>
  <c r="R85" i="56"/>
  <c r="Z80" i="56"/>
  <c r="V87" i="56"/>
  <c r="Z82" i="56"/>
  <c r="X87" i="56"/>
  <c r="U82" i="56"/>
  <c r="T82" i="56"/>
  <c r="U81" i="56"/>
  <c r="R79" i="56"/>
  <c r="U84" i="56"/>
  <c r="AA84" i="56"/>
  <c r="Z81" i="56"/>
  <c r="AA88" i="56"/>
  <c r="Q89" i="56"/>
  <c r="X84" i="56"/>
  <c r="R82" i="56"/>
  <c r="AA89" i="56"/>
  <c r="Y84" i="56"/>
  <c r="W80" i="56"/>
  <c r="Q85" i="56"/>
  <c r="Y80" i="56"/>
  <c r="R87" i="56"/>
  <c r="U83" i="56"/>
  <c r="V89" i="56"/>
  <c r="X81" i="56"/>
  <c r="T84" i="56"/>
  <c r="U80" i="56"/>
  <c r="Y82" i="56"/>
  <c r="Z89" i="56"/>
  <c r="AA80" i="56"/>
  <c r="V82" i="56"/>
  <c r="T79" i="56"/>
  <c r="T88" i="56"/>
  <c r="X65" i="56"/>
  <c r="T30" i="56"/>
  <c r="T7" i="56"/>
  <c r="T5" i="56"/>
  <c r="S97" i="56"/>
  <c r="S99" i="56"/>
  <c r="V106" i="56"/>
  <c r="S105" i="56"/>
  <c r="Y102" i="56"/>
  <c r="Y107" i="56"/>
  <c r="S103" i="56"/>
  <c r="V107" i="56"/>
  <c r="Z106" i="56"/>
  <c r="V101" i="56"/>
  <c r="W104" i="56"/>
  <c r="W97" i="56"/>
  <c r="Q100" i="56"/>
  <c r="Q32" i="56"/>
  <c r="R69" i="56"/>
  <c r="S69" i="56"/>
  <c r="Y33" i="56"/>
  <c r="V23" i="56"/>
  <c r="S79" i="56"/>
  <c r="T143" i="56"/>
  <c r="V140" i="56"/>
  <c r="X139" i="56"/>
  <c r="Z141" i="56"/>
  <c r="V136" i="56"/>
  <c r="U140" i="56"/>
  <c r="X136" i="56"/>
  <c r="U136" i="56"/>
  <c r="Y139" i="56"/>
  <c r="T139" i="56"/>
  <c r="V141" i="56"/>
  <c r="V133" i="56"/>
  <c r="Q136" i="56"/>
  <c r="X140" i="56"/>
  <c r="Y133" i="56"/>
  <c r="Z137" i="56"/>
  <c r="X138" i="56"/>
  <c r="T136" i="56"/>
  <c r="U137" i="56"/>
  <c r="T142" i="56"/>
  <c r="Z136" i="56"/>
  <c r="Q139" i="56"/>
  <c r="Z143" i="56"/>
  <c r="Z140" i="56"/>
  <c r="Q140" i="56"/>
  <c r="T137" i="56"/>
  <c r="Q143" i="56"/>
  <c r="U142" i="56"/>
  <c r="T141" i="56"/>
  <c r="Z138" i="56"/>
  <c r="V134" i="56"/>
  <c r="U133" i="56"/>
  <c r="Z133" i="56"/>
  <c r="Y134" i="56"/>
  <c r="T133" i="56"/>
  <c r="R142" i="56"/>
  <c r="V142" i="56"/>
  <c r="X133" i="56"/>
  <c r="S140" i="56"/>
  <c r="Z135" i="56"/>
  <c r="Q137" i="56"/>
  <c r="Q138" i="56"/>
  <c r="S135" i="56"/>
  <c r="X135" i="56"/>
  <c r="W134" i="56"/>
  <c r="Z134" i="56"/>
  <c r="Y142" i="56"/>
  <c r="Z139" i="56"/>
  <c r="S139" i="56"/>
  <c r="X134" i="56"/>
  <c r="Y141" i="56"/>
  <c r="U139" i="56"/>
  <c r="V139" i="56"/>
  <c r="U141" i="56"/>
  <c r="Y138" i="56"/>
  <c r="R143" i="56"/>
  <c r="R138" i="56"/>
  <c r="U134" i="56"/>
  <c r="T138" i="56"/>
  <c r="Q133" i="56"/>
  <c r="U138" i="56"/>
  <c r="Y143" i="56"/>
  <c r="V138" i="56"/>
  <c r="Y140" i="56"/>
  <c r="T134" i="56"/>
  <c r="U143" i="56"/>
  <c r="V135" i="56"/>
  <c r="Q142" i="56"/>
  <c r="X141" i="56"/>
  <c r="Z142" i="56"/>
  <c r="Q135" i="56"/>
  <c r="Q141" i="56"/>
  <c r="T140" i="56"/>
  <c r="Y137" i="56"/>
  <c r="X143" i="56"/>
  <c r="X142" i="56"/>
  <c r="Q134" i="56"/>
  <c r="T135" i="56"/>
  <c r="U135" i="56"/>
  <c r="V143" i="56"/>
  <c r="Y136" i="56"/>
  <c r="V137" i="56"/>
  <c r="Y135" i="56"/>
  <c r="X137" i="56"/>
  <c r="W138" i="56"/>
  <c r="Q86" i="56"/>
  <c r="T97" i="56"/>
  <c r="Y106" i="56"/>
  <c r="Q97" i="56"/>
  <c r="Y101" i="56"/>
  <c r="Z98" i="56"/>
  <c r="Y103" i="56"/>
  <c r="X107" i="56"/>
  <c r="T99" i="56"/>
  <c r="T102" i="56"/>
  <c r="T100" i="56"/>
  <c r="T105" i="56"/>
  <c r="Z100" i="56"/>
  <c r="Y32" i="56"/>
  <c r="U33" i="56"/>
  <c r="U65" i="56"/>
  <c r="U69" i="56"/>
  <c r="Y64" i="56"/>
  <c r="W65" i="56"/>
  <c r="W62" i="56"/>
  <c r="U67" i="56"/>
  <c r="AA67" i="56"/>
  <c r="Q59" i="56"/>
  <c r="T61" i="56"/>
  <c r="W69" i="56"/>
  <c r="W67" i="56"/>
  <c r="AA59" i="56"/>
  <c r="W64" i="56"/>
  <c r="W63" i="56"/>
  <c r="W59" i="56"/>
  <c r="T68" i="56"/>
  <c r="AA63" i="56"/>
  <c r="U60" i="56"/>
  <c r="Y60" i="56"/>
  <c r="U59" i="56"/>
  <c r="U66" i="56"/>
  <c r="Q67" i="56"/>
  <c r="S66" i="56"/>
  <c r="W61" i="56"/>
  <c r="U63" i="56"/>
  <c r="Q60" i="56"/>
  <c r="AA65" i="56"/>
  <c r="AA64" i="56"/>
  <c r="Y63" i="56"/>
  <c r="Y61" i="56"/>
  <c r="T65" i="56"/>
  <c r="Q69" i="56"/>
  <c r="X62" i="56"/>
  <c r="V68" i="56"/>
  <c r="U61" i="56"/>
  <c r="T60" i="56"/>
  <c r="AA69" i="56"/>
  <c r="Q62" i="56"/>
  <c r="X59" i="56"/>
  <c r="R61" i="56"/>
  <c r="AA62" i="56"/>
  <c r="U68" i="56"/>
  <c r="S65" i="56"/>
  <c r="Q65" i="56"/>
  <c r="X64" i="56"/>
  <c r="Y65" i="56"/>
  <c r="AA60" i="56"/>
  <c r="Q66" i="56"/>
  <c r="Y68" i="56"/>
  <c r="T69" i="56"/>
  <c r="T64" i="56"/>
  <c r="Q68" i="56"/>
  <c r="S68" i="56"/>
  <c r="Y62" i="56"/>
  <c r="T62" i="56"/>
  <c r="AA66" i="56"/>
  <c r="Q64" i="56"/>
  <c r="T59" i="56"/>
  <c r="AA61" i="56"/>
  <c r="W68" i="56"/>
  <c r="Q61" i="56"/>
  <c r="U62" i="56"/>
  <c r="Y59" i="56"/>
  <c r="AA68" i="56"/>
  <c r="Y66" i="56"/>
  <c r="W66" i="56"/>
  <c r="U64" i="56"/>
  <c r="Y67" i="56"/>
  <c r="Q63" i="56"/>
  <c r="T63" i="56"/>
  <c r="Y69" i="56"/>
  <c r="S61" i="56"/>
  <c r="W60" i="56"/>
  <c r="S64" i="56"/>
  <c r="T66" i="56"/>
  <c r="T67" i="56"/>
  <c r="U15" i="56"/>
  <c r="S84" i="56"/>
  <c r="T9" i="56"/>
  <c r="Z68" i="56"/>
  <c r="Q24" i="56"/>
  <c r="AA138" i="56"/>
  <c r="R60" i="56"/>
  <c r="T27" i="56"/>
  <c r="R134" i="56"/>
  <c r="V28" i="56"/>
  <c r="Y26" i="56"/>
  <c r="T15" i="56"/>
  <c r="U103" i="56"/>
  <c r="Q98" i="56"/>
  <c r="U106" i="56"/>
  <c r="AA99" i="56"/>
  <c r="V103" i="56"/>
  <c r="X98" i="56"/>
  <c r="U100" i="56"/>
  <c r="Z102" i="56"/>
  <c r="Y98" i="56"/>
  <c r="W107" i="56"/>
  <c r="X106" i="56"/>
  <c r="X105" i="56"/>
  <c r="Y31" i="56"/>
  <c r="Q29" i="56"/>
  <c r="V67" i="56"/>
  <c r="T80" i="56"/>
  <c r="T86" i="56"/>
  <c r="AA105" i="56"/>
  <c r="Q106" i="56"/>
  <c r="R102" i="56"/>
  <c r="Q102" i="56"/>
  <c r="W98" i="56"/>
  <c r="R107" i="56"/>
  <c r="Y99" i="56"/>
  <c r="U104" i="56"/>
  <c r="X100" i="56"/>
  <c r="W101" i="56"/>
  <c r="X102" i="56"/>
  <c r="T101" i="56"/>
  <c r="Z97" i="56"/>
  <c r="U24" i="56"/>
  <c r="T29" i="56"/>
  <c r="U26" i="56"/>
  <c r="R59" i="56"/>
  <c r="T31" i="56"/>
  <c r="S136" i="56"/>
  <c r="R68" i="56"/>
  <c r="T28" i="56"/>
  <c r="S67" i="56"/>
  <c r="R12" i="56"/>
  <c r="Q28" i="56"/>
  <c r="R97" i="56"/>
  <c r="Y27" i="56"/>
  <c r="X67" i="56"/>
  <c r="S133" i="56"/>
  <c r="U29" i="56"/>
  <c r="Q81" i="56"/>
  <c r="Z65" i="56"/>
  <c r="R66" i="56"/>
  <c r="T32" i="56"/>
  <c r="V24" i="56"/>
  <c r="Z62" i="56"/>
  <c r="U7" i="56"/>
  <c r="W139" i="56"/>
  <c r="V69" i="56"/>
  <c r="Q31" i="56"/>
  <c r="Y25" i="56"/>
  <c r="X61" i="56"/>
  <c r="S101" i="56"/>
  <c r="S83" i="56"/>
  <c r="T87" i="56"/>
  <c r="U13" i="56"/>
  <c r="U6" i="56"/>
  <c r="Z105" i="56"/>
  <c r="U97" i="56"/>
  <c r="V98" i="56"/>
  <c r="S98" i="56"/>
  <c r="Z104" i="56"/>
  <c r="Q101" i="56"/>
  <c r="Y105" i="56"/>
  <c r="U98" i="56"/>
  <c r="U107" i="56"/>
  <c r="T107" i="56"/>
  <c r="W106" i="56"/>
  <c r="X99" i="56"/>
  <c r="V134" i="55"/>
  <c r="W136" i="55"/>
  <c r="U134" i="55"/>
  <c r="W137" i="55"/>
  <c r="U135" i="55"/>
  <c r="W138" i="55"/>
  <c r="V133" i="55"/>
  <c r="W141" i="55"/>
  <c r="V135" i="55"/>
  <c r="U142" i="55"/>
  <c r="U141" i="55"/>
  <c r="V137" i="55"/>
  <c r="W142" i="55"/>
  <c r="V141" i="55"/>
  <c r="S103" i="55"/>
  <c r="S97" i="55"/>
  <c r="S107" i="55"/>
  <c r="Q105" i="55"/>
  <c r="S105" i="55"/>
  <c r="X99" i="55"/>
  <c r="Q100" i="55"/>
  <c r="Q103" i="55"/>
  <c r="AA97" i="55"/>
  <c r="X100" i="55"/>
  <c r="X102" i="55"/>
  <c r="Q101" i="55"/>
  <c r="Q104" i="55"/>
  <c r="AA107" i="55"/>
  <c r="S83" i="55"/>
  <c r="U81" i="55"/>
  <c r="W88" i="55"/>
  <c r="Q82" i="55"/>
  <c r="X83" i="55"/>
  <c r="Q79" i="55"/>
  <c r="T82" i="55"/>
  <c r="V89" i="55"/>
  <c r="AA87" i="55"/>
  <c r="T84" i="55"/>
  <c r="AA86" i="55"/>
  <c r="W79" i="55"/>
  <c r="Q85" i="55"/>
  <c r="W82" i="55"/>
  <c r="R81" i="55"/>
  <c r="U85" i="55"/>
  <c r="AA79" i="55"/>
  <c r="Q86" i="55"/>
  <c r="V86" i="55"/>
  <c r="Q80" i="55"/>
  <c r="Y89" i="55"/>
  <c r="T88" i="55"/>
  <c r="Q87" i="55"/>
  <c r="AA88" i="55"/>
  <c r="X85" i="55"/>
  <c r="W83" i="55"/>
  <c r="Q89" i="55"/>
  <c r="R83" i="55"/>
  <c r="S87" i="55"/>
  <c r="U86" i="55"/>
  <c r="R87" i="55"/>
  <c r="U88" i="55"/>
  <c r="W81" i="55"/>
  <c r="X79" i="55"/>
  <c r="R79" i="55"/>
  <c r="Y86" i="55"/>
  <c r="U80" i="55"/>
  <c r="Z87" i="55"/>
  <c r="S82" i="55"/>
  <c r="S85" i="55"/>
  <c r="T89" i="55"/>
  <c r="Q83" i="55"/>
  <c r="S79" i="55"/>
  <c r="U84" i="55"/>
  <c r="T81" i="55"/>
  <c r="Z85" i="55"/>
  <c r="Z86" i="55"/>
  <c r="U89" i="55"/>
  <c r="Y83" i="55"/>
  <c r="X81" i="55"/>
  <c r="T79" i="55"/>
  <c r="AA84" i="55"/>
  <c r="Y82" i="55"/>
  <c r="R89" i="55"/>
  <c r="Y88" i="55"/>
  <c r="U82" i="55"/>
  <c r="Q88" i="55"/>
  <c r="Y81" i="55"/>
  <c r="S80" i="55"/>
  <c r="W80" i="55"/>
  <c r="V87" i="55"/>
  <c r="X89" i="55"/>
  <c r="Y87" i="55"/>
  <c r="Y49" i="55"/>
  <c r="Q41" i="55"/>
  <c r="Q47" i="55"/>
  <c r="S50" i="55"/>
  <c r="Q49" i="55"/>
  <c r="Q50" i="55"/>
  <c r="Y51" i="55"/>
  <c r="Y44" i="55"/>
  <c r="Y42" i="55"/>
  <c r="Y48" i="55"/>
  <c r="AA41" i="55"/>
  <c r="S41" i="55"/>
  <c r="S49" i="55"/>
  <c r="AA42" i="55"/>
  <c r="S47" i="55"/>
  <c r="S48" i="55"/>
  <c r="S43" i="55"/>
  <c r="Q42" i="55"/>
  <c r="S45" i="55"/>
  <c r="Q45" i="55"/>
  <c r="Z23" i="55"/>
  <c r="W24" i="55"/>
  <c r="Z31" i="55"/>
  <c r="Z33" i="55"/>
  <c r="V24" i="55"/>
  <c r="Z29" i="55"/>
  <c r="U33" i="55"/>
  <c r="W27" i="55"/>
  <c r="V5" i="55"/>
  <c r="S7" i="55"/>
  <c r="V8" i="55"/>
  <c r="S14" i="55"/>
  <c r="V11" i="55"/>
  <c r="S5" i="55"/>
  <c r="S13" i="55"/>
  <c r="Q14" i="55"/>
  <c r="X119" i="55"/>
  <c r="X120" i="55"/>
  <c r="Q120" i="55"/>
  <c r="X122" i="55"/>
  <c r="X115" i="55"/>
  <c r="W120" i="55"/>
  <c r="W123" i="55"/>
  <c r="Q124" i="55"/>
  <c r="W117" i="55"/>
  <c r="U115" i="55"/>
  <c r="Y118" i="55"/>
  <c r="Q125" i="55"/>
  <c r="Q119" i="55"/>
  <c r="Y125" i="55"/>
  <c r="U122" i="55"/>
  <c r="V119" i="55"/>
  <c r="Y122" i="55"/>
  <c r="X121" i="55"/>
  <c r="Q122" i="55"/>
  <c r="V115" i="55"/>
  <c r="Q118" i="55"/>
  <c r="X123" i="55"/>
  <c r="Y120" i="55"/>
  <c r="Y117" i="55"/>
  <c r="U120" i="55"/>
  <c r="U121" i="55"/>
  <c r="U123" i="55"/>
  <c r="W121" i="55"/>
  <c r="Q121" i="55"/>
  <c r="Q115" i="55"/>
  <c r="W119" i="55"/>
  <c r="R124" i="55"/>
  <c r="AA115" i="55"/>
  <c r="S117" i="55"/>
  <c r="AA117" i="55"/>
  <c r="X118" i="55"/>
  <c r="W124" i="55"/>
  <c r="V117" i="55"/>
  <c r="S122" i="55"/>
  <c r="V125" i="55"/>
  <c r="Y119" i="55"/>
  <c r="Y121" i="55"/>
  <c r="T123" i="55"/>
  <c r="U124" i="55"/>
  <c r="U117" i="55"/>
  <c r="AA125" i="55"/>
  <c r="S115" i="55"/>
  <c r="Q123" i="55"/>
  <c r="Z125" i="55"/>
  <c r="W118" i="55"/>
  <c r="S119" i="55"/>
  <c r="S116" i="55"/>
  <c r="W116" i="55"/>
  <c r="U119" i="55"/>
  <c r="Y124" i="55"/>
  <c r="Y123" i="55"/>
  <c r="U125" i="55"/>
  <c r="Q117" i="55"/>
  <c r="W115" i="55"/>
  <c r="S124" i="55"/>
  <c r="Y115" i="55"/>
  <c r="R116" i="55"/>
  <c r="Q116" i="55"/>
  <c r="AA123" i="55"/>
  <c r="S118" i="55"/>
  <c r="S125" i="55"/>
  <c r="V120" i="55"/>
  <c r="V123" i="55"/>
  <c r="W122" i="55"/>
  <c r="U118" i="55"/>
  <c r="W125" i="55"/>
  <c r="Y116" i="55"/>
  <c r="V118" i="55"/>
  <c r="X125" i="55"/>
  <c r="T117" i="55"/>
  <c r="X124" i="55"/>
  <c r="X116" i="55"/>
  <c r="S121" i="55"/>
  <c r="Z121" i="55"/>
  <c r="AA121" i="55"/>
  <c r="X117" i="55"/>
  <c r="V121" i="55"/>
  <c r="Z124" i="55"/>
  <c r="V116" i="55"/>
  <c r="U116" i="55"/>
  <c r="Z118" i="55"/>
  <c r="S123" i="55"/>
  <c r="R125" i="55"/>
  <c r="V122" i="55"/>
  <c r="R121" i="55"/>
  <c r="S120" i="55"/>
  <c r="V124" i="55"/>
  <c r="AA13" i="55"/>
  <c r="U31" i="55"/>
  <c r="V33" i="55"/>
  <c r="T69" i="55"/>
  <c r="W14" i="55"/>
  <c r="R119" i="55"/>
  <c r="W8" i="55"/>
  <c r="AA8" i="55"/>
  <c r="Y68" i="55"/>
  <c r="U133" i="55"/>
  <c r="AA45" i="55"/>
  <c r="W31" i="55"/>
  <c r="V13" i="55"/>
  <c r="W25" i="55"/>
  <c r="V136" i="55"/>
  <c r="Y45" i="55"/>
  <c r="S44" i="55"/>
  <c r="T116" i="55"/>
  <c r="V138" i="55"/>
  <c r="Y46" i="55"/>
  <c r="R99" i="55"/>
  <c r="Y50" i="55"/>
  <c r="AA6" i="55"/>
  <c r="Y59" i="55"/>
  <c r="U139" i="55"/>
  <c r="AA100" i="55"/>
  <c r="V7" i="55"/>
  <c r="S106" i="55"/>
  <c r="V26" i="55"/>
  <c r="U87" i="55"/>
  <c r="T115" i="55"/>
  <c r="AA44" i="55"/>
  <c r="U65" i="55"/>
  <c r="Z26" i="55"/>
  <c r="S15" i="55"/>
  <c r="Y62" i="55"/>
  <c r="T118" i="55"/>
  <c r="Q102" i="55"/>
  <c r="R117" i="55"/>
  <c r="W84" i="55"/>
  <c r="AA15" i="55"/>
  <c r="U79" i="55"/>
  <c r="AA106" i="55"/>
  <c r="U28" i="55"/>
  <c r="AA7" i="55"/>
  <c r="Q51" i="55"/>
  <c r="Y41" i="55"/>
  <c r="X32" i="55"/>
  <c r="X25" i="55"/>
  <c r="X33" i="55"/>
  <c r="X31" i="55"/>
  <c r="X23" i="55"/>
  <c r="S25" i="55"/>
  <c r="X30" i="55"/>
  <c r="Y30" i="55"/>
  <c r="R25" i="55"/>
  <c r="T30" i="55"/>
  <c r="T23" i="55"/>
  <c r="Y27" i="55"/>
  <c r="X24" i="55"/>
  <c r="R28" i="55"/>
  <c r="Y29" i="55"/>
  <c r="AA32" i="55"/>
  <c r="Q30" i="55"/>
  <c r="AA25" i="55"/>
  <c r="X26" i="55"/>
  <c r="Q23" i="55"/>
  <c r="R27" i="55"/>
  <c r="R31" i="55"/>
  <c r="T26" i="55"/>
  <c r="AA29" i="55"/>
  <c r="AA24" i="55"/>
  <c r="T29" i="55"/>
  <c r="U27" i="55"/>
  <c r="Q26" i="55"/>
  <c r="W29" i="55"/>
  <c r="W28" i="55"/>
  <c r="U26" i="55"/>
  <c r="Y24" i="55"/>
  <c r="T28" i="55"/>
  <c r="Y28" i="55"/>
  <c r="S28" i="55"/>
  <c r="AA28" i="55"/>
  <c r="V28" i="55"/>
  <c r="Y33" i="55"/>
  <c r="R33" i="55"/>
  <c r="U30" i="55"/>
  <c r="S30" i="55"/>
  <c r="X27" i="55"/>
  <c r="Q24" i="55"/>
  <c r="S33" i="55"/>
  <c r="V23" i="55"/>
  <c r="R29" i="55"/>
  <c r="X29" i="55"/>
  <c r="Z24" i="55"/>
  <c r="S31" i="55"/>
  <c r="Q33" i="55"/>
  <c r="S23" i="55"/>
  <c r="R30" i="55"/>
  <c r="R26" i="55"/>
  <c r="T27" i="55"/>
  <c r="Q29" i="55"/>
  <c r="S27" i="55"/>
  <c r="T25" i="55"/>
  <c r="T33" i="55"/>
  <c r="S32" i="55"/>
  <c r="S29" i="55"/>
  <c r="Q28" i="55"/>
  <c r="S24" i="55"/>
  <c r="Q25" i="55"/>
  <c r="R32" i="55"/>
  <c r="Z27" i="55"/>
  <c r="V31" i="55"/>
  <c r="Q31" i="55"/>
  <c r="T32" i="55"/>
  <c r="AA26" i="55"/>
  <c r="V27" i="55"/>
  <c r="T24" i="55"/>
  <c r="AA31" i="55"/>
  <c r="Y31" i="55"/>
  <c r="AA30" i="55"/>
  <c r="AA23" i="55"/>
  <c r="T31" i="55"/>
  <c r="Y32" i="55"/>
  <c r="R23" i="55"/>
  <c r="AA33" i="55"/>
  <c r="S26" i="55"/>
  <c r="X28" i="55"/>
  <c r="Y25" i="55"/>
  <c r="W30" i="55"/>
  <c r="Y26" i="55"/>
  <c r="Q27" i="55"/>
  <c r="Y23" i="55"/>
  <c r="V29" i="55"/>
  <c r="R24" i="55"/>
  <c r="Q32" i="55"/>
  <c r="AA27" i="55"/>
  <c r="U61" i="55"/>
  <c r="Z117" i="55"/>
  <c r="R86" i="55"/>
  <c r="Y80" i="55"/>
  <c r="V80" i="55"/>
  <c r="V88" i="55"/>
  <c r="X88" i="55"/>
  <c r="AA81" i="55"/>
  <c r="T80" i="55"/>
  <c r="AA82" i="55"/>
  <c r="V79" i="55"/>
  <c r="T86" i="55"/>
  <c r="V85" i="55"/>
  <c r="S88" i="55"/>
  <c r="Y84" i="55"/>
  <c r="U14" i="55"/>
  <c r="Q5" i="55"/>
  <c r="R12" i="55"/>
  <c r="U11" i="55"/>
  <c r="Q6" i="55"/>
  <c r="R9" i="55"/>
  <c r="Y12" i="55"/>
  <c r="R7" i="55"/>
  <c r="Y14" i="55"/>
  <c r="U6" i="55"/>
  <c r="T5" i="55"/>
  <c r="Y69" i="55"/>
  <c r="AA122" i="55"/>
  <c r="Z123" i="55"/>
  <c r="R122" i="55"/>
  <c r="W9" i="55"/>
  <c r="R5" i="55"/>
  <c r="Y15" i="55"/>
  <c r="U10" i="55"/>
  <c r="Z6" i="55"/>
  <c r="U13" i="55"/>
  <c r="X13" i="55"/>
  <c r="Y11" i="55"/>
  <c r="Y10" i="55"/>
  <c r="Q10" i="55"/>
  <c r="Z12" i="55"/>
  <c r="U68" i="55"/>
  <c r="T119" i="55"/>
  <c r="T60" i="55"/>
  <c r="U66" i="55"/>
  <c r="Y63" i="55"/>
  <c r="R123" i="55"/>
  <c r="T64" i="55"/>
  <c r="T68" i="55"/>
  <c r="AA9" i="55"/>
  <c r="X6" i="55"/>
  <c r="U7" i="55"/>
  <c r="W15" i="55"/>
  <c r="S11" i="55"/>
  <c r="V6" i="55"/>
  <c r="Y8" i="55"/>
  <c r="Z7" i="55"/>
  <c r="V14" i="55"/>
  <c r="R14" i="55"/>
  <c r="T6" i="55"/>
  <c r="Q12" i="55"/>
  <c r="T63" i="55"/>
  <c r="X135" i="55"/>
  <c r="X133" i="55"/>
  <c r="X141" i="55"/>
  <c r="S140" i="55"/>
  <c r="Z133" i="55"/>
  <c r="AA133" i="55"/>
  <c r="X139" i="55"/>
  <c r="Y134" i="55"/>
  <c r="Y138" i="55"/>
  <c r="X140" i="55"/>
  <c r="Y143" i="55"/>
  <c r="W139" i="55"/>
  <c r="AA143" i="55"/>
  <c r="Y140" i="55"/>
  <c r="Z135" i="55"/>
  <c r="X143" i="55"/>
  <c r="Y136" i="55"/>
  <c r="Z134" i="55"/>
  <c r="X136" i="55"/>
  <c r="AA136" i="55"/>
  <c r="T143" i="55"/>
  <c r="Q134" i="55"/>
  <c r="X134" i="55"/>
  <c r="Z138" i="55"/>
  <c r="AA135" i="55"/>
  <c r="R137" i="55"/>
  <c r="U140" i="55"/>
  <c r="Y141" i="55"/>
  <c r="Z136" i="55"/>
  <c r="S137" i="55"/>
  <c r="R136" i="55"/>
  <c r="S138" i="55"/>
  <c r="AA134" i="55"/>
  <c r="R143" i="55"/>
  <c r="V139" i="55"/>
  <c r="Y137" i="55"/>
  <c r="T141" i="55"/>
  <c r="T139" i="55"/>
  <c r="T133" i="55"/>
  <c r="Q143" i="55"/>
  <c r="AA138" i="55"/>
  <c r="S139" i="55"/>
  <c r="X142" i="55"/>
  <c r="Y135" i="55"/>
  <c r="Z140" i="55"/>
  <c r="T142" i="55"/>
  <c r="S133" i="55"/>
  <c r="S136" i="55"/>
  <c r="T135" i="55"/>
  <c r="T140" i="55"/>
  <c r="AA139" i="55"/>
  <c r="AA137" i="55"/>
  <c r="X137" i="55"/>
  <c r="Y142" i="55"/>
  <c r="W143" i="55"/>
  <c r="Z142" i="55"/>
  <c r="R141" i="55"/>
  <c r="U138" i="55"/>
  <c r="Y139" i="55"/>
  <c r="Z137" i="55"/>
  <c r="Q141" i="55"/>
  <c r="T134" i="55"/>
  <c r="T138" i="55"/>
  <c r="S142" i="55"/>
  <c r="X138" i="55"/>
  <c r="AA140" i="55"/>
  <c r="Q136" i="55"/>
  <c r="Z139" i="55"/>
  <c r="AA142" i="55"/>
  <c r="R134" i="55"/>
  <c r="Q137" i="55"/>
  <c r="R138" i="55"/>
  <c r="S135" i="55"/>
  <c r="T136" i="55"/>
  <c r="Q139" i="55"/>
  <c r="Q142" i="55"/>
  <c r="W140" i="55"/>
  <c r="U137" i="55"/>
  <c r="AA141" i="55"/>
  <c r="Y133" i="55"/>
  <c r="Q138" i="55"/>
  <c r="Z141" i="55"/>
  <c r="Q133" i="55"/>
  <c r="R139" i="55"/>
  <c r="S143" i="55"/>
  <c r="R133" i="55"/>
  <c r="S141" i="55"/>
  <c r="Q135" i="55"/>
  <c r="S134" i="55"/>
  <c r="Z143" i="55"/>
  <c r="R135" i="55"/>
  <c r="T137" i="55"/>
  <c r="R142" i="55"/>
  <c r="R140" i="55"/>
  <c r="Q140" i="55"/>
  <c r="W134" i="55"/>
  <c r="Q84" i="55"/>
  <c r="S10" i="55"/>
  <c r="Z28" i="55"/>
  <c r="U64" i="55"/>
  <c r="U24" i="55"/>
  <c r="S8" i="55"/>
  <c r="AA119" i="55"/>
  <c r="S6" i="55"/>
  <c r="R88" i="55"/>
  <c r="AA10" i="55"/>
  <c r="W26" i="55"/>
  <c r="AA116" i="55"/>
  <c r="Y67" i="55"/>
  <c r="S65" i="55"/>
  <c r="S64" i="55"/>
  <c r="S59" i="55"/>
  <c r="T121" i="55"/>
  <c r="W6" i="55"/>
  <c r="Z119" i="55"/>
  <c r="U23" i="55"/>
  <c r="W135" i="55"/>
  <c r="V10" i="55"/>
  <c r="Z115" i="55"/>
  <c r="Y64" i="55"/>
  <c r="T59" i="55"/>
  <c r="T61" i="55"/>
  <c r="Z122" i="55"/>
  <c r="AA124" i="55"/>
  <c r="Y66" i="55"/>
  <c r="V15" i="55"/>
  <c r="T67" i="55"/>
  <c r="Y99" i="55"/>
  <c r="T105" i="55"/>
  <c r="W103" i="55"/>
  <c r="V103" i="55"/>
  <c r="Y102" i="55"/>
  <c r="V100" i="55"/>
  <c r="W105" i="55"/>
  <c r="U103" i="55"/>
  <c r="T101" i="55"/>
  <c r="W101" i="55"/>
  <c r="W99" i="55"/>
  <c r="V101" i="55"/>
  <c r="U101" i="55"/>
  <c r="Z99" i="55"/>
  <c r="V102" i="55"/>
  <c r="Y106" i="55"/>
  <c r="Z105" i="55"/>
  <c r="S99" i="55"/>
  <c r="Y101" i="55"/>
  <c r="R106" i="55"/>
  <c r="T100" i="55"/>
  <c r="Z103" i="55"/>
  <c r="V106" i="55"/>
  <c r="AA103" i="55"/>
  <c r="X106" i="55"/>
  <c r="Z101" i="55"/>
  <c r="S101" i="55"/>
  <c r="U100" i="55"/>
  <c r="Y103" i="55"/>
  <c r="U97" i="55"/>
  <c r="Y107" i="55"/>
  <c r="T99" i="55"/>
  <c r="V99" i="55"/>
  <c r="S98" i="55"/>
  <c r="U102" i="55"/>
  <c r="T98" i="55"/>
  <c r="R101" i="55"/>
  <c r="Y104" i="55"/>
  <c r="AA98" i="55"/>
  <c r="T107" i="55"/>
  <c r="V98" i="55"/>
  <c r="R97" i="55"/>
  <c r="R100" i="55"/>
  <c r="Z106" i="55"/>
  <c r="Z98" i="55"/>
  <c r="W102" i="55"/>
  <c r="W107" i="55"/>
  <c r="T103" i="55"/>
  <c r="U99" i="55"/>
  <c r="X107" i="55"/>
  <c r="T104" i="55"/>
  <c r="U106" i="55"/>
  <c r="Z104" i="55"/>
  <c r="V105" i="55"/>
  <c r="AA102" i="55"/>
  <c r="T97" i="55"/>
  <c r="Q99" i="55"/>
  <c r="Q106" i="55"/>
  <c r="R105" i="55"/>
  <c r="V104" i="55"/>
  <c r="X104" i="55"/>
  <c r="W97" i="55"/>
  <c r="R103" i="55"/>
  <c r="T102" i="55"/>
  <c r="Y105" i="55"/>
  <c r="U107" i="55"/>
  <c r="S100" i="55"/>
  <c r="Z100" i="55"/>
  <c r="Q97" i="55"/>
  <c r="X103" i="55"/>
  <c r="AA105" i="55"/>
  <c r="Y100" i="55"/>
  <c r="Z107" i="55"/>
  <c r="Z97" i="55"/>
  <c r="Z102" i="55"/>
  <c r="AA99" i="55"/>
  <c r="U104" i="55"/>
  <c r="U98" i="55"/>
  <c r="W98" i="55"/>
  <c r="X101" i="55"/>
  <c r="W100" i="55"/>
  <c r="R107" i="55"/>
  <c r="Y98" i="55"/>
  <c r="W106" i="55"/>
  <c r="Y97" i="55"/>
  <c r="R98" i="55"/>
  <c r="U105" i="55"/>
  <c r="T106" i="55"/>
  <c r="V107" i="55"/>
  <c r="Q107" i="55"/>
  <c r="W104" i="55"/>
  <c r="V97" i="55"/>
  <c r="Q98" i="55"/>
  <c r="X105" i="55"/>
  <c r="V30" i="55"/>
  <c r="U60" i="55"/>
  <c r="W85" i="55"/>
  <c r="AA85" i="55"/>
  <c r="R85" i="55"/>
  <c r="AA89" i="55"/>
  <c r="V82" i="55"/>
  <c r="Z84" i="55"/>
  <c r="Y85" i="55"/>
  <c r="V84" i="55"/>
  <c r="X84" i="55"/>
  <c r="T83" i="55"/>
  <c r="Q81" i="55"/>
  <c r="S81" i="55"/>
  <c r="Z82" i="55"/>
  <c r="R11" i="55"/>
  <c r="Z15" i="55"/>
  <c r="X9" i="55"/>
  <c r="R6" i="55"/>
  <c r="W5" i="55"/>
  <c r="T7" i="55"/>
  <c r="Y7" i="55"/>
  <c r="Z13" i="55"/>
  <c r="T14" i="55"/>
  <c r="T13" i="55"/>
  <c r="T11" i="55"/>
  <c r="V143" i="55"/>
  <c r="V32" i="55"/>
  <c r="R115" i="55"/>
  <c r="V142" i="55"/>
  <c r="U143" i="55"/>
  <c r="S66" i="55"/>
  <c r="AA5" i="55"/>
  <c r="Z30" i="55"/>
  <c r="U83" i="55"/>
  <c r="R104" i="55"/>
  <c r="V140" i="55"/>
  <c r="AA43" i="55"/>
  <c r="S104" i="55"/>
  <c r="S102" i="55"/>
  <c r="U136" i="55"/>
  <c r="U69" i="55"/>
  <c r="S12" i="55"/>
  <c r="U25" i="55"/>
  <c r="W32" i="55"/>
  <c r="R102" i="55"/>
  <c r="AA49" i="55"/>
  <c r="AA50" i="55"/>
  <c r="AA14" i="55"/>
  <c r="W23" i="55"/>
  <c r="AA118" i="55"/>
  <c r="Z25" i="55"/>
  <c r="U59" i="55"/>
  <c r="X97" i="55"/>
  <c r="Y47" i="55"/>
  <c r="W11" i="55"/>
  <c r="AA80" i="55"/>
  <c r="Z79" i="55"/>
  <c r="R80" i="55"/>
  <c r="AA83" i="55"/>
  <c r="R84" i="55"/>
  <c r="X82" i="55"/>
  <c r="W89" i="55"/>
  <c r="Y79" i="55"/>
  <c r="S89" i="55"/>
  <c r="S84" i="55"/>
  <c r="Z88" i="55"/>
  <c r="X87" i="55"/>
  <c r="U12" i="55"/>
  <c r="T9" i="55"/>
  <c r="X7" i="55"/>
  <c r="X14" i="55"/>
  <c r="Z8" i="55"/>
  <c r="Y13" i="55"/>
  <c r="Y5" i="55"/>
  <c r="Z9" i="55"/>
  <c r="Y6" i="55"/>
  <c r="T8" i="55"/>
  <c r="R13" i="55"/>
  <c r="T120" i="55"/>
  <c r="R120" i="55"/>
  <c r="R118" i="55"/>
  <c r="Z116" i="55"/>
  <c r="S9" i="55"/>
  <c r="U29" i="55"/>
  <c r="Q15" i="55"/>
  <c r="Q7" i="55"/>
  <c r="X15" i="55"/>
  <c r="X12" i="55"/>
  <c r="W12" i="55"/>
  <c r="Z14" i="55"/>
  <c r="U5" i="55"/>
  <c r="Q8" i="55"/>
  <c r="Q13" i="55"/>
  <c r="X10" i="55"/>
  <c r="T15" i="55"/>
  <c r="Q69" i="55"/>
  <c r="W65" i="55"/>
  <c r="Q63" i="55"/>
  <c r="Q68" i="55"/>
  <c r="AA65" i="55"/>
  <c r="Z65" i="55"/>
  <c r="W60" i="55"/>
  <c r="AA59" i="55"/>
  <c r="AA67" i="55"/>
  <c r="Z63" i="55"/>
  <c r="W69" i="55"/>
  <c r="AA66" i="55"/>
  <c r="R64" i="55"/>
  <c r="X59" i="55"/>
  <c r="X64" i="55"/>
  <c r="W63" i="55"/>
  <c r="V59" i="55"/>
  <c r="W66" i="55"/>
  <c r="W68" i="55"/>
  <c r="V65" i="55"/>
  <c r="R63" i="55"/>
  <c r="Z68" i="55"/>
  <c r="AA64" i="55"/>
  <c r="Z67" i="55"/>
  <c r="Y61" i="55"/>
  <c r="S60" i="55"/>
  <c r="T62" i="55"/>
  <c r="Q65" i="55"/>
  <c r="X60" i="55"/>
  <c r="Q67" i="55"/>
  <c r="AA60" i="55"/>
  <c r="Q64" i="55"/>
  <c r="R68" i="55"/>
  <c r="X63" i="55"/>
  <c r="Q59" i="55"/>
  <c r="AA69" i="55"/>
  <c r="V61" i="55"/>
  <c r="V63" i="55"/>
  <c r="Z69" i="55"/>
  <c r="Z61" i="55"/>
  <c r="X61" i="55"/>
  <c r="X69" i="55"/>
  <c r="U63" i="55"/>
  <c r="W61" i="55"/>
  <c r="Q60" i="55"/>
  <c r="V68" i="55"/>
  <c r="R62" i="55"/>
  <c r="Q61" i="55"/>
  <c r="V60" i="55"/>
  <c r="AA63" i="55"/>
  <c r="X66" i="55"/>
  <c r="S61" i="55"/>
  <c r="U67" i="55"/>
  <c r="R60" i="55"/>
  <c r="V64" i="55"/>
  <c r="R59" i="55"/>
  <c r="S67" i="55"/>
  <c r="Z64" i="55"/>
  <c r="S63" i="55"/>
  <c r="R61" i="55"/>
  <c r="S68" i="55"/>
  <c r="Q66" i="55"/>
  <c r="X68" i="55"/>
  <c r="S62" i="55"/>
  <c r="Z66" i="55"/>
  <c r="Q62" i="55"/>
  <c r="W67" i="55"/>
  <c r="Z60" i="55"/>
  <c r="V66" i="55"/>
  <c r="AA61" i="55"/>
  <c r="W64" i="55"/>
  <c r="R69" i="55"/>
  <c r="V69" i="55"/>
  <c r="X67" i="55"/>
  <c r="AA62" i="55"/>
  <c r="R65" i="55"/>
  <c r="R67" i="55"/>
  <c r="X62" i="55"/>
  <c r="Z59" i="55"/>
  <c r="R66" i="55"/>
  <c r="Z62" i="55"/>
  <c r="X65" i="55"/>
  <c r="W59" i="55"/>
  <c r="V67" i="55"/>
  <c r="W62" i="55"/>
  <c r="AA68" i="55"/>
  <c r="S69" i="55"/>
  <c r="V62" i="55"/>
  <c r="U62" i="55"/>
  <c r="V25" i="55"/>
  <c r="T65" i="55"/>
  <c r="AA47" i="55"/>
  <c r="X8" i="55"/>
  <c r="Y9" i="55"/>
  <c r="T10" i="55"/>
  <c r="R15" i="55"/>
  <c r="AA11" i="55"/>
  <c r="AA12" i="55"/>
  <c r="V12" i="55"/>
  <c r="U9" i="55"/>
  <c r="U15" i="55"/>
  <c r="Q11" i="55"/>
  <c r="R8" i="55"/>
  <c r="T122" i="55"/>
  <c r="Y65" i="55"/>
  <c r="Y60" i="55"/>
  <c r="T125" i="55"/>
  <c r="T124" i="55"/>
  <c r="Z120" i="55"/>
  <c r="T47" i="55"/>
  <c r="R42" i="55"/>
  <c r="R43" i="55"/>
  <c r="X41" i="55"/>
  <c r="T44" i="55"/>
  <c r="Z48" i="55"/>
  <c r="R50" i="55"/>
  <c r="W45" i="55"/>
  <c r="Z42" i="55"/>
  <c r="R51" i="55"/>
  <c r="T51" i="55"/>
  <c r="U47" i="55"/>
  <c r="U43" i="55"/>
  <c r="Z47" i="55"/>
  <c r="T45" i="55"/>
  <c r="V47" i="55"/>
  <c r="R48" i="55"/>
  <c r="T42" i="55"/>
  <c r="Z50" i="55"/>
  <c r="Z51" i="55"/>
  <c r="T50" i="55"/>
  <c r="V49" i="55"/>
  <c r="AA51" i="55"/>
  <c r="T43" i="55"/>
  <c r="V50" i="55"/>
  <c r="V44" i="55"/>
  <c r="V51" i="55"/>
  <c r="X50" i="55"/>
  <c r="W42" i="55"/>
  <c r="U42" i="55"/>
  <c r="Q48" i="55"/>
  <c r="Z41" i="55"/>
  <c r="W50" i="55"/>
  <c r="T41" i="55"/>
  <c r="X47" i="55"/>
  <c r="R46" i="55"/>
  <c r="V45" i="55"/>
  <c r="V41" i="55"/>
  <c r="Z43" i="55"/>
  <c r="R47" i="55"/>
  <c r="V43" i="55"/>
  <c r="R41" i="55"/>
  <c r="X44" i="55"/>
  <c r="X42" i="55"/>
  <c r="X51" i="55"/>
  <c r="Z44" i="55"/>
  <c r="W43" i="55"/>
  <c r="T48" i="55"/>
  <c r="U44" i="55"/>
  <c r="W49" i="55"/>
  <c r="R45" i="55"/>
  <c r="S46" i="55"/>
  <c r="U48" i="55"/>
  <c r="S42" i="55"/>
  <c r="S51" i="55"/>
  <c r="X49" i="55"/>
  <c r="Y43" i="55"/>
  <c r="Z49" i="55"/>
  <c r="T46" i="55"/>
  <c r="T49" i="55"/>
  <c r="R49" i="55"/>
  <c r="U41" i="55"/>
  <c r="Z46" i="55"/>
  <c r="W41" i="55"/>
  <c r="W46" i="55"/>
  <c r="X45" i="55"/>
  <c r="U45" i="55"/>
  <c r="U46" i="55"/>
  <c r="Q46" i="55"/>
  <c r="W51" i="55"/>
  <c r="R44" i="55"/>
  <c r="W47" i="55"/>
  <c r="V42" i="55"/>
  <c r="AA46" i="55"/>
  <c r="W48" i="55"/>
  <c r="Q43" i="55"/>
  <c r="AA48" i="55"/>
  <c r="V46" i="55"/>
  <c r="X46" i="55"/>
  <c r="X48" i="55"/>
  <c r="X43" i="55"/>
  <c r="Z45" i="55"/>
  <c r="U49" i="55"/>
  <c r="U51" i="55"/>
  <c r="U50" i="55"/>
  <c r="W44" i="55"/>
  <c r="V48" i="55"/>
  <c r="Z32" i="55"/>
  <c r="U32" i="55"/>
  <c r="AA104" i="55"/>
  <c r="W87" i="55"/>
  <c r="AA120" i="55"/>
  <c r="R82" i="55"/>
  <c r="AA101" i="55"/>
  <c r="W10" i="55"/>
  <c r="X86" i="55"/>
  <c r="S86" i="55"/>
  <c r="X80" i="55"/>
  <c r="V83" i="55"/>
  <c r="W86" i="55"/>
  <c r="Z83" i="55"/>
  <c r="Z80" i="55"/>
  <c r="T87" i="55"/>
  <c r="Z89" i="55"/>
  <c r="Z81" i="55"/>
  <c r="T85" i="55"/>
  <c r="Z10" i="55"/>
  <c r="R10" i="55"/>
  <c r="Q9" i="55"/>
  <c r="Z11" i="55"/>
  <c r="U8" i="55"/>
  <c r="W7" i="55"/>
  <c r="W13" i="55"/>
  <c r="T12" i="55"/>
  <c r="X5" i="55"/>
  <c r="Z5" i="55"/>
  <c r="X11" i="55"/>
  <c r="V86" i="54"/>
  <c r="Z79" i="54"/>
  <c r="Y85" i="54"/>
  <c r="T88" i="54"/>
  <c r="AA88" i="54"/>
  <c r="S82" i="54"/>
  <c r="AA83" i="54"/>
  <c r="W79" i="54"/>
  <c r="T85" i="54"/>
  <c r="R83" i="54"/>
  <c r="V84" i="54"/>
  <c r="Y83" i="54"/>
  <c r="W83" i="54"/>
  <c r="S87" i="54"/>
  <c r="S83" i="54"/>
  <c r="R80" i="54"/>
  <c r="S80" i="54"/>
  <c r="W87" i="54"/>
  <c r="V85" i="54"/>
  <c r="S89" i="54"/>
  <c r="V87" i="54"/>
  <c r="W86" i="54"/>
  <c r="AA82" i="54"/>
  <c r="U79" i="54"/>
  <c r="Q83" i="54"/>
  <c r="V80" i="54"/>
  <c r="W89" i="54"/>
  <c r="Y84" i="54"/>
  <c r="Z84" i="54"/>
  <c r="Y68" i="54"/>
  <c r="Q64" i="54"/>
  <c r="R68" i="54"/>
  <c r="R69" i="54"/>
  <c r="T63" i="54"/>
  <c r="R65" i="54"/>
  <c r="Q69" i="54"/>
  <c r="Y63" i="54"/>
  <c r="Q68" i="54"/>
  <c r="Q60" i="54"/>
  <c r="T65" i="54"/>
  <c r="Y69" i="54"/>
  <c r="T69" i="54"/>
  <c r="T59" i="54"/>
  <c r="Y66" i="54"/>
  <c r="Q67" i="54"/>
  <c r="Q65" i="54"/>
  <c r="Y26" i="54"/>
  <c r="V31" i="54"/>
  <c r="Y23" i="54"/>
  <c r="V30" i="54"/>
  <c r="Q29" i="54"/>
  <c r="Z9" i="54"/>
  <c r="Z8" i="54"/>
  <c r="AA9" i="54"/>
  <c r="S13" i="54"/>
  <c r="V138" i="54"/>
  <c r="U137" i="54"/>
  <c r="Z137" i="54"/>
  <c r="Z138" i="54"/>
  <c r="Z143" i="54"/>
  <c r="X133" i="54"/>
  <c r="X137" i="54"/>
  <c r="V139" i="54"/>
  <c r="T140" i="54"/>
  <c r="X140" i="54"/>
  <c r="V143" i="54"/>
  <c r="Z134" i="54"/>
  <c r="U133" i="54"/>
  <c r="U138" i="54"/>
  <c r="Z142" i="54"/>
  <c r="V134" i="54"/>
  <c r="W138" i="54"/>
  <c r="V140" i="54"/>
  <c r="T135" i="54"/>
  <c r="Z135" i="54"/>
  <c r="V142" i="54"/>
  <c r="V137" i="54"/>
  <c r="X139" i="54"/>
  <c r="U142" i="54"/>
  <c r="T134" i="54"/>
  <c r="R143" i="54"/>
  <c r="AA139" i="54"/>
  <c r="R139" i="54"/>
  <c r="W139" i="54"/>
  <c r="U141" i="54"/>
  <c r="U139" i="54"/>
  <c r="X143" i="54"/>
  <c r="X134" i="54"/>
  <c r="V135" i="54"/>
  <c r="U134" i="54"/>
  <c r="Q138" i="54"/>
  <c r="V136" i="54"/>
  <c r="X135" i="54"/>
  <c r="X141" i="54"/>
  <c r="T143" i="54"/>
  <c r="AA135" i="54"/>
  <c r="S133" i="54"/>
  <c r="W136" i="54"/>
  <c r="AA140" i="54"/>
  <c r="U136" i="54"/>
  <c r="Z136" i="54"/>
  <c r="Z133" i="54"/>
  <c r="R134" i="54"/>
  <c r="AA138" i="54"/>
  <c r="Y136" i="54"/>
  <c r="Q136" i="54"/>
  <c r="X142" i="54"/>
  <c r="R136" i="54"/>
  <c r="T142" i="54"/>
  <c r="T137" i="54"/>
  <c r="V141" i="54"/>
  <c r="U140" i="54"/>
  <c r="R140" i="54"/>
  <c r="AA133" i="54"/>
  <c r="U135" i="54"/>
  <c r="W134" i="54"/>
  <c r="T141" i="54"/>
  <c r="T138" i="54"/>
  <c r="W141" i="54"/>
  <c r="X136" i="54"/>
  <c r="Y138" i="54"/>
  <c r="Y133" i="54"/>
  <c r="R142" i="54"/>
  <c r="S135" i="54"/>
  <c r="U143" i="54"/>
  <c r="W140" i="54"/>
  <c r="Z140" i="54"/>
  <c r="W133" i="54"/>
  <c r="W135" i="54"/>
  <c r="W137" i="54"/>
  <c r="S138" i="54"/>
  <c r="T136" i="54"/>
  <c r="V133" i="54"/>
  <c r="T133" i="54"/>
  <c r="Z139" i="54"/>
  <c r="W143" i="54"/>
  <c r="Z141" i="54"/>
  <c r="T139" i="54"/>
  <c r="X138" i="54"/>
  <c r="W142" i="54"/>
  <c r="Y142" i="54"/>
  <c r="R137" i="54"/>
  <c r="Z30" i="54"/>
  <c r="Y32" i="54"/>
  <c r="W107" i="54"/>
  <c r="S98" i="54"/>
  <c r="T98" i="54"/>
  <c r="V9" i="54"/>
  <c r="U7" i="54"/>
  <c r="U12" i="54"/>
  <c r="U11" i="54"/>
  <c r="X10" i="54"/>
  <c r="Y15" i="54"/>
  <c r="Y6" i="54"/>
  <c r="X9" i="54"/>
  <c r="Y9" i="54"/>
  <c r="W5" i="54"/>
  <c r="W6" i="54"/>
  <c r="V13" i="54"/>
  <c r="U10" i="54"/>
  <c r="V11" i="54"/>
  <c r="X6" i="54"/>
  <c r="T11" i="54"/>
  <c r="X15" i="54"/>
  <c r="V6" i="54"/>
  <c r="T9" i="54"/>
  <c r="T7" i="54"/>
  <c r="X7" i="54"/>
  <c r="V8" i="54"/>
  <c r="Q9" i="54"/>
  <c r="V14" i="54"/>
  <c r="T8" i="54"/>
  <c r="Y11" i="54"/>
  <c r="Z15" i="54"/>
  <c r="AA13" i="54"/>
  <c r="Q10" i="54"/>
  <c r="Q5" i="54"/>
  <c r="X13" i="54"/>
  <c r="Y5" i="54"/>
  <c r="W14" i="54"/>
  <c r="Q6" i="54"/>
  <c r="U9" i="54"/>
  <c r="V12" i="54"/>
  <c r="T10" i="54"/>
  <c r="W11" i="54"/>
  <c r="AA11" i="54"/>
  <c r="W7" i="54"/>
  <c r="W15" i="54"/>
  <c r="X11" i="54"/>
  <c r="AA7" i="54"/>
  <c r="Y10" i="54"/>
  <c r="W10" i="54"/>
  <c r="T14" i="54"/>
  <c r="T5" i="54"/>
  <c r="Y13" i="54"/>
  <c r="V7" i="54"/>
  <c r="Y14" i="54"/>
  <c r="W8" i="54"/>
  <c r="Y7" i="54"/>
  <c r="AA15" i="54"/>
  <c r="Y12" i="54"/>
  <c r="T15" i="54"/>
  <c r="V10" i="54"/>
  <c r="Q7" i="54"/>
  <c r="R11" i="54"/>
  <c r="S7" i="54"/>
  <c r="U5" i="54"/>
  <c r="X12" i="54"/>
  <c r="AA12" i="54"/>
  <c r="U13" i="54"/>
  <c r="W13" i="54"/>
  <c r="AA6" i="54"/>
  <c r="U8" i="54"/>
  <c r="Z6" i="54"/>
  <c r="W12" i="54"/>
  <c r="T13" i="54"/>
  <c r="V15" i="54"/>
  <c r="X14" i="54"/>
  <c r="X8" i="54"/>
  <c r="R6" i="54"/>
  <c r="R14" i="54"/>
  <c r="U15" i="54"/>
  <c r="Q11" i="54"/>
  <c r="X5" i="54"/>
  <c r="Q8" i="54"/>
  <c r="Q12" i="54"/>
  <c r="T6" i="54"/>
  <c r="Y8" i="54"/>
  <c r="AA10" i="54"/>
  <c r="S5" i="54"/>
  <c r="W9" i="54"/>
  <c r="U14" i="54"/>
  <c r="T12" i="54"/>
  <c r="Z7" i="54"/>
  <c r="S14" i="54"/>
  <c r="Z11" i="54"/>
  <c r="U6" i="54"/>
  <c r="Q13" i="54"/>
  <c r="Q15" i="54"/>
  <c r="S12" i="54"/>
  <c r="Q14" i="54"/>
  <c r="V5" i="54"/>
  <c r="V25" i="54"/>
  <c r="T41" i="54"/>
  <c r="V23" i="54"/>
  <c r="Y86" i="54"/>
  <c r="S11" i="54"/>
  <c r="T45" i="54"/>
  <c r="AA85" i="54"/>
  <c r="T84" i="54"/>
  <c r="T82" i="54"/>
  <c r="AA79" i="54"/>
  <c r="Q89" i="54"/>
  <c r="R85" i="54"/>
  <c r="Y79" i="54"/>
  <c r="X85" i="54"/>
  <c r="X83" i="54"/>
  <c r="X116" i="54"/>
  <c r="R123" i="54"/>
  <c r="Z122" i="54"/>
  <c r="U117" i="54"/>
  <c r="S125" i="54"/>
  <c r="Q119" i="54"/>
  <c r="U123" i="54"/>
  <c r="X124" i="54"/>
  <c r="X119" i="54"/>
  <c r="S116" i="54"/>
  <c r="Q124" i="54"/>
  <c r="T119" i="54"/>
  <c r="R122" i="54"/>
  <c r="S121" i="54"/>
  <c r="AA125" i="54"/>
  <c r="AA116" i="54"/>
  <c r="W125" i="54"/>
  <c r="AA115" i="54"/>
  <c r="AA121" i="54"/>
  <c r="AA122" i="54"/>
  <c r="S118" i="54"/>
  <c r="X118" i="54"/>
  <c r="Y119" i="54"/>
  <c r="Z120" i="54"/>
  <c r="Z117" i="54"/>
  <c r="Z125" i="54"/>
  <c r="S123" i="54"/>
  <c r="Y124" i="54"/>
  <c r="X123" i="54"/>
  <c r="U125" i="54"/>
  <c r="R115" i="54"/>
  <c r="X120" i="54"/>
  <c r="U120" i="54"/>
  <c r="X121" i="54"/>
  <c r="R120" i="54"/>
  <c r="S115" i="54"/>
  <c r="U124" i="54"/>
  <c r="AA123" i="54"/>
  <c r="U118" i="54"/>
  <c r="X115" i="54"/>
  <c r="U115" i="54"/>
  <c r="AA118" i="54"/>
  <c r="AA124" i="54"/>
  <c r="R117" i="54"/>
  <c r="Y122" i="54"/>
  <c r="Y116" i="54"/>
  <c r="Y117" i="54"/>
  <c r="S124" i="54"/>
  <c r="Z119" i="54"/>
  <c r="V118" i="54"/>
  <c r="U119" i="54"/>
  <c r="Q120" i="54"/>
  <c r="AA117" i="54"/>
  <c r="AA120" i="54"/>
  <c r="Q122" i="54"/>
  <c r="X117" i="54"/>
  <c r="W117" i="54"/>
  <c r="Z116" i="54"/>
  <c r="Q123" i="54"/>
  <c r="Q125" i="54"/>
  <c r="U121" i="54"/>
  <c r="W121" i="54"/>
  <c r="R118" i="54"/>
  <c r="W120" i="54"/>
  <c r="W115" i="54"/>
  <c r="Q115" i="54"/>
  <c r="Y115" i="54"/>
  <c r="X122" i="54"/>
  <c r="T115" i="54"/>
  <c r="S122" i="54"/>
  <c r="Y121" i="54"/>
  <c r="R125" i="54"/>
  <c r="Y125" i="54"/>
  <c r="Q117" i="54"/>
  <c r="X125" i="54"/>
  <c r="Y120" i="54"/>
  <c r="T117" i="54"/>
  <c r="Z123" i="54"/>
  <c r="Q118" i="54"/>
  <c r="Y118" i="54"/>
  <c r="S120" i="54"/>
  <c r="AA119" i="54"/>
  <c r="T120" i="54"/>
  <c r="V123" i="54"/>
  <c r="Q116" i="54"/>
  <c r="Z118" i="54"/>
  <c r="R121" i="54"/>
  <c r="U122" i="54"/>
  <c r="R116" i="54"/>
  <c r="W118" i="54"/>
  <c r="S117" i="54"/>
  <c r="R119" i="54"/>
  <c r="U116" i="54"/>
  <c r="W119" i="54"/>
  <c r="T118" i="54"/>
  <c r="W123" i="54"/>
  <c r="R124" i="54"/>
  <c r="Z115" i="54"/>
  <c r="W122" i="54"/>
  <c r="T122" i="54"/>
  <c r="W116" i="54"/>
  <c r="T121" i="54"/>
  <c r="W124" i="54"/>
  <c r="Z121" i="54"/>
  <c r="Q121" i="54"/>
  <c r="S119" i="54"/>
  <c r="Y123" i="54"/>
  <c r="T124" i="54"/>
  <c r="Z124" i="54"/>
  <c r="T125" i="54"/>
  <c r="T116" i="54"/>
  <c r="T123" i="54"/>
  <c r="T107" i="54"/>
  <c r="Z29" i="54"/>
  <c r="T102" i="54"/>
  <c r="Y89" i="54"/>
  <c r="S140" i="54"/>
  <c r="S81" i="54"/>
  <c r="T51" i="54"/>
  <c r="V48" i="54"/>
  <c r="Q23" i="54"/>
  <c r="U48" i="54"/>
  <c r="Y81" i="54"/>
  <c r="Q26" i="54"/>
  <c r="T97" i="54"/>
  <c r="V124" i="54"/>
  <c r="W98" i="54"/>
  <c r="S104" i="54"/>
  <c r="Y60" i="54"/>
  <c r="V121" i="54"/>
  <c r="Y61" i="54"/>
  <c r="Z23" i="54"/>
  <c r="Y64" i="54"/>
  <c r="V45" i="54"/>
  <c r="Y134" i="54"/>
  <c r="U49" i="54"/>
  <c r="S84" i="54"/>
  <c r="W105" i="54"/>
  <c r="V83" i="54"/>
  <c r="Z32" i="54"/>
  <c r="AA97" i="54"/>
  <c r="S143" i="54"/>
  <c r="Z27" i="54"/>
  <c r="T42" i="54"/>
  <c r="S100" i="54"/>
  <c r="V33" i="54"/>
  <c r="S15" i="54"/>
  <c r="S10" i="54"/>
  <c r="U43" i="54"/>
  <c r="V28" i="54"/>
  <c r="AA98" i="54"/>
  <c r="R5" i="54"/>
  <c r="Z13" i="54"/>
  <c r="Y135" i="54"/>
  <c r="Z14" i="54"/>
  <c r="AA5" i="54"/>
  <c r="Z5" i="54"/>
  <c r="Y140" i="54"/>
  <c r="X87" i="54"/>
  <c r="Z83" i="54"/>
  <c r="X88" i="54"/>
  <c r="Q81" i="54"/>
  <c r="T79" i="54"/>
  <c r="U88" i="54"/>
  <c r="Q80" i="54"/>
  <c r="Z86" i="54"/>
  <c r="T83" i="54"/>
  <c r="Y139" i="54"/>
  <c r="V115" i="54"/>
  <c r="Q44" i="54"/>
  <c r="W97" i="54"/>
  <c r="S102" i="54"/>
  <c r="Q47" i="54"/>
  <c r="S137" i="54"/>
  <c r="V43" i="54"/>
  <c r="T104" i="54"/>
  <c r="Y25" i="54"/>
  <c r="AA8" i="54"/>
  <c r="Q137" i="54"/>
  <c r="V50" i="54"/>
  <c r="Y67" i="54"/>
  <c r="Y82" i="54"/>
  <c r="Y141" i="54"/>
  <c r="R87" i="54"/>
  <c r="S101" i="54"/>
  <c r="Y65" i="54"/>
  <c r="V42" i="54"/>
  <c r="V101" i="54"/>
  <c r="S107" i="54"/>
  <c r="S142" i="54"/>
  <c r="V41" i="54"/>
  <c r="S139" i="54"/>
  <c r="Q135" i="54"/>
  <c r="Y62" i="54"/>
  <c r="Z31" i="54"/>
  <c r="AA104" i="54"/>
  <c r="W84" i="54"/>
  <c r="V81" i="54"/>
  <c r="V100" i="54"/>
  <c r="V89" i="54"/>
  <c r="R135" i="54"/>
  <c r="S9" i="54"/>
  <c r="S85" i="54"/>
  <c r="Z33" i="54"/>
  <c r="AA106" i="54"/>
  <c r="Q61" i="54"/>
  <c r="Q49" i="54"/>
  <c r="Z12" i="54"/>
  <c r="R9" i="54"/>
  <c r="W81" i="54"/>
  <c r="R86" i="54"/>
  <c r="T68" i="54"/>
  <c r="T46" i="54"/>
  <c r="R88" i="54"/>
  <c r="R82" i="54"/>
  <c r="AA101" i="54"/>
  <c r="S8" i="54"/>
  <c r="W88" i="54"/>
  <c r="Z87" i="54"/>
  <c r="Z80" i="54"/>
  <c r="U82" i="54"/>
  <c r="Y88" i="54"/>
  <c r="Z89" i="54"/>
  <c r="Y87" i="54"/>
  <c r="S88" i="54"/>
  <c r="Z88" i="54"/>
  <c r="U86" i="54"/>
  <c r="Q42" i="54"/>
  <c r="W106" i="54"/>
  <c r="W102" i="54"/>
  <c r="W99" i="54"/>
  <c r="T48" i="54"/>
  <c r="T49" i="54"/>
  <c r="V47" i="54"/>
  <c r="V120" i="54"/>
  <c r="V117" i="54"/>
  <c r="V106" i="54"/>
  <c r="U41" i="54"/>
  <c r="Q28" i="54"/>
  <c r="S99" i="54"/>
  <c r="R138" i="54"/>
  <c r="S136" i="54"/>
  <c r="Z26" i="54"/>
  <c r="AA134" i="54"/>
  <c r="Z24" i="54"/>
  <c r="Q139" i="54"/>
  <c r="S141" i="54"/>
  <c r="Q143" i="54"/>
  <c r="R10" i="54"/>
  <c r="AA141" i="54"/>
  <c r="Q51" i="54"/>
  <c r="Q48" i="54"/>
  <c r="Q142" i="54"/>
  <c r="R8" i="54"/>
  <c r="V82" i="54"/>
  <c r="R141" i="54"/>
  <c r="S6" i="54"/>
  <c r="V46" i="54"/>
  <c r="AA84" i="54"/>
  <c r="U59" i="54"/>
  <c r="U68" i="54"/>
  <c r="V64" i="54"/>
  <c r="Z61" i="54"/>
  <c r="U65" i="54"/>
  <c r="U63" i="54"/>
  <c r="W61" i="54"/>
  <c r="S61" i="54"/>
  <c r="W63" i="54"/>
  <c r="S59" i="54"/>
  <c r="S64" i="54"/>
  <c r="U69" i="54"/>
  <c r="V68" i="54"/>
  <c r="Z66" i="54"/>
  <c r="Z65" i="54"/>
  <c r="X67" i="54"/>
  <c r="X66" i="54"/>
  <c r="V69" i="54"/>
  <c r="V65" i="54"/>
  <c r="U67" i="54"/>
  <c r="V59" i="54"/>
  <c r="S65" i="54"/>
  <c r="X59" i="54"/>
  <c r="U64" i="54"/>
  <c r="V67" i="54"/>
  <c r="W66" i="54"/>
  <c r="X61" i="54"/>
  <c r="AA65" i="54"/>
  <c r="V61" i="54"/>
  <c r="S67" i="54"/>
  <c r="S69" i="54"/>
  <c r="AA69" i="54"/>
  <c r="AA59" i="54"/>
  <c r="Z67" i="54"/>
  <c r="T62" i="54"/>
  <c r="Z63" i="54"/>
  <c r="R66" i="54"/>
  <c r="AA64" i="54"/>
  <c r="Q63" i="54"/>
  <c r="Q59" i="54"/>
  <c r="W68" i="54"/>
  <c r="Z59" i="54"/>
  <c r="Z68" i="54"/>
  <c r="X64" i="54"/>
  <c r="U66" i="54"/>
  <c r="R59" i="54"/>
  <c r="X65" i="54"/>
  <c r="S60" i="54"/>
  <c r="V63" i="54"/>
  <c r="X62" i="54"/>
  <c r="W65" i="54"/>
  <c r="W60" i="54"/>
  <c r="AA66" i="54"/>
  <c r="Y59" i="54"/>
  <c r="X68" i="54"/>
  <c r="X60" i="54"/>
  <c r="Q66" i="54"/>
  <c r="R60" i="54"/>
  <c r="W59" i="54"/>
  <c r="AA61" i="54"/>
  <c r="T66" i="54"/>
  <c r="U60" i="54"/>
  <c r="AA62" i="54"/>
  <c r="Z69" i="54"/>
  <c r="T64" i="54"/>
  <c r="T61" i="54"/>
  <c r="T60" i="54"/>
  <c r="AA60" i="54"/>
  <c r="X69" i="54"/>
  <c r="R67" i="54"/>
  <c r="U62" i="54"/>
  <c r="W69" i="54"/>
  <c r="V60" i="54"/>
  <c r="Z60" i="54"/>
  <c r="V62" i="54"/>
  <c r="S68" i="54"/>
  <c r="T67" i="54"/>
  <c r="Z64" i="54"/>
  <c r="AA67" i="54"/>
  <c r="S62" i="54"/>
  <c r="U61" i="54"/>
  <c r="X63" i="54"/>
  <c r="W67" i="54"/>
  <c r="W62" i="54"/>
  <c r="AA68" i="54"/>
  <c r="S63" i="54"/>
  <c r="W64" i="54"/>
  <c r="AA63" i="54"/>
  <c r="S66" i="54"/>
  <c r="Z62" i="54"/>
  <c r="V66" i="54"/>
  <c r="U47" i="54"/>
  <c r="R61" i="54"/>
  <c r="W82" i="54"/>
  <c r="AA89" i="54"/>
  <c r="AA14" i="54"/>
  <c r="R64" i="54"/>
  <c r="S134" i="54"/>
  <c r="R7" i="54"/>
  <c r="U89" i="54"/>
  <c r="Q82" i="54"/>
  <c r="Q79" i="54"/>
  <c r="Z85" i="54"/>
  <c r="U87" i="54"/>
  <c r="AA80" i="54"/>
  <c r="W80" i="54"/>
  <c r="X89" i="54"/>
  <c r="X82" i="54"/>
  <c r="R97" i="54"/>
  <c r="R104" i="54"/>
  <c r="Z97" i="54"/>
  <c r="Y106" i="54"/>
  <c r="Q100" i="54"/>
  <c r="Z104" i="54"/>
  <c r="U99" i="54"/>
  <c r="R101" i="54"/>
  <c r="U105" i="54"/>
  <c r="V107" i="54"/>
  <c r="Y100" i="54"/>
  <c r="X106" i="54"/>
  <c r="R107" i="54"/>
  <c r="U103" i="54"/>
  <c r="AA99" i="54"/>
  <c r="X101" i="54"/>
  <c r="V105" i="54"/>
  <c r="Y105" i="54"/>
  <c r="T106" i="54"/>
  <c r="Y98" i="54"/>
  <c r="AA105" i="54"/>
  <c r="Y103" i="54"/>
  <c r="T105" i="54"/>
  <c r="Y99" i="54"/>
  <c r="Q101" i="54"/>
  <c r="Z106" i="54"/>
  <c r="Y107" i="54"/>
  <c r="X98" i="54"/>
  <c r="S103" i="54"/>
  <c r="R99" i="54"/>
  <c r="X105" i="54"/>
  <c r="U101" i="54"/>
  <c r="X97" i="54"/>
  <c r="Q104" i="54"/>
  <c r="Z102" i="54"/>
  <c r="U106" i="54"/>
  <c r="R106" i="54"/>
  <c r="Z107" i="54"/>
  <c r="V98" i="54"/>
  <c r="Q107" i="54"/>
  <c r="R105" i="54"/>
  <c r="Q103" i="54"/>
  <c r="U97" i="54"/>
  <c r="Z101" i="54"/>
  <c r="X102" i="54"/>
  <c r="X104" i="54"/>
  <c r="R102" i="54"/>
  <c r="Y104" i="54"/>
  <c r="Z99" i="54"/>
  <c r="AA102" i="54"/>
  <c r="Z105" i="54"/>
  <c r="Y102" i="54"/>
  <c r="Q98" i="54"/>
  <c r="X100" i="54"/>
  <c r="S105" i="54"/>
  <c r="Z100" i="54"/>
  <c r="X107" i="54"/>
  <c r="U100" i="54"/>
  <c r="AA103" i="54"/>
  <c r="Q99" i="54"/>
  <c r="AA100" i="54"/>
  <c r="R103" i="54"/>
  <c r="X103" i="54"/>
  <c r="U107" i="54"/>
  <c r="R100" i="54"/>
  <c r="X99" i="54"/>
  <c r="R98" i="54"/>
  <c r="Z98" i="54"/>
  <c r="Y97" i="54"/>
  <c r="U98" i="54"/>
  <c r="U104" i="54"/>
  <c r="Y101" i="54"/>
  <c r="Q97" i="54"/>
  <c r="U102" i="54"/>
  <c r="T100" i="54"/>
  <c r="Q102" i="54"/>
  <c r="Q105" i="54"/>
  <c r="Z103" i="54"/>
  <c r="Q106" i="54"/>
  <c r="Y29" i="54"/>
  <c r="Y80" i="54"/>
  <c r="U80" i="54"/>
  <c r="Q87" i="54"/>
  <c r="X86" i="54"/>
  <c r="U83" i="54"/>
  <c r="AA87" i="54"/>
  <c r="Z81" i="54"/>
  <c r="U85" i="54"/>
  <c r="T81" i="54"/>
  <c r="X84" i="54"/>
  <c r="X49" i="54"/>
  <c r="AA49" i="54"/>
  <c r="AA43" i="54"/>
  <c r="X48" i="54"/>
  <c r="Z43" i="54"/>
  <c r="R50" i="54"/>
  <c r="X42" i="54"/>
  <c r="W41" i="54"/>
  <c r="R48" i="54"/>
  <c r="AA42" i="54"/>
  <c r="W46" i="54"/>
  <c r="W43" i="54"/>
  <c r="Z46" i="54"/>
  <c r="R46" i="54"/>
  <c r="Z50" i="54"/>
  <c r="AA48" i="54"/>
  <c r="Z48" i="54"/>
  <c r="Z49" i="54"/>
  <c r="AA50" i="54"/>
  <c r="Y50" i="54"/>
  <c r="S45" i="54"/>
  <c r="S42" i="54"/>
  <c r="X45" i="54"/>
  <c r="X46" i="54"/>
  <c r="X47" i="54"/>
  <c r="U45" i="54"/>
  <c r="R51" i="54"/>
  <c r="V49" i="54"/>
  <c r="W50" i="54"/>
  <c r="X43" i="54"/>
  <c r="Y46" i="54"/>
  <c r="X50" i="54"/>
  <c r="AA41" i="54"/>
  <c r="R43" i="54"/>
  <c r="S41" i="54"/>
  <c r="Z47" i="54"/>
  <c r="S44" i="54"/>
  <c r="Y41" i="54"/>
  <c r="S47" i="54"/>
  <c r="Z42" i="54"/>
  <c r="T44" i="54"/>
  <c r="Y42" i="54"/>
  <c r="Z41" i="54"/>
  <c r="Z44" i="54"/>
  <c r="W45" i="54"/>
  <c r="Y48" i="54"/>
  <c r="Y47" i="54"/>
  <c r="W47" i="54"/>
  <c r="Z51" i="54"/>
  <c r="R41" i="54"/>
  <c r="X44" i="54"/>
  <c r="U44" i="54"/>
  <c r="S49" i="54"/>
  <c r="AA47" i="54"/>
  <c r="W51" i="54"/>
  <c r="S46" i="54"/>
  <c r="U46" i="54"/>
  <c r="S48" i="54"/>
  <c r="U42" i="54"/>
  <c r="R42" i="54"/>
  <c r="T50" i="54"/>
  <c r="Y44" i="54"/>
  <c r="Y51" i="54"/>
  <c r="R45" i="54"/>
  <c r="W44" i="54"/>
  <c r="S43" i="54"/>
  <c r="Z45" i="54"/>
  <c r="AA51" i="54"/>
  <c r="R47" i="54"/>
  <c r="X51" i="54"/>
  <c r="W49" i="54"/>
  <c r="U51" i="54"/>
  <c r="X41" i="54"/>
  <c r="S50" i="54"/>
  <c r="T47" i="54"/>
  <c r="Y45" i="54"/>
  <c r="R49" i="54"/>
  <c r="AA45" i="54"/>
  <c r="Y49" i="54"/>
  <c r="W42" i="54"/>
  <c r="AA46" i="54"/>
  <c r="W48" i="54"/>
  <c r="S51" i="54"/>
  <c r="AA44" i="54"/>
  <c r="Y43" i="54"/>
  <c r="R44" i="54"/>
  <c r="V103" i="54"/>
  <c r="Q45" i="54"/>
  <c r="V97" i="54"/>
  <c r="V104" i="54"/>
  <c r="S97" i="54"/>
  <c r="T103" i="54"/>
  <c r="V44" i="54"/>
  <c r="T99" i="54"/>
  <c r="V125" i="54"/>
  <c r="W103" i="54"/>
  <c r="Q43" i="54"/>
  <c r="W100" i="54"/>
  <c r="V29" i="54"/>
  <c r="Y143" i="54"/>
  <c r="Q140" i="54"/>
  <c r="AA137" i="54"/>
  <c r="V79" i="54"/>
  <c r="R81" i="54"/>
  <c r="S79" i="54"/>
  <c r="AA86" i="54"/>
  <c r="U84" i="54"/>
  <c r="Q86" i="54"/>
  <c r="U81" i="54"/>
  <c r="Q88" i="54"/>
  <c r="W85" i="54"/>
  <c r="Z82" i="54"/>
  <c r="AA81" i="54"/>
  <c r="T80" i="54"/>
  <c r="X81" i="54"/>
  <c r="Q134" i="54"/>
  <c r="S106" i="54"/>
  <c r="Q141" i="54"/>
  <c r="R133" i="54"/>
  <c r="Q133" i="54"/>
  <c r="T43" i="54"/>
  <c r="Q41" i="54"/>
  <c r="AA136" i="54"/>
  <c r="V119" i="54"/>
  <c r="AA143" i="54"/>
  <c r="Q50" i="54"/>
  <c r="AA142" i="54"/>
  <c r="V26" i="54"/>
  <c r="Z28" i="54"/>
  <c r="V122" i="54"/>
  <c r="V102" i="54"/>
  <c r="Q46" i="54"/>
  <c r="W101" i="54"/>
  <c r="U32" i="54"/>
  <c r="W31" i="54"/>
  <c r="T32" i="54"/>
  <c r="X26" i="54"/>
  <c r="R25" i="54"/>
  <c r="R30" i="54"/>
  <c r="R32" i="54"/>
  <c r="X30" i="54"/>
  <c r="T24" i="54"/>
  <c r="S30" i="54"/>
  <c r="T31" i="54"/>
  <c r="AA26" i="54"/>
  <c r="X25" i="54"/>
  <c r="U29" i="54"/>
  <c r="T27" i="54"/>
  <c r="X32" i="54"/>
  <c r="T26" i="54"/>
  <c r="X27" i="54"/>
  <c r="AA23" i="54"/>
  <c r="W30" i="54"/>
  <c r="X24" i="54"/>
  <c r="W33" i="54"/>
  <c r="T29" i="54"/>
  <c r="AA25" i="54"/>
  <c r="W25" i="54"/>
  <c r="S26" i="54"/>
  <c r="S23" i="54"/>
  <c r="AA33" i="54"/>
  <c r="Z25" i="54"/>
  <c r="Y30" i="54"/>
  <c r="W28" i="54"/>
  <c r="AA32" i="54"/>
  <c r="Q25" i="54"/>
  <c r="U26" i="54"/>
  <c r="X23" i="54"/>
  <c r="T28" i="54"/>
  <c r="U25" i="54"/>
  <c r="Q24" i="54"/>
  <c r="U30" i="54"/>
  <c r="U28" i="54"/>
  <c r="W27" i="54"/>
  <c r="R29" i="54"/>
  <c r="W24" i="54"/>
  <c r="V27" i="54"/>
  <c r="S24" i="54"/>
  <c r="Y27" i="54"/>
  <c r="T30" i="54"/>
  <c r="R33" i="54"/>
  <c r="T25" i="54"/>
  <c r="R28" i="54"/>
  <c r="U33" i="54"/>
  <c r="AA28" i="54"/>
  <c r="V32" i="54"/>
  <c r="AA29" i="54"/>
  <c r="Q27" i="54"/>
  <c r="Y33" i="54"/>
  <c r="W32" i="54"/>
  <c r="T23" i="54"/>
  <c r="U31" i="54"/>
  <c r="R27" i="54"/>
  <c r="X29" i="54"/>
  <c r="S27" i="54"/>
  <c r="S31" i="54"/>
  <c r="Y28" i="54"/>
  <c r="AA24" i="54"/>
  <c r="R24" i="54"/>
  <c r="R26" i="54"/>
  <c r="Q33" i="54"/>
  <c r="S28" i="54"/>
  <c r="U27" i="54"/>
  <c r="X31" i="54"/>
  <c r="R23" i="54"/>
  <c r="Q32" i="54"/>
  <c r="S25" i="54"/>
  <c r="V24" i="54"/>
  <c r="W29" i="54"/>
  <c r="AA30" i="54"/>
  <c r="AA31" i="54"/>
  <c r="Y31" i="54"/>
  <c r="Q31" i="54"/>
  <c r="R31" i="54"/>
  <c r="S32" i="54"/>
  <c r="W26" i="54"/>
  <c r="AA27" i="54"/>
  <c r="X28" i="54"/>
  <c r="W23" i="54"/>
  <c r="T33" i="54"/>
  <c r="U23" i="54"/>
  <c r="X33" i="54"/>
  <c r="S33" i="54"/>
  <c r="U24" i="54"/>
  <c r="S29" i="54"/>
  <c r="Q30" i="54"/>
  <c r="R79" i="54"/>
  <c r="Y137" i="54"/>
  <c r="V51" i="54"/>
  <c r="Z10" i="54"/>
  <c r="R12" i="54"/>
  <c r="W104" i="54"/>
  <c r="AA107" i="54"/>
  <c r="R15" i="54"/>
  <c r="V88" i="54"/>
  <c r="R62" i="54"/>
  <c r="V99" i="54"/>
  <c r="Q62" i="54"/>
  <c r="V116" i="54"/>
  <c r="Q85" i="54"/>
  <c r="R84" i="54"/>
  <c r="Q84" i="54"/>
  <c r="T89" i="54"/>
  <c r="T87" i="54"/>
  <c r="R89" i="54"/>
  <c r="S86" i="54"/>
  <c r="T86" i="54"/>
  <c r="X79" i="54"/>
  <c r="W118" i="53"/>
  <c r="R122" i="53"/>
  <c r="V120" i="53"/>
  <c r="Z119" i="53"/>
  <c r="Z115" i="53"/>
  <c r="V122" i="53"/>
  <c r="W120" i="53"/>
  <c r="R115" i="53"/>
  <c r="Z124" i="53"/>
  <c r="W123" i="53"/>
  <c r="Z120" i="53"/>
  <c r="R118" i="53"/>
  <c r="S64" i="53"/>
  <c r="V64" i="53"/>
  <c r="S59" i="53"/>
  <c r="Y67" i="53"/>
  <c r="S68" i="53"/>
  <c r="S67" i="53"/>
  <c r="V60" i="53"/>
  <c r="S61" i="53"/>
  <c r="V67" i="53"/>
  <c r="AA65" i="53"/>
  <c r="AA62" i="53"/>
  <c r="Y65" i="53"/>
  <c r="AA61" i="53"/>
  <c r="X43" i="53"/>
  <c r="R41" i="53"/>
  <c r="V42" i="53"/>
  <c r="R46" i="53"/>
  <c r="X51" i="53"/>
  <c r="X42" i="53"/>
  <c r="R44" i="53"/>
  <c r="V48" i="53"/>
  <c r="X48" i="53"/>
  <c r="X47" i="53"/>
  <c r="X45" i="53"/>
  <c r="R51" i="53"/>
  <c r="V51" i="53"/>
  <c r="X84" i="53"/>
  <c r="X86" i="53"/>
  <c r="X79" i="53"/>
  <c r="Y8" i="53"/>
  <c r="Q134" i="53"/>
  <c r="Q107" i="53"/>
  <c r="Y10" i="53"/>
  <c r="Y30" i="53"/>
  <c r="V123" i="53"/>
  <c r="R100" i="53"/>
  <c r="S33" i="53"/>
  <c r="Z118" i="53"/>
  <c r="U138" i="53"/>
  <c r="V118" i="53"/>
  <c r="Q100" i="53"/>
  <c r="W125" i="53"/>
  <c r="Y14" i="53"/>
  <c r="S99" i="53"/>
  <c r="AA15" i="53"/>
  <c r="Z7" i="53"/>
  <c r="S30" i="53"/>
  <c r="S100" i="53"/>
  <c r="Y139" i="53"/>
  <c r="Q10" i="53"/>
  <c r="W45" i="53"/>
  <c r="AA43" i="53"/>
  <c r="Q49" i="53"/>
  <c r="AA51" i="53"/>
  <c r="Z49" i="53"/>
  <c r="W49" i="53"/>
  <c r="Z45" i="53"/>
  <c r="W41" i="53"/>
  <c r="Y49" i="53"/>
  <c r="U49" i="53"/>
  <c r="Z47" i="53"/>
  <c r="AA49" i="53"/>
  <c r="S49" i="53"/>
  <c r="S50" i="53"/>
  <c r="AA41" i="53"/>
  <c r="U43" i="53"/>
  <c r="Z41" i="53"/>
  <c r="AA42" i="53"/>
  <c r="AA50" i="53"/>
  <c r="U41" i="53"/>
  <c r="Q45" i="53"/>
  <c r="W43" i="53"/>
  <c r="W51" i="53"/>
  <c r="U47" i="53"/>
  <c r="Q47" i="53"/>
  <c r="U45" i="53"/>
  <c r="U51" i="53"/>
  <c r="Q43" i="53"/>
  <c r="W50" i="53"/>
  <c r="Z48" i="53"/>
  <c r="X49" i="53"/>
  <c r="Q44" i="53"/>
  <c r="U50" i="53"/>
  <c r="AA47" i="53"/>
  <c r="Q41" i="53"/>
  <c r="R42" i="53"/>
  <c r="V50" i="53"/>
  <c r="Z43" i="53"/>
  <c r="S41" i="53"/>
  <c r="X50" i="53"/>
  <c r="S48" i="53"/>
  <c r="T49" i="53"/>
  <c r="T41" i="53"/>
  <c r="Y47" i="53"/>
  <c r="Y46" i="53"/>
  <c r="Y41" i="53"/>
  <c r="Y45" i="53"/>
  <c r="X46" i="53"/>
  <c r="S43" i="53"/>
  <c r="Q46" i="53"/>
  <c r="U42" i="53"/>
  <c r="W42" i="53"/>
  <c r="AA46" i="53"/>
  <c r="Y48" i="53"/>
  <c r="U46" i="53"/>
  <c r="W48" i="53"/>
  <c r="W46" i="53"/>
  <c r="R45" i="53"/>
  <c r="Y44" i="53"/>
  <c r="W44" i="53"/>
  <c r="X41" i="53"/>
  <c r="Z46" i="53"/>
  <c r="Z44" i="53"/>
  <c r="Y42" i="53"/>
  <c r="T48" i="53"/>
  <c r="Y50" i="53"/>
  <c r="U44" i="53"/>
  <c r="W47" i="53"/>
  <c r="V44" i="53"/>
  <c r="AA44" i="53"/>
  <c r="S51" i="53"/>
  <c r="S47" i="53"/>
  <c r="Q42" i="53"/>
  <c r="X44" i="53"/>
  <c r="Y43" i="53"/>
  <c r="S46" i="53"/>
  <c r="Z50" i="53"/>
  <c r="U48" i="53"/>
  <c r="S45" i="53"/>
  <c r="V47" i="53"/>
  <c r="T50" i="53"/>
  <c r="Y51" i="53"/>
  <c r="AA48" i="53"/>
  <c r="Q50" i="53"/>
  <c r="T46" i="53"/>
  <c r="T43" i="53"/>
  <c r="T44" i="53"/>
  <c r="T45" i="53"/>
  <c r="T47" i="53"/>
  <c r="Q51" i="53"/>
  <c r="AA45" i="53"/>
  <c r="Q48" i="53"/>
  <c r="Z42" i="53"/>
  <c r="T42" i="53"/>
  <c r="T51" i="53"/>
  <c r="S42" i="53"/>
  <c r="Z51" i="53"/>
  <c r="S44" i="53"/>
  <c r="R104" i="53"/>
  <c r="Z9" i="53"/>
  <c r="S107" i="53"/>
  <c r="V115" i="53"/>
  <c r="Q99" i="53"/>
  <c r="R50" i="53"/>
  <c r="Q24" i="53"/>
  <c r="Y133" i="53"/>
  <c r="Z14" i="53"/>
  <c r="Y143" i="53"/>
  <c r="R103" i="53"/>
  <c r="U135" i="53"/>
  <c r="Q143" i="53"/>
  <c r="R8" i="53"/>
  <c r="V88" i="53"/>
  <c r="V139" i="53"/>
  <c r="Z62" i="53"/>
  <c r="Z68" i="53"/>
  <c r="Z63" i="53"/>
  <c r="Z61" i="53"/>
  <c r="W61" i="53"/>
  <c r="W69" i="53"/>
  <c r="R64" i="53"/>
  <c r="R60" i="53"/>
  <c r="W68" i="53"/>
  <c r="W65" i="53"/>
  <c r="U59" i="53"/>
  <c r="W59" i="53"/>
  <c r="R68" i="53"/>
  <c r="Z66" i="53"/>
  <c r="U63" i="53"/>
  <c r="R62" i="53"/>
  <c r="Q61" i="53"/>
  <c r="Q60" i="53"/>
  <c r="Z69" i="53"/>
  <c r="W63" i="53"/>
  <c r="R63" i="53"/>
  <c r="U69" i="53"/>
  <c r="T61" i="53"/>
  <c r="X69" i="53"/>
  <c r="R66" i="53"/>
  <c r="W67" i="53"/>
  <c r="Y69" i="53"/>
  <c r="Q67" i="53"/>
  <c r="T60" i="53"/>
  <c r="Q59" i="53"/>
  <c r="Z67" i="53"/>
  <c r="T62" i="53"/>
  <c r="T63" i="53"/>
  <c r="Z59" i="53"/>
  <c r="V63" i="53"/>
  <c r="Q66" i="53"/>
  <c r="T64" i="53"/>
  <c r="Y66" i="53"/>
  <c r="Q63" i="53"/>
  <c r="Z60" i="53"/>
  <c r="X64" i="53"/>
  <c r="T65" i="53"/>
  <c r="S60" i="53"/>
  <c r="U60" i="53"/>
  <c r="AA67" i="53"/>
  <c r="T59" i="53"/>
  <c r="Z65" i="53"/>
  <c r="Q62" i="53"/>
  <c r="X59" i="53"/>
  <c r="U62" i="53"/>
  <c r="W66" i="53"/>
  <c r="U61" i="53"/>
  <c r="R61" i="53"/>
  <c r="U64" i="53"/>
  <c r="R69" i="53"/>
  <c r="V66" i="53"/>
  <c r="Q68" i="53"/>
  <c r="Q69" i="53"/>
  <c r="S66" i="53"/>
  <c r="Z64" i="53"/>
  <c r="X60" i="53"/>
  <c r="AA68" i="53"/>
  <c r="X63" i="53"/>
  <c r="X68" i="53"/>
  <c r="V68" i="53"/>
  <c r="Y68" i="53"/>
  <c r="AA69" i="53"/>
  <c r="X65" i="53"/>
  <c r="Y61" i="53"/>
  <c r="X66" i="53"/>
  <c r="U68" i="53"/>
  <c r="AA60" i="53"/>
  <c r="T66" i="53"/>
  <c r="X61" i="53"/>
  <c r="U66" i="53"/>
  <c r="X67" i="53"/>
  <c r="Q65" i="53"/>
  <c r="X62" i="53"/>
  <c r="AA66" i="53"/>
  <c r="U67" i="53"/>
  <c r="W62" i="53"/>
  <c r="R59" i="53"/>
  <c r="W60" i="53"/>
  <c r="Q64" i="53"/>
  <c r="R65" i="53"/>
  <c r="Y64" i="53"/>
  <c r="U65" i="53"/>
  <c r="V69" i="53"/>
  <c r="T67" i="53"/>
  <c r="T69" i="53"/>
  <c r="W64" i="53"/>
  <c r="R67" i="53"/>
  <c r="T68" i="53"/>
  <c r="Q105" i="53"/>
  <c r="Z88" i="53"/>
  <c r="AA80" i="53"/>
  <c r="Q82" i="53"/>
  <c r="Q86" i="53"/>
  <c r="U83" i="53"/>
  <c r="Z79" i="53"/>
  <c r="Q85" i="53"/>
  <c r="R83" i="53"/>
  <c r="Z85" i="53"/>
  <c r="AA85" i="53"/>
  <c r="Y79" i="53"/>
  <c r="AA86" i="53"/>
  <c r="R84" i="53"/>
  <c r="Z87" i="53"/>
  <c r="Y87" i="53"/>
  <c r="Z89" i="53"/>
  <c r="AA89" i="53"/>
  <c r="Q88" i="53"/>
  <c r="Y85" i="53"/>
  <c r="Y88" i="53"/>
  <c r="Y82" i="53"/>
  <c r="Z80" i="53"/>
  <c r="AA87" i="53"/>
  <c r="Z86" i="53"/>
  <c r="T88" i="53"/>
  <c r="S88" i="53"/>
  <c r="R88" i="53"/>
  <c r="S80" i="53"/>
  <c r="U82" i="53"/>
  <c r="U81" i="53"/>
  <c r="Y89" i="53"/>
  <c r="U79" i="53"/>
  <c r="Y86" i="53"/>
  <c r="Q79" i="53"/>
  <c r="AA88" i="53"/>
  <c r="Q84" i="53"/>
  <c r="R82" i="53"/>
  <c r="U85" i="53"/>
  <c r="X81" i="53"/>
  <c r="Z84" i="53"/>
  <c r="T80" i="53"/>
  <c r="X89" i="53"/>
  <c r="Q81" i="53"/>
  <c r="R81" i="53"/>
  <c r="S84" i="53"/>
  <c r="T86" i="53"/>
  <c r="U84" i="53"/>
  <c r="X80" i="53"/>
  <c r="Q83" i="53"/>
  <c r="X88" i="53"/>
  <c r="R86" i="53"/>
  <c r="S81" i="53"/>
  <c r="S89" i="53"/>
  <c r="U88" i="53"/>
  <c r="S85" i="53"/>
  <c r="U89" i="53"/>
  <c r="T89" i="53"/>
  <c r="W83" i="53"/>
  <c r="Z82" i="53"/>
  <c r="Z83" i="53"/>
  <c r="AA84" i="53"/>
  <c r="R80" i="53"/>
  <c r="S83" i="53"/>
  <c r="S87" i="53"/>
  <c r="AA83" i="53"/>
  <c r="S86" i="53"/>
  <c r="T84" i="53"/>
  <c r="V81" i="53"/>
  <c r="AA81" i="53"/>
  <c r="T79" i="53"/>
  <c r="U80" i="53"/>
  <c r="Q87" i="53"/>
  <c r="R87" i="53"/>
  <c r="Y81" i="53"/>
  <c r="T82" i="53"/>
  <c r="R89" i="53"/>
  <c r="Y83" i="53"/>
  <c r="S79" i="53"/>
  <c r="S82" i="53"/>
  <c r="AA82" i="53"/>
  <c r="Y80" i="53"/>
  <c r="U87" i="53"/>
  <c r="Q89" i="53"/>
  <c r="W87" i="53"/>
  <c r="R79" i="53"/>
  <c r="T81" i="53"/>
  <c r="W88" i="53"/>
  <c r="T87" i="53"/>
  <c r="T83" i="53"/>
  <c r="Q80" i="53"/>
  <c r="Y84" i="53"/>
  <c r="W86" i="53"/>
  <c r="T85" i="53"/>
  <c r="W85" i="53"/>
  <c r="R85" i="53"/>
  <c r="U86" i="53"/>
  <c r="Z81" i="53"/>
  <c r="X87" i="53"/>
  <c r="AA79" i="53"/>
  <c r="V86" i="53"/>
  <c r="U134" i="53"/>
  <c r="R9" i="53"/>
  <c r="Y9" i="53"/>
  <c r="V135" i="53"/>
  <c r="S27" i="53"/>
  <c r="R107" i="53"/>
  <c r="U139" i="53"/>
  <c r="S24" i="53"/>
  <c r="S105" i="53"/>
  <c r="Y134" i="53"/>
  <c r="Y13" i="53"/>
  <c r="Y63" i="53"/>
  <c r="Q98" i="53"/>
  <c r="S32" i="53"/>
  <c r="W121" i="53"/>
  <c r="Z8" i="53"/>
  <c r="R48" i="53"/>
  <c r="W116" i="53"/>
  <c r="V62" i="53"/>
  <c r="V83" i="53"/>
  <c r="Y6" i="53"/>
  <c r="S102" i="53"/>
  <c r="U142" i="53"/>
  <c r="V46" i="53"/>
  <c r="S29" i="53"/>
  <c r="S62" i="53"/>
  <c r="Q142" i="53"/>
  <c r="R123" i="53"/>
  <c r="X85" i="53"/>
  <c r="AA59" i="53"/>
  <c r="Q26" i="53"/>
  <c r="Y100" i="53"/>
  <c r="AA104" i="53"/>
  <c r="T107" i="53"/>
  <c r="Y97" i="53"/>
  <c r="U103" i="53"/>
  <c r="AA100" i="53"/>
  <c r="X103" i="53"/>
  <c r="T99" i="53"/>
  <c r="T100" i="53"/>
  <c r="AA101" i="53"/>
  <c r="V97" i="53"/>
  <c r="AA98" i="53"/>
  <c r="Y102" i="53"/>
  <c r="Y99" i="53"/>
  <c r="AA99" i="53"/>
  <c r="AA102" i="53"/>
  <c r="U100" i="53"/>
  <c r="V102" i="53"/>
  <c r="T103" i="53"/>
  <c r="Y105" i="53"/>
  <c r="V107" i="53"/>
  <c r="U99" i="53"/>
  <c r="Z101" i="53"/>
  <c r="U106" i="53"/>
  <c r="X107" i="53"/>
  <c r="Y101" i="53"/>
  <c r="S101" i="53"/>
  <c r="R98" i="53"/>
  <c r="S98" i="53"/>
  <c r="R102" i="53"/>
  <c r="Z105" i="53"/>
  <c r="Z106" i="53"/>
  <c r="V103" i="53"/>
  <c r="V99" i="53"/>
  <c r="W102" i="53"/>
  <c r="V106" i="53"/>
  <c r="W107" i="53"/>
  <c r="Y106" i="53"/>
  <c r="U102" i="53"/>
  <c r="T101" i="53"/>
  <c r="T105" i="53"/>
  <c r="Z97" i="53"/>
  <c r="U104" i="53"/>
  <c r="X102" i="53"/>
  <c r="AA106" i="53"/>
  <c r="Z102" i="53"/>
  <c r="U98" i="53"/>
  <c r="W100" i="53"/>
  <c r="V101" i="53"/>
  <c r="AA97" i="53"/>
  <c r="R105" i="53"/>
  <c r="U101" i="53"/>
  <c r="S103" i="53"/>
  <c r="X100" i="53"/>
  <c r="T98" i="53"/>
  <c r="Y107" i="53"/>
  <c r="X101" i="53"/>
  <c r="W104" i="53"/>
  <c r="AA103" i="53"/>
  <c r="Y103" i="53"/>
  <c r="V98" i="53"/>
  <c r="X99" i="53"/>
  <c r="Y98" i="53"/>
  <c r="Y104" i="53"/>
  <c r="W103" i="53"/>
  <c r="AA107" i="53"/>
  <c r="W99" i="53"/>
  <c r="W101" i="53"/>
  <c r="U107" i="53"/>
  <c r="S104" i="53"/>
  <c r="W105" i="53"/>
  <c r="U97" i="53"/>
  <c r="X105" i="53"/>
  <c r="AA105" i="53"/>
  <c r="W106" i="53"/>
  <c r="S97" i="53"/>
  <c r="S106" i="53"/>
  <c r="Q104" i="53"/>
  <c r="Q101" i="53"/>
  <c r="V104" i="53"/>
  <c r="X97" i="53"/>
  <c r="X104" i="53"/>
  <c r="T104" i="53"/>
  <c r="W97" i="53"/>
  <c r="W98" i="53"/>
  <c r="V105" i="53"/>
  <c r="V100" i="53"/>
  <c r="R106" i="53"/>
  <c r="T102" i="53"/>
  <c r="U105" i="53"/>
  <c r="T106" i="53"/>
  <c r="X106" i="53"/>
  <c r="X98" i="53"/>
  <c r="T97" i="53"/>
  <c r="Z122" i="53"/>
  <c r="Z12" i="53"/>
  <c r="Z103" i="53"/>
  <c r="V61" i="53"/>
  <c r="AA64" i="53"/>
  <c r="Z100" i="53"/>
  <c r="Q141" i="53"/>
  <c r="Y23" i="53"/>
  <c r="S31" i="53"/>
  <c r="V41" i="53"/>
  <c r="AA8" i="53"/>
  <c r="Y60" i="53"/>
  <c r="W124" i="53"/>
  <c r="V43" i="53"/>
  <c r="Q8" i="53"/>
  <c r="AA10" i="53"/>
  <c r="Q32" i="53"/>
  <c r="V65" i="53"/>
  <c r="Q103" i="53"/>
  <c r="V142" i="53"/>
  <c r="V84" i="53"/>
  <c r="V59" i="53"/>
  <c r="W80" i="53"/>
  <c r="R121" i="53"/>
  <c r="R47" i="53"/>
  <c r="AA9" i="53"/>
  <c r="R11" i="53"/>
  <c r="Z107" i="53"/>
  <c r="Q97" i="53"/>
  <c r="S63" i="53"/>
  <c r="Z27" i="53"/>
  <c r="U26" i="53"/>
  <c r="R27" i="53"/>
  <c r="W29" i="53"/>
  <c r="T26" i="53"/>
  <c r="T32" i="53"/>
  <c r="X33" i="53"/>
  <c r="U28" i="53"/>
  <c r="R32" i="53"/>
  <c r="V29" i="53"/>
  <c r="U30" i="53"/>
  <c r="R33" i="53"/>
  <c r="T24" i="53"/>
  <c r="X32" i="53"/>
  <c r="Z26" i="53"/>
  <c r="X28" i="53"/>
  <c r="AA32" i="53"/>
  <c r="Z23" i="53"/>
  <c r="U27" i="53"/>
  <c r="AA33" i="53"/>
  <c r="R24" i="53"/>
  <c r="U24" i="53"/>
  <c r="AA24" i="53"/>
  <c r="Z24" i="53"/>
  <c r="R30" i="53"/>
  <c r="X30" i="53"/>
  <c r="R26" i="53"/>
  <c r="Z30" i="53"/>
  <c r="Z33" i="53"/>
  <c r="AA27" i="53"/>
  <c r="Z32" i="53"/>
  <c r="T29" i="53"/>
  <c r="V32" i="53"/>
  <c r="Q28" i="53"/>
  <c r="R31" i="53"/>
  <c r="T28" i="53"/>
  <c r="V33" i="53"/>
  <c r="T31" i="53"/>
  <c r="X26" i="53"/>
  <c r="U33" i="53"/>
  <c r="W31" i="53"/>
  <c r="W24" i="53"/>
  <c r="Q30" i="53"/>
  <c r="X25" i="53"/>
  <c r="S23" i="53"/>
  <c r="Y27" i="53"/>
  <c r="V28" i="53"/>
  <c r="R28" i="53"/>
  <c r="W23" i="53"/>
  <c r="Z28" i="53"/>
  <c r="AA29" i="53"/>
  <c r="R23" i="53"/>
  <c r="U29" i="53"/>
  <c r="Y31" i="53"/>
  <c r="V30" i="53"/>
  <c r="U25" i="53"/>
  <c r="Y28" i="53"/>
  <c r="X24" i="53"/>
  <c r="R25" i="53"/>
  <c r="U23" i="53"/>
  <c r="W27" i="53"/>
  <c r="Y29" i="53"/>
  <c r="AA30" i="53"/>
  <c r="T25" i="53"/>
  <c r="Q31" i="53"/>
  <c r="T23" i="53"/>
  <c r="V31" i="53"/>
  <c r="W25" i="53"/>
  <c r="V24" i="53"/>
  <c r="W30" i="53"/>
  <c r="AA31" i="53"/>
  <c r="U32" i="53"/>
  <c r="Z25" i="53"/>
  <c r="X27" i="53"/>
  <c r="X29" i="53"/>
  <c r="V25" i="53"/>
  <c r="Q27" i="53"/>
  <c r="R29" i="53"/>
  <c r="T27" i="53"/>
  <c r="V23" i="53"/>
  <c r="Z29" i="53"/>
  <c r="V26" i="53"/>
  <c r="Y24" i="53"/>
  <c r="V27" i="53"/>
  <c r="T33" i="53"/>
  <c r="X31" i="53"/>
  <c r="T30" i="53"/>
  <c r="U31" i="53"/>
  <c r="W33" i="53"/>
  <c r="W26" i="53"/>
  <c r="W32" i="53"/>
  <c r="AA26" i="53"/>
  <c r="Z31" i="53"/>
  <c r="X23" i="53"/>
  <c r="W28" i="53"/>
  <c r="AA25" i="53"/>
  <c r="AA23" i="53"/>
  <c r="AA28" i="53"/>
  <c r="Y25" i="53"/>
  <c r="Q25" i="53"/>
  <c r="Z135" i="53"/>
  <c r="S136" i="53"/>
  <c r="R143" i="53"/>
  <c r="R135" i="53"/>
  <c r="Z136" i="53"/>
  <c r="Z142" i="53"/>
  <c r="R139" i="53"/>
  <c r="T139" i="53"/>
  <c r="Z139" i="53"/>
  <c r="Z141" i="53"/>
  <c r="T142" i="53"/>
  <c r="Z134" i="53"/>
  <c r="Z143" i="53"/>
  <c r="T141" i="53"/>
  <c r="T133" i="53"/>
  <c r="X137" i="53"/>
  <c r="AA135" i="53"/>
  <c r="W138" i="53"/>
  <c r="R136" i="53"/>
  <c r="AA136" i="53"/>
  <c r="W136" i="53"/>
  <c r="Z133" i="53"/>
  <c r="T134" i="53"/>
  <c r="T135" i="53"/>
  <c r="R134" i="53"/>
  <c r="S135" i="53"/>
  <c r="W139" i="53"/>
  <c r="R142" i="53"/>
  <c r="T136" i="53"/>
  <c r="T143" i="53"/>
  <c r="Y137" i="53"/>
  <c r="X135" i="53"/>
  <c r="AA137" i="53"/>
  <c r="T137" i="53"/>
  <c r="S143" i="53"/>
  <c r="S140" i="53"/>
  <c r="W142" i="53"/>
  <c r="W140" i="53"/>
  <c r="U136" i="53"/>
  <c r="U137" i="53"/>
  <c r="X133" i="53"/>
  <c r="V134" i="53"/>
  <c r="Z138" i="53"/>
  <c r="R133" i="53"/>
  <c r="W133" i="53"/>
  <c r="AA140" i="53"/>
  <c r="U141" i="53"/>
  <c r="S133" i="53"/>
  <c r="S139" i="53"/>
  <c r="X139" i="53"/>
  <c r="V143" i="53"/>
  <c r="X140" i="53"/>
  <c r="V141" i="53"/>
  <c r="T138" i="53"/>
  <c r="W134" i="53"/>
  <c r="S142" i="53"/>
  <c r="U133" i="53"/>
  <c r="AA134" i="53"/>
  <c r="R141" i="53"/>
  <c r="Z140" i="53"/>
  <c r="T140" i="53"/>
  <c r="V140" i="53"/>
  <c r="AA141" i="53"/>
  <c r="W137" i="53"/>
  <c r="X141" i="53"/>
  <c r="Q140" i="53"/>
  <c r="AA138" i="53"/>
  <c r="X143" i="53"/>
  <c r="R140" i="53"/>
  <c r="X142" i="53"/>
  <c r="AA142" i="53"/>
  <c r="W135" i="53"/>
  <c r="AA133" i="53"/>
  <c r="W143" i="53"/>
  <c r="AA143" i="53"/>
  <c r="S141" i="53"/>
  <c r="X138" i="53"/>
  <c r="S134" i="53"/>
  <c r="S137" i="53"/>
  <c r="X134" i="53"/>
  <c r="R138" i="53"/>
  <c r="Y135" i="53"/>
  <c r="R137" i="53"/>
  <c r="AA139" i="53"/>
  <c r="Z137" i="53"/>
  <c r="W141" i="53"/>
  <c r="U140" i="53"/>
  <c r="S138" i="53"/>
  <c r="X136" i="53"/>
  <c r="U143" i="53"/>
  <c r="Y136" i="53"/>
  <c r="Y26" i="53"/>
  <c r="X82" i="53"/>
  <c r="V85" i="53"/>
  <c r="Z11" i="53"/>
  <c r="Q135" i="53"/>
  <c r="Q33" i="53"/>
  <c r="Q29" i="53"/>
  <c r="V137" i="53"/>
  <c r="V87" i="53"/>
  <c r="X83" i="53"/>
  <c r="Q133" i="53"/>
  <c r="W84" i="53"/>
  <c r="Y11" i="53"/>
  <c r="Z98" i="53"/>
  <c r="W82" i="53"/>
  <c r="Q117" i="53"/>
  <c r="S115" i="53"/>
  <c r="Q122" i="53"/>
  <c r="AA122" i="53"/>
  <c r="T123" i="53"/>
  <c r="Q125" i="53"/>
  <c r="Y117" i="53"/>
  <c r="X121" i="53"/>
  <c r="Y125" i="53"/>
  <c r="T118" i="53"/>
  <c r="S122" i="53"/>
  <c r="T115" i="53"/>
  <c r="T122" i="53"/>
  <c r="T117" i="53"/>
  <c r="X118" i="53"/>
  <c r="T125" i="53"/>
  <c r="Y121" i="53"/>
  <c r="AA123" i="53"/>
  <c r="V121" i="53"/>
  <c r="AA121" i="53"/>
  <c r="Q124" i="53"/>
  <c r="U125" i="53"/>
  <c r="S119" i="53"/>
  <c r="Z125" i="53"/>
  <c r="Y120" i="53"/>
  <c r="Z116" i="53"/>
  <c r="S117" i="53"/>
  <c r="W117" i="53"/>
  <c r="V119" i="53"/>
  <c r="Y124" i="53"/>
  <c r="Q119" i="53"/>
  <c r="X115" i="53"/>
  <c r="R124" i="53"/>
  <c r="S125" i="53"/>
  <c r="Y122" i="53"/>
  <c r="U122" i="53"/>
  <c r="U119" i="53"/>
  <c r="Y118" i="53"/>
  <c r="Q116" i="53"/>
  <c r="AA116" i="53"/>
  <c r="T121" i="53"/>
  <c r="U121" i="53"/>
  <c r="AA118" i="53"/>
  <c r="AA115" i="53"/>
  <c r="U116" i="53"/>
  <c r="X123" i="53"/>
  <c r="W122" i="53"/>
  <c r="S123" i="53"/>
  <c r="T119" i="53"/>
  <c r="S120" i="53"/>
  <c r="Q118" i="53"/>
  <c r="Y116" i="53"/>
  <c r="R125" i="53"/>
  <c r="Y123" i="53"/>
  <c r="AA119" i="53"/>
  <c r="Q120" i="53"/>
  <c r="S124" i="53"/>
  <c r="X120" i="53"/>
  <c r="AA117" i="53"/>
  <c r="R117" i="53"/>
  <c r="U124" i="53"/>
  <c r="T124" i="53"/>
  <c r="R120" i="53"/>
  <c r="AA124" i="53"/>
  <c r="T116" i="53"/>
  <c r="Q121" i="53"/>
  <c r="U118" i="53"/>
  <c r="X117" i="53"/>
  <c r="S118" i="53"/>
  <c r="X116" i="53"/>
  <c r="Z117" i="53"/>
  <c r="Y115" i="53"/>
  <c r="V124" i="53"/>
  <c r="X122" i="53"/>
  <c r="U123" i="53"/>
  <c r="AA125" i="53"/>
  <c r="Y119" i="53"/>
  <c r="X124" i="53"/>
  <c r="X119" i="53"/>
  <c r="U117" i="53"/>
  <c r="R119" i="53"/>
  <c r="Z121" i="53"/>
  <c r="S121" i="53"/>
  <c r="Q123" i="53"/>
  <c r="U115" i="53"/>
  <c r="AA120" i="53"/>
  <c r="U120" i="53"/>
  <c r="Q115" i="53"/>
  <c r="S116" i="53"/>
  <c r="X125" i="53"/>
  <c r="T120" i="53"/>
  <c r="V116" i="53"/>
  <c r="Q136" i="53"/>
  <c r="S65" i="53"/>
  <c r="Q23" i="53"/>
  <c r="U12" i="53"/>
  <c r="T12" i="53"/>
  <c r="T10" i="53"/>
  <c r="X6" i="53"/>
  <c r="S10" i="53"/>
  <c r="X8" i="53"/>
  <c r="W13" i="53"/>
  <c r="X14" i="53"/>
  <c r="W6" i="53"/>
  <c r="W5" i="53"/>
  <c r="T11" i="53"/>
  <c r="X7" i="53"/>
  <c r="W11" i="53"/>
  <c r="T8" i="53"/>
  <c r="W8" i="53"/>
  <c r="U10" i="53"/>
  <c r="T5" i="53"/>
  <c r="W14" i="53"/>
  <c r="U5" i="53"/>
  <c r="Z15" i="53"/>
  <c r="S12" i="53"/>
  <c r="T14" i="53"/>
  <c r="V8" i="53"/>
  <c r="V7" i="53"/>
  <c r="AA5" i="53"/>
  <c r="S9" i="53"/>
  <c r="R7" i="53"/>
  <c r="Z6" i="53"/>
  <c r="V12" i="53"/>
  <c r="X11" i="53"/>
  <c r="V13" i="53"/>
  <c r="AA6" i="53"/>
  <c r="Q15" i="53"/>
  <c r="W10" i="53"/>
  <c r="T9" i="53"/>
  <c r="R5" i="53"/>
  <c r="V14" i="53"/>
  <c r="Y12" i="53"/>
  <c r="R6" i="53"/>
  <c r="Q5" i="53"/>
  <c r="S14" i="53"/>
  <c r="R10" i="53"/>
  <c r="AA7" i="53"/>
  <c r="Q9" i="53"/>
  <c r="X10" i="53"/>
  <c r="W9" i="53"/>
  <c r="W7" i="53"/>
  <c r="S11" i="53"/>
  <c r="S8" i="53"/>
  <c r="S15" i="53"/>
  <c r="X9" i="53"/>
  <c r="U7" i="53"/>
  <c r="Z13" i="53"/>
  <c r="Q14" i="53"/>
  <c r="U15" i="53"/>
  <c r="V10" i="53"/>
  <c r="U9" i="53"/>
  <c r="R14" i="53"/>
  <c r="S6" i="53"/>
  <c r="T13" i="53"/>
  <c r="X13" i="53"/>
  <c r="W15" i="53"/>
  <c r="S5" i="53"/>
  <c r="Z10" i="53"/>
  <c r="Q12" i="53"/>
  <c r="V5" i="53"/>
  <c r="T7" i="53"/>
  <c r="U13" i="53"/>
  <c r="R15" i="53"/>
  <c r="U11" i="53"/>
  <c r="S7" i="53"/>
  <c r="AA13" i="53"/>
  <c r="AA14" i="53"/>
  <c r="V9" i="53"/>
  <c r="Q13" i="53"/>
  <c r="T6" i="53"/>
  <c r="T15" i="53"/>
  <c r="U6" i="53"/>
  <c r="X15" i="53"/>
  <c r="W12" i="53"/>
  <c r="X12" i="53"/>
  <c r="V15" i="53"/>
  <c r="X5" i="53"/>
  <c r="V11" i="53"/>
  <c r="Q6" i="53"/>
  <c r="S13" i="53"/>
  <c r="U8" i="53"/>
  <c r="U14" i="53"/>
  <c r="V6" i="53"/>
  <c r="AA11" i="53"/>
  <c r="Z5" i="53"/>
  <c r="R13" i="53"/>
  <c r="Z104" i="53"/>
  <c r="Y141" i="53"/>
  <c r="V82" i="53"/>
  <c r="Y140" i="53"/>
  <c r="W79" i="53"/>
  <c r="Q7" i="53"/>
  <c r="S28" i="53"/>
  <c r="V136" i="53"/>
  <c r="R12" i="53"/>
  <c r="W89" i="53"/>
  <c r="AA12" i="53"/>
  <c r="V80" i="53"/>
  <c r="S69" i="53"/>
  <c r="V117" i="53"/>
  <c r="Y138" i="53"/>
  <c r="Q11" i="53"/>
  <c r="R116" i="53"/>
  <c r="Q102" i="53"/>
  <c r="Y5" i="53"/>
  <c r="V133" i="53"/>
  <c r="W119" i="53"/>
  <c r="AA63" i="53"/>
  <c r="Q139" i="53"/>
  <c r="S26" i="53"/>
  <c r="V45" i="53"/>
  <c r="Y142" i="53"/>
  <c r="Y33" i="53"/>
  <c r="V125" i="53"/>
  <c r="R101" i="53"/>
  <c r="Y32" i="53"/>
  <c r="Y15" i="53"/>
  <c r="Z123" i="53"/>
  <c r="V89" i="53"/>
  <c r="R43" i="53"/>
  <c r="Q106" i="53"/>
  <c r="V79" i="53"/>
  <c r="Q138" i="53"/>
  <c r="Y62" i="53"/>
  <c r="R49" i="53"/>
  <c r="Q137" i="53"/>
  <c r="Z99" i="53"/>
  <c r="R99" i="53"/>
  <c r="Z118" i="51"/>
  <c r="R115" i="51"/>
  <c r="AA117" i="51"/>
  <c r="Q116" i="51"/>
  <c r="R119" i="51"/>
  <c r="R125" i="51"/>
  <c r="V115" i="51"/>
  <c r="Y117" i="51"/>
  <c r="R120" i="51"/>
  <c r="V118" i="51"/>
  <c r="Y123" i="51"/>
  <c r="X122" i="51"/>
  <c r="S124" i="51"/>
  <c r="W120" i="51"/>
  <c r="W121" i="51"/>
  <c r="V121" i="51"/>
  <c r="U120" i="51"/>
  <c r="R124" i="51"/>
  <c r="R122" i="51"/>
  <c r="T121" i="51"/>
  <c r="Y120" i="51"/>
  <c r="T119" i="51"/>
  <c r="Y122" i="51"/>
  <c r="Q123" i="51"/>
  <c r="X119" i="51"/>
  <c r="S125" i="51"/>
  <c r="AA122" i="51"/>
  <c r="T123" i="51"/>
  <c r="Q124" i="51"/>
  <c r="V120" i="51"/>
  <c r="X124" i="51"/>
  <c r="V119" i="51"/>
  <c r="R117" i="51"/>
  <c r="X120" i="51"/>
  <c r="U115" i="51"/>
  <c r="Z116" i="51"/>
  <c r="AA115" i="51"/>
  <c r="R123" i="51"/>
  <c r="S117" i="51"/>
  <c r="W124" i="51"/>
  <c r="W117" i="51"/>
  <c r="W118" i="51"/>
  <c r="Z117" i="51"/>
  <c r="W119" i="51"/>
  <c r="X125" i="51"/>
  <c r="Q115" i="51"/>
  <c r="Q121" i="51"/>
  <c r="V122" i="51"/>
  <c r="Y119" i="51"/>
  <c r="X123" i="51"/>
  <c r="Q117" i="51"/>
  <c r="Q120" i="51"/>
  <c r="Y125" i="51"/>
  <c r="U116" i="51"/>
  <c r="X121" i="51"/>
  <c r="W115" i="51"/>
  <c r="W116" i="51"/>
  <c r="Z122" i="51"/>
  <c r="S121" i="51"/>
  <c r="T117" i="51"/>
  <c r="Z125" i="51"/>
  <c r="U117" i="51"/>
  <c r="W123" i="51"/>
  <c r="Y118" i="51"/>
  <c r="AA125" i="51"/>
  <c r="T118" i="51"/>
  <c r="V116" i="51"/>
  <c r="Z123" i="51"/>
  <c r="S123" i="51"/>
  <c r="X117" i="51"/>
  <c r="Z124" i="51"/>
  <c r="T124" i="51"/>
  <c r="T120" i="51"/>
  <c r="Y115" i="51"/>
  <c r="AA116" i="51"/>
  <c r="R118" i="51"/>
  <c r="T125" i="51"/>
  <c r="S122" i="51"/>
  <c r="R116" i="51"/>
  <c r="AA124" i="51"/>
  <c r="V124" i="51"/>
  <c r="V125" i="51"/>
  <c r="U121" i="51"/>
  <c r="Q125" i="51"/>
  <c r="T116" i="51"/>
  <c r="Z119" i="51"/>
  <c r="AA120" i="51"/>
  <c r="Z121" i="51"/>
  <c r="S119" i="51"/>
  <c r="Y124" i="51"/>
  <c r="S118" i="51"/>
  <c r="Z120" i="51"/>
  <c r="T115" i="51"/>
  <c r="X115" i="51"/>
  <c r="U118" i="51"/>
  <c r="W122" i="51"/>
  <c r="X116" i="51"/>
  <c r="S120" i="51"/>
  <c r="Y121" i="51"/>
  <c r="W125" i="51"/>
  <c r="U125" i="51"/>
  <c r="V117" i="51"/>
  <c r="S116" i="51"/>
  <c r="AA119" i="51"/>
  <c r="Q118" i="51"/>
  <c r="T122" i="51"/>
  <c r="U123" i="51"/>
  <c r="Z115" i="51"/>
  <c r="U119" i="51"/>
  <c r="U124" i="51"/>
  <c r="Q119" i="51"/>
  <c r="X118" i="51"/>
  <c r="R121" i="51"/>
  <c r="AA123" i="51"/>
  <c r="AA118" i="51"/>
  <c r="AA121" i="51"/>
  <c r="Q122" i="51"/>
  <c r="U122" i="51"/>
  <c r="V123" i="51"/>
  <c r="S115" i="51"/>
  <c r="Q136" i="51"/>
  <c r="Y79" i="51"/>
  <c r="R142" i="51"/>
  <c r="Y134" i="51"/>
  <c r="S46" i="51"/>
  <c r="R42" i="51"/>
  <c r="S45" i="51"/>
  <c r="Q44" i="51"/>
  <c r="Q25" i="51"/>
  <c r="U24" i="51"/>
  <c r="Q32" i="51"/>
  <c r="U25" i="51"/>
  <c r="W30" i="51"/>
  <c r="Y27" i="51"/>
  <c r="Y32" i="51"/>
  <c r="U31" i="51"/>
  <c r="W23" i="51"/>
  <c r="Y31" i="51"/>
  <c r="Q27" i="51"/>
  <c r="Y29" i="51"/>
  <c r="Q26" i="51"/>
  <c r="Q28" i="51"/>
  <c r="U8" i="51"/>
  <c r="T9" i="51"/>
  <c r="S6" i="51"/>
  <c r="S5" i="51"/>
  <c r="W9" i="51"/>
  <c r="S8" i="51"/>
  <c r="U9" i="51"/>
  <c r="T12" i="51"/>
  <c r="T15" i="51"/>
  <c r="S10" i="51"/>
  <c r="V13" i="51"/>
  <c r="V7" i="51"/>
  <c r="U10" i="51"/>
  <c r="T6" i="51"/>
  <c r="X7" i="51"/>
  <c r="W12" i="51"/>
  <c r="W6" i="51"/>
  <c r="AA14" i="51"/>
  <c r="V8" i="51"/>
  <c r="V12" i="51"/>
  <c r="W14" i="51"/>
  <c r="T8" i="51"/>
  <c r="Q13" i="51"/>
  <c r="U5" i="51"/>
  <c r="S14" i="51"/>
  <c r="X6" i="51"/>
  <c r="X5" i="51"/>
  <c r="S12" i="51"/>
  <c r="U12" i="51"/>
  <c r="R7" i="51"/>
  <c r="T13" i="51"/>
  <c r="Q15" i="51"/>
  <c r="V9" i="51"/>
  <c r="V5" i="51"/>
  <c r="S9" i="51"/>
  <c r="S13" i="51"/>
  <c r="W13" i="51"/>
  <c r="R8" i="51"/>
  <c r="T5" i="51"/>
  <c r="V15" i="51"/>
  <c r="Q11" i="51"/>
  <c r="S7" i="51"/>
  <c r="V6" i="51"/>
  <c r="S11" i="51"/>
  <c r="Z10" i="51"/>
  <c r="AA8" i="51"/>
  <c r="X67" i="51"/>
  <c r="U68" i="51"/>
  <c r="U60" i="51"/>
  <c r="X61" i="51"/>
  <c r="Y69" i="51"/>
  <c r="U69" i="51"/>
  <c r="AA65" i="51"/>
  <c r="X66" i="51"/>
  <c r="Z65" i="51"/>
  <c r="U66" i="51"/>
  <c r="AA59" i="51"/>
  <c r="AA64" i="51"/>
  <c r="Q64" i="51"/>
  <c r="Q63" i="51"/>
  <c r="X63" i="51"/>
  <c r="W69" i="51"/>
  <c r="U61" i="51"/>
  <c r="AA60" i="51"/>
  <c r="W68" i="51"/>
  <c r="R66" i="51"/>
  <c r="U67" i="51"/>
  <c r="U63" i="51"/>
  <c r="R64" i="51"/>
  <c r="Z68" i="51"/>
  <c r="Q65" i="51"/>
  <c r="S60" i="51"/>
  <c r="Y61" i="51"/>
  <c r="R67" i="51"/>
  <c r="W61" i="51"/>
  <c r="Y59" i="51"/>
  <c r="Y66" i="51"/>
  <c r="Q59" i="51"/>
  <c r="Y64" i="51"/>
  <c r="Y68" i="51"/>
  <c r="W66" i="51"/>
  <c r="AA61" i="51"/>
  <c r="W60" i="51"/>
  <c r="R63" i="51"/>
  <c r="U59" i="51"/>
  <c r="S62" i="51"/>
  <c r="V64" i="51"/>
  <c r="V62" i="51"/>
  <c r="AA63" i="51"/>
  <c r="T59" i="51"/>
  <c r="Z67" i="51"/>
  <c r="S64" i="51"/>
  <c r="S68" i="51"/>
  <c r="X68" i="51"/>
  <c r="X59" i="51"/>
  <c r="R60" i="51"/>
  <c r="R62" i="51"/>
  <c r="S59" i="51"/>
  <c r="T62" i="51"/>
  <c r="AA69" i="51"/>
  <c r="U62" i="51"/>
  <c r="AA66" i="51"/>
  <c r="AA68" i="51"/>
  <c r="X62" i="51"/>
  <c r="Q68" i="51"/>
  <c r="Z69" i="51"/>
  <c r="Y65" i="51"/>
  <c r="Q62" i="51"/>
  <c r="U64" i="51"/>
  <c r="R61" i="51"/>
  <c r="V66" i="51"/>
  <c r="X69" i="51"/>
  <c r="R65" i="51"/>
  <c r="Z62" i="51"/>
  <c r="Q67" i="51"/>
  <c r="S61" i="51"/>
  <c r="Q66" i="51"/>
  <c r="W65" i="51"/>
  <c r="Q61" i="51"/>
  <c r="Q69" i="51"/>
  <c r="W64" i="51"/>
  <c r="Z64" i="51"/>
  <c r="S65" i="51"/>
  <c r="T65" i="51"/>
  <c r="X65" i="51"/>
  <c r="W67" i="51"/>
  <c r="R69" i="51"/>
  <c r="Z66" i="51"/>
  <c r="Z63" i="51"/>
  <c r="S63" i="51"/>
  <c r="X64" i="51"/>
  <c r="Q60" i="51"/>
  <c r="Y63" i="51"/>
  <c r="W62" i="51"/>
  <c r="U65" i="51"/>
  <c r="R68" i="51"/>
  <c r="Y67" i="51"/>
  <c r="S69" i="51"/>
  <c r="X60" i="51"/>
  <c r="V59" i="51"/>
  <c r="T64" i="51"/>
  <c r="R59" i="51"/>
  <c r="AA67" i="51"/>
  <c r="T61" i="51"/>
  <c r="W59" i="51"/>
  <c r="Z60" i="51"/>
  <c r="Z59" i="51"/>
  <c r="W63" i="51"/>
  <c r="S67" i="51"/>
  <c r="Z61" i="51"/>
  <c r="Y60" i="51"/>
  <c r="AA62" i="51"/>
  <c r="S66" i="51"/>
  <c r="Y62" i="51"/>
  <c r="W134" i="51"/>
  <c r="Z89" i="51"/>
  <c r="Y45" i="51"/>
  <c r="R81" i="51"/>
  <c r="S44" i="51"/>
  <c r="U102" i="51"/>
  <c r="X49" i="51"/>
  <c r="Z135" i="51"/>
  <c r="Z87" i="51"/>
  <c r="S97" i="51"/>
  <c r="S41" i="51"/>
  <c r="Z134" i="51"/>
  <c r="AA139" i="51"/>
  <c r="S105" i="51"/>
  <c r="Z106" i="51"/>
  <c r="W15" i="51"/>
  <c r="Z140" i="51"/>
  <c r="Z88" i="51"/>
  <c r="S103" i="51"/>
  <c r="W8" i="51"/>
  <c r="W142" i="51"/>
  <c r="Q33" i="51"/>
  <c r="V67" i="51"/>
  <c r="AA7" i="51"/>
  <c r="V11" i="51"/>
  <c r="V10" i="51"/>
  <c r="Y15" i="51"/>
  <c r="X11" i="51"/>
  <c r="Y5" i="51"/>
  <c r="R9" i="51"/>
  <c r="Y8" i="51"/>
  <c r="Z11" i="51"/>
  <c r="AA10" i="51"/>
  <c r="AA13" i="51"/>
  <c r="Q86" i="51"/>
  <c r="U89" i="51"/>
  <c r="V83" i="51"/>
  <c r="Q84" i="51"/>
  <c r="T79" i="51"/>
  <c r="Q88" i="51"/>
  <c r="Q79" i="51"/>
  <c r="Q82" i="51"/>
  <c r="AA81" i="51"/>
  <c r="AA86" i="51"/>
  <c r="V79" i="51"/>
  <c r="V81" i="51"/>
  <c r="Q89" i="51"/>
  <c r="W82" i="51"/>
  <c r="T84" i="51"/>
  <c r="U83" i="51"/>
  <c r="T83" i="51"/>
  <c r="T89" i="51"/>
  <c r="T87" i="51"/>
  <c r="AA80" i="51"/>
  <c r="T82" i="51"/>
  <c r="Q81" i="51"/>
  <c r="Q80" i="51"/>
  <c r="Y88" i="51"/>
  <c r="T81" i="51"/>
  <c r="X85" i="51"/>
  <c r="AA89" i="51"/>
  <c r="Y85" i="51"/>
  <c r="U82" i="51"/>
  <c r="X87" i="51"/>
  <c r="S81" i="51"/>
  <c r="AA83" i="51"/>
  <c r="T80" i="51"/>
  <c r="S88" i="51"/>
  <c r="Z79" i="51"/>
  <c r="W84" i="51"/>
  <c r="S86" i="51"/>
  <c r="U79" i="51"/>
  <c r="AA87" i="51"/>
  <c r="W83" i="51"/>
  <c r="V82" i="51"/>
  <c r="AA88" i="51"/>
  <c r="V88" i="51"/>
  <c r="W79" i="51"/>
  <c r="U85" i="51"/>
  <c r="T88" i="51"/>
  <c r="W88" i="51"/>
  <c r="W89" i="51"/>
  <c r="Q83" i="51"/>
  <c r="V80" i="51"/>
  <c r="S85" i="51"/>
  <c r="U80" i="51"/>
  <c r="AA85" i="51"/>
  <c r="W80" i="51"/>
  <c r="T85" i="51"/>
  <c r="X81" i="51"/>
  <c r="T86" i="51"/>
  <c r="Q85" i="51"/>
  <c r="U81" i="51"/>
  <c r="W81" i="51"/>
  <c r="U86" i="51"/>
  <c r="Q87" i="51"/>
  <c r="U88" i="51"/>
  <c r="X88" i="51"/>
  <c r="S83" i="51"/>
  <c r="V84" i="51"/>
  <c r="U87" i="51"/>
  <c r="V87" i="51"/>
  <c r="V89" i="51"/>
  <c r="X80" i="51"/>
  <c r="V86" i="51"/>
  <c r="S80" i="51"/>
  <c r="U84" i="51"/>
  <c r="X82" i="51"/>
  <c r="X89" i="51"/>
  <c r="X84" i="51"/>
  <c r="R88" i="51"/>
  <c r="W85" i="51"/>
  <c r="AA79" i="51"/>
  <c r="W87" i="51"/>
  <c r="AA82" i="51"/>
  <c r="W86" i="51"/>
  <c r="AA84" i="51"/>
  <c r="S79" i="51"/>
  <c r="V85" i="51"/>
  <c r="Z80" i="51"/>
  <c r="S84" i="51"/>
  <c r="X41" i="51"/>
  <c r="R100" i="51"/>
  <c r="S100" i="51"/>
  <c r="R136" i="51"/>
  <c r="Y47" i="51"/>
  <c r="R134" i="51"/>
  <c r="X83" i="51"/>
  <c r="Q133" i="51"/>
  <c r="R103" i="51"/>
  <c r="Q31" i="51"/>
  <c r="Y46" i="51"/>
  <c r="Q139" i="51"/>
  <c r="Z83" i="51"/>
  <c r="Q30" i="51"/>
  <c r="R97" i="51"/>
  <c r="Z103" i="51"/>
  <c r="Q46" i="51"/>
  <c r="W140" i="51"/>
  <c r="R137" i="51"/>
  <c r="U104" i="51"/>
  <c r="Y102" i="51"/>
  <c r="Y99" i="51"/>
  <c r="X137" i="51"/>
  <c r="S136" i="51"/>
  <c r="S139" i="51"/>
  <c r="U137" i="51"/>
  <c r="V142" i="51"/>
  <c r="T142" i="51"/>
  <c r="T133" i="51"/>
  <c r="T140" i="51"/>
  <c r="T138" i="51"/>
  <c r="V139" i="51"/>
  <c r="X140" i="51"/>
  <c r="T137" i="51"/>
  <c r="U134" i="51"/>
  <c r="X135" i="51"/>
  <c r="R140" i="51"/>
  <c r="T134" i="51"/>
  <c r="W137" i="51"/>
  <c r="V133" i="51"/>
  <c r="W141" i="51"/>
  <c r="Y142" i="51"/>
  <c r="S143" i="51"/>
  <c r="V140" i="51"/>
  <c r="Y137" i="51"/>
  <c r="Y143" i="51"/>
  <c r="W135" i="51"/>
  <c r="V138" i="51"/>
  <c r="R135" i="51"/>
  <c r="U140" i="51"/>
  <c r="V136" i="51"/>
  <c r="V137" i="51"/>
  <c r="Y139" i="51"/>
  <c r="U143" i="51"/>
  <c r="U141" i="51"/>
  <c r="S140" i="51"/>
  <c r="T143" i="51"/>
  <c r="V141" i="51"/>
  <c r="Y141" i="51"/>
  <c r="U139" i="51"/>
  <c r="Y135" i="51"/>
  <c r="X133" i="51"/>
  <c r="X134" i="51"/>
  <c r="U138" i="51"/>
  <c r="S138" i="51"/>
  <c r="S133" i="51"/>
  <c r="V135" i="51"/>
  <c r="AA133" i="51"/>
  <c r="AA143" i="51"/>
  <c r="S135" i="51"/>
  <c r="V134" i="51"/>
  <c r="X142" i="51"/>
  <c r="U136" i="51"/>
  <c r="AA137" i="51"/>
  <c r="T136" i="51"/>
  <c r="S134" i="51"/>
  <c r="U133" i="51"/>
  <c r="Z136" i="51"/>
  <c r="X136" i="51"/>
  <c r="X143" i="51"/>
  <c r="S141" i="51"/>
  <c r="S137" i="51"/>
  <c r="X139" i="51"/>
  <c r="V143" i="51"/>
  <c r="T135" i="51"/>
  <c r="T141" i="51"/>
  <c r="Q140" i="51"/>
  <c r="T139" i="51"/>
  <c r="U142" i="51"/>
  <c r="S142" i="51"/>
  <c r="X138" i="51"/>
  <c r="U135" i="51"/>
  <c r="X141" i="51"/>
  <c r="R80" i="51"/>
  <c r="Z133" i="51"/>
  <c r="Y133" i="51"/>
  <c r="V68" i="51"/>
  <c r="Q51" i="51"/>
  <c r="R82" i="51"/>
  <c r="X23" i="51"/>
  <c r="X24" i="51"/>
  <c r="X28" i="51"/>
  <c r="X29" i="51"/>
  <c r="AA26" i="51"/>
  <c r="AA30" i="51"/>
  <c r="R25" i="51"/>
  <c r="Z28" i="51"/>
  <c r="T32" i="51"/>
  <c r="Z23" i="51"/>
  <c r="AA23" i="51"/>
  <c r="V25" i="51"/>
  <c r="R30" i="51"/>
  <c r="Z29" i="51"/>
  <c r="Z31" i="51"/>
  <c r="S30" i="51"/>
  <c r="Z26" i="51"/>
  <c r="W29" i="51"/>
  <c r="AA29" i="51"/>
  <c r="S25" i="51"/>
  <c r="X25" i="51"/>
  <c r="X27" i="51"/>
  <c r="X26" i="51"/>
  <c r="Z24" i="51"/>
  <c r="X32" i="51"/>
  <c r="V27" i="51"/>
  <c r="R27" i="51"/>
  <c r="V24" i="51"/>
  <c r="AA25" i="51"/>
  <c r="U29" i="51"/>
  <c r="V30" i="51"/>
  <c r="V29" i="51"/>
  <c r="R28" i="51"/>
  <c r="U23" i="51"/>
  <c r="Z33" i="51"/>
  <c r="R26" i="51"/>
  <c r="AA32" i="51"/>
  <c r="V26" i="51"/>
  <c r="V33" i="51"/>
  <c r="R23" i="51"/>
  <c r="U32" i="51"/>
  <c r="W32" i="51"/>
  <c r="W31" i="51"/>
  <c r="AA27" i="51"/>
  <c r="T30" i="51"/>
  <c r="S29" i="51"/>
  <c r="T25" i="51"/>
  <c r="S32" i="51"/>
  <c r="T27" i="51"/>
  <c r="V23" i="51"/>
  <c r="AA28" i="51"/>
  <c r="W33" i="51"/>
  <c r="T33" i="51"/>
  <c r="T29" i="51"/>
  <c r="T28" i="51"/>
  <c r="V32" i="51"/>
  <c r="T26" i="51"/>
  <c r="S28" i="51"/>
  <c r="T31" i="51"/>
  <c r="S33" i="51"/>
  <c r="S24" i="51"/>
  <c r="R32" i="51"/>
  <c r="Z32" i="51"/>
  <c r="S23" i="51"/>
  <c r="R31" i="51"/>
  <c r="U28" i="51"/>
  <c r="AA33" i="51"/>
  <c r="U30" i="51"/>
  <c r="V31" i="51"/>
  <c r="T23" i="51"/>
  <c r="Z27" i="51"/>
  <c r="AA31" i="51"/>
  <c r="S26" i="51"/>
  <c r="X30" i="51"/>
  <c r="S27" i="51"/>
  <c r="T24" i="51"/>
  <c r="X33" i="51"/>
  <c r="Z30" i="51"/>
  <c r="S31" i="51"/>
  <c r="Q29" i="51"/>
  <c r="AA24" i="51"/>
  <c r="R33" i="51"/>
  <c r="Z25" i="51"/>
  <c r="W24" i="51"/>
  <c r="V28" i="51"/>
  <c r="R24" i="51"/>
  <c r="R29" i="51"/>
  <c r="X31" i="51"/>
  <c r="X50" i="51"/>
  <c r="R99" i="51"/>
  <c r="Z84" i="51"/>
  <c r="U33" i="51"/>
  <c r="Z5" i="51"/>
  <c r="X14" i="51"/>
  <c r="Z7" i="51"/>
  <c r="AA9" i="51"/>
  <c r="Q14" i="51"/>
  <c r="Z12" i="51"/>
  <c r="Z6" i="51"/>
  <c r="W10" i="51"/>
  <c r="Q7" i="51"/>
  <c r="Z9" i="51"/>
  <c r="X9" i="51"/>
  <c r="R12" i="51"/>
  <c r="Z107" i="51"/>
  <c r="S98" i="51"/>
  <c r="Q137" i="51"/>
  <c r="R89" i="51"/>
  <c r="Z138" i="51"/>
  <c r="T41" i="51"/>
  <c r="AA44" i="51"/>
  <c r="U51" i="51"/>
  <c r="W44" i="51"/>
  <c r="W50" i="51"/>
  <c r="W47" i="51"/>
  <c r="V46" i="51"/>
  <c r="T50" i="51"/>
  <c r="T45" i="51"/>
  <c r="T44" i="51"/>
  <c r="AA43" i="51"/>
  <c r="W49" i="51"/>
  <c r="W51" i="51"/>
  <c r="AA48" i="51"/>
  <c r="AA47" i="51"/>
  <c r="W45" i="51"/>
  <c r="T46" i="51"/>
  <c r="T47" i="51"/>
  <c r="U46" i="51"/>
  <c r="Z45" i="51"/>
  <c r="Z44" i="51"/>
  <c r="Z47" i="51"/>
  <c r="T51" i="51"/>
  <c r="S43" i="51"/>
  <c r="U48" i="51"/>
  <c r="V42" i="51"/>
  <c r="W46" i="51"/>
  <c r="W42" i="51"/>
  <c r="Z48" i="51"/>
  <c r="R41" i="51"/>
  <c r="AA42" i="51"/>
  <c r="U49" i="51"/>
  <c r="S47" i="51"/>
  <c r="X42" i="51"/>
  <c r="Y41" i="51"/>
  <c r="AA49" i="51"/>
  <c r="V47" i="51"/>
  <c r="AA41" i="51"/>
  <c r="S48" i="51"/>
  <c r="V48" i="51"/>
  <c r="Z50" i="51"/>
  <c r="U47" i="51"/>
  <c r="Z49" i="51"/>
  <c r="R50" i="51"/>
  <c r="T48" i="51"/>
  <c r="S42" i="51"/>
  <c r="Z46" i="51"/>
  <c r="U43" i="51"/>
  <c r="X44" i="51"/>
  <c r="Z51" i="51"/>
  <c r="U50" i="51"/>
  <c r="R49" i="51"/>
  <c r="V44" i="51"/>
  <c r="W41" i="51"/>
  <c r="U41" i="51"/>
  <c r="U44" i="51"/>
  <c r="W43" i="51"/>
  <c r="W48" i="51"/>
  <c r="V49" i="51"/>
  <c r="V41" i="51"/>
  <c r="Z42" i="51"/>
  <c r="X48" i="51"/>
  <c r="T43" i="51"/>
  <c r="X43" i="51"/>
  <c r="T49" i="51"/>
  <c r="U45" i="51"/>
  <c r="U42" i="51"/>
  <c r="V45" i="51"/>
  <c r="Z43" i="51"/>
  <c r="AA46" i="51"/>
  <c r="X45" i="51"/>
  <c r="S50" i="51"/>
  <c r="AA50" i="51"/>
  <c r="V50" i="51"/>
  <c r="AA51" i="51"/>
  <c r="AA45" i="51"/>
  <c r="V51" i="51"/>
  <c r="Q45" i="51"/>
  <c r="S51" i="51"/>
  <c r="Q48" i="51"/>
  <c r="Z41" i="51"/>
  <c r="T42" i="51"/>
  <c r="R45" i="51"/>
  <c r="V43" i="51"/>
  <c r="Y48" i="51"/>
  <c r="R106" i="51"/>
  <c r="Q141" i="51"/>
  <c r="X46" i="51"/>
  <c r="R84" i="51"/>
  <c r="Q23" i="51"/>
  <c r="V63" i="51"/>
  <c r="T69" i="51"/>
  <c r="R143" i="51"/>
  <c r="S89" i="51"/>
  <c r="T7" i="51"/>
  <c r="Q10" i="51"/>
  <c r="Z15" i="51"/>
  <c r="AA15" i="51"/>
  <c r="Z13" i="51"/>
  <c r="R10" i="51"/>
  <c r="X10" i="51"/>
  <c r="W11" i="51"/>
  <c r="AA5" i="51"/>
  <c r="X8" i="51"/>
  <c r="AA12" i="51"/>
  <c r="U7" i="51"/>
  <c r="Z81" i="51"/>
  <c r="X86" i="51"/>
  <c r="Q138" i="51"/>
  <c r="Z82" i="51"/>
  <c r="Y81" i="51"/>
  <c r="Y51" i="51"/>
  <c r="Y83" i="51"/>
  <c r="Z98" i="51"/>
  <c r="Z139" i="51"/>
  <c r="Y24" i="51"/>
  <c r="S101" i="51"/>
  <c r="Y138" i="51"/>
  <c r="X47" i="51"/>
  <c r="Y136" i="51"/>
  <c r="T68" i="51"/>
  <c r="Y107" i="51"/>
  <c r="Z85" i="51"/>
  <c r="Q47" i="51"/>
  <c r="Z137" i="51"/>
  <c r="Y26" i="51"/>
  <c r="S49" i="51"/>
  <c r="W143" i="51"/>
  <c r="Y25" i="51"/>
  <c r="U101" i="51"/>
  <c r="R87" i="51"/>
  <c r="S15" i="51"/>
  <c r="U98" i="51"/>
  <c r="V14" i="51"/>
  <c r="T66" i="51"/>
  <c r="R141" i="51"/>
  <c r="Y50" i="51"/>
  <c r="T67" i="51"/>
  <c r="R86" i="51"/>
  <c r="Y87" i="51"/>
  <c r="Q50" i="51"/>
  <c r="Z8" i="51"/>
  <c r="R15" i="51"/>
  <c r="Q6" i="51"/>
  <c r="U11" i="51"/>
  <c r="Y13" i="51"/>
  <c r="Y7" i="51"/>
  <c r="T10" i="51"/>
  <c r="R14" i="51"/>
  <c r="T14" i="51"/>
  <c r="U14" i="51"/>
  <c r="Y9" i="51"/>
  <c r="Y11" i="51"/>
  <c r="R105" i="51"/>
  <c r="U106" i="51"/>
  <c r="Q135" i="51"/>
  <c r="W139" i="51"/>
  <c r="U107" i="51"/>
  <c r="Q134" i="51"/>
  <c r="R98" i="51"/>
  <c r="Y23" i="51"/>
  <c r="U26" i="51"/>
  <c r="V69" i="51"/>
  <c r="Q41" i="51"/>
  <c r="S87" i="51"/>
  <c r="U27" i="51"/>
  <c r="Y28" i="51"/>
  <c r="R51" i="51"/>
  <c r="W28" i="51"/>
  <c r="T63" i="51"/>
  <c r="R79" i="51"/>
  <c r="Y105" i="51"/>
  <c r="AA138" i="51"/>
  <c r="S99" i="51"/>
  <c r="Y80" i="51"/>
  <c r="AA140" i="51"/>
  <c r="Z100" i="51"/>
  <c r="V61" i="51"/>
  <c r="Q43" i="51"/>
  <c r="R107" i="51"/>
  <c r="X79" i="51"/>
  <c r="V60" i="51"/>
  <c r="R85" i="51"/>
  <c r="Z142" i="51"/>
  <c r="S104" i="51"/>
  <c r="W27" i="51"/>
  <c r="T60" i="51"/>
  <c r="R102" i="51"/>
  <c r="R133" i="51"/>
  <c r="Y140" i="51"/>
  <c r="Q42" i="51"/>
  <c r="AA134" i="51"/>
  <c r="S102" i="51"/>
  <c r="Y42" i="51"/>
  <c r="R46" i="51"/>
  <c r="X51" i="51"/>
  <c r="W136" i="51"/>
  <c r="Y30" i="51"/>
  <c r="Q142" i="51"/>
  <c r="Y82" i="51"/>
  <c r="Y44" i="51"/>
  <c r="W138" i="51"/>
  <c r="Z141" i="51"/>
  <c r="S82" i="51"/>
  <c r="Y49" i="51"/>
  <c r="Y33" i="51"/>
  <c r="S106" i="51"/>
  <c r="X13" i="51"/>
  <c r="Y14" i="51"/>
  <c r="W7" i="51"/>
  <c r="Z14" i="51"/>
  <c r="Y10" i="51"/>
  <c r="W5" i="51"/>
  <c r="U6" i="51"/>
  <c r="AA11" i="51"/>
  <c r="U15" i="51"/>
  <c r="AA6" i="51"/>
  <c r="Q8" i="51"/>
  <c r="Q12" i="51"/>
  <c r="T104" i="51"/>
  <c r="X102" i="51"/>
  <c r="V103" i="51"/>
  <c r="V106" i="51"/>
  <c r="V99" i="51"/>
  <c r="AA106" i="51"/>
  <c r="V105" i="51"/>
  <c r="X103" i="51"/>
  <c r="T102" i="51"/>
  <c r="W104" i="51"/>
  <c r="X98" i="51"/>
  <c r="T97" i="51"/>
  <c r="X99" i="51"/>
  <c r="V102" i="51"/>
  <c r="T100" i="51"/>
  <c r="W105" i="51"/>
  <c r="Q99" i="51"/>
  <c r="X100" i="51"/>
  <c r="AA101" i="51"/>
  <c r="AA100" i="51"/>
  <c r="X101" i="51"/>
  <c r="Z105" i="51"/>
  <c r="Q103" i="51"/>
  <c r="AA104" i="51"/>
  <c r="Q98" i="51"/>
  <c r="T103" i="51"/>
  <c r="U103" i="51"/>
  <c r="T101" i="51"/>
  <c r="W102" i="51"/>
  <c r="T98" i="51"/>
  <c r="Y104" i="51"/>
  <c r="Z101" i="51"/>
  <c r="U105" i="51"/>
  <c r="Z104" i="51"/>
  <c r="U97" i="51"/>
  <c r="AA103" i="51"/>
  <c r="T106" i="51"/>
  <c r="W107" i="51"/>
  <c r="X107" i="51"/>
  <c r="Q100" i="51"/>
  <c r="AA102" i="51"/>
  <c r="AA98" i="51"/>
  <c r="Q102" i="51"/>
  <c r="Y100" i="51"/>
  <c r="V107" i="51"/>
  <c r="W100" i="51"/>
  <c r="Y97" i="51"/>
  <c r="Q101" i="51"/>
  <c r="X97" i="51"/>
  <c r="W98" i="51"/>
  <c r="T107" i="51"/>
  <c r="W103" i="51"/>
  <c r="Y103" i="51"/>
  <c r="T99" i="51"/>
  <c r="V98" i="51"/>
  <c r="R104" i="51"/>
  <c r="X104" i="51"/>
  <c r="Q105" i="51"/>
  <c r="X105" i="51"/>
  <c r="Q106" i="51"/>
  <c r="W99" i="51"/>
  <c r="Q97" i="51"/>
  <c r="Y106" i="51"/>
  <c r="V104" i="51"/>
  <c r="V97" i="51"/>
  <c r="AA97" i="51"/>
  <c r="AA99" i="51"/>
  <c r="AA105" i="51"/>
  <c r="Y101" i="51"/>
  <c r="U99" i="51"/>
  <c r="V100" i="51"/>
  <c r="X106" i="51"/>
  <c r="Q107" i="51"/>
  <c r="AA107" i="51"/>
  <c r="W97" i="51"/>
  <c r="Q104" i="51"/>
  <c r="T105" i="51"/>
  <c r="V101" i="51"/>
  <c r="W101" i="51"/>
  <c r="W106" i="51"/>
  <c r="Q143" i="51"/>
  <c r="AA136" i="51"/>
  <c r="U100" i="51"/>
  <c r="V65" i="51"/>
  <c r="AA142" i="51"/>
  <c r="R47" i="51"/>
  <c r="Y86" i="51"/>
  <c r="Y89" i="51"/>
  <c r="R43" i="51"/>
  <c r="Q49" i="51"/>
  <c r="W133" i="51"/>
  <c r="R83" i="51"/>
  <c r="Z102" i="51"/>
  <c r="Z97" i="51"/>
  <c r="Y98" i="51"/>
  <c r="R138" i="51"/>
  <c r="Z86" i="51"/>
  <c r="R101" i="51"/>
  <c r="Y84" i="51"/>
  <c r="R139" i="51"/>
  <c r="Y43" i="51"/>
  <c r="R48" i="51"/>
  <c r="AA141" i="51"/>
  <c r="W25" i="51"/>
  <c r="W26" i="51"/>
  <c r="Z143" i="51"/>
  <c r="S107" i="51"/>
  <c r="R11" i="51"/>
  <c r="U13" i="51"/>
  <c r="R5" i="51"/>
  <c r="Q5" i="51"/>
  <c r="Y6" i="51"/>
  <c r="R6" i="51"/>
  <c r="R13" i="51"/>
  <c r="T11" i="51"/>
  <c r="Q9" i="51"/>
  <c r="X12" i="51"/>
  <c r="Y12" i="51"/>
  <c r="H181" i="50"/>
  <c r="G117" i="50"/>
  <c r="I72" i="50"/>
  <c r="G180" i="50"/>
  <c r="G8" i="50"/>
  <c r="I179" i="50"/>
  <c r="I7" i="50"/>
  <c r="I50" i="50"/>
  <c r="H51" i="50"/>
  <c r="G96" i="50"/>
  <c r="G200" i="50"/>
  <c r="I95" i="50"/>
  <c r="I71" i="50"/>
  <c r="G28" i="50"/>
  <c r="H181" i="49"/>
  <c r="G8" i="49"/>
  <c r="H222" i="49"/>
  <c r="G180" i="49"/>
  <c r="H50" i="49"/>
  <c r="G96" i="49"/>
  <c r="G159" i="49"/>
  <c r="I179" i="49"/>
  <c r="G201" i="48"/>
  <c r="H181" i="48"/>
  <c r="I181" i="48" s="1"/>
  <c r="I179" i="48"/>
  <c r="G117" i="48"/>
  <c r="I180" i="48"/>
  <c r="G8" i="48"/>
  <c r="G243" i="48"/>
  <c r="G72" i="48"/>
  <c r="G137" i="48"/>
  <c r="G96" i="48"/>
  <c r="H181" i="47"/>
  <c r="G117" i="47"/>
  <c r="I96" i="47"/>
  <c r="I97" i="47"/>
  <c r="G72" i="47"/>
  <c r="I50" i="47"/>
  <c r="H51" i="47"/>
  <c r="G222" i="47"/>
  <c r="I222" i="47" s="1"/>
  <c r="I221" i="47"/>
  <c r="I242" i="47"/>
  <c r="I138" i="47"/>
  <c r="G138" i="47"/>
  <c r="G28" i="47"/>
  <c r="G200" i="47"/>
  <c r="G8" i="47"/>
  <c r="I137" i="47"/>
  <c r="G180" i="47"/>
  <c r="G201" i="46"/>
  <c r="I159" i="46"/>
  <c r="G160" i="46"/>
  <c r="I160" i="46" s="1"/>
  <c r="I96" i="46"/>
  <c r="G97" i="46"/>
  <c r="I97" i="46" s="1"/>
  <c r="H9" i="46"/>
  <c r="G243" i="46"/>
  <c r="G8" i="46"/>
  <c r="G9" i="46" s="1"/>
  <c r="I7" i="46"/>
  <c r="G180" i="46"/>
  <c r="G28" i="46"/>
  <c r="G29" i="46" s="1"/>
  <c r="G201" i="45"/>
  <c r="I180" i="45"/>
  <c r="G181" i="45"/>
  <c r="I181" i="45" s="1"/>
  <c r="G117" i="45"/>
  <c r="H96" i="45"/>
  <c r="H97" i="45" s="1"/>
  <c r="I97" i="45" s="1"/>
  <c r="I95" i="45"/>
  <c r="I159" i="45"/>
  <c r="H50" i="45"/>
  <c r="I8" i="45"/>
  <c r="G201" i="44"/>
  <c r="I158" i="44"/>
  <c r="G159" i="44"/>
  <c r="G117" i="44"/>
  <c r="G97" i="44"/>
  <c r="I97" i="44"/>
  <c r="G9" i="44"/>
  <c r="G180" i="44"/>
  <c r="I96" i="44"/>
  <c r="G137" i="44"/>
  <c r="I137" i="44" s="1"/>
  <c r="H50" i="44"/>
  <c r="I179" i="43"/>
  <c r="H181" i="43"/>
  <c r="G9" i="43"/>
  <c r="G95" i="43"/>
  <c r="H28" i="43"/>
  <c r="H29" i="43" s="1"/>
  <c r="G180" i="43"/>
  <c r="I159" i="43"/>
  <c r="H50" i="43"/>
  <c r="H31" i="42"/>
  <c r="H32" i="42" s="1"/>
  <c r="H33" i="42" s="1"/>
  <c r="H34" i="42" s="1"/>
  <c r="H35" i="42" s="1"/>
  <c r="H36" i="42" s="1"/>
  <c r="H37" i="42" s="1"/>
  <c r="H38" i="42" s="1"/>
  <c r="I30" i="42"/>
  <c r="G120" i="42"/>
  <c r="I120" i="42" s="1"/>
  <c r="G54" i="42"/>
  <c r="G139" i="42"/>
  <c r="I139" i="42" s="1"/>
  <c r="I201" i="42"/>
  <c r="H202" i="42"/>
  <c r="G161" i="42"/>
  <c r="I138" i="42"/>
  <c r="G224" i="42"/>
  <c r="I224" i="42" s="1"/>
  <c r="G32" i="42"/>
  <c r="G73" i="42"/>
  <c r="I73" i="42"/>
  <c r="G246" i="42"/>
  <c r="I72" i="42"/>
  <c r="G205" i="42"/>
  <c r="I51" i="42"/>
  <c r="H52" i="42"/>
  <c r="G99" i="42"/>
  <c r="I99" i="42" s="1"/>
  <c r="G10" i="42"/>
  <c r="I10" i="42" s="1"/>
  <c r="I243" i="42"/>
  <c r="H244" i="42"/>
  <c r="G181" i="42"/>
  <c r="F311" i="22"/>
  <c r="F307" i="22"/>
  <c r="F303" i="22"/>
  <c r="F312" i="22"/>
  <c r="F305" i="22"/>
  <c r="F308" i="22"/>
  <c r="F310" i="22"/>
  <c r="F306" i="22"/>
  <c r="F302" i="22"/>
  <c r="F309" i="22"/>
  <c r="F304" i="22"/>
  <c r="E302" i="22"/>
  <c r="E305" i="22"/>
  <c r="E304" i="22"/>
  <c r="E311" i="22"/>
  <c r="E307" i="22"/>
  <c r="E303" i="22"/>
  <c r="E306" i="22"/>
  <c r="E309" i="22"/>
  <c r="E308" i="22"/>
  <c r="E310" i="22"/>
  <c r="E301" i="22"/>
  <c r="E312" i="22"/>
  <c r="E372" i="22"/>
  <c r="E373" i="22"/>
  <c r="E371" i="22"/>
  <c r="E366" i="22"/>
  <c r="E362" i="22"/>
  <c r="E368" i="22"/>
  <c r="E369" i="22"/>
  <c r="E365" i="22"/>
  <c r="E367" i="22"/>
  <c r="E363" i="22"/>
  <c r="G363" i="22" s="1"/>
  <c r="E364" i="22"/>
  <c r="E370" i="22"/>
  <c r="G349" i="22"/>
  <c r="I349" i="22" s="1"/>
  <c r="I348" i="22"/>
  <c r="F371" i="22"/>
  <c r="F373" i="22"/>
  <c r="F365" i="22"/>
  <c r="F370" i="22"/>
  <c r="F369" i="22"/>
  <c r="F363" i="22"/>
  <c r="H363" i="22" s="1"/>
  <c r="F366" i="22"/>
  <c r="F372" i="22"/>
  <c r="F364" i="22"/>
  <c r="F368" i="22"/>
  <c r="F367" i="22"/>
  <c r="E187" i="22"/>
  <c r="E183" i="22"/>
  <c r="E184" i="22"/>
  <c r="E180" i="22"/>
  <c r="E179" i="22"/>
  <c r="E186" i="22"/>
  <c r="E185" i="22"/>
  <c r="E182" i="22"/>
  <c r="F183" i="22"/>
  <c r="F226" i="22"/>
  <c r="F231" i="22"/>
  <c r="E242" i="22"/>
  <c r="F245" i="22"/>
  <c r="E250" i="22"/>
  <c r="E243" i="22"/>
  <c r="E247" i="22"/>
  <c r="E249" i="22"/>
  <c r="E244" i="22"/>
  <c r="E252" i="22"/>
  <c r="E251" i="22"/>
  <c r="E246" i="22"/>
  <c r="E248" i="22"/>
  <c r="E223" i="22"/>
  <c r="E227" i="22"/>
  <c r="E224" i="22"/>
  <c r="E228" i="22"/>
  <c r="E230" i="22"/>
  <c r="E229" i="22"/>
  <c r="E231" i="22"/>
  <c r="E221" i="22"/>
  <c r="E222" i="22"/>
  <c r="E226" i="22"/>
  <c r="E204" i="22"/>
  <c r="E201" i="22"/>
  <c r="E207" i="22"/>
  <c r="E205" i="22"/>
  <c r="E209" i="22"/>
  <c r="E202" i="22"/>
  <c r="E206" i="22"/>
  <c r="E203" i="22"/>
  <c r="E208" i="22"/>
  <c r="E200" i="22"/>
  <c r="F250" i="22"/>
  <c r="F244" i="22"/>
  <c r="F243" i="22"/>
  <c r="F242" i="22"/>
  <c r="F247" i="22"/>
  <c r="F249" i="22"/>
  <c r="F252" i="22"/>
  <c r="F251" i="22"/>
  <c r="F246" i="22"/>
  <c r="F230" i="22"/>
  <c r="F221" i="22"/>
  <c r="F229" i="22"/>
  <c r="F224" i="22"/>
  <c r="F225" i="22"/>
  <c r="F222" i="22"/>
  <c r="F227" i="22"/>
  <c r="F223" i="22"/>
  <c r="F206" i="22"/>
  <c r="F210" i="22"/>
  <c r="F209" i="22"/>
  <c r="F201" i="22"/>
  <c r="F207" i="22"/>
  <c r="F205" i="22"/>
  <c r="F203" i="22"/>
  <c r="F202" i="22"/>
  <c r="F208" i="22"/>
  <c r="F200" i="22"/>
  <c r="F184" i="22"/>
  <c r="F188" i="22"/>
  <c r="F180" i="22"/>
  <c r="F179" i="22"/>
  <c r="F186" i="22"/>
  <c r="F185" i="22"/>
  <c r="F182" i="22"/>
  <c r="F181" i="22"/>
  <c r="F189" i="22"/>
  <c r="E181" i="22"/>
  <c r="E189" i="22"/>
  <c r="D397" i="22"/>
  <c r="C397" i="22"/>
  <c r="H385" i="22"/>
  <c r="C335" i="22"/>
  <c r="H323" i="22"/>
  <c r="D273" i="22"/>
  <c r="F263" i="22" s="1"/>
  <c r="E263" i="22"/>
  <c r="H261" i="22"/>
  <c r="E282" i="22"/>
  <c r="E287" i="22"/>
  <c r="E283" i="22"/>
  <c r="E291" i="22"/>
  <c r="E288" i="22"/>
  <c r="E286" i="22"/>
  <c r="E292" i="22"/>
  <c r="E285" i="22"/>
  <c r="E289" i="22"/>
  <c r="E290" i="22"/>
  <c r="E284" i="22"/>
  <c r="D293" i="22"/>
  <c r="H281" i="22"/>
  <c r="AB143" i="59" l="1"/>
  <c r="AB51" i="59"/>
  <c r="Z16" i="59"/>
  <c r="AB16" i="59"/>
  <c r="Q16" i="59"/>
  <c r="AA16" i="59"/>
  <c r="U16" i="59"/>
  <c r="S16" i="59"/>
  <c r="X16" i="59"/>
  <c r="T16" i="59"/>
  <c r="Y16" i="59"/>
  <c r="W16" i="59"/>
  <c r="R16" i="59"/>
  <c r="AB33" i="59"/>
  <c r="AB69" i="59"/>
  <c r="V16" i="59"/>
  <c r="AB88" i="59"/>
  <c r="AB107" i="59"/>
  <c r="Y108" i="59"/>
  <c r="Y16" i="58"/>
  <c r="V16" i="58"/>
  <c r="S16" i="58"/>
  <c r="AA16" i="58"/>
  <c r="AB143" i="58"/>
  <c r="R16" i="58"/>
  <c r="Y108" i="58"/>
  <c r="U16" i="58"/>
  <c r="AB107" i="58"/>
  <c r="Z16" i="58"/>
  <c r="AB16" i="58"/>
  <c r="Q16" i="58"/>
  <c r="W16" i="58"/>
  <c r="AB33" i="58"/>
  <c r="AB69" i="58"/>
  <c r="X16" i="58"/>
  <c r="AB88" i="58"/>
  <c r="T16" i="58"/>
  <c r="AB143" i="57"/>
  <c r="R16" i="56"/>
  <c r="Z16" i="56"/>
  <c r="X16" i="56"/>
  <c r="AB107" i="56"/>
  <c r="AB16" i="56"/>
  <c r="Q16" i="56"/>
  <c r="Y16" i="56"/>
  <c r="S16" i="56"/>
  <c r="Y108" i="56"/>
  <c r="U16" i="56"/>
  <c r="T16" i="56"/>
  <c r="AB33" i="56"/>
  <c r="W16" i="56"/>
  <c r="AB69" i="56"/>
  <c r="AB143" i="56"/>
  <c r="V16" i="56"/>
  <c r="AA16" i="56"/>
  <c r="AB88" i="56"/>
  <c r="AB88" i="55"/>
  <c r="AB51" i="55"/>
  <c r="V16" i="55"/>
  <c r="Z16" i="55"/>
  <c r="S16" i="55"/>
  <c r="U16" i="55"/>
  <c r="Y108" i="55"/>
  <c r="AB107" i="55"/>
  <c r="AB69" i="55"/>
  <c r="AB143" i="55"/>
  <c r="T16" i="55"/>
  <c r="AB33" i="55"/>
  <c r="R16" i="55"/>
  <c r="AB16" i="55"/>
  <c r="Q16" i="55"/>
  <c r="W16" i="55"/>
  <c r="X16" i="55"/>
  <c r="Y16" i="55"/>
  <c r="AA16" i="55"/>
  <c r="Y108" i="54"/>
  <c r="X16" i="54"/>
  <c r="U16" i="54"/>
  <c r="Z16" i="54"/>
  <c r="S16" i="54"/>
  <c r="AA16" i="54"/>
  <c r="W16" i="54"/>
  <c r="AB51" i="54"/>
  <c r="AB69" i="54"/>
  <c r="Y16" i="54"/>
  <c r="AB143" i="54"/>
  <c r="AB88" i="54"/>
  <c r="AB33" i="54"/>
  <c r="V16" i="54"/>
  <c r="T16" i="54"/>
  <c r="AB107" i="54"/>
  <c r="R16" i="54"/>
  <c r="AB16" i="54"/>
  <c r="Q16" i="54"/>
  <c r="Z16" i="53"/>
  <c r="X16" i="53"/>
  <c r="R16" i="53"/>
  <c r="AB69" i="53"/>
  <c r="U16" i="53"/>
  <c r="Y108" i="53"/>
  <c r="V16" i="53"/>
  <c r="W16" i="53"/>
  <c r="AB107" i="53"/>
  <c r="AA16" i="53"/>
  <c r="T16" i="53"/>
  <c r="AB16" i="53"/>
  <c r="Q16" i="53"/>
  <c r="AB33" i="53"/>
  <c r="Y16" i="53"/>
  <c r="S16" i="53"/>
  <c r="AB51" i="53"/>
  <c r="AB88" i="53"/>
  <c r="AB143" i="53"/>
  <c r="S16" i="51"/>
  <c r="V16" i="51"/>
  <c r="U16" i="51"/>
  <c r="T16" i="51"/>
  <c r="X16" i="51"/>
  <c r="R16" i="51"/>
  <c r="AB107" i="51"/>
  <c r="AB33" i="51"/>
  <c r="AB69" i="51"/>
  <c r="Y16" i="51"/>
  <c r="W16" i="51"/>
  <c r="Z16" i="51"/>
  <c r="AB88" i="51"/>
  <c r="AA16" i="51"/>
  <c r="AB16" i="51"/>
  <c r="Q16" i="51"/>
  <c r="Y108" i="51"/>
  <c r="AB51" i="51"/>
  <c r="AB143" i="51"/>
  <c r="G201" i="50"/>
  <c r="G181" i="50"/>
  <c r="I181" i="50"/>
  <c r="I97" i="50"/>
  <c r="G97" i="50"/>
  <c r="I96" i="50"/>
  <c r="G29" i="50"/>
  <c r="I8" i="50"/>
  <c r="G9" i="50"/>
  <c r="I9" i="50"/>
  <c r="I51" i="50"/>
  <c r="G73" i="50"/>
  <c r="I180" i="50"/>
  <c r="G181" i="49"/>
  <c r="I181" i="49"/>
  <c r="G160" i="49"/>
  <c r="G97" i="49"/>
  <c r="G9" i="49"/>
  <c r="G72" i="49"/>
  <c r="H28" i="49"/>
  <c r="H29" i="49" s="1"/>
  <c r="I29" i="49" s="1"/>
  <c r="I50" i="49"/>
  <c r="H51" i="49"/>
  <c r="G243" i="49"/>
  <c r="G116" i="49"/>
  <c r="G200" i="49"/>
  <c r="I180" i="49"/>
  <c r="G244" i="48"/>
  <c r="G97" i="48"/>
  <c r="G73" i="48"/>
  <c r="G9" i="48"/>
  <c r="G28" i="48"/>
  <c r="G159" i="48"/>
  <c r="G201" i="47"/>
  <c r="I180" i="47"/>
  <c r="G181" i="47"/>
  <c r="I181" i="47"/>
  <c r="G29" i="47"/>
  <c r="G9" i="47"/>
  <c r="I51" i="47"/>
  <c r="G73" i="47"/>
  <c r="H244" i="47"/>
  <c r="G244" i="46"/>
  <c r="I180" i="46"/>
  <c r="G181" i="46"/>
  <c r="I181" i="46"/>
  <c r="I9" i="46"/>
  <c r="I8" i="46"/>
  <c r="G72" i="46"/>
  <c r="G116" i="46"/>
  <c r="H160" i="45"/>
  <c r="G73" i="45"/>
  <c r="I96" i="45"/>
  <c r="G244" i="45"/>
  <c r="I244" i="45" s="1"/>
  <c r="G28" i="45"/>
  <c r="I180" i="44"/>
  <c r="G181" i="44"/>
  <c r="I181" i="44"/>
  <c r="I159" i="44"/>
  <c r="G160" i="44"/>
  <c r="I160" i="44" s="1"/>
  <c r="G71" i="44"/>
  <c r="G72" i="44" s="1"/>
  <c r="H51" i="44"/>
  <c r="I50" i="44"/>
  <c r="H242" i="44"/>
  <c r="H243" i="44" s="1"/>
  <c r="G28" i="44"/>
  <c r="G138" i="44"/>
  <c r="G181" i="43"/>
  <c r="I181" i="43"/>
  <c r="I180" i="43"/>
  <c r="G73" i="43"/>
  <c r="G244" i="43"/>
  <c r="G200" i="43"/>
  <c r="H160" i="43"/>
  <c r="G96" i="43"/>
  <c r="I31" i="42"/>
  <c r="I32" i="42"/>
  <c r="G121" i="42"/>
  <c r="I121" i="42" s="1"/>
  <c r="G33" i="42"/>
  <c r="I33" i="42" s="1"/>
  <c r="H245" i="42"/>
  <c r="I244" i="42"/>
  <c r="H53" i="42"/>
  <c r="I52" i="42"/>
  <c r="G140" i="42"/>
  <c r="G100" i="42"/>
  <c r="I100" i="42" s="1"/>
  <c r="G206" i="42"/>
  <c r="G247" i="42"/>
  <c r="G162" i="42"/>
  <c r="I162" i="42" s="1"/>
  <c r="G182" i="42"/>
  <c r="I182" i="42"/>
  <c r="I161" i="42"/>
  <c r="I181" i="42"/>
  <c r="G74" i="42"/>
  <c r="I74" i="42"/>
  <c r="H203" i="42"/>
  <c r="I202" i="42"/>
  <c r="G55" i="42"/>
  <c r="G11" i="42"/>
  <c r="I11" i="42" s="1"/>
  <c r="G225" i="42"/>
  <c r="I225" i="42" s="1"/>
  <c r="H302" i="22"/>
  <c r="H303" i="22" s="1"/>
  <c r="H304" i="22" s="1"/>
  <c r="H305" i="22" s="1"/>
  <c r="H306" i="22" s="1"/>
  <c r="H307" i="22" s="1"/>
  <c r="H308" i="22" s="1"/>
  <c r="H309" i="22" s="1"/>
  <c r="H310" i="22" s="1"/>
  <c r="H311" i="22" s="1"/>
  <c r="H312" i="22" s="1"/>
  <c r="F313" i="22"/>
  <c r="E313" i="22"/>
  <c r="G302" i="22"/>
  <c r="E389" i="22"/>
  <c r="E386" i="22"/>
  <c r="E390" i="22"/>
  <c r="E391" i="22"/>
  <c r="E393" i="22"/>
  <c r="E392" i="22"/>
  <c r="E394" i="22"/>
  <c r="E387" i="22"/>
  <c r="E395" i="22"/>
  <c r="E388" i="22"/>
  <c r="E396" i="22"/>
  <c r="G350" i="22"/>
  <c r="I350" i="22" s="1"/>
  <c r="F388" i="22"/>
  <c r="F389" i="22"/>
  <c r="F390" i="22"/>
  <c r="F391" i="22"/>
  <c r="F392" i="22"/>
  <c r="F395" i="22"/>
  <c r="F396" i="22"/>
  <c r="F386" i="22"/>
  <c r="F393" i="22"/>
  <c r="F394" i="22"/>
  <c r="F387" i="22"/>
  <c r="E374" i="22"/>
  <c r="F232" i="22"/>
  <c r="E326" i="22"/>
  <c r="E334" i="22"/>
  <c r="E333" i="22"/>
  <c r="E330" i="22"/>
  <c r="E332" i="22"/>
  <c r="E331" i="22"/>
  <c r="F287" i="22"/>
  <c r="F288" i="22"/>
  <c r="F289" i="22"/>
  <c r="F290" i="22"/>
  <c r="F283" i="22"/>
  <c r="F291" i="22"/>
  <c r="F282" i="22"/>
  <c r="F286" i="22"/>
  <c r="F284" i="22"/>
  <c r="F292" i="22"/>
  <c r="F285" i="22"/>
  <c r="H364" i="22"/>
  <c r="F374" i="22"/>
  <c r="I363" i="22"/>
  <c r="G364" i="22"/>
  <c r="F270" i="22"/>
  <c r="F269" i="22"/>
  <c r="F265" i="22"/>
  <c r="F271" i="22"/>
  <c r="F267" i="22"/>
  <c r="F264" i="22"/>
  <c r="F272" i="22"/>
  <c r="F268" i="22"/>
  <c r="F266" i="22"/>
  <c r="F262" i="22"/>
  <c r="F328" i="22"/>
  <c r="F324" i="22"/>
  <c r="F327" i="22"/>
  <c r="F329" i="22"/>
  <c r="F334" i="22"/>
  <c r="F326" i="22"/>
  <c r="F333" i="22"/>
  <c r="F325" i="22"/>
  <c r="F330" i="22"/>
  <c r="F332" i="22"/>
  <c r="F331" i="22"/>
  <c r="E325" i="22"/>
  <c r="E329" i="22"/>
  <c r="E328" i="22"/>
  <c r="E324" i="22"/>
  <c r="E327" i="22"/>
  <c r="E269" i="22"/>
  <c r="E265" i="22"/>
  <c r="E271" i="22"/>
  <c r="E270" i="22"/>
  <c r="E264" i="22"/>
  <c r="E272" i="22"/>
  <c r="E268" i="22"/>
  <c r="E262" i="22"/>
  <c r="E266" i="22"/>
  <c r="E267" i="22"/>
  <c r="F190" i="22"/>
  <c r="F211" i="22"/>
  <c r="E232" i="22"/>
  <c r="E253" i="22"/>
  <c r="E211" i="22"/>
  <c r="F253" i="22"/>
  <c r="E190" i="22"/>
  <c r="G221" i="22"/>
  <c r="E293" i="22"/>
  <c r="F80" i="22"/>
  <c r="C82" i="22"/>
  <c r="H70" i="22"/>
  <c r="F57" i="22"/>
  <c r="C61" i="22"/>
  <c r="E59" i="22" s="1"/>
  <c r="F35" i="22"/>
  <c r="C39" i="22"/>
  <c r="E37" i="22" s="1"/>
  <c r="F14" i="22"/>
  <c r="C18" i="22"/>
  <c r="E16" i="22" s="1"/>
  <c r="H6" i="22"/>
  <c r="C169" i="22"/>
  <c r="E158" i="22" s="1"/>
  <c r="D169" i="22"/>
  <c r="H157" i="22"/>
  <c r="C148" i="22"/>
  <c r="E142" i="22" s="1"/>
  <c r="D148" i="22"/>
  <c r="F144" i="22" s="1"/>
  <c r="H136" i="22"/>
  <c r="D127" i="22"/>
  <c r="F120" i="22" s="1"/>
  <c r="C127" i="22"/>
  <c r="H115" i="22"/>
  <c r="G245" i="50" l="1"/>
  <c r="G246" i="50" s="1"/>
  <c r="G161" i="50"/>
  <c r="G162" i="50" s="1"/>
  <c r="G118" i="50"/>
  <c r="G244" i="49"/>
  <c r="G201" i="49"/>
  <c r="G117" i="49"/>
  <c r="G73" i="49"/>
  <c r="I51" i="49"/>
  <c r="I28" i="49"/>
  <c r="G30" i="49"/>
  <c r="G160" i="48"/>
  <c r="I28" i="48"/>
  <c r="G29" i="48"/>
  <c r="I29" i="48" s="1"/>
  <c r="G182" i="48"/>
  <c r="G202" i="48"/>
  <c r="G118" i="48"/>
  <c r="G161" i="47"/>
  <c r="G245" i="47"/>
  <c r="G246" i="47" s="1"/>
  <c r="I244" i="47"/>
  <c r="G98" i="47"/>
  <c r="G99" i="47" s="1"/>
  <c r="G118" i="47"/>
  <c r="G117" i="46"/>
  <c r="G73" i="46"/>
  <c r="G202" i="46"/>
  <c r="G161" i="46"/>
  <c r="G162" i="46" s="1"/>
  <c r="G98" i="46"/>
  <c r="G245" i="46"/>
  <c r="G246" i="46" s="1"/>
  <c r="G29" i="45"/>
  <c r="G202" i="45"/>
  <c r="G203" i="45" s="1"/>
  <c r="G161" i="45"/>
  <c r="G118" i="45"/>
  <c r="G98" i="45"/>
  <c r="I160" i="45"/>
  <c r="G182" i="45"/>
  <c r="G10" i="45"/>
  <c r="H244" i="44"/>
  <c r="I244" i="44" s="1"/>
  <c r="I243" i="44"/>
  <c r="G73" i="44"/>
  <c r="G29" i="44"/>
  <c r="G98" i="44"/>
  <c r="I242" i="44"/>
  <c r="G161" i="44"/>
  <c r="G202" i="44"/>
  <c r="G10" i="44"/>
  <c r="G245" i="44"/>
  <c r="G246" i="44" s="1"/>
  <c r="I138" i="44"/>
  <c r="I51" i="44"/>
  <c r="G118" i="44"/>
  <c r="G201" i="43"/>
  <c r="G97" i="43"/>
  <c r="G10" i="43"/>
  <c r="G161" i="43"/>
  <c r="G162" i="43" s="1"/>
  <c r="I160" i="43"/>
  <c r="G118" i="43"/>
  <c r="G222" i="43"/>
  <c r="G141" i="42"/>
  <c r="G207" i="42"/>
  <c r="G183" i="42"/>
  <c r="G122" i="42"/>
  <c r="H204" i="42"/>
  <c r="I203" i="42"/>
  <c r="G226" i="42"/>
  <c r="G248" i="42"/>
  <c r="H246" i="42"/>
  <c r="I245" i="42"/>
  <c r="G12" i="42"/>
  <c r="I12" i="42" s="1"/>
  <c r="G101" i="42"/>
  <c r="I101" i="42" s="1"/>
  <c r="G75" i="42"/>
  <c r="I75" i="42" s="1"/>
  <c r="G163" i="42"/>
  <c r="G34" i="42"/>
  <c r="G56" i="42"/>
  <c r="H54" i="42"/>
  <c r="I53" i="42"/>
  <c r="I140" i="42"/>
  <c r="I302" i="22"/>
  <c r="G303" i="22"/>
  <c r="E73" i="22"/>
  <c r="E385" i="22"/>
  <c r="I364" i="22"/>
  <c r="G351" i="22"/>
  <c r="F397" i="22"/>
  <c r="E31" i="22"/>
  <c r="F28" i="22"/>
  <c r="F31" i="22"/>
  <c r="F32" i="22"/>
  <c r="F29" i="22"/>
  <c r="F34" i="22"/>
  <c r="F37" i="22"/>
  <c r="E53" i="22"/>
  <c r="F124" i="22"/>
  <c r="E13" i="22"/>
  <c r="E34" i="22"/>
  <c r="F142" i="22"/>
  <c r="F116" i="22"/>
  <c r="H116" i="22" s="1"/>
  <c r="E120" i="22"/>
  <c r="E199" i="22"/>
  <c r="F335" i="22"/>
  <c r="F273" i="22"/>
  <c r="E397" i="22"/>
  <c r="E335" i="22"/>
  <c r="E273" i="22"/>
  <c r="F165" i="22"/>
  <c r="E74" i="22"/>
  <c r="E261" i="22"/>
  <c r="E323" i="22"/>
  <c r="G200" i="22"/>
  <c r="G201" i="22" s="1"/>
  <c r="E162" i="22"/>
  <c r="E161" i="22"/>
  <c r="E119" i="22"/>
  <c r="E159" i="22"/>
  <c r="F51" i="22"/>
  <c r="F73" i="22"/>
  <c r="F74" i="22"/>
  <c r="F126" i="22"/>
  <c r="F143" i="22"/>
  <c r="E167" i="22"/>
  <c r="F27" i="22"/>
  <c r="H27" i="22" s="1"/>
  <c r="F36" i="22"/>
  <c r="F53" i="22"/>
  <c r="E70" i="22"/>
  <c r="E79" i="22"/>
  <c r="F54" i="22"/>
  <c r="E75" i="22"/>
  <c r="F119" i="22"/>
  <c r="F140" i="22"/>
  <c r="E160" i="22"/>
  <c r="E56" i="22"/>
  <c r="E77" i="22"/>
  <c r="E72" i="22"/>
  <c r="F118" i="22"/>
  <c r="E163" i="22"/>
  <c r="F8" i="22"/>
  <c r="F56" i="22"/>
  <c r="E78" i="22"/>
  <c r="F72" i="22"/>
  <c r="F117" i="22"/>
  <c r="E164" i="22"/>
  <c r="E165" i="22"/>
  <c r="E10" i="22"/>
  <c r="F49" i="22"/>
  <c r="H49" i="22" s="1"/>
  <c r="F58" i="22"/>
  <c r="F78" i="22"/>
  <c r="E168" i="22"/>
  <c r="F166" i="22"/>
  <c r="F50" i="22"/>
  <c r="F59" i="22"/>
  <c r="F10" i="22"/>
  <c r="F11" i="22"/>
  <c r="F13" i="22"/>
  <c r="F15" i="22"/>
  <c r="F7" i="22"/>
  <c r="H7" i="22" s="1"/>
  <c r="F16" i="22"/>
  <c r="E140" i="22"/>
  <c r="E117" i="22"/>
  <c r="F125" i="22"/>
  <c r="F122" i="22"/>
  <c r="E147" i="22"/>
  <c r="E139" i="22"/>
  <c r="F141" i="22"/>
  <c r="F162" i="22"/>
  <c r="E7" i="22"/>
  <c r="E15" i="22"/>
  <c r="E28" i="22"/>
  <c r="E36" i="22"/>
  <c r="E50" i="22"/>
  <c r="G50" i="22" s="1"/>
  <c r="E58" i="22"/>
  <c r="F79" i="22"/>
  <c r="E137" i="22"/>
  <c r="E125" i="22"/>
  <c r="E138" i="22"/>
  <c r="E55" i="22"/>
  <c r="E123" i="22"/>
  <c r="E115" i="22"/>
  <c r="F123" i="22"/>
  <c r="E145" i="22"/>
  <c r="F137" i="22"/>
  <c r="H137" i="22" s="1"/>
  <c r="F139" i="22"/>
  <c r="F158" i="22"/>
  <c r="E9" i="22"/>
  <c r="F12" i="22"/>
  <c r="E17" i="22"/>
  <c r="E30" i="22"/>
  <c r="F33" i="22"/>
  <c r="E38" i="22"/>
  <c r="E52" i="22"/>
  <c r="F55" i="22"/>
  <c r="E60" i="22"/>
  <c r="F77" i="22"/>
  <c r="E71" i="22"/>
  <c r="F75" i="22"/>
  <c r="E141" i="22"/>
  <c r="E146" i="22"/>
  <c r="E12" i="22"/>
  <c r="E122" i="22"/>
  <c r="E126" i="22"/>
  <c r="F121" i="22"/>
  <c r="E144" i="22"/>
  <c r="F147" i="22"/>
  <c r="F138" i="22"/>
  <c r="F9" i="22"/>
  <c r="E14" i="22"/>
  <c r="F17" i="22"/>
  <c r="F30" i="22"/>
  <c r="E35" i="22"/>
  <c r="F38" i="22"/>
  <c r="F52" i="22"/>
  <c r="E57" i="22"/>
  <c r="F60" i="22"/>
  <c r="E76" i="22"/>
  <c r="F71" i="22"/>
  <c r="E81" i="22"/>
  <c r="E118" i="22"/>
  <c r="E116" i="22"/>
  <c r="G116" i="22" s="1"/>
  <c r="E33" i="22"/>
  <c r="E121" i="22"/>
  <c r="E124" i="22"/>
  <c r="E143" i="22"/>
  <c r="F145" i="22"/>
  <c r="F146" i="22"/>
  <c r="E11" i="22"/>
  <c r="E32" i="22"/>
  <c r="E54" i="22"/>
  <c r="F76" i="22"/>
  <c r="E80" i="22"/>
  <c r="F81" i="22"/>
  <c r="E8" i="22"/>
  <c r="E27" i="22"/>
  <c r="E29" i="22"/>
  <c r="E49" i="22"/>
  <c r="E51" i="22"/>
  <c r="E166" i="22"/>
  <c r="F167" i="22"/>
  <c r="F161" i="22"/>
  <c r="F164" i="22"/>
  <c r="F160" i="22"/>
  <c r="F168" i="22"/>
  <c r="F163" i="22"/>
  <c r="F159" i="22"/>
  <c r="P10" i="27"/>
  <c r="D16" i="27"/>
  <c r="E16" i="27"/>
  <c r="F16" i="27"/>
  <c r="H16" i="27"/>
  <c r="I16" i="27"/>
  <c r="J16" i="27"/>
  <c r="K16" i="27"/>
  <c r="C16" i="27"/>
  <c r="W62" i="14"/>
  <c r="V62" i="14"/>
  <c r="U62" i="14"/>
  <c r="T62" i="14"/>
  <c r="S62" i="14"/>
  <c r="R62" i="14"/>
  <c r="Q62" i="14"/>
  <c r="P62" i="14"/>
  <c r="O62" i="14"/>
  <c r="W61" i="14"/>
  <c r="V61" i="14"/>
  <c r="U61" i="14"/>
  <c r="T61" i="14"/>
  <c r="S61" i="14"/>
  <c r="R61" i="14"/>
  <c r="Q61" i="14"/>
  <c r="P61" i="14"/>
  <c r="O61" i="14"/>
  <c r="W60" i="14"/>
  <c r="V60" i="14"/>
  <c r="U60" i="14"/>
  <c r="T60" i="14"/>
  <c r="S60" i="14"/>
  <c r="R60" i="14"/>
  <c r="Q60" i="14"/>
  <c r="P60" i="14"/>
  <c r="O60" i="14"/>
  <c r="W59" i="14"/>
  <c r="V59" i="14"/>
  <c r="U59" i="14"/>
  <c r="T59" i="14"/>
  <c r="S59" i="14"/>
  <c r="R59" i="14"/>
  <c r="Q59" i="14"/>
  <c r="P59" i="14"/>
  <c r="O59" i="14"/>
  <c r="W58" i="14"/>
  <c r="V58" i="14"/>
  <c r="U58" i="14"/>
  <c r="T58" i="14"/>
  <c r="S58" i="14"/>
  <c r="R58" i="14"/>
  <c r="Q58" i="14"/>
  <c r="P58" i="14"/>
  <c r="O58" i="14"/>
  <c r="W57" i="14"/>
  <c r="V57" i="14"/>
  <c r="U57" i="14"/>
  <c r="T57" i="14"/>
  <c r="S57" i="14"/>
  <c r="R57" i="14"/>
  <c r="Q57" i="14"/>
  <c r="P57" i="14"/>
  <c r="O57" i="14"/>
  <c r="W56" i="14"/>
  <c r="V56" i="14"/>
  <c r="U56" i="14"/>
  <c r="T56" i="14"/>
  <c r="S56" i="14"/>
  <c r="R56" i="14"/>
  <c r="Q56" i="14"/>
  <c r="P56" i="14"/>
  <c r="O56" i="14"/>
  <c r="W55" i="14"/>
  <c r="V55" i="14"/>
  <c r="U55" i="14"/>
  <c r="T55" i="14"/>
  <c r="S55" i="14"/>
  <c r="R55" i="14"/>
  <c r="Q55" i="14"/>
  <c r="P55" i="14"/>
  <c r="O55" i="14"/>
  <c r="W54" i="14"/>
  <c r="V54" i="14"/>
  <c r="U54" i="14"/>
  <c r="T54" i="14"/>
  <c r="S54" i="14"/>
  <c r="R54" i="14"/>
  <c r="Q54" i="14"/>
  <c r="P54" i="14"/>
  <c r="O54" i="14"/>
  <c r="W53" i="14"/>
  <c r="V53" i="14"/>
  <c r="U53" i="14"/>
  <c r="T53" i="14"/>
  <c r="S53" i="14"/>
  <c r="R53" i="14"/>
  <c r="Q53" i="14"/>
  <c r="P53" i="14"/>
  <c r="O53" i="14"/>
  <c r="W52" i="14"/>
  <c r="V52" i="14"/>
  <c r="U52" i="14"/>
  <c r="T52" i="14"/>
  <c r="S52" i="14"/>
  <c r="R52" i="14"/>
  <c r="Q52" i="14"/>
  <c r="P52" i="14"/>
  <c r="O52" i="14"/>
  <c r="W29" i="14"/>
  <c r="V29" i="14"/>
  <c r="U29" i="14"/>
  <c r="T29" i="14"/>
  <c r="S29" i="14"/>
  <c r="S45" i="14" s="1"/>
  <c r="R29" i="14"/>
  <c r="Q29" i="14"/>
  <c r="P29" i="14"/>
  <c r="O29" i="14"/>
  <c r="W28" i="14"/>
  <c r="V28" i="14"/>
  <c r="U28" i="14"/>
  <c r="T28" i="14"/>
  <c r="S28" i="14"/>
  <c r="S44" i="14" s="1"/>
  <c r="R28" i="14"/>
  <c r="Q28" i="14"/>
  <c r="P28" i="14"/>
  <c r="O28" i="14"/>
  <c r="W27" i="14"/>
  <c r="V27" i="14"/>
  <c r="U27" i="14"/>
  <c r="T27" i="14"/>
  <c r="S27" i="14"/>
  <c r="S43" i="14" s="1"/>
  <c r="R27" i="14"/>
  <c r="Q27" i="14"/>
  <c r="P27" i="14"/>
  <c r="O27" i="14"/>
  <c r="W26" i="14"/>
  <c r="V26" i="14"/>
  <c r="U26" i="14"/>
  <c r="T26" i="14"/>
  <c r="S26" i="14"/>
  <c r="S42" i="14" s="1"/>
  <c r="R26" i="14"/>
  <c r="Q26" i="14"/>
  <c r="P26" i="14"/>
  <c r="O26" i="14"/>
  <c r="W25" i="14"/>
  <c r="V25" i="14"/>
  <c r="U25" i="14"/>
  <c r="T25" i="14"/>
  <c r="S25" i="14"/>
  <c r="S41" i="14" s="1"/>
  <c r="R25" i="14"/>
  <c r="Q25" i="14"/>
  <c r="P25" i="14"/>
  <c r="O25" i="14"/>
  <c r="W24" i="14"/>
  <c r="V24" i="14"/>
  <c r="U24" i="14"/>
  <c r="T24" i="14"/>
  <c r="S24" i="14"/>
  <c r="S40" i="14" s="1"/>
  <c r="R24" i="14"/>
  <c r="Q24" i="14"/>
  <c r="P24" i="14"/>
  <c r="O24" i="14"/>
  <c r="W23" i="14"/>
  <c r="V23" i="14"/>
  <c r="U23" i="14"/>
  <c r="T23" i="14"/>
  <c r="S23" i="14"/>
  <c r="S39" i="14" s="1"/>
  <c r="R23" i="14"/>
  <c r="Q23" i="14"/>
  <c r="P23" i="14"/>
  <c r="O23" i="14"/>
  <c r="O39" i="14" s="1"/>
  <c r="W22" i="14"/>
  <c r="V22" i="14"/>
  <c r="U22" i="14"/>
  <c r="T22" i="14"/>
  <c r="S22" i="14"/>
  <c r="S38" i="14" s="1"/>
  <c r="R22" i="14"/>
  <c r="Q22" i="14"/>
  <c r="P22" i="14"/>
  <c r="O22" i="14"/>
  <c r="W21" i="14"/>
  <c r="V21" i="14"/>
  <c r="U21" i="14"/>
  <c r="T21" i="14"/>
  <c r="S21" i="14"/>
  <c r="S37" i="14" s="1"/>
  <c r="R21" i="14"/>
  <c r="Q21" i="14"/>
  <c r="P21" i="14"/>
  <c r="O21" i="14"/>
  <c r="W20" i="14"/>
  <c r="V20" i="14"/>
  <c r="U20" i="14"/>
  <c r="T20" i="14"/>
  <c r="S20" i="14"/>
  <c r="S36" i="14" s="1"/>
  <c r="R20" i="14"/>
  <c r="Q20" i="14"/>
  <c r="P20" i="14"/>
  <c r="O20" i="14"/>
  <c r="W19" i="14"/>
  <c r="V19" i="14"/>
  <c r="U19" i="14"/>
  <c r="T19" i="14"/>
  <c r="S19" i="14"/>
  <c r="S35" i="14" s="1"/>
  <c r="R19" i="14"/>
  <c r="Q19" i="14"/>
  <c r="P19" i="14"/>
  <c r="O19" i="14"/>
  <c r="W14" i="14"/>
  <c r="V14" i="14"/>
  <c r="U14" i="14"/>
  <c r="U45" i="14" s="1"/>
  <c r="T14" i="14"/>
  <c r="R14" i="14"/>
  <c r="Q14" i="14"/>
  <c r="P14" i="14"/>
  <c r="O14" i="14"/>
  <c r="W13" i="14"/>
  <c r="V13" i="14"/>
  <c r="V44" i="14" s="1"/>
  <c r="U13" i="14"/>
  <c r="T13" i="14"/>
  <c r="T44" i="14" s="1"/>
  <c r="R13" i="14"/>
  <c r="R44" i="14" s="1"/>
  <c r="Q13" i="14"/>
  <c r="P13" i="14"/>
  <c r="O13" i="14"/>
  <c r="W12" i="14"/>
  <c r="W43" i="14" s="1"/>
  <c r="V12" i="14"/>
  <c r="U12" i="14"/>
  <c r="U43" i="14" s="1"/>
  <c r="T12" i="14"/>
  <c r="R12" i="14"/>
  <c r="R43" i="14" s="1"/>
  <c r="Q12" i="14"/>
  <c r="Q43" i="14" s="1"/>
  <c r="P12" i="14"/>
  <c r="P43" i="14" s="1"/>
  <c r="O12" i="14"/>
  <c r="O43" i="14" s="1"/>
  <c r="W11" i="14"/>
  <c r="W42" i="14" s="1"/>
  <c r="V11" i="14"/>
  <c r="V42" i="14" s="1"/>
  <c r="U11" i="14"/>
  <c r="U42" i="14" s="1"/>
  <c r="T11" i="14"/>
  <c r="T42" i="14" s="1"/>
  <c r="R11" i="14"/>
  <c r="Q11" i="14"/>
  <c r="P11" i="14"/>
  <c r="P42" i="14" s="1"/>
  <c r="O11" i="14"/>
  <c r="W10" i="14"/>
  <c r="V10" i="14"/>
  <c r="U10" i="14"/>
  <c r="T10" i="14"/>
  <c r="R10" i="14"/>
  <c r="Q10" i="14"/>
  <c r="Q41" i="14" s="1"/>
  <c r="P10" i="14"/>
  <c r="O10" i="14"/>
  <c r="O41" i="14" s="1"/>
  <c r="W9" i="14"/>
  <c r="V9" i="14"/>
  <c r="U9" i="14"/>
  <c r="T9" i="14"/>
  <c r="R9" i="14"/>
  <c r="R40" i="14" s="1"/>
  <c r="Q9" i="14"/>
  <c r="P9" i="14"/>
  <c r="P40" i="14" s="1"/>
  <c r="O9" i="14"/>
  <c r="W8" i="14"/>
  <c r="V8" i="14"/>
  <c r="U8" i="14"/>
  <c r="T8" i="14"/>
  <c r="R8" i="14"/>
  <c r="Q8" i="14"/>
  <c r="Q39" i="14" s="1"/>
  <c r="P8" i="14"/>
  <c r="W7" i="14"/>
  <c r="V7" i="14"/>
  <c r="U7" i="14"/>
  <c r="T7" i="14"/>
  <c r="T38" i="14" s="1"/>
  <c r="R7" i="14"/>
  <c r="R38" i="14" s="1"/>
  <c r="Q7" i="14"/>
  <c r="P7" i="14"/>
  <c r="O7" i="14"/>
  <c r="W6" i="14"/>
  <c r="V6" i="14"/>
  <c r="U6" i="14"/>
  <c r="U37" i="14" s="1"/>
  <c r="T6" i="14"/>
  <c r="T37" i="14" s="1"/>
  <c r="R6" i="14"/>
  <c r="Q6" i="14"/>
  <c r="Q37" i="14" s="1"/>
  <c r="P6" i="14"/>
  <c r="O6" i="14"/>
  <c r="W5" i="14"/>
  <c r="V5" i="14"/>
  <c r="V36" i="14" s="1"/>
  <c r="U5" i="14"/>
  <c r="T5" i="14"/>
  <c r="T36" i="14" s="1"/>
  <c r="R5" i="14"/>
  <c r="R36" i="14" s="1"/>
  <c r="Q5" i="14"/>
  <c r="Q36" i="14" s="1"/>
  <c r="P5" i="14"/>
  <c r="P36" i="14" s="1"/>
  <c r="O5" i="14"/>
  <c r="O36" i="14" s="1"/>
  <c r="W4" i="14"/>
  <c r="W35" i="14" s="1"/>
  <c r="V4" i="14"/>
  <c r="V35" i="14" s="1"/>
  <c r="U4" i="14"/>
  <c r="U35" i="14" s="1"/>
  <c r="T4" i="14"/>
  <c r="T35" i="14" s="1"/>
  <c r="R4" i="14"/>
  <c r="Q4" i="14"/>
  <c r="P4" i="14"/>
  <c r="O4" i="14"/>
  <c r="O35" i="14" s="1"/>
  <c r="P5" i="27"/>
  <c r="P6" i="27" s="1"/>
  <c r="L6" i="27"/>
  <c r="L5" i="27"/>
  <c r="L7" i="27"/>
  <c r="U68" i="14"/>
  <c r="U69" i="14"/>
  <c r="U70" i="14"/>
  <c r="U71" i="14"/>
  <c r="U72" i="14"/>
  <c r="U73" i="14"/>
  <c r="U74" i="14"/>
  <c r="U75" i="14"/>
  <c r="U76" i="14"/>
  <c r="U77" i="14"/>
  <c r="U78" i="14"/>
  <c r="U36" i="14" l="1"/>
  <c r="V41" i="14"/>
  <c r="V43" i="14"/>
  <c r="O40" i="14"/>
  <c r="P39" i="14"/>
  <c r="W40" i="14"/>
  <c r="Q38" i="14"/>
  <c r="R45" i="14"/>
  <c r="R37" i="14"/>
  <c r="T43" i="14"/>
  <c r="G119" i="50"/>
  <c r="G10" i="50"/>
  <c r="G52" i="50"/>
  <c r="G182" i="50"/>
  <c r="G223" i="50"/>
  <c r="G98" i="50"/>
  <c r="G202" i="50"/>
  <c r="G139" i="50"/>
  <c r="G30" i="50"/>
  <c r="G31" i="49"/>
  <c r="G32" i="49" s="1"/>
  <c r="G98" i="49"/>
  <c r="G182" i="49"/>
  <c r="G10" i="49"/>
  <c r="G52" i="49"/>
  <c r="G161" i="49"/>
  <c r="G203" i="48"/>
  <c r="G183" i="48"/>
  <c r="G184" i="48" s="1"/>
  <c r="G119" i="48"/>
  <c r="G120" i="48" s="1"/>
  <c r="G98" i="48"/>
  <c r="G222" i="48"/>
  <c r="G74" i="48"/>
  <c r="G75" i="48" s="1"/>
  <c r="G10" i="48"/>
  <c r="G245" i="48"/>
  <c r="G246" i="48" s="1"/>
  <c r="G162" i="47"/>
  <c r="G119" i="47"/>
  <c r="G120" i="47" s="1"/>
  <c r="G100" i="47"/>
  <c r="G30" i="47"/>
  <c r="G202" i="47"/>
  <c r="G223" i="47"/>
  <c r="I223" i="47" s="1"/>
  <c r="G182" i="47"/>
  <c r="G10" i="47"/>
  <c r="G11" i="47" s="1"/>
  <c r="G52" i="47"/>
  <c r="G203" i="46"/>
  <c r="G99" i="46"/>
  <c r="G182" i="46"/>
  <c r="G183" i="46" s="1"/>
  <c r="G222" i="46"/>
  <c r="G10" i="46"/>
  <c r="G30" i="46"/>
  <c r="G204" i="45"/>
  <c r="G183" i="45"/>
  <c r="G184" i="45" s="1"/>
  <c r="G119" i="45"/>
  <c r="G99" i="45"/>
  <c r="G100" i="45" s="1"/>
  <c r="G11" i="45"/>
  <c r="G138" i="45"/>
  <c r="H98" i="45"/>
  <c r="G222" i="45"/>
  <c r="G203" i="44"/>
  <c r="G162" i="44"/>
  <c r="G119" i="44"/>
  <c r="G99" i="44"/>
  <c r="G11" i="44"/>
  <c r="G12" i="44" s="1"/>
  <c r="G52" i="44"/>
  <c r="G182" i="44"/>
  <c r="G223" i="44"/>
  <c r="G119" i="43"/>
  <c r="G120" i="43" s="1"/>
  <c r="G11" i="43"/>
  <c r="G138" i="43"/>
  <c r="G223" i="43"/>
  <c r="H30" i="43"/>
  <c r="H31" i="43" s="1"/>
  <c r="H32" i="43" s="1"/>
  <c r="H33" i="43" s="1"/>
  <c r="G182" i="43"/>
  <c r="G142" i="42"/>
  <c r="I142" i="42" s="1"/>
  <c r="G76" i="42"/>
  <c r="I76" i="42" s="1"/>
  <c r="G13" i="42"/>
  <c r="I13" i="42" s="1"/>
  <c r="I141" i="42"/>
  <c r="H205" i="42"/>
  <c r="I204" i="42"/>
  <c r="G249" i="42"/>
  <c r="G184" i="42"/>
  <c r="I184" i="42" s="1"/>
  <c r="H55" i="42"/>
  <c r="I54" i="42"/>
  <c r="G35" i="42"/>
  <c r="I35" i="42" s="1"/>
  <c r="H247" i="42"/>
  <c r="I246" i="42"/>
  <c r="G123" i="42"/>
  <c r="I123" i="42" s="1"/>
  <c r="I34" i="42"/>
  <c r="G102" i="42"/>
  <c r="I122" i="42"/>
  <c r="G208" i="42"/>
  <c r="G57" i="42"/>
  <c r="G164" i="42"/>
  <c r="I164" i="42" s="1"/>
  <c r="G227" i="42"/>
  <c r="I227" i="42" s="1"/>
  <c r="I163" i="42"/>
  <c r="I226" i="42"/>
  <c r="I183" i="42"/>
  <c r="O42" i="14"/>
  <c r="P41" i="14"/>
  <c r="Q40" i="14"/>
  <c r="R39" i="14"/>
  <c r="T45" i="14"/>
  <c r="U44" i="14"/>
  <c r="W41" i="14"/>
  <c r="W37" i="14"/>
  <c r="T40" i="14"/>
  <c r="O37" i="14"/>
  <c r="O38" i="14"/>
  <c r="P44" i="14"/>
  <c r="P45" i="14"/>
  <c r="U39" i="14"/>
  <c r="Q35" i="14"/>
  <c r="R42" i="14"/>
  <c r="V38" i="14"/>
  <c r="W45" i="14"/>
  <c r="C53" i="27"/>
  <c r="D53" i="27"/>
  <c r="F53" i="27" s="1"/>
  <c r="E53" i="27"/>
  <c r="C224" i="37"/>
  <c r="C223" i="37"/>
  <c r="C189" i="37"/>
  <c r="D188" i="37" s="1"/>
  <c r="D189" i="37" s="1"/>
  <c r="C81" i="40"/>
  <c r="C79" i="40"/>
  <c r="C80" i="40"/>
  <c r="P35" i="14"/>
  <c r="P37" i="14"/>
  <c r="P38" i="14"/>
  <c r="Q42" i="14"/>
  <c r="Q44" i="14"/>
  <c r="Q45" i="14"/>
  <c r="T39" i="14"/>
  <c r="U40" i="14"/>
  <c r="U41" i="14"/>
  <c r="R41" i="14"/>
  <c r="T41" i="14"/>
  <c r="U38" i="14"/>
  <c r="V39" i="14"/>
  <c r="V40" i="14"/>
  <c r="V45" i="14"/>
  <c r="R35" i="14"/>
  <c r="V37" i="14"/>
  <c r="W39" i="14"/>
  <c r="W44" i="14"/>
  <c r="W36" i="14"/>
  <c r="W38" i="14"/>
  <c r="O44" i="14"/>
  <c r="O45" i="14"/>
  <c r="I303" i="22"/>
  <c r="G304" i="22"/>
  <c r="H8" i="22"/>
  <c r="G352" i="22"/>
  <c r="I352" i="22" s="1"/>
  <c r="I351" i="22"/>
  <c r="I116" i="22"/>
  <c r="H28" i="22"/>
  <c r="H29" i="22" s="1"/>
  <c r="H30" i="22" s="1"/>
  <c r="H31" i="22" s="1"/>
  <c r="H32" i="22" s="1"/>
  <c r="H33" i="22" s="1"/>
  <c r="H34" i="22" s="1"/>
  <c r="H35" i="22" s="1"/>
  <c r="H36" i="22" s="1"/>
  <c r="H37" i="22" s="1"/>
  <c r="H38" i="22" s="1"/>
  <c r="E244" i="27"/>
  <c r="D243" i="27"/>
  <c r="F243" i="27" s="1"/>
  <c r="D219" i="27"/>
  <c r="F219" i="27" s="1"/>
  <c r="C218" i="27"/>
  <c r="C217" i="27"/>
  <c r="D188" i="27"/>
  <c r="F188" i="27" s="1"/>
  <c r="C187" i="27"/>
  <c r="E185" i="27"/>
  <c r="C184" i="27"/>
  <c r="E182" i="27"/>
  <c r="C179" i="27"/>
  <c r="D242" i="27"/>
  <c r="F242" i="27" s="1"/>
  <c r="C214" i="27"/>
  <c r="C178" i="27"/>
  <c r="D218" i="27"/>
  <c r="F218" i="27" s="1"/>
  <c r="E246" i="27"/>
  <c r="E245" i="27"/>
  <c r="D244" i="27"/>
  <c r="F244" i="27" s="1"/>
  <c r="C243" i="27"/>
  <c r="C219" i="27"/>
  <c r="C188" i="27"/>
  <c r="D185" i="27"/>
  <c r="F185" i="27" s="1"/>
  <c r="D182" i="27"/>
  <c r="F182" i="27" s="1"/>
  <c r="E217" i="27"/>
  <c r="C210" i="27"/>
  <c r="E187" i="27"/>
  <c r="C181" i="27"/>
  <c r="E277" i="27"/>
  <c r="E276" i="27"/>
  <c r="E275" i="27"/>
  <c r="E274" i="27"/>
  <c r="E273" i="27"/>
  <c r="E272" i="27"/>
  <c r="E271" i="27"/>
  <c r="E248" i="27"/>
  <c r="E247" i="27"/>
  <c r="D246" i="27"/>
  <c r="F246" i="27" s="1"/>
  <c r="D245" i="27"/>
  <c r="F245" i="27" s="1"/>
  <c r="C244" i="27"/>
  <c r="C185" i="27"/>
  <c r="E183" i="27"/>
  <c r="C182" i="27"/>
  <c r="E180" i="27"/>
  <c r="D215" i="27"/>
  <c r="F215" i="27" s="1"/>
  <c r="E179" i="27"/>
  <c r="E219" i="27"/>
  <c r="C213" i="27"/>
  <c r="E279" i="27"/>
  <c r="E278" i="27"/>
  <c r="D277" i="27"/>
  <c r="F277" i="27" s="1"/>
  <c r="D276" i="27"/>
  <c r="F276" i="27" s="1"/>
  <c r="D275" i="27"/>
  <c r="F275" i="27" s="1"/>
  <c r="D274" i="27"/>
  <c r="F274" i="27" s="1"/>
  <c r="D273" i="27"/>
  <c r="F273" i="27" s="1"/>
  <c r="D272" i="27"/>
  <c r="F272" i="27" s="1"/>
  <c r="D271" i="27"/>
  <c r="F271" i="27" s="1"/>
  <c r="E249" i="27"/>
  <c r="D248" i="27"/>
  <c r="F248" i="27" s="1"/>
  <c r="D247" i="27"/>
  <c r="F247" i="27" s="1"/>
  <c r="C246" i="27"/>
  <c r="C245" i="27"/>
  <c r="E240" i="27"/>
  <c r="D183" i="27"/>
  <c r="F183" i="27" s="1"/>
  <c r="D180" i="27"/>
  <c r="F180" i="27" s="1"/>
  <c r="D213" i="27"/>
  <c r="F213" i="27" s="1"/>
  <c r="C215" i="27"/>
  <c r="D179" i="27"/>
  <c r="F179" i="27" s="1"/>
  <c r="E281" i="27"/>
  <c r="E280" i="27"/>
  <c r="D279" i="27"/>
  <c r="F279" i="27" s="1"/>
  <c r="D278" i="27"/>
  <c r="F278" i="27" s="1"/>
  <c r="C277" i="27"/>
  <c r="C276" i="27"/>
  <c r="C275" i="27"/>
  <c r="C274" i="27"/>
  <c r="C273" i="27"/>
  <c r="C272" i="27"/>
  <c r="C271" i="27"/>
  <c r="E250" i="27"/>
  <c r="D249" i="27"/>
  <c r="F249" i="27" s="1"/>
  <c r="C248" i="27"/>
  <c r="C247" i="27"/>
  <c r="E241" i="27"/>
  <c r="D240" i="27"/>
  <c r="F240" i="27" s="1"/>
  <c r="E214" i="27"/>
  <c r="E212" i="27"/>
  <c r="E210" i="27"/>
  <c r="E209" i="27"/>
  <c r="E186" i="27"/>
  <c r="C183" i="27"/>
  <c r="E181" i="27"/>
  <c r="C180" i="27"/>
  <c r="E178" i="27"/>
  <c r="C280" i="27"/>
  <c r="C250" i="27"/>
  <c r="C241" i="27"/>
  <c r="D216" i="27"/>
  <c r="F216" i="27" s="1"/>
  <c r="C209" i="27"/>
  <c r="C186" i="27"/>
  <c r="E243" i="27"/>
  <c r="C216" i="27"/>
  <c r="D184" i="27"/>
  <c r="F184" i="27" s="1"/>
  <c r="D281" i="27"/>
  <c r="F281" i="27" s="1"/>
  <c r="D280" i="27"/>
  <c r="F280" i="27" s="1"/>
  <c r="C279" i="27"/>
  <c r="C278" i="27"/>
  <c r="D250" i="27"/>
  <c r="F250" i="27" s="1"/>
  <c r="C249" i="27"/>
  <c r="E242" i="27"/>
  <c r="D241" i="27"/>
  <c r="F241" i="27" s="1"/>
  <c r="C240" i="27"/>
  <c r="E216" i="27"/>
  <c r="E215" i="27"/>
  <c r="D214" i="27"/>
  <c r="F214" i="27" s="1"/>
  <c r="E213" i="27"/>
  <c r="D212" i="27"/>
  <c r="F212" i="27" s="1"/>
  <c r="E211" i="27"/>
  <c r="D210" i="27"/>
  <c r="F210" i="27" s="1"/>
  <c r="D209" i="27"/>
  <c r="F209" i="27" s="1"/>
  <c r="D186" i="27"/>
  <c r="F186" i="27" s="1"/>
  <c r="D181" i="27"/>
  <c r="F181" i="27" s="1"/>
  <c r="D178" i="27"/>
  <c r="F178" i="27" s="1"/>
  <c r="C281" i="27"/>
  <c r="E218" i="27"/>
  <c r="C212" i="27"/>
  <c r="C242" i="27"/>
  <c r="D187" i="27"/>
  <c r="F187" i="27" s="1"/>
  <c r="D211" i="27"/>
  <c r="F211" i="27" s="1"/>
  <c r="E184" i="27"/>
  <c r="D217" i="27"/>
  <c r="F217" i="27" s="1"/>
  <c r="C211" i="27"/>
  <c r="E188" i="27"/>
  <c r="L279" i="27"/>
  <c r="L276" i="27"/>
  <c r="L274" i="27"/>
  <c r="L272" i="27"/>
  <c r="L245" i="27"/>
  <c r="L214" i="27"/>
  <c r="L212" i="27"/>
  <c r="L210" i="27"/>
  <c r="L248" i="27"/>
  <c r="L277" i="27"/>
  <c r="L240" i="27"/>
  <c r="L180" i="27"/>
  <c r="L281" i="27"/>
  <c r="L278" i="27"/>
  <c r="L250" i="27"/>
  <c r="L247" i="27"/>
  <c r="L216" i="27"/>
  <c r="L186" i="27"/>
  <c r="L183" i="27"/>
  <c r="L178" i="27"/>
  <c r="L275" i="27"/>
  <c r="L273" i="27"/>
  <c r="L243" i="27"/>
  <c r="L185" i="27"/>
  <c r="L280" i="27"/>
  <c r="L249" i="27"/>
  <c r="L242" i="27"/>
  <c r="L218" i="27"/>
  <c r="L215" i="27"/>
  <c r="L213" i="27"/>
  <c r="L209" i="27"/>
  <c r="L241" i="27"/>
  <c r="L217" i="27"/>
  <c r="L211" i="27"/>
  <c r="L184" i="27"/>
  <c r="L181" i="27"/>
  <c r="L271" i="27"/>
  <c r="L244" i="27"/>
  <c r="L219" i="27"/>
  <c r="L188" i="27"/>
  <c r="L246" i="27"/>
  <c r="L187" i="27"/>
  <c r="L182" i="27"/>
  <c r="L179" i="27"/>
  <c r="C157" i="27"/>
  <c r="D154" i="27"/>
  <c r="F154" i="27" s="1"/>
  <c r="C153" i="27"/>
  <c r="C150" i="27"/>
  <c r="D126" i="27"/>
  <c r="F126" i="27" s="1"/>
  <c r="E122" i="27"/>
  <c r="E118" i="27"/>
  <c r="E116" i="27"/>
  <c r="E157" i="27"/>
  <c r="C148" i="27"/>
  <c r="D121" i="27"/>
  <c r="F121" i="27" s="1"/>
  <c r="E155" i="27"/>
  <c r="C154" i="27"/>
  <c r="C126" i="27"/>
  <c r="E123" i="27"/>
  <c r="D122" i="27"/>
  <c r="F122" i="27" s="1"/>
  <c r="E119" i="27"/>
  <c r="D118" i="27"/>
  <c r="F118" i="27" s="1"/>
  <c r="D149" i="27"/>
  <c r="F149" i="27" s="1"/>
  <c r="C125" i="27"/>
  <c r="C124" i="27"/>
  <c r="C120" i="27"/>
  <c r="C149" i="27"/>
  <c r="E126" i="27"/>
  <c r="C121" i="27"/>
  <c r="C117" i="27"/>
  <c r="E156" i="27"/>
  <c r="D155" i="27"/>
  <c r="F155" i="27" s="1"/>
  <c r="E152" i="27"/>
  <c r="E151" i="27"/>
  <c r="D123" i="27"/>
  <c r="F123" i="27" s="1"/>
  <c r="C122" i="27"/>
  <c r="D119" i="27"/>
  <c r="F119" i="27" s="1"/>
  <c r="C118" i="27"/>
  <c r="E120" i="27"/>
  <c r="E153" i="27"/>
  <c r="D117" i="27"/>
  <c r="F117" i="27" s="1"/>
  <c r="D153" i="27"/>
  <c r="F153" i="27" s="1"/>
  <c r="D156" i="27"/>
  <c r="F156" i="27" s="1"/>
  <c r="C155" i="27"/>
  <c r="D152" i="27"/>
  <c r="F152" i="27" s="1"/>
  <c r="D151" i="27"/>
  <c r="F151" i="27" s="1"/>
  <c r="C123" i="27"/>
  <c r="C119" i="27"/>
  <c r="E150" i="27"/>
  <c r="C147" i="27"/>
  <c r="C116" i="27"/>
  <c r="D157" i="27"/>
  <c r="F157" i="27" s="1"/>
  <c r="D150" i="27"/>
  <c r="F150" i="27" s="1"/>
  <c r="C156" i="27"/>
  <c r="C152" i="27"/>
  <c r="C151" i="27"/>
  <c r="E148" i="27"/>
  <c r="E147" i="27"/>
  <c r="E125" i="27"/>
  <c r="E124" i="27"/>
  <c r="E149" i="27"/>
  <c r="D148" i="27"/>
  <c r="F148" i="27" s="1"/>
  <c r="D147" i="27"/>
  <c r="F147" i="27" s="1"/>
  <c r="D125" i="27"/>
  <c r="F125" i="27" s="1"/>
  <c r="D124" i="27"/>
  <c r="F124" i="27" s="1"/>
  <c r="E121" i="27"/>
  <c r="D120" i="27"/>
  <c r="F120" i="27" s="1"/>
  <c r="E117" i="27"/>
  <c r="D116" i="27"/>
  <c r="F116" i="27" s="1"/>
  <c r="E154" i="27"/>
  <c r="L124" i="27"/>
  <c r="L120" i="27"/>
  <c r="L116" i="27"/>
  <c r="L118" i="27"/>
  <c r="L156" i="27"/>
  <c r="L152" i="27"/>
  <c r="L149" i="27"/>
  <c r="L154" i="27"/>
  <c r="L153" i="27"/>
  <c r="L125" i="27"/>
  <c r="L157" i="27"/>
  <c r="L148" i="27"/>
  <c r="L126" i="27"/>
  <c r="L121" i="27"/>
  <c r="L117" i="27"/>
  <c r="L119" i="27"/>
  <c r="L122" i="27"/>
  <c r="L155" i="27"/>
  <c r="L151" i="27"/>
  <c r="L150" i="27"/>
  <c r="L147" i="27"/>
  <c r="L123" i="27"/>
  <c r="L89" i="27"/>
  <c r="L94" i="27"/>
  <c r="L92" i="27"/>
  <c r="L90" i="27"/>
  <c r="L95" i="27"/>
  <c r="L87" i="27"/>
  <c r="L86" i="27"/>
  <c r="L93" i="27"/>
  <c r="L85" i="27"/>
  <c r="L88" i="27"/>
  <c r="L91" i="27"/>
  <c r="L61" i="27"/>
  <c r="L57" i="27"/>
  <c r="L53" i="27"/>
  <c r="L54" i="27"/>
  <c r="L60" i="27"/>
  <c r="L56" i="27"/>
  <c r="L62" i="27"/>
  <c r="L58" i="27"/>
  <c r="L63" i="27"/>
  <c r="L59" i="27"/>
  <c r="L55" i="27"/>
  <c r="C93" i="27"/>
  <c r="E91" i="27"/>
  <c r="D88" i="27"/>
  <c r="F88" i="27" s="1"/>
  <c r="D85" i="27"/>
  <c r="F85" i="27" s="1"/>
  <c r="E92" i="27"/>
  <c r="C87" i="27"/>
  <c r="E85" i="27"/>
  <c r="E94" i="27"/>
  <c r="D91" i="27"/>
  <c r="F91" i="27" s="1"/>
  <c r="C88" i="27"/>
  <c r="E86" i="27"/>
  <c r="C85" i="27"/>
  <c r="D89" i="27"/>
  <c r="F89" i="27" s="1"/>
  <c r="C86" i="27"/>
  <c r="D93" i="27"/>
  <c r="F93" i="27" s="1"/>
  <c r="D94" i="27"/>
  <c r="F94" i="27" s="1"/>
  <c r="C91" i="27"/>
  <c r="E89" i="27"/>
  <c r="D86" i="27"/>
  <c r="F86" i="27" s="1"/>
  <c r="C94" i="27"/>
  <c r="E95" i="27"/>
  <c r="D92" i="27"/>
  <c r="F92" i="27" s="1"/>
  <c r="C89" i="27"/>
  <c r="E87" i="27"/>
  <c r="D90" i="27"/>
  <c r="F90" i="27" s="1"/>
  <c r="C90" i="27"/>
  <c r="D95" i="27"/>
  <c r="F95" i="27" s="1"/>
  <c r="C92" i="27"/>
  <c r="E90" i="27"/>
  <c r="D87" i="27"/>
  <c r="F87" i="27" s="1"/>
  <c r="E88" i="27"/>
  <c r="C95" i="27"/>
  <c r="E93" i="27"/>
  <c r="C63" i="27"/>
  <c r="D59" i="27"/>
  <c r="F59" i="27" s="1"/>
  <c r="D55" i="27"/>
  <c r="F55" i="27" s="1"/>
  <c r="D60" i="27"/>
  <c r="F60" i="27" s="1"/>
  <c r="E59" i="27"/>
  <c r="H59" i="27" s="1"/>
  <c r="E55" i="27"/>
  <c r="E60" i="27"/>
  <c r="H60" i="27" s="1"/>
  <c r="C59" i="27"/>
  <c r="E56" i="27"/>
  <c r="H56" i="27" s="1"/>
  <c r="C55" i="27"/>
  <c r="D56" i="27"/>
  <c r="F56" i="27" s="1"/>
  <c r="E63" i="27"/>
  <c r="H63" i="27" s="1"/>
  <c r="E61" i="27"/>
  <c r="H61" i="27" s="1"/>
  <c r="C60" i="27"/>
  <c r="E57" i="27"/>
  <c r="H57" i="27" s="1"/>
  <c r="C56" i="27"/>
  <c r="E62" i="27"/>
  <c r="H62" i="27" s="1"/>
  <c r="D61" i="27"/>
  <c r="F61" i="27" s="1"/>
  <c r="D57" i="27"/>
  <c r="F57" i="27" s="1"/>
  <c r="C62" i="27"/>
  <c r="D58" i="27"/>
  <c r="F58" i="27" s="1"/>
  <c r="D54" i="27"/>
  <c r="F54" i="27" s="1"/>
  <c r="C58" i="27"/>
  <c r="C54" i="27"/>
  <c r="D62" i="27"/>
  <c r="F62" i="27" s="1"/>
  <c r="C61" i="27"/>
  <c r="E58" i="27"/>
  <c r="H58" i="27" s="1"/>
  <c r="C57" i="27"/>
  <c r="E54" i="27"/>
  <c r="D63" i="27"/>
  <c r="F63" i="27" s="1"/>
  <c r="H117" i="22"/>
  <c r="H118" i="22" s="1"/>
  <c r="H119" i="22" s="1"/>
  <c r="H120" i="22" s="1"/>
  <c r="H121" i="22" s="1"/>
  <c r="H122" i="22" s="1"/>
  <c r="H123" i="22" s="1"/>
  <c r="H124" i="22" s="1"/>
  <c r="H125" i="22" s="1"/>
  <c r="H126" i="22" s="1"/>
  <c r="F39" i="22"/>
  <c r="F293" i="22"/>
  <c r="E127" i="22"/>
  <c r="E82" i="22"/>
  <c r="G282" i="22"/>
  <c r="F127" i="22"/>
  <c r="G117" i="22"/>
  <c r="E169" i="22"/>
  <c r="H138" i="22"/>
  <c r="H139" i="22" s="1"/>
  <c r="H140" i="22" s="1"/>
  <c r="H141" i="22" s="1"/>
  <c r="H142" i="22" s="1"/>
  <c r="H143" i="22" s="1"/>
  <c r="H144" i="22" s="1"/>
  <c r="H145" i="22" s="1"/>
  <c r="H146" i="22" s="1"/>
  <c r="H147" i="22" s="1"/>
  <c r="H9" i="22"/>
  <c r="H10" i="22" s="1"/>
  <c r="H11" i="22" s="1"/>
  <c r="H12" i="22" s="1"/>
  <c r="H13" i="22" s="1"/>
  <c r="H14" i="22" s="1"/>
  <c r="H15" i="22" s="1"/>
  <c r="H16" i="22" s="1"/>
  <c r="H17" i="22" s="1"/>
  <c r="G7" i="22"/>
  <c r="E18" i="22"/>
  <c r="F61" i="22"/>
  <c r="E61" i="22"/>
  <c r="E148" i="22"/>
  <c r="G137" i="22"/>
  <c r="F148" i="22"/>
  <c r="F82" i="22"/>
  <c r="F18" i="22"/>
  <c r="G51" i="22"/>
  <c r="H50" i="22"/>
  <c r="H51" i="22" s="1"/>
  <c r="H52" i="22" s="1"/>
  <c r="H53" i="22" s="1"/>
  <c r="H54" i="22" s="1"/>
  <c r="H55" i="22" s="1"/>
  <c r="H56" i="22" s="1"/>
  <c r="H57" i="22" s="1"/>
  <c r="H58" i="22" s="1"/>
  <c r="H59" i="22" s="1"/>
  <c r="H60" i="22" s="1"/>
  <c r="G28" i="22"/>
  <c r="E39" i="22"/>
  <c r="F169" i="22"/>
  <c r="E24" i="27"/>
  <c r="C207" i="37" s="1"/>
  <c r="D32" i="27"/>
  <c r="F32" i="27" s="1"/>
  <c r="C90" i="37" s="1"/>
  <c r="L29" i="27"/>
  <c r="C196" i="37" s="1"/>
  <c r="L31" i="27"/>
  <c r="C198" i="37" s="1"/>
  <c r="L25" i="27"/>
  <c r="C192" i="37" s="1"/>
  <c r="L26" i="27"/>
  <c r="C193" i="37" s="1"/>
  <c r="L23" i="27"/>
  <c r="L27" i="27"/>
  <c r="C194" i="37" s="1"/>
  <c r="L32" i="27"/>
  <c r="C199" i="37" s="1"/>
  <c r="L24" i="27"/>
  <c r="C191" i="37" s="1"/>
  <c r="L30" i="27"/>
  <c r="C197" i="37" s="1"/>
  <c r="L28" i="27"/>
  <c r="C195" i="37" s="1"/>
  <c r="D26" i="27"/>
  <c r="F26" i="27" s="1"/>
  <c r="C84" i="37" s="1"/>
  <c r="C32" i="27"/>
  <c r="E29" i="27"/>
  <c r="C31" i="27"/>
  <c r="E28" i="27"/>
  <c r="C211" i="37" s="1"/>
  <c r="C30" i="27"/>
  <c r="E27" i="27"/>
  <c r="C210" i="37" s="1"/>
  <c r="D28" i="27"/>
  <c r="F28" i="27" s="1"/>
  <c r="C86" i="37" s="1"/>
  <c r="D27" i="27"/>
  <c r="F27" i="27" s="1"/>
  <c r="C85" i="37" s="1"/>
  <c r="C29" i="27"/>
  <c r="E23" i="27"/>
  <c r="C206" i="37" s="1"/>
  <c r="C25" i="27"/>
  <c r="D25" i="27"/>
  <c r="F25" i="27" s="1"/>
  <c r="C83" i="37" s="1"/>
  <c r="C24" i="27"/>
  <c r="D24" i="27"/>
  <c r="F24" i="27" s="1"/>
  <c r="C82" i="37" s="1"/>
  <c r="C23" i="27"/>
  <c r="E31" i="27"/>
  <c r="C214" i="37" s="1"/>
  <c r="C22" i="27"/>
  <c r="D22" i="27"/>
  <c r="F22" i="27" s="1"/>
  <c r="C80" i="37" s="1"/>
  <c r="E30" i="27"/>
  <c r="C213" i="37" s="1"/>
  <c r="C28" i="27"/>
  <c r="D31" i="27"/>
  <c r="F31" i="27" s="1"/>
  <c r="C89" i="37" s="1"/>
  <c r="D23" i="27"/>
  <c r="F23" i="27" s="1"/>
  <c r="C81" i="37" s="1"/>
  <c r="E26" i="27"/>
  <c r="C209" i="37" s="1"/>
  <c r="C27" i="27"/>
  <c r="D30" i="27"/>
  <c r="F30" i="27" s="1"/>
  <c r="C88" i="37" s="1"/>
  <c r="E22" i="27"/>
  <c r="C205" i="37" s="1"/>
  <c r="E25" i="27"/>
  <c r="C208" i="37" s="1"/>
  <c r="C26" i="27"/>
  <c r="D29" i="27"/>
  <c r="F29" i="27" s="1"/>
  <c r="C87" i="37" s="1"/>
  <c r="E32" i="27"/>
  <c r="C215" i="37" s="1"/>
  <c r="G203" i="50" l="1"/>
  <c r="G183" i="50"/>
  <c r="G120" i="50"/>
  <c r="G99" i="50"/>
  <c r="G31" i="50"/>
  <c r="G11" i="50"/>
  <c r="G163" i="50"/>
  <c r="G140" i="50"/>
  <c r="G53" i="50"/>
  <c r="G54" i="50" s="1"/>
  <c r="G55" i="50" s="1"/>
  <c r="G224" i="50"/>
  <c r="G74" i="50"/>
  <c r="G75" i="50" s="1"/>
  <c r="G247" i="50"/>
  <c r="G183" i="49"/>
  <c r="G162" i="49"/>
  <c r="G99" i="49"/>
  <c r="G100" i="49" s="1"/>
  <c r="G33" i="49"/>
  <c r="I33" i="49" s="1"/>
  <c r="G11" i="49"/>
  <c r="G53" i="49"/>
  <c r="G74" i="49"/>
  <c r="G75" i="49" s="1"/>
  <c r="G245" i="49"/>
  <c r="H30" i="49"/>
  <c r="H31" i="49" s="1"/>
  <c r="H32" i="49" s="1"/>
  <c r="H33" i="49" s="1"/>
  <c r="G118" i="49"/>
  <c r="G202" i="49"/>
  <c r="G204" i="48"/>
  <c r="G121" i="48"/>
  <c r="G99" i="48"/>
  <c r="G11" i="48"/>
  <c r="G30" i="48"/>
  <c r="G51" i="48"/>
  <c r="G161" i="48"/>
  <c r="G223" i="48"/>
  <c r="G203" i="47"/>
  <c r="G183" i="47"/>
  <c r="G121" i="47"/>
  <c r="G31" i="47"/>
  <c r="G32" i="47" s="1"/>
  <c r="G12" i="47"/>
  <c r="G53" i="47"/>
  <c r="G54" i="47" s="1"/>
  <c r="G55" i="47" s="1"/>
  <c r="G224" i="47"/>
  <c r="I224" i="47" s="1"/>
  <c r="H245" i="47"/>
  <c r="H246" i="47" s="1"/>
  <c r="I246" i="47" s="1"/>
  <c r="G74" i="47"/>
  <c r="G75" i="47" s="1"/>
  <c r="G204" i="46"/>
  <c r="G184" i="46"/>
  <c r="G100" i="46"/>
  <c r="G31" i="46"/>
  <c r="G11" i="46"/>
  <c r="G12" i="46" s="1"/>
  <c r="G118" i="46"/>
  <c r="G119" i="46" s="1"/>
  <c r="G74" i="46"/>
  <c r="G75" i="46" s="1"/>
  <c r="G223" i="46"/>
  <c r="G205" i="45"/>
  <c r="G120" i="45"/>
  <c r="G121" i="45" s="1"/>
  <c r="H99" i="45"/>
  <c r="I98" i="45"/>
  <c r="G12" i="45"/>
  <c r="G162" i="45"/>
  <c r="G163" i="45" s="1"/>
  <c r="G30" i="45"/>
  <c r="G223" i="45"/>
  <c r="G245" i="45"/>
  <c r="G139" i="45"/>
  <c r="G140" i="45" s="1"/>
  <c r="G74" i="45"/>
  <c r="H161" i="45"/>
  <c r="G204" i="44"/>
  <c r="G205" i="44" s="1"/>
  <c r="G183" i="44"/>
  <c r="G120" i="44"/>
  <c r="G100" i="44"/>
  <c r="G53" i="44"/>
  <c r="G163" i="44"/>
  <c r="G247" i="44"/>
  <c r="G248" i="44" s="1"/>
  <c r="G224" i="44"/>
  <c r="G74" i="44"/>
  <c r="G30" i="44"/>
  <c r="G31" i="44" s="1"/>
  <c r="H245" i="44"/>
  <c r="H246" i="44" s="1"/>
  <c r="I246" i="44"/>
  <c r="G183" i="43"/>
  <c r="G184" i="43" s="1"/>
  <c r="G121" i="43"/>
  <c r="G12" i="43"/>
  <c r="G245" i="43"/>
  <c r="H161" i="43"/>
  <c r="H162" i="43" s="1"/>
  <c r="I162" i="43"/>
  <c r="G139" i="43"/>
  <c r="G202" i="43"/>
  <c r="G74" i="43"/>
  <c r="G98" i="43"/>
  <c r="G250" i="42"/>
  <c r="H248" i="42"/>
  <c r="I247" i="42"/>
  <c r="G103" i="42"/>
  <c r="I103" i="42" s="1"/>
  <c r="I102" i="42"/>
  <c r="G36" i="42"/>
  <c r="I36" i="42" s="1"/>
  <c r="G143" i="42"/>
  <c r="I143" i="42" s="1"/>
  <c r="G124" i="42"/>
  <c r="H56" i="42"/>
  <c r="I55" i="42"/>
  <c r="H206" i="42"/>
  <c r="I205" i="42"/>
  <c r="G14" i="42"/>
  <c r="G209" i="42"/>
  <c r="G228" i="42"/>
  <c r="G165" i="42"/>
  <c r="G58" i="42"/>
  <c r="G185" i="42"/>
  <c r="G77" i="42"/>
  <c r="I77" i="42"/>
  <c r="I53" i="27"/>
  <c r="G53" i="27"/>
  <c r="H53" i="27"/>
  <c r="AI33" i="27"/>
  <c r="N204" i="37"/>
  <c r="N209" i="37" s="1"/>
  <c r="K188" i="37"/>
  <c r="K198" i="37" s="1"/>
  <c r="D196" i="37"/>
  <c r="F188" i="37"/>
  <c r="F191" i="37" s="1"/>
  <c r="D191" i="37"/>
  <c r="E221" i="37"/>
  <c r="E223" i="37" s="1"/>
  <c r="M188" i="37"/>
  <c r="M189" i="37" s="1"/>
  <c r="D198" i="37"/>
  <c r="L188" i="37"/>
  <c r="L192" i="37" s="1"/>
  <c r="D197" i="37"/>
  <c r="J204" i="37"/>
  <c r="J206" i="37" s="1"/>
  <c r="N188" i="37"/>
  <c r="N199" i="37" s="1"/>
  <c r="D199" i="37"/>
  <c r="F204" i="37"/>
  <c r="F215" i="37" s="1"/>
  <c r="H204" i="37"/>
  <c r="H209" i="37" s="1"/>
  <c r="L204" i="37"/>
  <c r="L211" i="37" s="1"/>
  <c r="C212" i="37"/>
  <c r="L33" i="27"/>
  <c r="C222" i="37"/>
  <c r="J188" i="37"/>
  <c r="J189" i="37" s="1"/>
  <c r="D195" i="37"/>
  <c r="I204" i="37"/>
  <c r="I207" i="37" s="1"/>
  <c r="I188" i="37"/>
  <c r="I198" i="37" s="1"/>
  <c r="D194" i="37"/>
  <c r="E204" i="37"/>
  <c r="E210" i="37" s="1"/>
  <c r="H188" i="37"/>
  <c r="H199" i="37" s="1"/>
  <c r="D193" i="37"/>
  <c r="F221" i="37"/>
  <c r="F224" i="37" s="1"/>
  <c r="G204" i="37"/>
  <c r="G215" i="37" s="1"/>
  <c r="D204" i="37"/>
  <c r="D213" i="37" s="1"/>
  <c r="M204" i="37"/>
  <c r="M206" i="37" s="1"/>
  <c r="N214" i="37"/>
  <c r="G188" i="37"/>
  <c r="G189" i="37" s="1"/>
  <c r="D192" i="37"/>
  <c r="I304" i="22"/>
  <c r="G305" i="22"/>
  <c r="G306" i="22" s="1"/>
  <c r="G353" i="22"/>
  <c r="O180" i="27"/>
  <c r="M180" i="27"/>
  <c r="P180" i="27"/>
  <c r="N180" i="27"/>
  <c r="P272" i="27"/>
  <c r="N272" i="27"/>
  <c r="O272" i="27"/>
  <c r="M272" i="27"/>
  <c r="H216" i="27"/>
  <c r="G216" i="27"/>
  <c r="I216" i="27"/>
  <c r="I209" i="27"/>
  <c r="G209" i="27"/>
  <c r="H209" i="27"/>
  <c r="G185" i="27"/>
  <c r="H185" i="27"/>
  <c r="I185" i="27"/>
  <c r="M182" i="27"/>
  <c r="N182" i="27"/>
  <c r="O182" i="27"/>
  <c r="P182" i="27"/>
  <c r="N184" i="27"/>
  <c r="P184" i="27"/>
  <c r="M184" i="27"/>
  <c r="O184" i="27"/>
  <c r="P242" i="27"/>
  <c r="M242" i="27"/>
  <c r="N242" i="27"/>
  <c r="O242" i="27"/>
  <c r="P183" i="27"/>
  <c r="O183" i="27"/>
  <c r="N183" i="27"/>
  <c r="M183" i="27"/>
  <c r="P240" i="27"/>
  <c r="N240" i="27"/>
  <c r="M240" i="27"/>
  <c r="O240" i="27"/>
  <c r="P274" i="27"/>
  <c r="M274" i="27"/>
  <c r="O274" i="27"/>
  <c r="N274" i="27"/>
  <c r="H210" i="27"/>
  <c r="G210" i="27"/>
  <c r="I210" i="27"/>
  <c r="H250" i="27"/>
  <c r="G250" i="27"/>
  <c r="I250" i="27"/>
  <c r="I274" i="27"/>
  <c r="G274" i="27"/>
  <c r="H274" i="27"/>
  <c r="M218" i="27"/>
  <c r="P218" i="27"/>
  <c r="N218" i="27"/>
  <c r="O218" i="27"/>
  <c r="I217" i="27"/>
  <c r="G217" i="27"/>
  <c r="H217" i="27"/>
  <c r="O187" i="27"/>
  <c r="N187" i="27"/>
  <c r="M187" i="27"/>
  <c r="P187" i="27"/>
  <c r="O211" i="27"/>
  <c r="P211" i="27"/>
  <c r="N211" i="27"/>
  <c r="M211" i="27"/>
  <c r="N249" i="27"/>
  <c r="O249" i="27"/>
  <c r="M249" i="27"/>
  <c r="P249" i="27"/>
  <c r="M186" i="27"/>
  <c r="P186" i="27"/>
  <c r="N186" i="27"/>
  <c r="O186" i="27"/>
  <c r="P277" i="27"/>
  <c r="M277" i="27"/>
  <c r="O277" i="27"/>
  <c r="N277" i="27"/>
  <c r="N276" i="27"/>
  <c r="O276" i="27"/>
  <c r="M276" i="27"/>
  <c r="P276" i="27"/>
  <c r="H212" i="27"/>
  <c r="G212" i="27"/>
  <c r="I212" i="27"/>
  <c r="I240" i="27"/>
  <c r="H240" i="27"/>
  <c r="G240" i="27"/>
  <c r="I219" i="27"/>
  <c r="G219" i="27"/>
  <c r="H219" i="27"/>
  <c r="G275" i="27"/>
  <c r="H275" i="27"/>
  <c r="I275" i="27"/>
  <c r="G246" i="27"/>
  <c r="H246" i="27"/>
  <c r="I246" i="27"/>
  <c r="P246" i="27"/>
  <c r="N246" i="27"/>
  <c r="O246" i="27"/>
  <c r="M246" i="27"/>
  <c r="M217" i="27"/>
  <c r="O217" i="27"/>
  <c r="N217" i="27"/>
  <c r="P217" i="27"/>
  <c r="N280" i="27"/>
  <c r="M280" i="27"/>
  <c r="O280" i="27"/>
  <c r="P280" i="27"/>
  <c r="M216" i="27"/>
  <c r="P216" i="27"/>
  <c r="N216" i="27"/>
  <c r="O216" i="27"/>
  <c r="P248" i="27"/>
  <c r="O248" i="27"/>
  <c r="N248" i="27"/>
  <c r="M248" i="27"/>
  <c r="P279" i="27"/>
  <c r="M279" i="27"/>
  <c r="N279" i="27"/>
  <c r="O279" i="27"/>
  <c r="I211" i="27"/>
  <c r="G211" i="27"/>
  <c r="H211" i="27"/>
  <c r="H242" i="27"/>
  <c r="G242" i="27"/>
  <c r="I242" i="27"/>
  <c r="H178" i="27"/>
  <c r="G178" i="27"/>
  <c r="I178" i="27"/>
  <c r="H214" i="27"/>
  <c r="G214" i="27"/>
  <c r="I214" i="27"/>
  <c r="I280" i="27"/>
  <c r="G280" i="27"/>
  <c r="H280" i="27"/>
  <c r="I179" i="27"/>
  <c r="G179" i="27"/>
  <c r="H179" i="27"/>
  <c r="I276" i="27"/>
  <c r="G276" i="27"/>
  <c r="H276" i="27"/>
  <c r="O181" i="27"/>
  <c r="P181" i="27"/>
  <c r="M181" i="27"/>
  <c r="N181" i="27"/>
  <c r="M188" i="27"/>
  <c r="O188" i="27"/>
  <c r="N188" i="27"/>
  <c r="P188" i="27"/>
  <c r="O241" i="27"/>
  <c r="N241" i="27"/>
  <c r="M241" i="27"/>
  <c r="P241" i="27"/>
  <c r="O185" i="27"/>
  <c r="P185" i="27"/>
  <c r="M185" i="27"/>
  <c r="N185" i="27"/>
  <c r="M247" i="27"/>
  <c r="O247" i="27"/>
  <c r="N247" i="27"/>
  <c r="P247" i="27"/>
  <c r="P210" i="27"/>
  <c r="O210" i="27"/>
  <c r="N210" i="27"/>
  <c r="M210" i="27"/>
  <c r="G188" i="27"/>
  <c r="H188" i="27"/>
  <c r="I188" i="27"/>
  <c r="H218" i="27"/>
  <c r="G218" i="27"/>
  <c r="I218" i="27"/>
  <c r="I243" i="27"/>
  <c r="G243" i="27"/>
  <c r="H243" i="27"/>
  <c r="H281" i="27"/>
  <c r="G281" i="27"/>
  <c r="I281" i="27"/>
  <c r="I247" i="27"/>
  <c r="H247" i="27"/>
  <c r="G247" i="27"/>
  <c r="H277" i="27"/>
  <c r="G277" i="27"/>
  <c r="I277" i="27"/>
  <c r="H279" i="27"/>
  <c r="G279" i="27"/>
  <c r="I279" i="27"/>
  <c r="O219" i="27"/>
  <c r="P219" i="27"/>
  <c r="N219" i="27"/>
  <c r="M219" i="27"/>
  <c r="N209" i="27"/>
  <c r="M209" i="27"/>
  <c r="O209" i="27"/>
  <c r="P209" i="27"/>
  <c r="O243" i="27"/>
  <c r="N243" i="27"/>
  <c r="M243" i="27"/>
  <c r="P243" i="27"/>
  <c r="P250" i="27"/>
  <c r="M250" i="27"/>
  <c r="O250" i="27"/>
  <c r="N250" i="27"/>
  <c r="P212" i="27"/>
  <c r="O212" i="27"/>
  <c r="N212" i="27"/>
  <c r="M212" i="27"/>
  <c r="I213" i="27"/>
  <c r="G213" i="27"/>
  <c r="H213" i="27"/>
  <c r="G181" i="27"/>
  <c r="I181" i="27"/>
  <c r="H181" i="27"/>
  <c r="I241" i="27"/>
  <c r="G241" i="27"/>
  <c r="H241" i="27"/>
  <c r="H180" i="27"/>
  <c r="G180" i="27"/>
  <c r="I180" i="27"/>
  <c r="H248" i="27"/>
  <c r="G248" i="27"/>
  <c r="I248" i="27"/>
  <c r="P178" i="27"/>
  <c r="N178" i="27"/>
  <c r="M178" i="27"/>
  <c r="O178" i="27"/>
  <c r="P244" i="27"/>
  <c r="O244" i="27"/>
  <c r="N244" i="27"/>
  <c r="M244" i="27"/>
  <c r="M213" i="27"/>
  <c r="O213" i="27"/>
  <c r="N213" i="27"/>
  <c r="P213" i="27"/>
  <c r="O273" i="27"/>
  <c r="M273" i="27"/>
  <c r="P273" i="27"/>
  <c r="N273" i="27"/>
  <c r="M278" i="27"/>
  <c r="O278" i="27"/>
  <c r="N278" i="27"/>
  <c r="P278" i="27"/>
  <c r="P214" i="27"/>
  <c r="N214" i="27"/>
  <c r="M214" i="27"/>
  <c r="O214" i="27"/>
  <c r="G271" i="27"/>
  <c r="H271" i="27"/>
  <c r="I271" i="27"/>
  <c r="G187" i="27"/>
  <c r="H187" i="27"/>
  <c r="I187" i="27"/>
  <c r="H182" i="27"/>
  <c r="G182" i="27"/>
  <c r="I182" i="27"/>
  <c r="M179" i="27"/>
  <c r="N179" i="27"/>
  <c r="O179" i="27"/>
  <c r="P179" i="27"/>
  <c r="G273" i="27"/>
  <c r="H273" i="27"/>
  <c r="I273" i="27"/>
  <c r="O271" i="27"/>
  <c r="M271" i="27"/>
  <c r="P271" i="27"/>
  <c r="N271" i="27"/>
  <c r="M215" i="27"/>
  <c r="O215" i="27"/>
  <c r="N215" i="27"/>
  <c r="P215" i="27"/>
  <c r="P275" i="27"/>
  <c r="M275" i="27"/>
  <c r="O275" i="27"/>
  <c r="N275" i="27"/>
  <c r="P281" i="27"/>
  <c r="M281" i="27"/>
  <c r="N281" i="27"/>
  <c r="O281" i="27"/>
  <c r="P245" i="27"/>
  <c r="O245" i="27"/>
  <c r="N245" i="27"/>
  <c r="M245" i="27"/>
  <c r="H184" i="27"/>
  <c r="G184" i="27"/>
  <c r="I184" i="27"/>
  <c r="I215" i="27"/>
  <c r="G215" i="27"/>
  <c r="H215" i="27"/>
  <c r="H186" i="27"/>
  <c r="G186" i="27"/>
  <c r="I186" i="27"/>
  <c r="I249" i="27"/>
  <c r="G249" i="27"/>
  <c r="H249" i="27"/>
  <c r="I278" i="27"/>
  <c r="G278" i="27"/>
  <c r="H278" i="27"/>
  <c r="I183" i="27"/>
  <c r="H183" i="27"/>
  <c r="G183" i="27"/>
  <c r="I272" i="27"/>
  <c r="G272" i="27"/>
  <c r="H272" i="27"/>
  <c r="I245" i="27"/>
  <c r="G245" i="27"/>
  <c r="H245" i="27"/>
  <c r="G244" i="27"/>
  <c r="H244" i="27"/>
  <c r="I244" i="27"/>
  <c r="H119" i="27"/>
  <c r="I119" i="27"/>
  <c r="G119" i="27"/>
  <c r="O123" i="27"/>
  <c r="N123" i="27"/>
  <c r="M123" i="27"/>
  <c r="P123" i="27"/>
  <c r="P152" i="27"/>
  <c r="O152" i="27"/>
  <c r="M152" i="27"/>
  <c r="N152" i="27"/>
  <c r="I117" i="27"/>
  <c r="H117" i="27"/>
  <c r="G117" i="27"/>
  <c r="H116" i="27"/>
  <c r="G116" i="27"/>
  <c r="I116" i="27"/>
  <c r="O147" i="27"/>
  <c r="N147" i="27"/>
  <c r="M147" i="27"/>
  <c r="P147" i="27"/>
  <c r="O126" i="27"/>
  <c r="N126" i="27"/>
  <c r="P126" i="27"/>
  <c r="M126" i="27"/>
  <c r="O156" i="27"/>
  <c r="P156" i="27"/>
  <c r="N156" i="27"/>
  <c r="M156" i="27"/>
  <c r="H125" i="27"/>
  <c r="I125" i="27"/>
  <c r="G125" i="27"/>
  <c r="H123" i="27"/>
  <c r="G123" i="27"/>
  <c r="I123" i="27"/>
  <c r="H118" i="27"/>
  <c r="G118" i="27"/>
  <c r="I118" i="27"/>
  <c r="O149" i="27"/>
  <c r="N149" i="27"/>
  <c r="P149" i="27"/>
  <c r="M149" i="27"/>
  <c r="H157" i="27"/>
  <c r="G157" i="27"/>
  <c r="I157" i="27"/>
  <c r="O121" i="27"/>
  <c r="N121" i="27"/>
  <c r="M121" i="27"/>
  <c r="P121" i="27"/>
  <c r="H126" i="27"/>
  <c r="G126" i="27"/>
  <c r="I126" i="27"/>
  <c r="P150" i="27"/>
  <c r="N150" i="27"/>
  <c r="M150" i="27"/>
  <c r="O150" i="27"/>
  <c r="P148" i="27"/>
  <c r="O148" i="27"/>
  <c r="N148" i="27"/>
  <c r="M148" i="27"/>
  <c r="O118" i="27"/>
  <c r="P118" i="27"/>
  <c r="N118" i="27"/>
  <c r="M118" i="27"/>
  <c r="H121" i="27"/>
  <c r="G121" i="27"/>
  <c r="I121" i="27"/>
  <c r="I147" i="27"/>
  <c r="H147" i="27"/>
  <c r="G147" i="27"/>
  <c r="G151" i="27"/>
  <c r="I151" i="27"/>
  <c r="H151" i="27"/>
  <c r="G122" i="27"/>
  <c r="H122" i="27"/>
  <c r="I122" i="27"/>
  <c r="O117" i="27"/>
  <c r="M117" i="27"/>
  <c r="P117" i="27"/>
  <c r="N117" i="27"/>
  <c r="O151" i="27"/>
  <c r="M151" i="27"/>
  <c r="P151" i="27"/>
  <c r="N151" i="27"/>
  <c r="P157" i="27"/>
  <c r="N157" i="27"/>
  <c r="O157" i="27"/>
  <c r="M157" i="27"/>
  <c r="O116" i="27"/>
  <c r="N116" i="27"/>
  <c r="P116" i="27"/>
  <c r="M116" i="27"/>
  <c r="I148" i="27"/>
  <c r="H148" i="27"/>
  <c r="G148" i="27"/>
  <c r="I150" i="27"/>
  <c r="G150" i="27"/>
  <c r="H150" i="27"/>
  <c r="I152" i="27"/>
  <c r="G152" i="27"/>
  <c r="H152" i="27"/>
  <c r="H149" i="27"/>
  <c r="G149" i="27"/>
  <c r="I149" i="27"/>
  <c r="H124" i="27"/>
  <c r="G124" i="27"/>
  <c r="I124" i="27"/>
  <c r="P155" i="27"/>
  <c r="N155" i="27"/>
  <c r="O155" i="27"/>
  <c r="M155" i="27"/>
  <c r="O125" i="27"/>
  <c r="P125" i="27"/>
  <c r="N125" i="27"/>
  <c r="M125" i="27"/>
  <c r="O120" i="27"/>
  <c r="P120" i="27"/>
  <c r="N120" i="27"/>
  <c r="M120" i="27"/>
  <c r="I153" i="27"/>
  <c r="H153" i="27"/>
  <c r="G153" i="27"/>
  <c r="G155" i="27"/>
  <c r="H155" i="27"/>
  <c r="I155" i="27"/>
  <c r="O122" i="27"/>
  <c r="P122" i="27"/>
  <c r="M122" i="27"/>
  <c r="N122" i="27"/>
  <c r="P153" i="27"/>
  <c r="M153" i="27"/>
  <c r="O153" i="27"/>
  <c r="N153" i="27"/>
  <c r="O124" i="27"/>
  <c r="N124" i="27"/>
  <c r="M124" i="27"/>
  <c r="P124" i="27"/>
  <c r="H120" i="27"/>
  <c r="G120" i="27"/>
  <c r="I120" i="27"/>
  <c r="I156" i="27"/>
  <c r="H156" i="27"/>
  <c r="G156" i="27"/>
  <c r="O119" i="27"/>
  <c r="M119" i="27"/>
  <c r="P119" i="27"/>
  <c r="N119" i="27"/>
  <c r="P154" i="27"/>
  <c r="O154" i="27"/>
  <c r="N154" i="27"/>
  <c r="M154" i="27"/>
  <c r="I154" i="27"/>
  <c r="G154" i="27"/>
  <c r="H154" i="27"/>
  <c r="O60" i="27"/>
  <c r="M60" i="27"/>
  <c r="P60" i="27"/>
  <c r="N60" i="27"/>
  <c r="G93" i="27"/>
  <c r="H93" i="27"/>
  <c r="I93" i="27"/>
  <c r="N54" i="27"/>
  <c r="P54" i="27"/>
  <c r="M54" i="27"/>
  <c r="O54" i="27"/>
  <c r="P86" i="27"/>
  <c r="N86" i="27"/>
  <c r="O86" i="27"/>
  <c r="M86" i="27"/>
  <c r="G89" i="27"/>
  <c r="H89" i="27"/>
  <c r="I89" i="27"/>
  <c r="G94" i="27"/>
  <c r="H94" i="27"/>
  <c r="I94" i="27"/>
  <c r="G55" i="27"/>
  <c r="I55" i="27"/>
  <c r="H55" i="27"/>
  <c r="G88" i="27"/>
  <c r="H88" i="27"/>
  <c r="I88" i="27"/>
  <c r="G85" i="27"/>
  <c r="H85" i="27"/>
  <c r="I85" i="27"/>
  <c r="O59" i="27"/>
  <c r="N59" i="27"/>
  <c r="M59" i="27"/>
  <c r="P59" i="27"/>
  <c r="N57" i="27"/>
  <c r="O57" i="27"/>
  <c r="P57" i="27"/>
  <c r="M57" i="27"/>
  <c r="N95" i="27"/>
  <c r="O95" i="27"/>
  <c r="M95" i="27"/>
  <c r="P95" i="27"/>
  <c r="G57" i="27"/>
  <c r="I57" i="27"/>
  <c r="N55" i="27"/>
  <c r="M55" i="27"/>
  <c r="P55" i="27"/>
  <c r="O55" i="27"/>
  <c r="G58" i="27"/>
  <c r="I58" i="27"/>
  <c r="G61" i="27"/>
  <c r="I61" i="27"/>
  <c r="G59" i="27"/>
  <c r="I59" i="27"/>
  <c r="O63" i="27"/>
  <c r="P63" i="27"/>
  <c r="N63" i="27"/>
  <c r="M63" i="27"/>
  <c r="O61" i="27"/>
  <c r="M61" i="27"/>
  <c r="P61" i="27"/>
  <c r="N61" i="27"/>
  <c r="P90" i="27"/>
  <c r="M90" i="27"/>
  <c r="N90" i="27"/>
  <c r="O90" i="27"/>
  <c r="G56" i="27"/>
  <c r="I56" i="27"/>
  <c r="G91" i="27"/>
  <c r="H91" i="27"/>
  <c r="I91" i="27"/>
  <c r="N53" i="27"/>
  <c r="P53" i="27"/>
  <c r="M53" i="27"/>
  <c r="O53" i="27"/>
  <c r="G63" i="27"/>
  <c r="I63" i="27"/>
  <c r="G90" i="27"/>
  <c r="H90" i="27"/>
  <c r="I90" i="27"/>
  <c r="G95" i="27"/>
  <c r="H95" i="27"/>
  <c r="I95" i="27"/>
  <c r="G92" i="27"/>
  <c r="H92" i="27"/>
  <c r="I92" i="27"/>
  <c r="N58" i="27"/>
  <c r="O58" i="27"/>
  <c r="P58" i="27"/>
  <c r="M58" i="27"/>
  <c r="P91" i="27"/>
  <c r="M91" i="27"/>
  <c r="O91" i="27"/>
  <c r="N91" i="27"/>
  <c r="M92" i="27"/>
  <c r="P92" i="27"/>
  <c r="N92" i="27"/>
  <c r="O92" i="27"/>
  <c r="O93" i="27"/>
  <c r="N93" i="27"/>
  <c r="P93" i="27"/>
  <c r="M93" i="27"/>
  <c r="G54" i="27"/>
  <c r="I54" i="27"/>
  <c r="H54" i="27"/>
  <c r="G60" i="27"/>
  <c r="I60" i="27"/>
  <c r="G87" i="27"/>
  <c r="H87" i="27"/>
  <c r="I87" i="27"/>
  <c r="P87" i="27"/>
  <c r="N87" i="27"/>
  <c r="O87" i="27"/>
  <c r="M87" i="27"/>
  <c r="O62" i="27"/>
  <c r="M62" i="27"/>
  <c r="P62" i="27"/>
  <c r="N62" i="27"/>
  <c r="N88" i="27"/>
  <c r="O88" i="27"/>
  <c r="P88" i="27"/>
  <c r="M88" i="27"/>
  <c r="P94" i="27"/>
  <c r="O94" i="27"/>
  <c r="N94" i="27"/>
  <c r="M94" i="27"/>
  <c r="G62" i="27"/>
  <c r="I62" i="27"/>
  <c r="G86" i="27"/>
  <c r="H86" i="27"/>
  <c r="I86" i="27"/>
  <c r="N56" i="27"/>
  <c r="O56" i="27"/>
  <c r="M56" i="27"/>
  <c r="P56" i="27"/>
  <c r="O85" i="27"/>
  <c r="P85" i="27"/>
  <c r="N85" i="27"/>
  <c r="M85" i="27"/>
  <c r="P89" i="27"/>
  <c r="M89" i="27"/>
  <c r="N89" i="27"/>
  <c r="O89" i="27"/>
  <c r="I117" i="22"/>
  <c r="H200" i="22"/>
  <c r="H201" i="22" s="1"/>
  <c r="I201" i="22" s="1"/>
  <c r="P22" i="27"/>
  <c r="C60" i="37" s="1"/>
  <c r="D59" i="37" s="1"/>
  <c r="G118" i="22"/>
  <c r="I118" i="22" s="1"/>
  <c r="I50" i="22"/>
  <c r="L79" i="37"/>
  <c r="L88" i="37" s="1"/>
  <c r="N79" i="37"/>
  <c r="N82" i="37" s="1"/>
  <c r="I79" i="37"/>
  <c r="I80" i="37" s="1"/>
  <c r="J79" i="37"/>
  <c r="J85" i="37" s="1"/>
  <c r="D79" i="37"/>
  <c r="D85" i="37" s="1"/>
  <c r="H79" i="37"/>
  <c r="H86" i="37" s="1"/>
  <c r="E79" i="37"/>
  <c r="E86" i="37" s="1"/>
  <c r="F79" i="37"/>
  <c r="F85" i="37" s="1"/>
  <c r="M79" i="37"/>
  <c r="M81" i="37" s="1"/>
  <c r="G79" i="37"/>
  <c r="G88" i="37" s="1"/>
  <c r="K79" i="37"/>
  <c r="K90" i="37" s="1"/>
  <c r="I51" i="22"/>
  <c r="I7" i="22"/>
  <c r="G8" i="22"/>
  <c r="H61" i="22"/>
  <c r="I28" i="22"/>
  <c r="G29" i="22"/>
  <c r="I137" i="22"/>
  <c r="G138" i="22"/>
  <c r="G52" i="22"/>
  <c r="I52" i="22" s="1"/>
  <c r="G22" i="27"/>
  <c r="C98" i="37" s="1"/>
  <c r="H22" i="27"/>
  <c r="C116" i="37" s="1"/>
  <c r="I22" i="27"/>
  <c r="C134" i="37" s="1"/>
  <c r="M22" i="27"/>
  <c r="C6" i="37" s="1"/>
  <c r="O22" i="27"/>
  <c r="C42" i="37" s="1"/>
  <c r="N22" i="27"/>
  <c r="C24" i="37" s="1"/>
  <c r="H31" i="27"/>
  <c r="C125" i="37" s="1"/>
  <c r="G31" i="27"/>
  <c r="C107" i="37" s="1"/>
  <c r="G28" i="27"/>
  <c r="C104" i="37" s="1"/>
  <c r="H28" i="27"/>
  <c r="C122" i="37" s="1"/>
  <c r="H26" i="27"/>
  <c r="C120" i="37" s="1"/>
  <c r="G26" i="27"/>
  <c r="C102" i="37" s="1"/>
  <c r="H23" i="27"/>
  <c r="C117" i="37" s="1"/>
  <c r="G23" i="27"/>
  <c r="C99" i="37" s="1"/>
  <c r="I23" i="27"/>
  <c r="C135" i="37" s="1"/>
  <c r="G29" i="27"/>
  <c r="C105" i="37" s="1"/>
  <c r="H29" i="27"/>
  <c r="C123" i="37" s="1"/>
  <c r="H25" i="27"/>
  <c r="C119" i="37" s="1"/>
  <c r="G25" i="27"/>
  <c r="C101" i="37" s="1"/>
  <c r="G27" i="27"/>
  <c r="C103" i="37" s="1"/>
  <c r="H27" i="27"/>
  <c r="C121" i="37" s="1"/>
  <c r="G30" i="27"/>
  <c r="C106" i="37" s="1"/>
  <c r="H30" i="27"/>
  <c r="C124" i="37" s="1"/>
  <c r="H32" i="27"/>
  <c r="C126" i="37" s="1"/>
  <c r="G32" i="27"/>
  <c r="C108" i="37" s="1"/>
  <c r="H24" i="27"/>
  <c r="C118" i="37" s="1"/>
  <c r="G24" i="27"/>
  <c r="C100" i="37" s="1"/>
  <c r="I24" i="27"/>
  <c r="C136" i="37" s="1"/>
  <c r="N25" i="27"/>
  <c r="C27" i="37" s="1"/>
  <c r="O25" i="27"/>
  <c r="C45" i="37" s="1"/>
  <c r="P23" i="27"/>
  <c r="C61" i="37" s="1"/>
  <c r="O23" i="27"/>
  <c r="C43" i="37" s="1"/>
  <c r="N23" i="27"/>
  <c r="C25" i="37" s="1"/>
  <c r="O26" i="27"/>
  <c r="C46" i="37" s="1"/>
  <c r="N26" i="27"/>
  <c r="C28" i="37" s="1"/>
  <c r="M30" i="27"/>
  <c r="C14" i="37" s="1"/>
  <c r="O30" i="27"/>
  <c r="C50" i="37" s="1"/>
  <c r="N30" i="27"/>
  <c r="C32" i="37" s="1"/>
  <c r="O28" i="27"/>
  <c r="C48" i="37" s="1"/>
  <c r="N28" i="27"/>
  <c r="C30" i="37" s="1"/>
  <c r="O32" i="27"/>
  <c r="C52" i="37" s="1"/>
  <c r="N32" i="27"/>
  <c r="C34" i="37" s="1"/>
  <c r="M27" i="27"/>
  <c r="C11" i="37" s="1"/>
  <c r="N27" i="27"/>
  <c r="C29" i="37" s="1"/>
  <c r="O27" i="27"/>
  <c r="C47" i="37" s="1"/>
  <c r="N31" i="27"/>
  <c r="C33" i="37" s="1"/>
  <c r="O31" i="27"/>
  <c r="C51" i="37" s="1"/>
  <c r="M24" i="27"/>
  <c r="C8" i="37" s="1"/>
  <c r="P24" i="27"/>
  <c r="C62" i="37" s="1"/>
  <c r="O24" i="27"/>
  <c r="C44" i="37" s="1"/>
  <c r="N24" i="27"/>
  <c r="C26" i="37" s="1"/>
  <c r="O29" i="27"/>
  <c r="C49" i="37" s="1"/>
  <c r="N29" i="27"/>
  <c r="C31" i="37" s="1"/>
  <c r="M28" i="27"/>
  <c r="C12" i="37" s="1"/>
  <c r="M25" i="27"/>
  <c r="C9" i="37" s="1"/>
  <c r="M32" i="27"/>
  <c r="C16" i="37" s="1"/>
  <c r="M23" i="27"/>
  <c r="C7" i="37" s="1"/>
  <c r="M31" i="27"/>
  <c r="C15" i="37" s="1"/>
  <c r="M29" i="27"/>
  <c r="C13" i="37" s="1"/>
  <c r="M26" i="27"/>
  <c r="C10" i="37" s="1"/>
  <c r="L8" i="27"/>
  <c r="L9" i="27"/>
  <c r="L10" i="27"/>
  <c r="L11" i="27"/>
  <c r="L12" i="27"/>
  <c r="L13" i="27"/>
  <c r="L14" i="27"/>
  <c r="L15" i="27"/>
  <c r="N206" i="37" l="1"/>
  <c r="G225" i="50"/>
  <c r="G204" i="50"/>
  <c r="G184" i="50"/>
  <c r="G141" i="50"/>
  <c r="G142" i="50" s="1"/>
  <c r="G121" i="50"/>
  <c r="G100" i="50"/>
  <c r="G56" i="50"/>
  <c r="G32" i="50"/>
  <c r="G12" i="50"/>
  <c r="H52" i="50"/>
  <c r="G122" i="50"/>
  <c r="G248" i="50"/>
  <c r="G164" i="50"/>
  <c r="G246" i="49"/>
  <c r="G203" i="49"/>
  <c r="G204" i="49" s="1"/>
  <c r="G184" i="49"/>
  <c r="G119" i="49"/>
  <c r="I32" i="49"/>
  <c r="I31" i="49"/>
  <c r="G12" i="49"/>
  <c r="G34" i="49"/>
  <c r="I30" i="49"/>
  <c r="H223" i="49"/>
  <c r="G224" i="48"/>
  <c r="G225" i="48" s="1"/>
  <c r="G205" i="48"/>
  <c r="G162" i="48"/>
  <c r="G100" i="48"/>
  <c r="G31" i="48"/>
  <c r="G32" i="48" s="1"/>
  <c r="G12" i="48"/>
  <c r="G138" i="48"/>
  <c r="G76" i="48"/>
  <c r="G52" i="48"/>
  <c r="G122" i="48"/>
  <c r="G247" i="48"/>
  <c r="G248" i="48" s="1"/>
  <c r="G185" i="48"/>
  <c r="G206" i="48"/>
  <c r="G204" i="47"/>
  <c r="G205" i="47" s="1"/>
  <c r="G184" i="47"/>
  <c r="G56" i="47"/>
  <c r="G33" i="47"/>
  <c r="H52" i="47"/>
  <c r="G139" i="47"/>
  <c r="G163" i="47"/>
  <c r="I245" i="47"/>
  <c r="G247" i="47"/>
  <c r="G248" i="47" s="1"/>
  <c r="G249" i="47" s="1"/>
  <c r="G101" i="47"/>
  <c r="G122" i="47"/>
  <c r="G205" i="46"/>
  <c r="G120" i="46"/>
  <c r="G121" i="46" s="1"/>
  <c r="G32" i="46"/>
  <c r="G206" i="46"/>
  <c r="G101" i="46"/>
  <c r="G224" i="45"/>
  <c r="G141" i="45"/>
  <c r="H100" i="45"/>
  <c r="I100" i="45" s="1"/>
  <c r="I99" i="45"/>
  <c r="G31" i="45"/>
  <c r="G32" i="45" s="1"/>
  <c r="G206" i="45"/>
  <c r="G122" i="45"/>
  <c r="G164" i="45"/>
  <c r="G165" i="45" s="1"/>
  <c r="G185" i="45"/>
  <c r="I161" i="45"/>
  <c r="G13" i="45"/>
  <c r="H51" i="45"/>
  <c r="G101" i="45"/>
  <c r="G225" i="44"/>
  <c r="G184" i="44"/>
  <c r="G164" i="44"/>
  <c r="G121" i="44"/>
  <c r="G75" i="44"/>
  <c r="G54" i="44"/>
  <c r="G32" i="44"/>
  <c r="G33" i="44" s="1"/>
  <c r="G13" i="44"/>
  <c r="G101" i="44"/>
  <c r="G249" i="44"/>
  <c r="H52" i="44"/>
  <c r="G165" i="44"/>
  <c r="I245" i="44"/>
  <c r="G139" i="44"/>
  <c r="G206" i="44"/>
  <c r="G122" i="44"/>
  <c r="G246" i="43"/>
  <c r="G203" i="43"/>
  <c r="G204" i="43" s="1"/>
  <c r="G99" i="43"/>
  <c r="G75" i="43"/>
  <c r="I161" i="43"/>
  <c r="G122" i="43"/>
  <c r="G224" i="43"/>
  <c r="H51" i="43"/>
  <c r="G13" i="43"/>
  <c r="G78" i="42"/>
  <c r="I78" i="42" s="1"/>
  <c r="G210" i="42"/>
  <c r="H57" i="42"/>
  <c r="I56" i="42"/>
  <c r="G125" i="42"/>
  <c r="I125" i="42" s="1"/>
  <c r="G59" i="42"/>
  <c r="I124" i="42"/>
  <c r="G186" i="42"/>
  <c r="G166" i="42"/>
  <c r="G15" i="42"/>
  <c r="I15" i="42"/>
  <c r="G251" i="42"/>
  <c r="H249" i="42"/>
  <c r="I248" i="42"/>
  <c r="I185" i="42"/>
  <c r="I165" i="42"/>
  <c r="I14" i="42"/>
  <c r="G37" i="42"/>
  <c r="I37" i="42" s="1"/>
  <c r="G229" i="42"/>
  <c r="I229" i="42" s="1"/>
  <c r="I228" i="42"/>
  <c r="H207" i="42"/>
  <c r="I206" i="42"/>
  <c r="G144" i="42"/>
  <c r="G104" i="42"/>
  <c r="I104" i="42" s="1"/>
  <c r="N205" i="37"/>
  <c r="N208" i="37"/>
  <c r="N210" i="37"/>
  <c r="L205" i="37"/>
  <c r="N207" i="37"/>
  <c r="L195" i="37"/>
  <c r="K196" i="37"/>
  <c r="K194" i="37"/>
  <c r="K192" i="37"/>
  <c r="K195" i="37"/>
  <c r="M199" i="37"/>
  <c r="K193" i="37"/>
  <c r="I89" i="37"/>
  <c r="M192" i="37"/>
  <c r="M198" i="37"/>
  <c r="L213" i="37"/>
  <c r="F207" i="37"/>
  <c r="L214" i="37"/>
  <c r="F205" i="37"/>
  <c r="I194" i="37"/>
  <c r="L207" i="37"/>
  <c r="L206" i="37"/>
  <c r="L208" i="37"/>
  <c r="F213" i="37"/>
  <c r="E224" i="37"/>
  <c r="G205" i="37"/>
  <c r="F214" i="37"/>
  <c r="F208" i="37"/>
  <c r="N194" i="37"/>
  <c r="F206" i="37"/>
  <c r="F209" i="37"/>
  <c r="K199" i="37"/>
  <c r="G214" i="37"/>
  <c r="F210" i="37"/>
  <c r="I209" i="37"/>
  <c r="I199" i="37"/>
  <c r="G192" i="37"/>
  <c r="H214" i="37"/>
  <c r="I210" i="37"/>
  <c r="G191" i="37"/>
  <c r="I208" i="37"/>
  <c r="F199" i="37"/>
  <c r="F198" i="37"/>
  <c r="M205" i="37"/>
  <c r="I214" i="37"/>
  <c r="D208" i="37"/>
  <c r="E214" i="37"/>
  <c r="I205" i="37"/>
  <c r="G196" i="37"/>
  <c r="H205" i="37"/>
  <c r="I206" i="37"/>
  <c r="H215" i="37"/>
  <c r="K197" i="37"/>
  <c r="N192" i="37"/>
  <c r="H208" i="37"/>
  <c r="J210" i="37"/>
  <c r="N195" i="37"/>
  <c r="G209" i="37"/>
  <c r="G211" i="37"/>
  <c r="N193" i="37"/>
  <c r="D210" i="37"/>
  <c r="D214" i="37"/>
  <c r="G213" i="37"/>
  <c r="N196" i="37"/>
  <c r="M214" i="37"/>
  <c r="D206" i="37"/>
  <c r="H210" i="37"/>
  <c r="D207" i="37"/>
  <c r="D205" i="37"/>
  <c r="D209" i="37"/>
  <c r="J211" i="37"/>
  <c r="G197" i="37"/>
  <c r="L215" i="37"/>
  <c r="D211" i="37"/>
  <c r="J213" i="37"/>
  <c r="L209" i="37"/>
  <c r="M211" i="37"/>
  <c r="P32" i="27"/>
  <c r="C70" i="37" s="1"/>
  <c r="N59" i="37" s="1"/>
  <c r="C89" i="40"/>
  <c r="C232" i="37"/>
  <c r="L199" i="37"/>
  <c r="L189" i="37"/>
  <c r="L191" i="37"/>
  <c r="F197" i="37"/>
  <c r="F189" i="37"/>
  <c r="F196" i="37"/>
  <c r="E205" i="37"/>
  <c r="F193" i="37"/>
  <c r="I195" i="37"/>
  <c r="H207" i="37"/>
  <c r="L197" i="37"/>
  <c r="H191" i="37"/>
  <c r="E215" i="37"/>
  <c r="P30" i="27"/>
  <c r="C68" i="37" s="1"/>
  <c r="L59" i="37" s="1"/>
  <c r="C87" i="40"/>
  <c r="C230" i="37"/>
  <c r="I192" i="37"/>
  <c r="J208" i="37"/>
  <c r="G193" i="37"/>
  <c r="G206" i="37"/>
  <c r="L194" i="37"/>
  <c r="G194" i="37"/>
  <c r="H195" i="37"/>
  <c r="F195" i="37"/>
  <c r="H213" i="37"/>
  <c r="M209" i="37"/>
  <c r="M207" i="37"/>
  <c r="G199" i="37"/>
  <c r="F211" i="37"/>
  <c r="H211" i="37"/>
  <c r="M197" i="37"/>
  <c r="J191" i="37"/>
  <c r="K191" i="37"/>
  <c r="K189" i="37"/>
  <c r="J215" i="37"/>
  <c r="P28" i="27"/>
  <c r="C66" i="37" s="1"/>
  <c r="D66" i="37" s="1"/>
  <c r="C85" i="40"/>
  <c r="C228" i="37"/>
  <c r="J195" i="37"/>
  <c r="E213" i="37"/>
  <c r="L198" i="37"/>
  <c r="P31" i="27"/>
  <c r="C69" i="37" s="1"/>
  <c r="M59" i="37" s="1"/>
  <c r="M61" i="37" s="1"/>
  <c r="C88" i="40"/>
  <c r="C231" i="37"/>
  <c r="J192" i="37"/>
  <c r="I193" i="37"/>
  <c r="I189" i="37"/>
  <c r="K204" i="37"/>
  <c r="K212" i="37" s="1"/>
  <c r="N212" i="37"/>
  <c r="H212" i="37"/>
  <c r="G212" i="37"/>
  <c r="E212" i="37"/>
  <c r="L212" i="37"/>
  <c r="J212" i="37"/>
  <c r="I212" i="37"/>
  <c r="F212" i="37"/>
  <c r="D212" i="37"/>
  <c r="M212" i="37"/>
  <c r="M196" i="37"/>
  <c r="P29" i="27"/>
  <c r="C67" i="37" s="1"/>
  <c r="K59" i="37" s="1"/>
  <c r="C86" i="40"/>
  <c r="C229" i="37"/>
  <c r="F229" i="37" s="1"/>
  <c r="G208" i="37"/>
  <c r="H193" i="37"/>
  <c r="E206" i="37"/>
  <c r="H194" i="37"/>
  <c r="J194" i="37"/>
  <c r="L210" i="37"/>
  <c r="M213" i="37"/>
  <c r="N213" i="37"/>
  <c r="G207" i="37"/>
  <c r="I211" i="37"/>
  <c r="N211" i="37"/>
  <c r="J198" i="37"/>
  <c r="F223" i="37"/>
  <c r="L196" i="37"/>
  <c r="H196" i="37"/>
  <c r="P27" i="27"/>
  <c r="C65" i="37" s="1"/>
  <c r="I59" i="37" s="1"/>
  <c r="I60" i="37" s="1"/>
  <c r="C227" i="37"/>
  <c r="C84" i="40"/>
  <c r="J214" i="37"/>
  <c r="J205" i="37"/>
  <c r="M208" i="37"/>
  <c r="J193" i="37"/>
  <c r="M210" i="37"/>
  <c r="E209" i="37"/>
  <c r="J207" i="37"/>
  <c r="E211" i="37"/>
  <c r="H197" i="37"/>
  <c r="J197" i="37"/>
  <c r="G198" i="37"/>
  <c r="M191" i="37"/>
  <c r="I196" i="37"/>
  <c r="D215" i="37"/>
  <c r="N215" i="37"/>
  <c r="F192" i="37"/>
  <c r="L193" i="37"/>
  <c r="H206" i="37"/>
  <c r="F194" i="37"/>
  <c r="G210" i="37"/>
  <c r="G195" i="37"/>
  <c r="D221" i="37"/>
  <c r="D222" i="37" s="1"/>
  <c r="E222" i="37"/>
  <c r="F222" i="37"/>
  <c r="I213" i="37"/>
  <c r="J209" i="37"/>
  <c r="E207" i="37"/>
  <c r="N197" i="37"/>
  <c r="N189" i="37"/>
  <c r="N198" i="37"/>
  <c r="I191" i="37"/>
  <c r="N191" i="37"/>
  <c r="J196" i="37"/>
  <c r="I215" i="37"/>
  <c r="H192" i="37"/>
  <c r="H189" i="37"/>
  <c r="P26" i="27"/>
  <c r="C64" i="37" s="1"/>
  <c r="D64" i="37" s="1"/>
  <c r="C226" i="37"/>
  <c r="C83" i="40"/>
  <c r="C82" i="40"/>
  <c r="E208" i="37"/>
  <c r="M193" i="37"/>
  <c r="M194" i="37"/>
  <c r="M195" i="37"/>
  <c r="C190" i="37"/>
  <c r="J199" i="37"/>
  <c r="I197" i="37"/>
  <c r="H198" i="37"/>
  <c r="M215" i="37"/>
  <c r="I305" i="22"/>
  <c r="I306" i="22"/>
  <c r="G307" i="22"/>
  <c r="G354" i="22"/>
  <c r="I354" i="22" s="1"/>
  <c r="I353" i="22"/>
  <c r="I200" i="22"/>
  <c r="G119" i="22"/>
  <c r="I119" i="22" s="1"/>
  <c r="G202" i="22"/>
  <c r="J82" i="37"/>
  <c r="J81" i="37"/>
  <c r="H83" i="37"/>
  <c r="N80" i="37"/>
  <c r="L80" i="37"/>
  <c r="L81" i="37"/>
  <c r="J87" i="37"/>
  <c r="J80" i="37"/>
  <c r="J89" i="37"/>
  <c r="J84" i="37"/>
  <c r="J90" i="37"/>
  <c r="L84" i="37"/>
  <c r="L82" i="37"/>
  <c r="L83" i="37"/>
  <c r="L85" i="37"/>
  <c r="L89" i="37"/>
  <c r="L86" i="37"/>
  <c r="K87" i="37"/>
  <c r="M89" i="37"/>
  <c r="J88" i="37"/>
  <c r="D86" i="37"/>
  <c r="N81" i="37"/>
  <c r="N84" i="37"/>
  <c r="D90" i="37"/>
  <c r="H88" i="37"/>
  <c r="N83" i="37"/>
  <c r="D83" i="37"/>
  <c r="K83" i="37"/>
  <c r="D82" i="37"/>
  <c r="H81" i="37"/>
  <c r="G84" i="37"/>
  <c r="E80" i="37"/>
  <c r="M86" i="37"/>
  <c r="N90" i="37"/>
  <c r="F83" i="37"/>
  <c r="G82" i="37"/>
  <c r="N89" i="37"/>
  <c r="K81" i="37"/>
  <c r="D80" i="37"/>
  <c r="H90" i="37"/>
  <c r="K89" i="37"/>
  <c r="H80" i="37"/>
  <c r="H87" i="37"/>
  <c r="M83" i="37"/>
  <c r="H89" i="37"/>
  <c r="K82" i="37"/>
  <c r="D87" i="37"/>
  <c r="H84" i="37"/>
  <c r="D84" i="37"/>
  <c r="H85" i="37"/>
  <c r="K84" i="37"/>
  <c r="G83" i="37"/>
  <c r="M87" i="37"/>
  <c r="E83" i="37"/>
  <c r="H82" i="37"/>
  <c r="K80" i="37"/>
  <c r="G86" i="37"/>
  <c r="K5" i="37"/>
  <c r="K15" i="37" s="1"/>
  <c r="F23" i="37"/>
  <c r="F26" i="37" s="1"/>
  <c r="I5" i="37"/>
  <c r="I11" i="37" s="1"/>
  <c r="H23" i="37"/>
  <c r="H29" i="37" s="1"/>
  <c r="F97" i="37"/>
  <c r="F100" i="37" s="1"/>
  <c r="G97" i="37"/>
  <c r="G108" i="37" s="1"/>
  <c r="H115" i="37"/>
  <c r="H119" i="37" s="1"/>
  <c r="D5" i="37"/>
  <c r="D11" i="37" s="1"/>
  <c r="F81" i="37"/>
  <c r="E87" i="37"/>
  <c r="E89" i="37"/>
  <c r="F87" i="37"/>
  <c r="F84" i="37"/>
  <c r="G80" i="37"/>
  <c r="J86" i="37"/>
  <c r="G90" i="37"/>
  <c r="E88" i="37"/>
  <c r="D41" i="37"/>
  <c r="D46" i="37" s="1"/>
  <c r="M5" i="37"/>
  <c r="M6" i="37" s="1"/>
  <c r="F41" i="37"/>
  <c r="F42" i="37" s="1"/>
  <c r="N23" i="37"/>
  <c r="N24" i="37" s="1"/>
  <c r="H41" i="37"/>
  <c r="H49" i="37" s="1"/>
  <c r="F115" i="37"/>
  <c r="F120" i="37" s="1"/>
  <c r="G115" i="37"/>
  <c r="G120" i="37" s="1"/>
  <c r="I26" i="27"/>
  <c r="C138" i="37" s="1"/>
  <c r="D133" i="37"/>
  <c r="D135" i="37" s="1"/>
  <c r="E5" i="37"/>
  <c r="E10" i="37" s="1"/>
  <c r="F59" i="37"/>
  <c r="D62" i="37"/>
  <c r="N41" i="37"/>
  <c r="N44" i="37" s="1"/>
  <c r="E23" i="37"/>
  <c r="E29" i="37" s="1"/>
  <c r="N97" i="37"/>
  <c r="N103" i="37" s="1"/>
  <c r="K115" i="37"/>
  <c r="K119" i="37" s="1"/>
  <c r="J115" i="37"/>
  <c r="J118" i="37" s="1"/>
  <c r="D115" i="37"/>
  <c r="D122" i="37" s="1"/>
  <c r="F82" i="37"/>
  <c r="I81" i="37"/>
  <c r="I87" i="37"/>
  <c r="I86" i="37"/>
  <c r="I83" i="37"/>
  <c r="I82" i="37"/>
  <c r="J83" i="37"/>
  <c r="E82" i="37"/>
  <c r="E81" i="37"/>
  <c r="I90" i="37"/>
  <c r="M84" i="37"/>
  <c r="D81" i="37"/>
  <c r="D89" i="37"/>
  <c r="D88" i="37"/>
  <c r="F88" i="37"/>
  <c r="K86" i="37"/>
  <c r="N87" i="37"/>
  <c r="N86" i="37"/>
  <c r="N88" i="37"/>
  <c r="K88" i="37"/>
  <c r="H5" i="37"/>
  <c r="H8" i="37" s="1"/>
  <c r="K41" i="37"/>
  <c r="K44" i="37" s="1"/>
  <c r="I23" i="37"/>
  <c r="I29" i="37" s="1"/>
  <c r="L5" i="37"/>
  <c r="L7" i="37" s="1"/>
  <c r="F133" i="37"/>
  <c r="F134" i="37" s="1"/>
  <c r="I97" i="37"/>
  <c r="H97" i="37"/>
  <c r="H102" i="37" s="1"/>
  <c r="N5" i="37"/>
  <c r="N13" i="37" s="1"/>
  <c r="F5" i="37"/>
  <c r="F16" i="37" s="1"/>
  <c r="J23" i="37"/>
  <c r="J32" i="37" s="1"/>
  <c r="E41" i="37"/>
  <c r="E43" i="37" s="1"/>
  <c r="N115" i="37"/>
  <c r="N120" i="37" s="1"/>
  <c r="K97" i="37"/>
  <c r="K102" i="37" s="1"/>
  <c r="J97" i="37"/>
  <c r="J100" i="37" s="1"/>
  <c r="D97" i="37"/>
  <c r="D106" i="37" s="1"/>
  <c r="G5" i="37"/>
  <c r="G6" i="37" s="1"/>
  <c r="M41" i="37"/>
  <c r="M45" i="37" s="1"/>
  <c r="J41" i="37"/>
  <c r="J49" i="37" s="1"/>
  <c r="E59" i="37"/>
  <c r="D61" i="37"/>
  <c r="L115" i="37"/>
  <c r="L119" i="37" s="1"/>
  <c r="E133" i="37"/>
  <c r="E136" i="37" s="1"/>
  <c r="M97" i="37"/>
  <c r="F80" i="37"/>
  <c r="E85" i="37"/>
  <c r="F90" i="37"/>
  <c r="I88" i="37"/>
  <c r="M85" i="37"/>
  <c r="E90" i="37"/>
  <c r="J5" i="37"/>
  <c r="J8" i="37" s="1"/>
  <c r="M23" i="37"/>
  <c r="M34" i="37" s="1"/>
  <c r="L23" i="37"/>
  <c r="L29" i="37" s="1"/>
  <c r="G41" i="37"/>
  <c r="L97" i="37"/>
  <c r="L100" i="37" s="1"/>
  <c r="E97" i="37"/>
  <c r="E101" i="37" s="1"/>
  <c r="M115" i="37"/>
  <c r="M123" i="37" s="1"/>
  <c r="K23" i="37"/>
  <c r="K32" i="37" s="1"/>
  <c r="I41" i="37"/>
  <c r="I52" i="37" s="1"/>
  <c r="L41" i="37"/>
  <c r="L49" i="37" s="1"/>
  <c r="G23" i="37"/>
  <c r="I115" i="37"/>
  <c r="I116" i="37" s="1"/>
  <c r="E115" i="37"/>
  <c r="E121" i="37" s="1"/>
  <c r="D23" i="37"/>
  <c r="D34" i="37" s="1"/>
  <c r="F89" i="37"/>
  <c r="M82" i="37"/>
  <c r="M80" i="37"/>
  <c r="F86" i="37"/>
  <c r="N85" i="37"/>
  <c r="M90" i="37"/>
  <c r="M88" i="37"/>
  <c r="I84" i="37"/>
  <c r="G87" i="37"/>
  <c r="G85" i="37"/>
  <c r="G89" i="37"/>
  <c r="G81" i="37"/>
  <c r="D60" i="37"/>
  <c r="E84" i="37"/>
  <c r="K85" i="37"/>
  <c r="L90" i="37"/>
  <c r="L87" i="37"/>
  <c r="I85" i="37"/>
  <c r="G30" i="22"/>
  <c r="I30" i="22" s="1"/>
  <c r="I29" i="22"/>
  <c r="G53" i="22"/>
  <c r="I53" i="22" s="1"/>
  <c r="I138" i="22"/>
  <c r="G139" i="22"/>
  <c r="G9" i="22"/>
  <c r="I9" i="22" s="1"/>
  <c r="I8" i="22"/>
  <c r="I29" i="27"/>
  <c r="C141" i="37" s="1"/>
  <c r="I28" i="27"/>
  <c r="C140" i="37" s="1"/>
  <c r="I30" i="27"/>
  <c r="C142" i="37" s="1"/>
  <c r="P25" i="27"/>
  <c r="C63" i="37" s="1"/>
  <c r="L16" i="27"/>
  <c r="I27" i="27"/>
  <c r="C139" i="37" s="1"/>
  <c r="I31" i="27"/>
  <c r="C143" i="37" s="1"/>
  <c r="I25" i="27"/>
  <c r="C137" i="37" s="1"/>
  <c r="I32" i="27"/>
  <c r="C144" i="37" s="1"/>
  <c r="G249" i="50" l="1"/>
  <c r="G226" i="50"/>
  <c r="G205" i="50"/>
  <c r="G165" i="50"/>
  <c r="G143" i="50"/>
  <c r="G57" i="50"/>
  <c r="G33" i="50"/>
  <c r="G76" i="50"/>
  <c r="G166" i="50"/>
  <c r="G167" i="50" s="1"/>
  <c r="G250" i="50"/>
  <c r="G185" i="50"/>
  <c r="G101" i="50"/>
  <c r="G58" i="50"/>
  <c r="G123" i="50"/>
  <c r="H53" i="50"/>
  <c r="H54" i="50" s="1"/>
  <c r="I52" i="50"/>
  <c r="G206" i="50"/>
  <c r="G13" i="50"/>
  <c r="G205" i="49"/>
  <c r="G120" i="49"/>
  <c r="G101" i="49"/>
  <c r="G13" i="49"/>
  <c r="G185" i="49"/>
  <c r="G35" i="49"/>
  <c r="G163" i="49"/>
  <c r="G54" i="49"/>
  <c r="H224" i="49"/>
  <c r="H52" i="49"/>
  <c r="G226" i="48"/>
  <c r="G77" i="48"/>
  <c r="G53" i="48"/>
  <c r="G54" i="48" s="1"/>
  <c r="G33" i="48"/>
  <c r="G78" i="48"/>
  <c r="G79" i="48" s="1"/>
  <c r="G13" i="48"/>
  <c r="G207" i="48"/>
  <c r="G123" i="48"/>
  <c r="G139" i="48"/>
  <c r="G186" i="48"/>
  <c r="G101" i="48"/>
  <c r="G163" i="48"/>
  <c r="G164" i="48" s="1"/>
  <c r="G249" i="48"/>
  <c r="G250" i="48" s="1"/>
  <c r="G164" i="47"/>
  <c r="G165" i="47" s="1"/>
  <c r="G166" i="47" s="1"/>
  <c r="G57" i="47"/>
  <c r="G58" i="47" s="1"/>
  <c r="H53" i="47"/>
  <c r="H54" i="47" s="1"/>
  <c r="I52" i="47"/>
  <c r="G13" i="47"/>
  <c r="G59" i="47"/>
  <c r="G185" i="47"/>
  <c r="G34" i="47"/>
  <c r="G140" i="47"/>
  <c r="G123" i="47"/>
  <c r="G250" i="47"/>
  <c r="G206" i="47"/>
  <c r="G102" i="47"/>
  <c r="G33" i="46"/>
  <c r="G34" i="46"/>
  <c r="G185" i="46"/>
  <c r="G163" i="46"/>
  <c r="G247" i="46"/>
  <c r="G102" i="46"/>
  <c r="G224" i="46"/>
  <c r="G13" i="46"/>
  <c r="G207" i="46"/>
  <c r="G225" i="45"/>
  <c r="G166" i="45"/>
  <c r="G167" i="45" s="1"/>
  <c r="G142" i="45"/>
  <c r="G33" i="45"/>
  <c r="G246" i="45"/>
  <c r="G247" i="45" s="1"/>
  <c r="G123" i="45"/>
  <c r="G186" i="45"/>
  <c r="H52" i="45"/>
  <c r="H53" i="45" s="1"/>
  <c r="G207" i="45"/>
  <c r="G75" i="45"/>
  <c r="G14" i="45"/>
  <c r="H162" i="45"/>
  <c r="H163" i="45" s="1"/>
  <c r="I163" i="45" s="1"/>
  <c r="G102" i="45"/>
  <c r="G226" i="44"/>
  <c r="G55" i="44"/>
  <c r="H247" i="44"/>
  <c r="H248" i="44" s="1"/>
  <c r="I248" i="44"/>
  <c r="G123" i="44"/>
  <c r="G166" i="44"/>
  <c r="G76" i="44"/>
  <c r="G77" i="44" s="1"/>
  <c r="G102" i="44"/>
  <c r="G207" i="44"/>
  <c r="G185" i="44"/>
  <c r="H53" i="44"/>
  <c r="H54" i="44" s="1"/>
  <c r="I52" i="44"/>
  <c r="G140" i="44"/>
  <c r="G250" i="44"/>
  <c r="G14" i="44"/>
  <c r="G225" i="43"/>
  <c r="G205" i="43"/>
  <c r="G100" i="43"/>
  <c r="G140" i="43"/>
  <c r="H52" i="43"/>
  <c r="G163" i="43"/>
  <c r="G164" i="43" s="1"/>
  <c r="G165" i="43" s="1"/>
  <c r="G166" i="43" s="1"/>
  <c r="H34" i="43"/>
  <c r="G14" i="43"/>
  <c r="G123" i="43"/>
  <c r="G185" i="43"/>
  <c r="G145" i="42"/>
  <c r="I145" i="42" s="1"/>
  <c r="G252" i="42"/>
  <c r="H58" i="42"/>
  <c r="I57" i="42"/>
  <c r="G230" i="42"/>
  <c r="I230" i="42" s="1"/>
  <c r="G60" i="42"/>
  <c r="G61" i="42" s="1"/>
  <c r="H208" i="42"/>
  <c r="I207" i="42"/>
  <c r="G16" i="42"/>
  <c r="I16" i="42" s="1"/>
  <c r="G167" i="42"/>
  <c r="I167" i="42" s="1"/>
  <c r="G126" i="42"/>
  <c r="I126" i="42" s="1"/>
  <c r="I127" i="42" s="1"/>
  <c r="I129" i="42" s="1"/>
  <c r="W7" i="42" s="1"/>
  <c r="G105" i="42"/>
  <c r="I105" i="42" s="1"/>
  <c r="I106" i="42" s="1"/>
  <c r="I108" i="42" s="1"/>
  <c r="V7" i="42" s="1"/>
  <c r="G38" i="42"/>
  <c r="I38" i="42" s="1"/>
  <c r="I39" i="42" s="1"/>
  <c r="I41" i="42" s="1"/>
  <c r="W6" i="42" s="1"/>
  <c r="I166" i="42"/>
  <c r="G79" i="42"/>
  <c r="I79" i="42" s="1"/>
  <c r="G187" i="42"/>
  <c r="I187" i="42" s="1"/>
  <c r="I144" i="42"/>
  <c r="H250" i="42"/>
  <c r="I249" i="42"/>
  <c r="I186" i="42"/>
  <c r="D65" i="37"/>
  <c r="J59" i="37"/>
  <c r="J60" i="37" s="1"/>
  <c r="N67" i="37"/>
  <c r="D67" i="37"/>
  <c r="D70" i="37"/>
  <c r="D68" i="37"/>
  <c r="K68" i="37"/>
  <c r="E70" i="37"/>
  <c r="F68" i="37"/>
  <c r="D69" i="37"/>
  <c r="L65" i="37"/>
  <c r="H59" i="37"/>
  <c r="H66" i="37" s="1"/>
  <c r="F31" i="37"/>
  <c r="K221" i="37"/>
  <c r="K232" i="37" s="1"/>
  <c r="E229" i="37"/>
  <c r="D229" i="37"/>
  <c r="C225" i="37"/>
  <c r="AK33" i="27"/>
  <c r="L221" i="37"/>
  <c r="L229" i="37" s="1"/>
  <c r="D230" i="37"/>
  <c r="F230" i="37"/>
  <c r="F232" i="37"/>
  <c r="E232" i="37"/>
  <c r="D232" i="37"/>
  <c r="N221" i="37"/>
  <c r="N230" i="37" s="1"/>
  <c r="T24" i="27"/>
  <c r="T32" i="27"/>
  <c r="T25" i="27"/>
  <c r="T22" i="27"/>
  <c r="T28" i="27"/>
  <c r="T26" i="27"/>
  <c r="T27" i="27"/>
  <c r="T29" i="27"/>
  <c r="T30" i="27"/>
  <c r="T31" i="27"/>
  <c r="S22" i="27"/>
  <c r="T23" i="27"/>
  <c r="H221" i="37"/>
  <c r="H231" i="37" s="1"/>
  <c r="D226" i="37"/>
  <c r="E226" i="37"/>
  <c r="F226" i="37"/>
  <c r="K215" i="37"/>
  <c r="K209" i="37"/>
  <c r="K205" i="37"/>
  <c r="K214" i="37"/>
  <c r="K211" i="37"/>
  <c r="K213" i="37"/>
  <c r="K208" i="37"/>
  <c r="K206" i="37"/>
  <c r="K207" i="37"/>
  <c r="K210" i="37"/>
  <c r="E231" i="37"/>
  <c r="M221" i="37"/>
  <c r="M230" i="37" s="1"/>
  <c r="D231" i="37"/>
  <c r="F231" i="37"/>
  <c r="J221" i="37"/>
  <c r="J230" i="37" s="1"/>
  <c r="D228" i="37"/>
  <c r="E228" i="37"/>
  <c r="F228" i="37"/>
  <c r="E188" i="37"/>
  <c r="E190" i="37" s="1"/>
  <c r="M190" i="37"/>
  <c r="L190" i="37"/>
  <c r="G190" i="37"/>
  <c r="J190" i="37"/>
  <c r="N190" i="37"/>
  <c r="F190" i="37"/>
  <c r="K190" i="37"/>
  <c r="H190" i="37"/>
  <c r="D190" i="37"/>
  <c r="I190" i="37"/>
  <c r="D224" i="37"/>
  <c r="D223" i="37"/>
  <c r="I221" i="37"/>
  <c r="I231" i="37" s="1"/>
  <c r="E227" i="37"/>
  <c r="D227" i="37"/>
  <c r="F227" i="37"/>
  <c r="E230" i="37"/>
  <c r="I307" i="22"/>
  <c r="G308" i="22"/>
  <c r="I355" i="22"/>
  <c r="I357" i="22" s="1"/>
  <c r="G120" i="22"/>
  <c r="I120" i="22" s="1"/>
  <c r="F32" i="37"/>
  <c r="E99" i="37"/>
  <c r="H104" i="37"/>
  <c r="G116" i="37"/>
  <c r="M67" i="37"/>
  <c r="H121" i="37"/>
  <c r="M70" i="37"/>
  <c r="S27" i="27"/>
  <c r="S23" i="27"/>
  <c r="S28" i="27"/>
  <c r="C65" i="40" s="1"/>
  <c r="S32" i="27"/>
  <c r="S29" i="27"/>
  <c r="C66" i="40" s="1"/>
  <c r="S30" i="27"/>
  <c r="S31" i="27"/>
  <c r="S24" i="27"/>
  <c r="S25" i="27"/>
  <c r="S26" i="27"/>
  <c r="M9" i="37"/>
  <c r="I24" i="37"/>
  <c r="J33" i="37"/>
  <c r="K61" i="37"/>
  <c r="I32" i="37"/>
  <c r="K64" i="37"/>
  <c r="L9" i="37"/>
  <c r="N43" i="37"/>
  <c r="G203" i="22"/>
  <c r="G204" i="22" s="1"/>
  <c r="G222" i="22"/>
  <c r="I33" i="37"/>
  <c r="F102" i="37"/>
  <c r="E61" i="37"/>
  <c r="H120" i="37"/>
  <c r="I30" i="37"/>
  <c r="I27" i="37"/>
  <c r="D50" i="37"/>
  <c r="N45" i="37"/>
  <c r="C176" i="37"/>
  <c r="C172" i="37"/>
  <c r="C177" i="37"/>
  <c r="C178" i="37"/>
  <c r="C180" i="37"/>
  <c r="C173" i="37"/>
  <c r="C175" i="37"/>
  <c r="C179" i="37"/>
  <c r="C181" i="37"/>
  <c r="C174" i="37"/>
  <c r="L117" i="37"/>
  <c r="G125" i="37"/>
  <c r="F105" i="37"/>
  <c r="L124" i="37"/>
  <c r="F103" i="37"/>
  <c r="L125" i="37"/>
  <c r="F104" i="37"/>
  <c r="F108" i="37"/>
  <c r="G121" i="37"/>
  <c r="E47" i="37"/>
  <c r="F107" i="37"/>
  <c r="F98" i="37"/>
  <c r="J126" i="37"/>
  <c r="F101" i="37"/>
  <c r="F106" i="37"/>
  <c r="D117" i="37"/>
  <c r="L121" i="37"/>
  <c r="L31" i="37"/>
  <c r="F99" i="37"/>
  <c r="D48" i="37"/>
  <c r="D43" i="37"/>
  <c r="D52" i="37"/>
  <c r="L122" i="37"/>
  <c r="J61" i="37"/>
  <c r="I117" i="37"/>
  <c r="M50" i="37"/>
  <c r="M62" i="37"/>
  <c r="D42" i="37"/>
  <c r="I121" i="37"/>
  <c r="D125" i="37"/>
  <c r="H125" i="37"/>
  <c r="D124" i="37"/>
  <c r="D51" i="37"/>
  <c r="D16" i="37"/>
  <c r="F12" i="37"/>
  <c r="M24" i="37"/>
  <c r="H99" i="37"/>
  <c r="F43" i="37"/>
  <c r="N49" i="37"/>
  <c r="H123" i="37"/>
  <c r="M16" i="37"/>
  <c r="J121" i="37"/>
  <c r="I47" i="37"/>
  <c r="M32" i="37"/>
  <c r="N48" i="37"/>
  <c r="L66" i="37"/>
  <c r="H116" i="37"/>
  <c r="H118" i="37"/>
  <c r="M29" i="37"/>
  <c r="H117" i="37"/>
  <c r="F47" i="37"/>
  <c r="J106" i="37"/>
  <c r="N64" i="37"/>
  <c r="H124" i="37"/>
  <c r="E30" i="37"/>
  <c r="J66" i="37"/>
  <c r="M14" i="37"/>
  <c r="K66" i="37"/>
  <c r="N47" i="37"/>
  <c r="J107" i="37"/>
  <c r="H126" i="37"/>
  <c r="L8" i="37"/>
  <c r="H122" i="37"/>
  <c r="H52" i="37"/>
  <c r="F117" i="37"/>
  <c r="H50" i="37"/>
  <c r="L47" i="37"/>
  <c r="F125" i="37"/>
  <c r="E32" i="37"/>
  <c r="L64" i="37"/>
  <c r="E51" i="37"/>
  <c r="F29" i="37"/>
  <c r="F25" i="37"/>
  <c r="F118" i="37"/>
  <c r="M68" i="37"/>
  <c r="K13" i="37"/>
  <c r="E24" i="37"/>
  <c r="E31" i="37"/>
  <c r="F33" i="37"/>
  <c r="F124" i="37"/>
  <c r="K9" i="37"/>
  <c r="M43" i="37"/>
  <c r="F30" i="37"/>
  <c r="E27" i="37"/>
  <c r="E33" i="37"/>
  <c r="F34" i="37"/>
  <c r="D28" i="37"/>
  <c r="F121" i="37"/>
  <c r="F24" i="37"/>
  <c r="L61" i="37"/>
  <c r="E102" i="37"/>
  <c r="F116" i="37"/>
  <c r="F27" i="37"/>
  <c r="L120" i="37"/>
  <c r="H45" i="37"/>
  <c r="D7" i="37"/>
  <c r="D24" i="37"/>
  <c r="M27" i="37"/>
  <c r="H47" i="37"/>
  <c r="I125" i="37"/>
  <c r="H106" i="37"/>
  <c r="D33" i="37"/>
  <c r="D107" i="37"/>
  <c r="E124" i="37"/>
  <c r="N104" i="37"/>
  <c r="I126" i="37"/>
  <c r="K14" i="37"/>
  <c r="E44" i="37"/>
  <c r="K11" i="37"/>
  <c r="J69" i="37"/>
  <c r="H24" i="37"/>
  <c r="K117" i="37"/>
  <c r="D32" i="37"/>
  <c r="K12" i="37"/>
  <c r="H107" i="37"/>
  <c r="E16" i="37"/>
  <c r="N66" i="37"/>
  <c r="D123" i="37"/>
  <c r="J25" i="37"/>
  <c r="M26" i="37"/>
  <c r="F135" i="37"/>
  <c r="K122" i="37"/>
  <c r="K121" i="37"/>
  <c r="K125" i="37"/>
  <c r="K33" i="37"/>
  <c r="D12" i="37"/>
  <c r="J105" i="37"/>
  <c r="D136" i="37"/>
  <c r="F10" i="37"/>
  <c r="L123" i="37"/>
  <c r="D134" i="37"/>
  <c r="L15" i="37"/>
  <c r="H100" i="37"/>
  <c r="K99" i="37"/>
  <c r="N106" i="37"/>
  <c r="E9" i="37"/>
  <c r="D105" i="37"/>
  <c r="H43" i="37"/>
  <c r="K16" i="37"/>
  <c r="L102" i="37"/>
  <c r="F136" i="37"/>
  <c r="K10" i="37"/>
  <c r="I123" i="37"/>
  <c r="K7" i="37"/>
  <c r="I46" i="37"/>
  <c r="K6" i="37"/>
  <c r="L13" i="37"/>
  <c r="J45" i="37"/>
  <c r="E12" i="37"/>
  <c r="L104" i="37"/>
  <c r="N105" i="37"/>
  <c r="E8" i="37"/>
  <c r="D116" i="37"/>
  <c r="N108" i="37"/>
  <c r="F52" i="37"/>
  <c r="E7" i="37"/>
  <c r="F28" i="37"/>
  <c r="M13" i="37"/>
  <c r="E14" i="37"/>
  <c r="M31" i="37"/>
  <c r="K107" i="37"/>
  <c r="K8" i="37"/>
  <c r="L116" i="37"/>
  <c r="I122" i="37"/>
  <c r="L118" i="37"/>
  <c r="I42" i="37"/>
  <c r="L27" i="37"/>
  <c r="K106" i="37"/>
  <c r="J124" i="37"/>
  <c r="D9" i="37"/>
  <c r="K104" i="37"/>
  <c r="J117" i="37"/>
  <c r="N121" i="37"/>
  <c r="J27" i="37"/>
  <c r="I50" i="37"/>
  <c r="M47" i="37"/>
  <c r="J31" i="37"/>
  <c r="N125" i="37"/>
  <c r="D99" i="37"/>
  <c r="D45" i="37"/>
  <c r="I12" i="37"/>
  <c r="G124" i="37"/>
  <c r="I124" i="37"/>
  <c r="E48" i="37"/>
  <c r="F51" i="37"/>
  <c r="E98" i="37"/>
  <c r="E104" i="37"/>
  <c r="E105" i="37"/>
  <c r="L126" i="37"/>
  <c r="D8" i="37"/>
  <c r="H16" i="37"/>
  <c r="H103" i="37"/>
  <c r="D14" i="37"/>
  <c r="F49" i="37"/>
  <c r="J122" i="37"/>
  <c r="J123" i="37"/>
  <c r="J52" i="37"/>
  <c r="F7" i="37"/>
  <c r="M46" i="37"/>
  <c r="I34" i="37"/>
  <c r="D44" i="37"/>
  <c r="I68" i="37"/>
  <c r="N42" i="37"/>
  <c r="D6" i="37"/>
  <c r="K69" i="37"/>
  <c r="J50" i="37"/>
  <c r="K103" i="37"/>
  <c r="I67" i="37"/>
  <c r="J14" i="37"/>
  <c r="I10" i="37"/>
  <c r="J116" i="37"/>
  <c r="L25" i="37"/>
  <c r="E52" i="37"/>
  <c r="I7" i="37"/>
  <c r="N119" i="37"/>
  <c r="E46" i="37"/>
  <c r="I15" i="37"/>
  <c r="D100" i="37"/>
  <c r="I13" i="37"/>
  <c r="I70" i="37"/>
  <c r="N124" i="37"/>
  <c r="J16" i="37"/>
  <c r="E118" i="37"/>
  <c r="N117" i="37"/>
  <c r="K27" i="37"/>
  <c r="E50" i="37"/>
  <c r="K47" i="37"/>
  <c r="E45" i="37"/>
  <c r="M12" i="37"/>
  <c r="I48" i="37"/>
  <c r="M51" i="37"/>
  <c r="F9" i="37"/>
  <c r="D98" i="37"/>
  <c r="F126" i="37"/>
  <c r="I14" i="37"/>
  <c r="E49" i="37"/>
  <c r="M10" i="37"/>
  <c r="E122" i="37"/>
  <c r="K108" i="37"/>
  <c r="G119" i="37"/>
  <c r="K118" i="37"/>
  <c r="F46" i="37"/>
  <c r="I44" i="37"/>
  <c r="E15" i="37"/>
  <c r="J68" i="37"/>
  <c r="H11" i="37"/>
  <c r="N16" i="37"/>
  <c r="N14" i="37"/>
  <c r="F45" i="37"/>
  <c r="E64" i="37"/>
  <c r="M48" i="37"/>
  <c r="L24" i="37"/>
  <c r="G117" i="37"/>
  <c r="F50" i="37"/>
  <c r="D47" i="37"/>
  <c r="J125" i="37"/>
  <c r="J99" i="37"/>
  <c r="N32" i="37"/>
  <c r="M33" i="37"/>
  <c r="E135" i="37"/>
  <c r="I61" i="37"/>
  <c r="K48" i="37"/>
  <c r="K51" i="37"/>
  <c r="I9" i="37"/>
  <c r="I65" i="37"/>
  <c r="J98" i="37"/>
  <c r="G126" i="37"/>
  <c r="I43" i="37"/>
  <c r="L30" i="37"/>
  <c r="I8" i="37"/>
  <c r="I16" i="37"/>
  <c r="I66" i="37"/>
  <c r="D103" i="37"/>
  <c r="L14" i="37"/>
  <c r="H10" i="37"/>
  <c r="E108" i="37"/>
  <c r="N25" i="37"/>
  <c r="M7" i="37"/>
  <c r="G118" i="37"/>
  <c r="M15" i="37"/>
  <c r="I6" i="37"/>
  <c r="J120" i="37"/>
  <c r="E100" i="37"/>
  <c r="E11" i="37"/>
  <c r="F48" i="37"/>
  <c r="E117" i="37"/>
  <c r="H12" i="37"/>
  <c r="J48" i="37"/>
  <c r="I51" i="37"/>
  <c r="D104" i="37"/>
  <c r="K105" i="37"/>
  <c r="N126" i="37"/>
  <c r="M30" i="37"/>
  <c r="D102" i="37"/>
  <c r="D49" i="37"/>
  <c r="D10" i="37"/>
  <c r="N116" i="37"/>
  <c r="G122" i="37"/>
  <c r="G123" i="37"/>
  <c r="I119" i="37"/>
  <c r="D15" i="37"/>
  <c r="M42" i="37"/>
  <c r="E6" i="37"/>
  <c r="D13" i="37"/>
  <c r="N123" i="37"/>
  <c r="J119" i="37"/>
  <c r="L34" i="37"/>
  <c r="K101" i="37"/>
  <c r="L32" i="37"/>
  <c r="N12" i="37"/>
  <c r="I64" i="37"/>
  <c r="K98" i="37"/>
  <c r="J103" i="37"/>
  <c r="I49" i="37"/>
  <c r="E134" i="37"/>
  <c r="F44" i="37"/>
  <c r="N26" i="37"/>
  <c r="N133" i="37"/>
  <c r="N138" i="37" s="1"/>
  <c r="E144" i="37"/>
  <c r="D144" i="37"/>
  <c r="F144" i="37"/>
  <c r="H27" i="37"/>
  <c r="H30" i="37"/>
  <c r="H33" i="37"/>
  <c r="H25" i="37"/>
  <c r="H31" i="37"/>
  <c r="H26" i="37"/>
  <c r="H28" i="37"/>
  <c r="H34" i="37"/>
  <c r="H32" i="37"/>
  <c r="G133" i="37"/>
  <c r="G138" i="37" s="1"/>
  <c r="E137" i="37"/>
  <c r="F137" i="37"/>
  <c r="D137" i="37"/>
  <c r="M122" i="37"/>
  <c r="M116" i="37"/>
  <c r="M125" i="37"/>
  <c r="M121" i="37"/>
  <c r="M117" i="37"/>
  <c r="M120" i="37"/>
  <c r="M118" i="37"/>
  <c r="M119" i="37"/>
  <c r="M126" i="37"/>
  <c r="M124" i="37"/>
  <c r="G101" i="37"/>
  <c r="G105" i="37"/>
  <c r="G103" i="37"/>
  <c r="G102" i="37"/>
  <c r="G99" i="37"/>
  <c r="G104" i="37"/>
  <c r="G106" i="37"/>
  <c r="G100" i="37"/>
  <c r="G107" i="37"/>
  <c r="G98" i="37"/>
  <c r="G141" i="37"/>
  <c r="K133" i="37"/>
  <c r="K139" i="37" s="1"/>
  <c r="E141" i="37"/>
  <c r="D141" i="37"/>
  <c r="F141" i="37"/>
  <c r="M133" i="37"/>
  <c r="M137" i="37" s="1"/>
  <c r="E143" i="37"/>
  <c r="D143" i="37"/>
  <c r="F143" i="37"/>
  <c r="G34" i="37"/>
  <c r="G28" i="37"/>
  <c r="G25" i="37"/>
  <c r="G29" i="37"/>
  <c r="G32" i="37"/>
  <c r="G27" i="37"/>
  <c r="G24" i="37"/>
  <c r="G26" i="37"/>
  <c r="G33" i="37"/>
  <c r="G31" i="37"/>
  <c r="G30" i="37"/>
  <c r="F66" i="37"/>
  <c r="F60" i="37"/>
  <c r="F64" i="37"/>
  <c r="F69" i="37"/>
  <c r="F67" i="37"/>
  <c r="F65" i="37"/>
  <c r="F70" i="37"/>
  <c r="F62" i="37"/>
  <c r="F61" i="37"/>
  <c r="I106" i="37"/>
  <c r="I100" i="37"/>
  <c r="I104" i="37"/>
  <c r="I99" i="37"/>
  <c r="I107" i="37"/>
  <c r="I105" i="37"/>
  <c r="I101" i="37"/>
  <c r="I98" i="37"/>
  <c r="I108" i="37"/>
  <c r="I102" i="37"/>
  <c r="I103" i="37"/>
  <c r="L42" i="37"/>
  <c r="L52" i="37"/>
  <c r="L50" i="37"/>
  <c r="L46" i="37"/>
  <c r="L43" i="37"/>
  <c r="L51" i="37"/>
  <c r="L45" i="37"/>
  <c r="M98" i="37"/>
  <c r="M105" i="37"/>
  <c r="M103" i="37"/>
  <c r="M102" i="37"/>
  <c r="M100" i="37"/>
  <c r="M108" i="37"/>
  <c r="M107" i="37"/>
  <c r="M99" i="37"/>
  <c r="L44" i="37"/>
  <c r="I133" i="37"/>
  <c r="I143" i="37" s="1"/>
  <c r="F139" i="37"/>
  <c r="D139" i="37"/>
  <c r="E139" i="37"/>
  <c r="K24" i="37"/>
  <c r="K34" i="37"/>
  <c r="K30" i="37"/>
  <c r="K31" i="37"/>
  <c r="K26" i="37"/>
  <c r="K28" i="37"/>
  <c r="K29" i="37"/>
  <c r="J12" i="37"/>
  <c r="J9" i="37"/>
  <c r="J7" i="37"/>
  <c r="J15" i="37"/>
  <c r="J6" i="37"/>
  <c r="J13" i="37"/>
  <c r="J11" i="37"/>
  <c r="J10" i="37"/>
  <c r="J43" i="37"/>
  <c r="J44" i="37"/>
  <c r="J42" i="37"/>
  <c r="J46" i="37"/>
  <c r="J51" i="37"/>
  <c r="J47" i="37"/>
  <c r="L48" i="37"/>
  <c r="M104" i="37"/>
  <c r="K25" i="37"/>
  <c r="M101" i="37"/>
  <c r="L133" i="37"/>
  <c r="L143" i="37" s="1"/>
  <c r="D142" i="37"/>
  <c r="F142" i="37"/>
  <c r="E142" i="37"/>
  <c r="M106" i="37"/>
  <c r="G51" i="37"/>
  <c r="G43" i="37"/>
  <c r="G48" i="37"/>
  <c r="G42" i="37"/>
  <c r="G46" i="37"/>
  <c r="G45" i="37"/>
  <c r="G44" i="37"/>
  <c r="G47" i="37"/>
  <c r="G50" i="37"/>
  <c r="G52" i="37"/>
  <c r="N100" i="37"/>
  <c r="N102" i="37"/>
  <c r="N107" i="37"/>
  <c r="N98" i="37"/>
  <c r="N101" i="37"/>
  <c r="N99" i="37"/>
  <c r="G59" i="37"/>
  <c r="G63" i="37" s="1"/>
  <c r="J63" i="37"/>
  <c r="K63" i="37"/>
  <c r="I63" i="37"/>
  <c r="N63" i="37"/>
  <c r="E63" i="37"/>
  <c r="M63" i="37"/>
  <c r="F63" i="37"/>
  <c r="D63" i="37"/>
  <c r="L63" i="37"/>
  <c r="J133" i="37"/>
  <c r="E140" i="37"/>
  <c r="D140" i="37"/>
  <c r="F140" i="37"/>
  <c r="G9" i="37"/>
  <c r="G12" i="37"/>
  <c r="G11" i="37"/>
  <c r="G15" i="37"/>
  <c r="G14" i="37"/>
  <c r="G16" i="37"/>
  <c r="G10" i="37"/>
  <c r="G7" i="37"/>
  <c r="G8" i="37"/>
  <c r="G49" i="37"/>
  <c r="G13" i="37"/>
  <c r="D27" i="37"/>
  <c r="D26" i="37"/>
  <c r="D25" i="37"/>
  <c r="D29" i="37"/>
  <c r="D31" i="37"/>
  <c r="L107" i="37"/>
  <c r="L106" i="37"/>
  <c r="L99" i="37"/>
  <c r="L101" i="37"/>
  <c r="L108" i="37"/>
  <c r="L105" i="37"/>
  <c r="I28" i="37"/>
  <c r="I26" i="37"/>
  <c r="I31" i="37"/>
  <c r="K49" i="37"/>
  <c r="K45" i="37"/>
  <c r="K50" i="37"/>
  <c r="K42" i="37"/>
  <c r="K46" i="37"/>
  <c r="K52" i="37"/>
  <c r="K43" i="37"/>
  <c r="H9" i="37"/>
  <c r="H6" i="37"/>
  <c r="H15" i="37"/>
  <c r="H14" i="37"/>
  <c r="H13" i="37"/>
  <c r="N60" i="37"/>
  <c r="N69" i="37"/>
  <c r="N70" i="37"/>
  <c r="N65" i="37"/>
  <c r="N61" i="37"/>
  <c r="K123" i="37"/>
  <c r="K116" i="37"/>
  <c r="K124" i="37"/>
  <c r="K120" i="37"/>
  <c r="K126" i="37"/>
  <c r="E25" i="37"/>
  <c r="E28" i="37"/>
  <c r="E26" i="37"/>
  <c r="N50" i="37"/>
  <c r="N46" i="37"/>
  <c r="N51" i="37"/>
  <c r="N52" i="37"/>
  <c r="N62" i="37"/>
  <c r="H7" i="37"/>
  <c r="K67" i="37"/>
  <c r="H51" i="37"/>
  <c r="H42" i="37"/>
  <c r="H46" i="37"/>
  <c r="H44" i="37"/>
  <c r="H48" i="37"/>
  <c r="E34" i="37"/>
  <c r="N30" i="37"/>
  <c r="N33" i="37"/>
  <c r="N31" i="37"/>
  <c r="N34" i="37"/>
  <c r="N29" i="37"/>
  <c r="L60" i="37"/>
  <c r="L69" i="37"/>
  <c r="L68" i="37"/>
  <c r="E119" i="37"/>
  <c r="E116" i="37"/>
  <c r="E123" i="37"/>
  <c r="N27" i="37"/>
  <c r="E125" i="37"/>
  <c r="AE77" i="37" a="1"/>
  <c r="AE77" i="37" s="1"/>
  <c r="AE78" i="37"/>
  <c r="E68" i="37"/>
  <c r="E60" i="37"/>
  <c r="E67" i="37"/>
  <c r="E66" i="37"/>
  <c r="E69" i="37"/>
  <c r="E65" i="37"/>
  <c r="L98" i="37"/>
  <c r="E126" i="37"/>
  <c r="J28" i="37"/>
  <c r="J24" i="37"/>
  <c r="J26" i="37"/>
  <c r="J34" i="37"/>
  <c r="J30" i="37"/>
  <c r="N15" i="37"/>
  <c r="N6" i="37"/>
  <c r="N10" i="37"/>
  <c r="N9" i="37"/>
  <c r="N8" i="37"/>
  <c r="H98" i="37"/>
  <c r="H108" i="37"/>
  <c r="H105" i="37"/>
  <c r="J29" i="37"/>
  <c r="K60" i="37"/>
  <c r="K70" i="37"/>
  <c r="K62" i="37"/>
  <c r="K65" i="37"/>
  <c r="M8" i="37"/>
  <c r="M11" i="37"/>
  <c r="N68" i="37"/>
  <c r="H101" i="37"/>
  <c r="N11" i="37"/>
  <c r="F15" i="37"/>
  <c r="F8" i="37"/>
  <c r="F13" i="37"/>
  <c r="F6" i="37"/>
  <c r="F14" i="37"/>
  <c r="L103" i="37"/>
  <c r="L16" i="37"/>
  <c r="L12" i="37"/>
  <c r="L6" i="37"/>
  <c r="L10" i="37"/>
  <c r="L62" i="37"/>
  <c r="E120" i="37"/>
  <c r="L11" i="37"/>
  <c r="M60" i="37"/>
  <c r="M65" i="37"/>
  <c r="M64" i="37"/>
  <c r="M66" i="37"/>
  <c r="I118" i="37"/>
  <c r="I120" i="37"/>
  <c r="D30" i="37"/>
  <c r="L70" i="37"/>
  <c r="D120" i="37"/>
  <c r="D126" i="37"/>
  <c r="D121" i="37"/>
  <c r="D119" i="37"/>
  <c r="I25" i="37"/>
  <c r="E62" i="37"/>
  <c r="N7" i="37"/>
  <c r="L67" i="37"/>
  <c r="D118" i="37"/>
  <c r="N28" i="37"/>
  <c r="F11" i="37"/>
  <c r="M69" i="37"/>
  <c r="J70" i="37"/>
  <c r="J67" i="37"/>
  <c r="M44" i="37"/>
  <c r="J101" i="37"/>
  <c r="K100" i="37"/>
  <c r="L28" i="37"/>
  <c r="I45" i="37"/>
  <c r="L33" i="37"/>
  <c r="E107" i="37"/>
  <c r="J104" i="37"/>
  <c r="J102" i="37"/>
  <c r="N122" i="37"/>
  <c r="F122" i="37"/>
  <c r="F123" i="37"/>
  <c r="J108" i="37"/>
  <c r="M52" i="37"/>
  <c r="D138" i="37"/>
  <c r="E138" i="37"/>
  <c r="F138" i="37"/>
  <c r="H133" i="37"/>
  <c r="H143" i="37" s="1"/>
  <c r="N118" i="37"/>
  <c r="E42" i="37"/>
  <c r="D101" i="37"/>
  <c r="L26" i="37"/>
  <c r="E106" i="37"/>
  <c r="E103" i="37"/>
  <c r="M49" i="37"/>
  <c r="D108" i="37"/>
  <c r="M25" i="37"/>
  <c r="I62" i="37"/>
  <c r="J62" i="37"/>
  <c r="F119" i="37"/>
  <c r="M28" i="37"/>
  <c r="E13" i="37"/>
  <c r="I69" i="37"/>
  <c r="G54" i="22"/>
  <c r="I54" i="22" s="1"/>
  <c r="G31" i="22"/>
  <c r="G10" i="22"/>
  <c r="I10" i="22" s="1"/>
  <c r="I139" i="22"/>
  <c r="G140" i="22"/>
  <c r="G121" i="22"/>
  <c r="I121" i="22" s="1"/>
  <c r="Q8" i="37" l="1"/>
  <c r="G251" i="50"/>
  <c r="G227" i="50"/>
  <c r="G228" i="50" s="1"/>
  <c r="G168" i="50"/>
  <c r="G144" i="50"/>
  <c r="G145" i="50" s="1"/>
  <c r="G124" i="50"/>
  <c r="G59" i="50"/>
  <c r="H55" i="50"/>
  <c r="I54" i="50"/>
  <c r="G34" i="50"/>
  <c r="G14" i="50"/>
  <c r="I53" i="50"/>
  <c r="G207" i="50"/>
  <c r="G102" i="50"/>
  <c r="G77" i="50"/>
  <c r="G35" i="50"/>
  <c r="G186" i="50"/>
  <c r="G121" i="49"/>
  <c r="G55" i="49"/>
  <c r="G36" i="49"/>
  <c r="G186" i="49"/>
  <c r="G206" i="49"/>
  <c r="G76" i="49"/>
  <c r="G247" i="49"/>
  <c r="H34" i="49"/>
  <c r="G122" i="49"/>
  <c r="G14" i="49"/>
  <c r="H53" i="49"/>
  <c r="I52" i="49"/>
  <c r="G102" i="49"/>
  <c r="G164" i="49"/>
  <c r="G251" i="48"/>
  <c r="G252" i="48" s="1"/>
  <c r="G227" i="48"/>
  <c r="G208" i="48"/>
  <c r="G187" i="48"/>
  <c r="G188" i="48" s="1"/>
  <c r="G140" i="48"/>
  <c r="G124" i="48"/>
  <c r="G80" i="48"/>
  <c r="G55" i="48"/>
  <c r="G34" i="48"/>
  <c r="G165" i="48"/>
  <c r="G102" i="48"/>
  <c r="G14" i="48"/>
  <c r="G81" i="48"/>
  <c r="G251" i="47"/>
  <c r="G167" i="47"/>
  <c r="G168" i="47" s="1"/>
  <c r="G141" i="47"/>
  <c r="G124" i="47"/>
  <c r="G125" i="47" s="1"/>
  <c r="G103" i="47"/>
  <c r="G60" i="47"/>
  <c r="G61" i="47" s="1"/>
  <c r="H55" i="47"/>
  <c r="I54" i="47"/>
  <c r="I53" i="47"/>
  <c r="G207" i="47"/>
  <c r="G186" i="47"/>
  <c r="G76" i="47"/>
  <c r="G77" i="47" s="1"/>
  <c r="H247" i="47"/>
  <c r="H248" i="47" s="1"/>
  <c r="H249" i="47" s="1"/>
  <c r="I249" i="47" s="1"/>
  <c r="I248" i="47"/>
  <c r="G35" i="47"/>
  <c r="G36" i="47" s="1"/>
  <c r="G14" i="47"/>
  <c r="G248" i="46"/>
  <c r="G225" i="46"/>
  <c r="G208" i="46"/>
  <c r="G164" i="46"/>
  <c r="G103" i="46"/>
  <c r="G14" i="46"/>
  <c r="G122" i="46"/>
  <c r="G186" i="46"/>
  <c r="G35" i="46"/>
  <c r="G226" i="45"/>
  <c r="G208" i="45"/>
  <c r="G187" i="45"/>
  <c r="G188" i="45" s="1"/>
  <c r="G168" i="45"/>
  <c r="G143" i="45"/>
  <c r="G124" i="45"/>
  <c r="G125" i="45" s="1"/>
  <c r="G103" i="45"/>
  <c r="G76" i="45"/>
  <c r="H54" i="45"/>
  <c r="H55" i="45" s="1"/>
  <c r="H56" i="45" s="1"/>
  <c r="H57" i="45" s="1"/>
  <c r="H58" i="45" s="1"/>
  <c r="G15" i="45"/>
  <c r="H164" i="45"/>
  <c r="H165" i="45" s="1"/>
  <c r="I162" i="45"/>
  <c r="G34" i="45"/>
  <c r="G248" i="45"/>
  <c r="G251" i="44"/>
  <c r="G227" i="44"/>
  <c r="G208" i="44"/>
  <c r="G167" i="44"/>
  <c r="G141" i="44"/>
  <c r="G124" i="44"/>
  <c r="G125" i="44" s="1"/>
  <c r="G103" i="44"/>
  <c r="G104" i="44" s="1"/>
  <c r="H55" i="44"/>
  <c r="I54" i="44"/>
  <c r="G56" i="44"/>
  <c r="G15" i="44"/>
  <c r="G34" i="44"/>
  <c r="I53" i="44"/>
  <c r="G186" i="44"/>
  <c r="G78" i="44"/>
  <c r="H249" i="44"/>
  <c r="I247" i="44"/>
  <c r="G226" i="43"/>
  <c r="G167" i="43"/>
  <c r="G141" i="43"/>
  <c r="G124" i="43"/>
  <c r="G15" i="43"/>
  <c r="G101" i="43"/>
  <c r="H35" i="43"/>
  <c r="G186" i="43"/>
  <c r="G206" i="43"/>
  <c r="G17" i="42"/>
  <c r="I17" i="42" s="1"/>
  <c r="I18" i="42" s="1"/>
  <c r="I20" i="42" s="1"/>
  <c r="V6" i="42" s="1"/>
  <c r="H251" i="42"/>
  <c r="I250" i="42"/>
  <c r="G231" i="42"/>
  <c r="I231" i="42"/>
  <c r="I232" i="42" s="1"/>
  <c r="I234" i="42" s="1"/>
  <c r="X8" i="42" s="1"/>
  <c r="H209" i="42"/>
  <c r="I208" i="42"/>
  <c r="G188" i="42"/>
  <c r="G146" i="42"/>
  <c r="G80" i="42"/>
  <c r="I80" i="42" s="1"/>
  <c r="G168" i="42"/>
  <c r="I168" i="42"/>
  <c r="I169" i="42" s="1"/>
  <c r="I171" i="42" s="1"/>
  <c r="Y7" i="42" s="1"/>
  <c r="H59" i="42"/>
  <c r="I58" i="42"/>
  <c r="N227" i="37"/>
  <c r="J65" i="37"/>
  <c r="J64" i="37"/>
  <c r="H68" i="37"/>
  <c r="J228" i="37"/>
  <c r="N228" i="37"/>
  <c r="N226" i="37"/>
  <c r="N232" i="37"/>
  <c r="H62" i="37"/>
  <c r="H70" i="37"/>
  <c r="H64" i="37"/>
  <c r="H61" i="37"/>
  <c r="H60" i="37"/>
  <c r="H65" i="37"/>
  <c r="H69" i="37"/>
  <c r="H67" i="37"/>
  <c r="H63" i="37"/>
  <c r="L227" i="37"/>
  <c r="J227" i="37"/>
  <c r="K228" i="37"/>
  <c r="V28" i="27"/>
  <c r="C159" i="37" s="1"/>
  <c r="J152" i="37" s="1"/>
  <c r="J159" i="37" s="1"/>
  <c r="J229" i="37"/>
  <c r="H232" i="37"/>
  <c r="H227" i="37"/>
  <c r="AE202" i="37" a="1"/>
  <c r="AE202" i="37" s="1"/>
  <c r="K231" i="37"/>
  <c r="H228" i="37"/>
  <c r="J226" i="37"/>
  <c r="K227" i="37"/>
  <c r="J231" i="37"/>
  <c r="M226" i="37"/>
  <c r="M232" i="37"/>
  <c r="I229" i="37"/>
  <c r="M227" i="37"/>
  <c r="K230" i="37"/>
  <c r="M229" i="37"/>
  <c r="I232" i="37"/>
  <c r="V30" i="27"/>
  <c r="C161" i="37" s="1"/>
  <c r="L152" i="37" s="1"/>
  <c r="C67" i="40"/>
  <c r="L228" i="37"/>
  <c r="L232" i="37"/>
  <c r="G221" i="37"/>
  <c r="G225" i="37" s="1"/>
  <c r="H225" i="37"/>
  <c r="M225" i="37"/>
  <c r="I225" i="37"/>
  <c r="E225" i="37"/>
  <c r="J225" i="37"/>
  <c r="K225" i="37"/>
  <c r="D225" i="37"/>
  <c r="N225" i="37"/>
  <c r="F225" i="37"/>
  <c r="L225" i="37"/>
  <c r="I226" i="37"/>
  <c r="I223" i="37"/>
  <c r="I224" i="37"/>
  <c r="I222" i="37"/>
  <c r="AE203" i="37"/>
  <c r="H226" i="37"/>
  <c r="H224" i="37"/>
  <c r="H223" i="37"/>
  <c r="H222" i="37"/>
  <c r="V31" i="27"/>
  <c r="C162" i="37" s="1"/>
  <c r="M152" i="37" s="1"/>
  <c r="C68" i="40"/>
  <c r="L231" i="37"/>
  <c r="L224" i="37"/>
  <c r="L223" i="37"/>
  <c r="L222" i="37"/>
  <c r="V29" i="27"/>
  <c r="C160" i="37" s="1"/>
  <c r="K152" i="37" s="1"/>
  <c r="K160" i="37" s="1"/>
  <c r="V32" i="27"/>
  <c r="C163" i="37" s="1"/>
  <c r="N152" i="37" s="1"/>
  <c r="C69" i="40"/>
  <c r="I227" i="37"/>
  <c r="E189" i="37"/>
  <c r="E198" i="37"/>
  <c r="E192" i="37"/>
  <c r="E199" i="37"/>
  <c r="E194" i="37"/>
  <c r="E196" i="37"/>
  <c r="E191" i="37"/>
  <c r="E197" i="37"/>
  <c r="E195" i="37"/>
  <c r="E193" i="37"/>
  <c r="J223" i="37"/>
  <c r="J224" i="37"/>
  <c r="J222" i="37"/>
  <c r="N231" i="37"/>
  <c r="N223" i="37"/>
  <c r="N224" i="37"/>
  <c r="N222" i="37"/>
  <c r="H230" i="37"/>
  <c r="H229" i="37"/>
  <c r="N229" i="37"/>
  <c r="I228" i="37"/>
  <c r="M223" i="37"/>
  <c r="M224" i="37"/>
  <c r="M222" i="37"/>
  <c r="L226" i="37"/>
  <c r="T33" i="27"/>
  <c r="J232" i="37"/>
  <c r="K226" i="37"/>
  <c r="K224" i="37"/>
  <c r="K223" i="37"/>
  <c r="K222" i="37"/>
  <c r="V23" i="27"/>
  <c r="C154" i="37" s="1"/>
  <c r="E152" i="37" s="1"/>
  <c r="E154" i="37" s="1"/>
  <c r="C60" i="40"/>
  <c r="C153" i="37"/>
  <c r="C59" i="40"/>
  <c r="V25" i="27"/>
  <c r="C156" i="37" s="1"/>
  <c r="G152" i="37" s="1"/>
  <c r="G156" i="37" s="1"/>
  <c r="C62" i="40"/>
  <c r="V27" i="27"/>
  <c r="C158" i="37" s="1"/>
  <c r="I152" i="37" s="1"/>
  <c r="C64" i="40"/>
  <c r="M228" i="37"/>
  <c r="M231" i="37"/>
  <c r="L230" i="37"/>
  <c r="K229" i="37"/>
  <c r="V26" i="27"/>
  <c r="C157" i="37" s="1"/>
  <c r="H152" i="37" s="1"/>
  <c r="C63" i="40"/>
  <c r="V24" i="27"/>
  <c r="C155" i="37" s="1"/>
  <c r="F152" i="37" s="1"/>
  <c r="C61" i="40"/>
  <c r="I230" i="37"/>
  <c r="I308" i="22"/>
  <c r="G309" i="22"/>
  <c r="I309" i="22" s="1"/>
  <c r="W82" i="37"/>
  <c r="G205" i="22"/>
  <c r="E170" i="37"/>
  <c r="E174" i="37" s="1"/>
  <c r="H170" i="37"/>
  <c r="H178" i="37" s="1"/>
  <c r="F170" i="37"/>
  <c r="F178" i="37" s="1"/>
  <c r="J170" i="37"/>
  <c r="J178" i="37" s="1"/>
  <c r="M170" i="37"/>
  <c r="M180" i="37" s="1"/>
  <c r="N170" i="37"/>
  <c r="N178" i="37" s="1"/>
  <c r="K170" i="37"/>
  <c r="K178" i="37" s="1"/>
  <c r="I170" i="37"/>
  <c r="I176" i="37" s="1"/>
  <c r="G170" i="37"/>
  <c r="G181" i="37" s="1"/>
  <c r="L170" i="37"/>
  <c r="L175" i="37" s="1"/>
  <c r="H202" i="22"/>
  <c r="H203" i="22" s="1"/>
  <c r="G223" i="22"/>
  <c r="M140" i="37"/>
  <c r="M138" i="37"/>
  <c r="N140" i="37"/>
  <c r="U33" i="27"/>
  <c r="C171" i="37"/>
  <c r="S33" i="27"/>
  <c r="I142" i="37"/>
  <c r="N143" i="37"/>
  <c r="L140" i="37"/>
  <c r="I141" i="37"/>
  <c r="M139" i="37"/>
  <c r="I138" i="37"/>
  <c r="I139" i="37"/>
  <c r="K140" i="37"/>
  <c r="L138" i="37"/>
  <c r="I140" i="37"/>
  <c r="M142" i="37"/>
  <c r="N139" i="37"/>
  <c r="H144" i="37"/>
  <c r="N141" i="37"/>
  <c r="I137" i="37"/>
  <c r="I144" i="37"/>
  <c r="H138" i="37"/>
  <c r="K138" i="37"/>
  <c r="H137" i="37"/>
  <c r="K141" i="37"/>
  <c r="M144" i="37"/>
  <c r="K143" i="37"/>
  <c r="K142" i="37"/>
  <c r="AE113" i="37" a="1"/>
  <c r="AE113" i="37" s="1"/>
  <c r="T88" i="37"/>
  <c r="Q88" i="37"/>
  <c r="V85" i="37"/>
  <c r="S79" i="37"/>
  <c r="R88" i="37"/>
  <c r="V80" i="37"/>
  <c r="AA86" i="37"/>
  <c r="J140" i="37"/>
  <c r="J134" i="37"/>
  <c r="J136" i="37"/>
  <c r="J135" i="37"/>
  <c r="J137" i="37"/>
  <c r="J144" i="37"/>
  <c r="J139" i="37"/>
  <c r="J142" i="37"/>
  <c r="J141" i="37"/>
  <c r="J143" i="37"/>
  <c r="Y86" i="37"/>
  <c r="Z79" i="37"/>
  <c r="S81" i="37"/>
  <c r="T79" i="37"/>
  <c r="AE3" i="37" a="1"/>
  <c r="AE3" i="37" s="1"/>
  <c r="Q10" i="37" s="1"/>
  <c r="V83" i="37"/>
  <c r="AA87" i="37"/>
  <c r="AE4" i="37"/>
  <c r="X82" i="37"/>
  <c r="U81" i="37"/>
  <c r="Y87" i="37"/>
  <c r="AA81" i="37"/>
  <c r="T83" i="37"/>
  <c r="U79" i="37"/>
  <c r="X88" i="37"/>
  <c r="Y81" i="37"/>
  <c r="U80" i="37"/>
  <c r="Q81" i="37"/>
  <c r="Q83" i="37"/>
  <c r="Z86" i="37"/>
  <c r="X80" i="37"/>
  <c r="AA89" i="37"/>
  <c r="U84" i="37"/>
  <c r="AA82" i="37"/>
  <c r="Q85" i="37"/>
  <c r="AA79" i="37"/>
  <c r="W86" i="37"/>
  <c r="T85" i="37"/>
  <c r="V88" i="37"/>
  <c r="W79" i="37"/>
  <c r="Y82" i="37"/>
  <c r="AA88" i="37"/>
  <c r="W80" i="37"/>
  <c r="Q86" i="37"/>
  <c r="U85" i="37"/>
  <c r="Q79" i="37"/>
  <c r="Q84" i="37"/>
  <c r="Q82" i="37"/>
  <c r="W87" i="37"/>
  <c r="Q89" i="37"/>
  <c r="T81" i="37"/>
  <c r="R79" i="37"/>
  <c r="X83" i="37"/>
  <c r="V79" i="37"/>
  <c r="Y83" i="37"/>
  <c r="AA80" i="37"/>
  <c r="W89" i="37"/>
  <c r="Y79" i="37"/>
  <c r="T87" i="37"/>
  <c r="U89" i="37"/>
  <c r="W85" i="37"/>
  <c r="U83" i="37"/>
  <c r="R85" i="37"/>
  <c r="U88" i="37"/>
  <c r="X79" i="37"/>
  <c r="X89" i="37"/>
  <c r="Z80" i="37"/>
  <c r="Z82" i="37"/>
  <c r="R86" i="37"/>
  <c r="Y84" i="37"/>
  <c r="X85" i="37"/>
  <c r="S82" i="37"/>
  <c r="Y80" i="37"/>
  <c r="R82" i="37"/>
  <c r="Q87" i="37"/>
  <c r="X86" i="37"/>
  <c r="S80" i="37"/>
  <c r="AA83" i="37"/>
  <c r="W88" i="37"/>
  <c r="U87" i="37"/>
  <c r="T82" i="37"/>
  <c r="W83" i="37"/>
  <c r="S83" i="37"/>
  <c r="Z88" i="37"/>
  <c r="X81" i="37"/>
  <c r="Y85" i="37"/>
  <c r="R89" i="37"/>
  <c r="S84" i="37"/>
  <c r="W81" i="37"/>
  <c r="W84" i="37"/>
  <c r="U86" i="37"/>
  <c r="T86" i="37"/>
  <c r="R81" i="37"/>
  <c r="V86" i="37"/>
  <c r="Y88" i="37"/>
  <c r="S89" i="37"/>
  <c r="U82" i="37"/>
  <c r="V82" i="37"/>
  <c r="Z83" i="37"/>
  <c r="T89" i="37"/>
  <c r="V84" i="37"/>
  <c r="S86" i="37"/>
  <c r="S87" i="37"/>
  <c r="Z81" i="37"/>
  <c r="X84" i="37"/>
  <c r="V81" i="37"/>
  <c r="T84" i="37"/>
  <c r="Z87" i="37"/>
  <c r="X87" i="37"/>
  <c r="Q80" i="37"/>
  <c r="Y89" i="37"/>
  <c r="AA84" i="37"/>
  <c r="R80" i="37"/>
  <c r="V89" i="37"/>
  <c r="T80" i="37"/>
  <c r="R83" i="37"/>
  <c r="R87" i="37"/>
  <c r="Z89" i="37"/>
  <c r="V87" i="37"/>
  <c r="R84" i="37"/>
  <c r="S88" i="37"/>
  <c r="AE40" i="37"/>
  <c r="AE39" i="37" a="1"/>
  <c r="AE39" i="37" s="1"/>
  <c r="J138" i="37"/>
  <c r="AA85" i="37"/>
  <c r="Z84" i="37"/>
  <c r="S85" i="37"/>
  <c r="G144" i="37"/>
  <c r="G134" i="37"/>
  <c r="G135" i="37"/>
  <c r="G136" i="37"/>
  <c r="L144" i="37"/>
  <c r="H142" i="37"/>
  <c r="AE114" i="37"/>
  <c r="H139" i="37"/>
  <c r="G139" i="37"/>
  <c r="M134" i="37"/>
  <c r="M136" i="37"/>
  <c r="M135" i="37"/>
  <c r="M141" i="37"/>
  <c r="N142" i="37"/>
  <c r="N134" i="37"/>
  <c r="N136" i="37"/>
  <c r="N135" i="37"/>
  <c r="AE21" i="37" a="1"/>
  <c r="AE21" i="37" s="1"/>
  <c r="G60" i="37"/>
  <c r="G67" i="37"/>
  <c r="G70" i="37"/>
  <c r="G66" i="37"/>
  <c r="G61" i="37"/>
  <c r="G68" i="37"/>
  <c r="G62" i="37"/>
  <c r="G69" i="37"/>
  <c r="G64" i="37"/>
  <c r="G65" i="37"/>
  <c r="M143" i="37"/>
  <c r="G137" i="37"/>
  <c r="L136" i="37"/>
  <c r="L135" i="37"/>
  <c r="L134" i="37"/>
  <c r="H136" i="37"/>
  <c r="H135" i="37"/>
  <c r="H134" i="37"/>
  <c r="AE96" i="37"/>
  <c r="AE22" i="37"/>
  <c r="G140" i="37"/>
  <c r="L142" i="37"/>
  <c r="L139" i="37"/>
  <c r="I136" i="37"/>
  <c r="I135" i="37"/>
  <c r="I134" i="37"/>
  <c r="G143" i="37"/>
  <c r="H141" i="37"/>
  <c r="K134" i="37"/>
  <c r="K135" i="37"/>
  <c r="K136" i="37"/>
  <c r="K137" i="37"/>
  <c r="N137" i="37"/>
  <c r="K144" i="37"/>
  <c r="AE95" i="37" a="1"/>
  <c r="AE95" i="37" s="1"/>
  <c r="W98" i="37" s="1"/>
  <c r="Z85" i="37"/>
  <c r="H140" i="37"/>
  <c r="G142" i="37"/>
  <c r="L141" i="37"/>
  <c r="L137" i="37"/>
  <c r="N144" i="37"/>
  <c r="G141" i="22"/>
  <c r="G142" i="22" s="1"/>
  <c r="I142" i="22" s="1"/>
  <c r="I140" i="22"/>
  <c r="G55" i="22"/>
  <c r="G11" i="22"/>
  <c r="I11" i="22" s="1"/>
  <c r="G32" i="22"/>
  <c r="I32" i="22" s="1"/>
  <c r="I31" i="22"/>
  <c r="G122" i="22"/>
  <c r="I122" i="22" s="1"/>
  <c r="D106" i="22"/>
  <c r="F99" i="22" s="1"/>
  <c r="C106" i="22"/>
  <c r="E105" i="22" s="1"/>
  <c r="H94" i="22"/>
  <c r="Q5" i="37" l="1"/>
  <c r="Q6" i="37"/>
  <c r="Q9" i="37"/>
  <c r="Q14" i="37"/>
  <c r="Q12" i="37"/>
  <c r="Q11" i="37"/>
  <c r="Q13" i="37"/>
  <c r="Q7" i="37"/>
  <c r="G252" i="50"/>
  <c r="G229" i="50"/>
  <c r="G208" i="50"/>
  <c r="G209" i="50" s="1"/>
  <c r="G187" i="50"/>
  <c r="G188" i="50" s="1"/>
  <c r="G146" i="50"/>
  <c r="G125" i="50"/>
  <c r="G103" i="50"/>
  <c r="G78" i="50"/>
  <c r="I55" i="50"/>
  <c r="H56" i="50"/>
  <c r="G60" i="50"/>
  <c r="G61" i="50"/>
  <c r="G36" i="50"/>
  <c r="G15" i="50"/>
  <c r="G79" i="50"/>
  <c r="G187" i="49"/>
  <c r="G165" i="49"/>
  <c r="G103" i="49"/>
  <c r="G56" i="49"/>
  <c r="G37" i="49"/>
  <c r="G15" i="49"/>
  <c r="G16" i="49" s="1"/>
  <c r="G77" i="49"/>
  <c r="G123" i="49"/>
  <c r="G207" i="49"/>
  <c r="H35" i="49"/>
  <c r="I34" i="49"/>
  <c r="H225" i="49"/>
  <c r="I53" i="49"/>
  <c r="G248" i="49"/>
  <c r="G228" i="48"/>
  <c r="G209" i="48"/>
  <c r="G189" i="48"/>
  <c r="G166" i="48"/>
  <c r="G141" i="48"/>
  <c r="G142" i="48" s="1"/>
  <c r="G125" i="48"/>
  <c r="G103" i="48"/>
  <c r="G56" i="48"/>
  <c r="G57" i="48" s="1"/>
  <c r="G15" i="48"/>
  <c r="G35" i="48"/>
  <c r="G36" i="48" s="1"/>
  <c r="G252" i="47"/>
  <c r="G208" i="47"/>
  <c r="G187" i="47"/>
  <c r="G142" i="47"/>
  <c r="G143" i="47" s="1"/>
  <c r="G126" i="47"/>
  <c r="G104" i="47"/>
  <c r="G78" i="47"/>
  <c r="I55" i="47"/>
  <c r="H56" i="47"/>
  <c r="G37" i="47"/>
  <c r="G15" i="47"/>
  <c r="H250" i="47"/>
  <c r="I247" i="47"/>
  <c r="G79" i="47"/>
  <c r="G249" i="46"/>
  <c r="G250" i="46" s="1"/>
  <c r="G226" i="46"/>
  <c r="G227" i="46" s="1"/>
  <c r="G209" i="46"/>
  <c r="G187" i="46"/>
  <c r="G165" i="46"/>
  <c r="G166" i="46" s="1"/>
  <c r="G104" i="46"/>
  <c r="G36" i="46"/>
  <c r="G15" i="46"/>
  <c r="G76" i="46"/>
  <c r="G123" i="46"/>
  <c r="G249" i="45"/>
  <c r="G250" i="45" s="1"/>
  <c r="G251" i="45" s="1"/>
  <c r="G227" i="45"/>
  <c r="G209" i="45"/>
  <c r="G189" i="45"/>
  <c r="H166" i="45"/>
  <c r="I166" i="45" s="1"/>
  <c r="I165" i="45"/>
  <c r="G144" i="45"/>
  <c r="G126" i="45"/>
  <c r="G104" i="45"/>
  <c r="G77" i="45"/>
  <c r="G16" i="45"/>
  <c r="G17" i="45" s="1"/>
  <c r="H59" i="45"/>
  <c r="H60" i="45" s="1"/>
  <c r="I164" i="45"/>
  <c r="G35" i="45"/>
  <c r="G252" i="44"/>
  <c r="G228" i="44"/>
  <c r="G229" i="44" s="1"/>
  <c r="G209" i="44"/>
  <c r="G187" i="44"/>
  <c r="G168" i="44"/>
  <c r="G142" i="44"/>
  <c r="G126" i="44"/>
  <c r="G105" i="44"/>
  <c r="G57" i="44"/>
  <c r="G58" i="44" s="1"/>
  <c r="H56" i="44"/>
  <c r="I55" i="44"/>
  <c r="G16" i="44"/>
  <c r="H250" i="44"/>
  <c r="I249" i="44"/>
  <c r="G35" i="44"/>
  <c r="G79" i="44"/>
  <c r="G227" i="43"/>
  <c r="G187" i="43"/>
  <c r="G168" i="43"/>
  <c r="G142" i="43"/>
  <c r="G125" i="43"/>
  <c r="H36" i="43"/>
  <c r="H37" i="43" s="1"/>
  <c r="H38" i="43" s="1"/>
  <c r="G16" i="43"/>
  <c r="G102" i="43"/>
  <c r="G207" i="43"/>
  <c r="H163" i="43"/>
  <c r="H53" i="43"/>
  <c r="H54" i="43" s="1"/>
  <c r="G76" i="43"/>
  <c r="G77" i="43" s="1"/>
  <c r="G247" i="43"/>
  <c r="G248" i="43" s="1"/>
  <c r="G147" i="42"/>
  <c r="I147" i="42" s="1"/>
  <c r="I146" i="42"/>
  <c r="H210" i="42"/>
  <c r="I210" i="42" s="1"/>
  <c r="I209" i="42"/>
  <c r="H252" i="42"/>
  <c r="I252" i="42" s="1"/>
  <c r="I251" i="42"/>
  <c r="H60" i="42"/>
  <c r="I59" i="42"/>
  <c r="G189" i="42"/>
  <c r="I189" i="42" s="1"/>
  <c r="I188" i="42"/>
  <c r="G81" i="42"/>
  <c r="I81" i="42" s="1"/>
  <c r="I82" i="42" s="1"/>
  <c r="I84" i="42" s="1"/>
  <c r="Y6" i="42" s="1"/>
  <c r="F156" i="37"/>
  <c r="Q23" i="37"/>
  <c r="S210" i="37"/>
  <c r="Q210" i="37"/>
  <c r="I154" i="37"/>
  <c r="U214" i="37"/>
  <c r="AA206" i="37"/>
  <c r="V213" i="37"/>
  <c r="X209" i="37"/>
  <c r="T205" i="37"/>
  <c r="R207" i="37"/>
  <c r="W214" i="37"/>
  <c r="Q205" i="37"/>
  <c r="AA213" i="37"/>
  <c r="X204" i="37"/>
  <c r="R213" i="37"/>
  <c r="Q209" i="37"/>
  <c r="AA212" i="37"/>
  <c r="Z207" i="37"/>
  <c r="AA205" i="37"/>
  <c r="AA208" i="37"/>
  <c r="X212" i="37"/>
  <c r="V214" i="37"/>
  <c r="V208" i="37"/>
  <c r="U208" i="37"/>
  <c r="E175" i="37"/>
  <c r="X210" i="37"/>
  <c r="Q208" i="37"/>
  <c r="Y214" i="37"/>
  <c r="AA211" i="37"/>
  <c r="U210" i="37"/>
  <c r="R211" i="37"/>
  <c r="T213" i="37"/>
  <c r="Y207" i="37"/>
  <c r="Z211" i="37"/>
  <c r="W208" i="37"/>
  <c r="AA210" i="37"/>
  <c r="T212" i="37"/>
  <c r="T208" i="37"/>
  <c r="Q212" i="37"/>
  <c r="V207" i="37"/>
  <c r="Q214" i="37"/>
  <c r="X205" i="37"/>
  <c r="N156" i="37"/>
  <c r="AA209" i="37"/>
  <c r="S206" i="37"/>
  <c r="Z204" i="37"/>
  <c r="S209" i="37"/>
  <c r="X211" i="37"/>
  <c r="M156" i="37"/>
  <c r="Z206" i="37"/>
  <c r="H160" i="37"/>
  <c r="R210" i="37"/>
  <c r="W212" i="37"/>
  <c r="U213" i="37"/>
  <c r="V204" i="37"/>
  <c r="Q206" i="37"/>
  <c r="Q211" i="37"/>
  <c r="F174" i="37"/>
  <c r="L154" i="37"/>
  <c r="AA214" i="37"/>
  <c r="S211" i="37"/>
  <c r="Y206" i="37"/>
  <c r="Y205" i="37"/>
  <c r="Z210" i="37"/>
  <c r="Q204" i="37"/>
  <c r="U212" i="37"/>
  <c r="X208" i="37"/>
  <c r="X213" i="37"/>
  <c r="W204" i="37"/>
  <c r="S208" i="37"/>
  <c r="V205" i="37"/>
  <c r="S205" i="37"/>
  <c r="Z213" i="37"/>
  <c r="U204" i="37"/>
  <c r="Q207" i="37"/>
  <c r="Y204" i="37"/>
  <c r="R209" i="37"/>
  <c r="V210" i="37"/>
  <c r="Y211" i="37"/>
  <c r="R204" i="37"/>
  <c r="U211" i="37"/>
  <c r="Z209" i="37"/>
  <c r="U205" i="37"/>
  <c r="R205" i="37"/>
  <c r="U206" i="37"/>
  <c r="W211" i="37"/>
  <c r="Z205" i="37"/>
  <c r="S204" i="37"/>
  <c r="T214" i="37"/>
  <c r="W209" i="37"/>
  <c r="W205" i="37"/>
  <c r="S207" i="37"/>
  <c r="S212" i="37"/>
  <c r="T209" i="37"/>
  <c r="R212" i="37"/>
  <c r="V211" i="37"/>
  <c r="Z212" i="37"/>
  <c r="Y209" i="37"/>
  <c r="Z208" i="37"/>
  <c r="T211" i="37"/>
  <c r="T207" i="37"/>
  <c r="AE186" i="37" a="1"/>
  <c r="AE186" i="37" s="1"/>
  <c r="AE187" i="37"/>
  <c r="X214" i="37"/>
  <c r="R206" i="37"/>
  <c r="V212" i="37"/>
  <c r="T206" i="37"/>
  <c r="R214" i="37"/>
  <c r="W206" i="37"/>
  <c r="V209" i="37"/>
  <c r="Y210" i="37"/>
  <c r="Y212" i="37"/>
  <c r="W210" i="37"/>
  <c r="U207" i="37"/>
  <c r="Y208" i="37"/>
  <c r="V206" i="37"/>
  <c r="Q213" i="37"/>
  <c r="X207" i="37"/>
  <c r="W207" i="37"/>
  <c r="X206" i="37"/>
  <c r="Z214" i="37"/>
  <c r="S213" i="37"/>
  <c r="S214" i="37"/>
  <c r="AA207" i="37"/>
  <c r="T204" i="37"/>
  <c r="U209" i="37"/>
  <c r="T210" i="37"/>
  <c r="Y213" i="37"/>
  <c r="AA204" i="37"/>
  <c r="W213" i="37"/>
  <c r="R208" i="37"/>
  <c r="G223" i="37"/>
  <c r="G224" i="37"/>
  <c r="G222" i="37"/>
  <c r="G227" i="37"/>
  <c r="G230" i="37"/>
  <c r="G228" i="37"/>
  <c r="G226" i="37"/>
  <c r="G232" i="37"/>
  <c r="G229" i="37"/>
  <c r="G231" i="37"/>
  <c r="G310" i="22"/>
  <c r="I310" i="22" s="1"/>
  <c r="AB88" i="37"/>
  <c r="H176" i="37"/>
  <c r="F179" i="37"/>
  <c r="F176" i="37"/>
  <c r="F180" i="37"/>
  <c r="G160" i="37"/>
  <c r="E180" i="37"/>
  <c r="Q120" i="37"/>
  <c r="G158" i="37"/>
  <c r="E178" i="37"/>
  <c r="E173" i="37"/>
  <c r="N179" i="37"/>
  <c r="G179" i="37"/>
  <c r="G155" i="37"/>
  <c r="N174" i="37"/>
  <c r="N181" i="37"/>
  <c r="E181" i="37"/>
  <c r="E179" i="37"/>
  <c r="E176" i="37"/>
  <c r="E177" i="37"/>
  <c r="H181" i="37"/>
  <c r="E172" i="37"/>
  <c r="I174" i="37"/>
  <c r="I179" i="37"/>
  <c r="L174" i="37"/>
  <c r="Y32" i="37"/>
  <c r="H179" i="37"/>
  <c r="H174" i="37"/>
  <c r="W102" i="37"/>
  <c r="U98" i="37"/>
  <c r="V102" i="37"/>
  <c r="Q102" i="37"/>
  <c r="V98" i="37"/>
  <c r="Y107" i="37"/>
  <c r="X100" i="37"/>
  <c r="X105" i="37"/>
  <c r="Y105" i="37"/>
  <c r="R105" i="37"/>
  <c r="V100" i="37"/>
  <c r="V105" i="37"/>
  <c r="R98" i="37"/>
  <c r="AA102" i="37"/>
  <c r="U103" i="37"/>
  <c r="S99" i="37"/>
  <c r="W99" i="37"/>
  <c r="R100" i="37"/>
  <c r="U101" i="37"/>
  <c r="T107" i="37"/>
  <c r="X101" i="37"/>
  <c r="Y99" i="37"/>
  <c r="Q105" i="37"/>
  <c r="Q103" i="37"/>
  <c r="S100" i="37"/>
  <c r="V103" i="37"/>
  <c r="R101" i="37"/>
  <c r="T102" i="37"/>
  <c r="X97" i="37"/>
  <c r="X102" i="37"/>
  <c r="T99" i="37"/>
  <c r="Z103" i="37"/>
  <c r="V107" i="37"/>
  <c r="T103" i="37"/>
  <c r="Q98" i="37"/>
  <c r="Q99" i="37"/>
  <c r="L181" i="37"/>
  <c r="N173" i="37"/>
  <c r="S102" i="37"/>
  <c r="T100" i="37"/>
  <c r="U105" i="37"/>
  <c r="Z97" i="37"/>
  <c r="U100" i="37"/>
  <c r="Z104" i="37"/>
  <c r="W103" i="37"/>
  <c r="T101" i="37"/>
  <c r="U102" i="37"/>
  <c r="U97" i="37"/>
  <c r="Y97" i="37"/>
  <c r="Z99" i="37"/>
  <c r="Z106" i="37"/>
  <c r="V97" i="37"/>
  <c r="G174" i="37"/>
  <c r="J176" i="37"/>
  <c r="H177" i="37"/>
  <c r="H173" i="37"/>
  <c r="F172" i="37"/>
  <c r="W105" i="37"/>
  <c r="T106" i="37"/>
  <c r="U99" i="37"/>
  <c r="AA97" i="37"/>
  <c r="S103" i="37"/>
  <c r="AA100" i="37"/>
  <c r="S107" i="37"/>
  <c r="V106" i="37"/>
  <c r="X107" i="37"/>
  <c r="AA99" i="37"/>
  <c r="R102" i="37"/>
  <c r="Y98" i="37"/>
  <c r="S104" i="37"/>
  <c r="Z107" i="37"/>
  <c r="G176" i="37"/>
  <c r="N177" i="37"/>
  <c r="W106" i="37"/>
  <c r="V99" i="37"/>
  <c r="R99" i="37"/>
  <c r="Y104" i="37"/>
  <c r="S105" i="37"/>
  <c r="W100" i="37"/>
  <c r="Q106" i="37"/>
  <c r="Z102" i="37"/>
  <c r="Q101" i="37"/>
  <c r="Y102" i="37"/>
  <c r="AA103" i="37"/>
  <c r="U107" i="37"/>
  <c r="S106" i="37"/>
  <c r="Y100" i="37"/>
  <c r="F177" i="37"/>
  <c r="N172" i="37"/>
  <c r="Y101" i="37"/>
  <c r="V101" i="37"/>
  <c r="X104" i="37"/>
  <c r="W101" i="37"/>
  <c r="X98" i="37"/>
  <c r="Q107" i="37"/>
  <c r="W104" i="37"/>
  <c r="Z105" i="37"/>
  <c r="T98" i="37"/>
  <c r="S97" i="37"/>
  <c r="Q104" i="37"/>
  <c r="W107" i="37"/>
  <c r="S98" i="37"/>
  <c r="S101" i="37"/>
  <c r="J179" i="37"/>
  <c r="J174" i="37"/>
  <c r="J180" i="37"/>
  <c r="G177" i="37"/>
  <c r="R104" i="37"/>
  <c r="Z98" i="37"/>
  <c r="T104" i="37"/>
  <c r="Z100" i="37"/>
  <c r="Y103" i="37"/>
  <c r="X99" i="37"/>
  <c r="AA105" i="37"/>
  <c r="AA98" i="37"/>
  <c r="V104" i="37"/>
  <c r="U106" i="37"/>
  <c r="X106" i="37"/>
  <c r="Q100" i="37"/>
  <c r="AA107" i="37"/>
  <c r="AA101" i="37"/>
  <c r="N176" i="37"/>
  <c r="F181" i="37"/>
  <c r="H180" i="37"/>
  <c r="I175" i="37"/>
  <c r="W97" i="37"/>
  <c r="AA106" i="37"/>
  <c r="T97" i="37"/>
  <c r="U104" i="37"/>
  <c r="R107" i="37"/>
  <c r="R103" i="37"/>
  <c r="AA104" i="37"/>
  <c r="Y106" i="37"/>
  <c r="Z101" i="37"/>
  <c r="X103" i="37"/>
  <c r="Q97" i="37"/>
  <c r="T105" i="37"/>
  <c r="R97" i="37"/>
  <c r="R106" i="37"/>
  <c r="G157" i="37"/>
  <c r="N157" i="37"/>
  <c r="E157" i="37"/>
  <c r="N162" i="37"/>
  <c r="F159" i="37"/>
  <c r="F158" i="37"/>
  <c r="F162" i="37"/>
  <c r="G162" i="37"/>
  <c r="M157" i="37"/>
  <c r="G159" i="37"/>
  <c r="F160" i="37"/>
  <c r="F157" i="37"/>
  <c r="L159" i="37"/>
  <c r="J163" i="37"/>
  <c r="E160" i="37"/>
  <c r="H158" i="37"/>
  <c r="J161" i="37"/>
  <c r="L160" i="37"/>
  <c r="J162" i="37"/>
  <c r="J156" i="37"/>
  <c r="J157" i="37"/>
  <c r="J158" i="37"/>
  <c r="H155" i="37"/>
  <c r="N160" i="37"/>
  <c r="N158" i="37"/>
  <c r="L155" i="37"/>
  <c r="J160" i="37"/>
  <c r="E158" i="37"/>
  <c r="N159" i="37"/>
  <c r="H154" i="37"/>
  <c r="K155" i="37"/>
  <c r="M158" i="37"/>
  <c r="L158" i="37"/>
  <c r="L157" i="37"/>
  <c r="E156" i="37"/>
  <c r="K158" i="37"/>
  <c r="K157" i="37"/>
  <c r="L162" i="37"/>
  <c r="E162" i="37"/>
  <c r="J155" i="37"/>
  <c r="H163" i="37"/>
  <c r="M162" i="37"/>
  <c r="E159" i="37"/>
  <c r="E163" i="37"/>
  <c r="M160" i="37"/>
  <c r="H157" i="37"/>
  <c r="M159" i="37"/>
  <c r="E155" i="37"/>
  <c r="E161" i="37"/>
  <c r="I203" i="22"/>
  <c r="H204" i="22"/>
  <c r="G224" i="22"/>
  <c r="G225" i="22" s="1"/>
  <c r="G242" i="22"/>
  <c r="G153" i="37"/>
  <c r="H153" i="37"/>
  <c r="K153" i="37"/>
  <c r="F153" i="37"/>
  <c r="N153" i="37"/>
  <c r="D152" i="37"/>
  <c r="D153" i="37" s="1"/>
  <c r="L153" i="37"/>
  <c r="E153" i="37"/>
  <c r="J153" i="37"/>
  <c r="M153" i="37"/>
  <c r="I153" i="37"/>
  <c r="M174" i="37"/>
  <c r="K176" i="37"/>
  <c r="K159" i="37"/>
  <c r="L178" i="37"/>
  <c r="K181" i="37"/>
  <c r="M163" i="37"/>
  <c r="L173" i="37"/>
  <c r="M161" i="37"/>
  <c r="G175" i="37"/>
  <c r="G154" i="37"/>
  <c r="I157" i="37"/>
  <c r="I162" i="37"/>
  <c r="I155" i="37"/>
  <c r="I156" i="37"/>
  <c r="M175" i="37"/>
  <c r="K154" i="37"/>
  <c r="M179" i="37"/>
  <c r="K179" i="37"/>
  <c r="K162" i="37"/>
  <c r="H159" i="37"/>
  <c r="N155" i="37"/>
  <c r="M181" i="37"/>
  <c r="J181" i="37"/>
  <c r="F163" i="37"/>
  <c r="G180" i="37"/>
  <c r="J177" i="37"/>
  <c r="I173" i="37"/>
  <c r="J173" i="37"/>
  <c r="G161" i="37"/>
  <c r="J175" i="37"/>
  <c r="F154" i="37"/>
  <c r="G172" i="37"/>
  <c r="L179" i="37"/>
  <c r="H162" i="37"/>
  <c r="M178" i="37"/>
  <c r="I181" i="37"/>
  <c r="K163" i="37"/>
  <c r="I180" i="37"/>
  <c r="K177" i="37"/>
  <c r="H161" i="37"/>
  <c r="H175" i="37"/>
  <c r="N154" i="37"/>
  <c r="J172" i="37"/>
  <c r="K175" i="37"/>
  <c r="I158" i="37"/>
  <c r="I159" i="37"/>
  <c r="M155" i="37"/>
  <c r="I178" i="37"/>
  <c r="G163" i="37"/>
  <c r="K180" i="37"/>
  <c r="M177" i="37"/>
  <c r="K173" i="37"/>
  <c r="F161" i="37"/>
  <c r="L156" i="37"/>
  <c r="N175" i="37"/>
  <c r="M154" i="37"/>
  <c r="M172" i="37"/>
  <c r="K172" i="37"/>
  <c r="I160" i="37"/>
  <c r="M176" i="37"/>
  <c r="F155" i="37"/>
  <c r="I163" i="37"/>
  <c r="L180" i="37"/>
  <c r="I177" i="37"/>
  <c r="G173" i="37"/>
  <c r="N161" i="37"/>
  <c r="L161" i="37"/>
  <c r="H156" i="37"/>
  <c r="F175" i="37"/>
  <c r="J154" i="37"/>
  <c r="I172" i="37"/>
  <c r="L172" i="37"/>
  <c r="F171" i="37"/>
  <c r="D170" i="37"/>
  <c r="D171" i="37" s="1"/>
  <c r="L171" i="37"/>
  <c r="N171" i="37"/>
  <c r="K171" i="37"/>
  <c r="E171" i="37"/>
  <c r="G171" i="37"/>
  <c r="H171" i="37"/>
  <c r="J171" i="37"/>
  <c r="I171" i="37"/>
  <c r="M171" i="37"/>
  <c r="M173" i="37"/>
  <c r="K174" i="37"/>
  <c r="L176" i="37"/>
  <c r="G178" i="37"/>
  <c r="N163" i="37"/>
  <c r="L163" i="37"/>
  <c r="N180" i="37"/>
  <c r="L177" i="37"/>
  <c r="F173" i="37"/>
  <c r="I161" i="37"/>
  <c r="K161" i="37"/>
  <c r="K156" i="37"/>
  <c r="H172" i="37"/>
  <c r="I202" i="22"/>
  <c r="G206" i="22"/>
  <c r="X44" i="37"/>
  <c r="AA14" i="37"/>
  <c r="T50" i="37"/>
  <c r="Y121" i="37"/>
  <c r="Y43" i="37"/>
  <c r="T51" i="37"/>
  <c r="U50" i="37"/>
  <c r="W43" i="37"/>
  <c r="X45" i="37"/>
  <c r="AA51" i="37"/>
  <c r="AE57" i="37" a="1"/>
  <c r="AE57" i="37" s="1"/>
  <c r="X51" i="37"/>
  <c r="U45" i="37"/>
  <c r="Y44" i="37"/>
  <c r="Z115" i="37"/>
  <c r="V119" i="37"/>
  <c r="G143" i="22"/>
  <c r="G144" i="22" s="1"/>
  <c r="AA9" i="37"/>
  <c r="T33" i="37"/>
  <c r="U12" i="37"/>
  <c r="AA8" i="37"/>
  <c r="Z27" i="37"/>
  <c r="S5" i="37"/>
  <c r="U27" i="37"/>
  <c r="Z118" i="37"/>
  <c r="S118" i="37"/>
  <c r="U5" i="37"/>
  <c r="T44" i="37"/>
  <c r="X49" i="37"/>
  <c r="Z124" i="37"/>
  <c r="T32" i="37"/>
  <c r="AA30" i="37"/>
  <c r="W45" i="37"/>
  <c r="X42" i="37"/>
  <c r="Z117" i="37"/>
  <c r="T47" i="37"/>
  <c r="AE132" i="37"/>
  <c r="AE131" i="37" a="1"/>
  <c r="AE131" i="37" s="1"/>
  <c r="W11" i="37"/>
  <c r="Y10" i="37"/>
  <c r="Z43" i="37"/>
  <c r="R122" i="37"/>
  <c r="Y27" i="37"/>
  <c r="AA5" i="37"/>
  <c r="Q26" i="37"/>
  <c r="Y50" i="37"/>
  <c r="U13" i="37"/>
  <c r="Y9" i="37"/>
  <c r="X29" i="37"/>
  <c r="AA49" i="37"/>
  <c r="Z51" i="37"/>
  <c r="Q28" i="37"/>
  <c r="R115" i="37"/>
  <c r="R12" i="37"/>
  <c r="Z120" i="37"/>
  <c r="T46" i="37"/>
  <c r="T28" i="37"/>
  <c r="W10" i="37"/>
  <c r="Y49" i="37"/>
  <c r="U8" i="37"/>
  <c r="W29" i="37"/>
  <c r="T23" i="37"/>
  <c r="X23" i="37"/>
  <c r="T13" i="37"/>
  <c r="Q30" i="37"/>
  <c r="V44" i="37"/>
  <c r="Q117" i="37"/>
  <c r="R27" i="37"/>
  <c r="S13" i="37"/>
  <c r="U31" i="37"/>
  <c r="V32" i="37"/>
  <c r="Y26" i="37"/>
  <c r="Z33" i="37"/>
  <c r="W31" i="37"/>
  <c r="Z29" i="37"/>
  <c r="AA24" i="37"/>
  <c r="R26" i="37"/>
  <c r="S31" i="37"/>
  <c r="W26" i="37"/>
  <c r="S26" i="37"/>
  <c r="Q32" i="37"/>
  <c r="S30" i="37"/>
  <c r="Z31" i="37"/>
  <c r="Z30" i="37"/>
  <c r="W32" i="37"/>
  <c r="AA23" i="37"/>
  <c r="S25" i="37"/>
  <c r="Q31" i="37"/>
  <c r="S32" i="37"/>
  <c r="V26" i="37"/>
  <c r="Y28" i="37"/>
  <c r="Z32" i="37"/>
  <c r="Q27" i="37"/>
  <c r="Y30" i="37"/>
  <c r="R28" i="37"/>
  <c r="X31" i="37"/>
  <c r="S29" i="37"/>
  <c r="AA31" i="37"/>
  <c r="V31" i="37"/>
  <c r="S27" i="37"/>
  <c r="Q33" i="37"/>
  <c r="S28" i="37"/>
  <c r="Y29" i="37"/>
  <c r="X26" i="37"/>
  <c r="R31" i="37"/>
  <c r="Y24" i="37"/>
  <c r="AA25" i="37"/>
  <c r="Y33" i="37"/>
  <c r="S23" i="37"/>
  <c r="Y31" i="37"/>
  <c r="U28" i="37"/>
  <c r="Z23" i="37"/>
  <c r="S24" i="37"/>
  <c r="R23" i="37"/>
  <c r="Z25" i="37"/>
  <c r="W24" i="37"/>
  <c r="S33" i="37"/>
  <c r="Z26" i="37"/>
  <c r="W30" i="37"/>
  <c r="Z28" i="37"/>
  <c r="Y23" i="37"/>
  <c r="X32" i="37"/>
  <c r="V28" i="37"/>
  <c r="V23" i="37"/>
  <c r="R32" i="37"/>
  <c r="R29" i="37"/>
  <c r="V33" i="37"/>
  <c r="U23" i="37"/>
  <c r="R30" i="37"/>
  <c r="V29" i="37"/>
  <c r="Z116" i="37"/>
  <c r="T29" i="37"/>
  <c r="W12" i="37"/>
  <c r="V25" i="37"/>
  <c r="W33" i="37"/>
  <c r="R124" i="37"/>
  <c r="AA33" i="37"/>
  <c r="AA6" i="37"/>
  <c r="Z123" i="37"/>
  <c r="S7" i="37"/>
  <c r="X122" i="37"/>
  <c r="T6" i="37"/>
  <c r="R119" i="37"/>
  <c r="Y25" i="37"/>
  <c r="T49" i="37"/>
  <c r="X27" i="37"/>
  <c r="V30" i="37"/>
  <c r="AA121" i="37"/>
  <c r="I141" i="22"/>
  <c r="R25" i="37"/>
  <c r="V117" i="37"/>
  <c r="W14" i="37"/>
  <c r="U41" i="37"/>
  <c r="S12" i="37"/>
  <c r="Q29" i="37"/>
  <c r="Y41" i="37"/>
  <c r="W50" i="37"/>
  <c r="X119" i="37"/>
  <c r="T26" i="37"/>
  <c r="W8" i="37"/>
  <c r="V27" i="37"/>
  <c r="S122" i="37"/>
  <c r="Y45" i="37"/>
  <c r="W25" i="37"/>
  <c r="T9" i="37"/>
  <c r="U47" i="37"/>
  <c r="V46" i="37"/>
  <c r="Z41" i="37"/>
  <c r="V42" i="37"/>
  <c r="Z45" i="37"/>
  <c r="S45" i="37"/>
  <c r="V41" i="37"/>
  <c r="V49" i="37"/>
  <c r="AA42" i="37"/>
  <c r="R49" i="37"/>
  <c r="W44" i="37"/>
  <c r="AA41" i="37"/>
  <c r="Q49" i="37"/>
  <c r="R50" i="37"/>
  <c r="U42" i="37"/>
  <c r="S47" i="37"/>
  <c r="S46" i="37"/>
  <c r="Q44" i="37"/>
  <c r="S41" i="37"/>
  <c r="R43" i="37"/>
  <c r="U48" i="37"/>
  <c r="S42" i="37"/>
  <c r="Q47" i="37"/>
  <c r="V51" i="37"/>
  <c r="AA46" i="37"/>
  <c r="S44" i="37"/>
  <c r="Q43" i="37"/>
  <c r="V43" i="37"/>
  <c r="Y48" i="37"/>
  <c r="Z44" i="37"/>
  <c r="V47" i="37"/>
  <c r="Q51" i="37"/>
  <c r="R46" i="37"/>
  <c r="W51" i="37"/>
  <c r="Z47" i="37"/>
  <c r="Q42" i="37"/>
  <c r="Q41" i="37"/>
  <c r="R44" i="37"/>
  <c r="S51" i="37"/>
  <c r="R48" i="37"/>
  <c r="Z42" i="37"/>
  <c r="R42" i="37"/>
  <c r="AA47" i="37"/>
  <c r="AA48" i="37"/>
  <c r="AA44" i="37"/>
  <c r="X47" i="37"/>
  <c r="W48" i="37"/>
  <c r="S43" i="37"/>
  <c r="Q46" i="37"/>
  <c r="S48" i="37"/>
  <c r="S50" i="37"/>
  <c r="R45" i="37"/>
  <c r="Q45" i="37"/>
  <c r="Q50" i="37"/>
  <c r="R47" i="37"/>
  <c r="U46" i="37"/>
  <c r="W47" i="37"/>
  <c r="W49" i="37"/>
  <c r="S49" i="37"/>
  <c r="Z49" i="37"/>
  <c r="Q48" i="37"/>
  <c r="V48" i="37"/>
  <c r="U49" i="37"/>
  <c r="Y46" i="37"/>
  <c r="X43" i="37"/>
  <c r="R51" i="37"/>
  <c r="V45" i="37"/>
  <c r="U44" i="37"/>
  <c r="Z50" i="37"/>
  <c r="AA43" i="37"/>
  <c r="Z46" i="37"/>
  <c r="X46" i="37"/>
  <c r="X50" i="37"/>
  <c r="U51" i="37"/>
  <c r="V50" i="37"/>
  <c r="R24" i="37"/>
  <c r="Y11" i="37"/>
  <c r="S14" i="37"/>
  <c r="R15" i="37"/>
  <c r="R10" i="37"/>
  <c r="Y14" i="37"/>
  <c r="R5" i="37"/>
  <c r="V7" i="37"/>
  <c r="V5" i="37"/>
  <c r="R6" i="37"/>
  <c r="X8" i="37"/>
  <c r="R11" i="37"/>
  <c r="X11" i="37"/>
  <c r="AA15" i="37"/>
  <c r="U11" i="37"/>
  <c r="V12" i="37"/>
  <c r="X7" i="37"/>
  <c r="Z6" i="37"/>
  <c r="R8" i="37"/>
  <c r="X12" i="37"/>
  <c r="U9" i="37"/>
  <c r="Z9" i="37"/>
  <c r="X14" i="37"/>
  <c r="Z8" i="37"/>
  <c r="W7" i="37"/>
  <c r="V9" i="37"/>
  <c r="Z15" i="37"/>
  <c r="R14" i="37"/>
  <c r="Y12" i="37"/>
  <c r="U10" i="37"/>
  <c r="W13" i="37"/>
  <c r="V15" i="37"/>
  <c r="Z5" i="37"/>
  <c r="Q15" i="37"/>
  <c r="Z12" i="37"/>
  <c r="V10" i="37"/>
  <c r="T5" i="37"/>
  <c r="Y6" i="37"/>
  <c r="V6" i="37"/>
  <c r="Y7" i="37"/>
  <c r="X15" i="37"/>
  <c r="U15" i="37"/>
  <c r="AA11" i="37"/>
  <c r="X6" i="37"/>
  <c r="Y13" i="37"/>
  <c r="R7" i="37"/>
  <c r="V8" i="37"/>
  <c r="X5" i="37"/>
  <c r="R9" i="37"/>
  <c r="S15" i="37"/>
  <c r="Z13" i="37"/>
  <c r="X10" i="37"/>
  <c r="AA13" i="37"/>
  <c r="U7" i="37"/>
  <c r="X9" i="37"/>
  <c r="V11" i="37"/>
  <c r="R13" i="37"/>
  <c r="X13" i="37"/>
  <c r="V14" i="37"/>
  <c r="V13" i="37"/>
  <c r="W15" i="37"/>
  <c r="S11" i="37"/>
  <c r="S6" i="37"/>
  <c r="Y8" i="37"/>
  <c r="Z11" i="37"/>
  <c r="AA12" i="37"/>
  <c r="S8" i="37"/>
  <c r="S9" i="37"/>
  <c r="Z14" i="37"/>
  <c r="Q119" i="37"/>
  <c r="X33" i="37"/>
  <c r="AA7" i="37"/>
  <c r="W5" i="37"/>
  <c r="AE58" i="37"/>
  <c r="Y51" i="37"/>
  <c r="T11" i="37"/>
  <c r="AA28" i="37"/>
  <c r="X28" i="37"/>
  <c r="Y15" i="37"/>
  <c r="Z125" i="37"/>
  <c r="X123" i="37"/>
  <c r="U30" i="37"/>
  <c r="T25" i="37"/>
  <c r="W6" i="37"/>
  <c r="T15" i="37"/>
  <c r="U25" i="37"/>
  <c r="Q118" i="37"/>
  <c r="X115" i="37"/>
  <c r="T8" i="37"/>
  <c r="T27" i="37"/>
  <c r="W41" i="37"/>
  <c r="U33" i="37"/>
  <c r="Z119" i="37"/>
  <c r="T12" i="37"/>
  <c r="AA26" i="37"/>
  <c r="W9" i="37"/>
  <c r="T10" i="37"/>
  <c r="R33" i="37"/>
  <c r="U32" i="37"/>
  <c r="U24" i="37"/>
  <c r="Y42" i="37"/>
  <c r="T45" i="37"/>
  <c r="AA50" i="37"/>
  <c r="AA117" i="37"/>
  <c r="Z10" i="37"/>
  <c r="U6" i="37"/>
  <c r="Y5" i="37"/>
  <c r="W28" i="37"/>
  <c r="AA32" i="37"/>
  <c r="W23" i="37"/>
  <c r="V24" i="37"/>
  <c r="X30" i="37"/>
  <c r="U26" i="37"/>
  <c r="X125" i="37"/>
  <c r="Z7" i="37"/>
  <c r="Z24" i="37"/>
  <c r="Z121" i="37"/>
  <c r="X24" i="37"/>
  <c r="S121" i="37"/>
  <c r="T14" i="37"/>
  <c r="T41" i="37"/>
  <c r="U14" i="37"/>
  <c r="AA29" i="37"/>
  <c r="Q24" i="37"/>
  <c r="R118" i="37"/>
  <c r="W42" i="37"/>
  <c r="Q25" i="37"/>
  <c r="R125" i="37"/>
  <c r="T43" i="37"/>
  <c r="X41" i="37"/>
  <c r="W27" i="37"/>
  <c r="S10" i="37"/>
  <c r="Z48" i="37"/>
  <c r="AA45" i="37"/>
  <c r="AA10" i="37"/>
  <c r="T7" i="37"/>
  <c r="T30" i="37"/>
  <c r="Y47" i="37"/>
  <c r="T24" i="37"/>
  <c r="X25" i="37"/>
  <c r="T42" i="37"/>
  <c r="U29" i="37"/>
  <c r="T31" i="37"/>
  <c r="W46" i="37"/>
  <c r="T48" i="37"/>
  <c r="U43" i="37"/>
  <c r="R41" i="37"/>
  <c r="X48" i="37"/>
  <c r="Q125" i="37"/>
  <c r="AA27" i="37"/>
  <c r="Y122" i="37"/>
  <c r="S117" i="37"/>
  <c r="U125" i="37"/>
  <c r="Y118" i="37"/>
  <c r="T119" i="37"/>
  <c r="AA118" i="37"/>
  <c r="Y123" i="37"/>
  <c r="X121" i="37"/>
  <c r="AA115" i="37"/>
  <c r="W118" i="37"/>
  <c r="T117" i="37"/>
  <c r="W123" i="37"/>
  <c r="T124" i="37"/>
  <c r="Q123" i="37"/>
  <c r="T123" i="37"/>
  <c r="AA119" i="37"/>
  <c r="T116" i="37"/>
  <c r="S125" i="37"/>
  <c r="Y115" i="37"/>
  <c r="S115" i="37"/>
  <c r="U119" i="37"/>
  <c r="W120" i="37"/>
  <c r="AA122" i="37"/>
  <c r="T121" i="37"/>
  <c r="U124" i="37"/>
  <c r="V124" i="37"/>
  <c r="Q115" i="37"/>
  <c r="S123" i="37"/>
  <c r="AA125" i="37"/>
  <c r="S119" i="37"/>
  <c r="U123" i="37"/>
  <c r="W121" i="37"/>
  <c r="Y116" i="37"/>
  <c r="T122" i="37"/>
  <c r="Q124" i="37"/>
  <c r="U122" i="37"/>
  <c r="Y119" i="37"/>
  <c r="X120" i="37"/>
  <c r="W116" i="37"/>
  <c r="AA116" i="37"/>
  <c r="V116" i="37"/>
  <c r="Q116" i="37"/>
  <c r="U121" i="37"/>
  <c r="Q121" i="37"/>
  <c r="Q122" i="37"/>
  <c r="T125" i="37"/>
  <c r="U118" i="37"/>
  <c r="W115" i="37"/>
  <c r="AA123" i="37"/>
  <c r="R120" i="37"/>
  <c r="S124" i="37"/>
  <c r="Z122" i="37"/>
  <c r="X116" i="37"/>
  <c r="V118" i="37"/>
  <c r="W117" i="37"/>
  <c r="V120" i="37"/>
  <c r="R123" i="37"/>
  <c r="R117" i="37"/>
  <c r="S116" i="37"/>
  <c r="Y120" i="37"/>
  <c r="U117" i="37"/>
  <c r="V121" i="37"/>
  <c r="R116" i="37"/>
  <c r="V123" i="37"/>
  <c r="AA124" i="37"/>
  <c r="Y117" i="37"/>
  <c r="X118" i="37"/>
  <c r="V122" i="37"/>
  <c r="S120" i="37"/>
  <c r="U120" i="37"/>
  <c r="W124" i="37"/>
  <c r="Y124" i="37"/>
  <c r="Y125" i="37"/>
  <c r="W125" i="37"/>
  <c r="AA120" i="37"/>
  <c r="V125" i="37"/>
  <c r="V115" i="37"/>
  <c r="U115" i="37"/>
  <c r="U116" i="37"/>
  <c r="W119" i="37"/>
  <c r="T115" i="37"/>
  <c r="X117" i="37"/>
  <c r="T120" i="37"/>
  <c r="X124" i="37"/>
  <c r="T118" i="37"/>
  <c r="W122" i="37"/>
  <c r="R121" i="37"/>
  <c r="G56" i="22"/>
  <c r="G33" i="22"/>
  <c r="I55" i="22"/>
  <c r="G12" i="22"/>
  <c r="G123" i="22"/>
  <c r="E95" i="22"/>
  <c r="F98" i="22"/>
  <c r="F95" i="22"/>
  <c r="E101" i="22"/>
  <c r="E100" i="22"/>
  <c r="F96" i="22"/>
  <c r="F101" i="22"/>
  <c r="F100" i="22"/>
  <c r="F105" i="22"/>
  <c r="E104" i="22"/>
  <c r="F102" i="22"/>
  <c r="E102" i="22"/>
  <c r="E97" i="22"/>
  <c r="F104" i="22"/>
  <c r="E103" i="22"/>
  <c r="F97" i="22"/>
  <c r="E99" i="22"/>
  <c r="F103" i="22"/>
  <c r="E96" i="22"/>
  <c r="E98" i="22"/>
  <c r="G230" i="50" l="1"/>
  <c r="G210" i="50"/>
  <c r="G189" i="50"/>
  <c r="G147" i="50"/>
  <c r="G126" i="50"/>
  <c r="G104" i="50"/>
  <c r="G80" i="50"/>
  <c r="H57" i="50"/>
  <c r="I56" i="50"/>
  <c r="G37" i="50"/>
  <c r="G16" i="50"/>
  <c r="G17" i="50" s="1"/>
  <c r="G249" i="49"/>
  <c r="H226" i="49"/>
  <c r="H227" i="49" s="1"/>
  <c r="H228" i="49" s="1"/>
  <c r="G208" i="49"/>
  <c r="G209" i="49" s="1"/>
  <c r="G188" i="49"/>
  <c r="G166" i="49"/>
  <c r="G124" i="49"/>
  <c r="G104" i="49"/>
  <c r="G78" i="49"/>
  <c r="G57" i="49"/>
  <c r="I35" i="49"/>
  <c r="H36" i="49"/>
  <c r="G38" i="49"/>
  <c r="G17" i="49"/>
  <c r="H54" i="49"/>
  <c r="H55" i="49" s="1"/>
  <c r="G229" i="48"/>
  <c r="G210" i="48"/>
  <c r="G167" i="48"/>
  <c r="G143" i="48"/>
  <c r="G144" i="48" s="1"/>
  <c r="G126" i="48"/>
  <c r="G104" i="48"/>
  <c r="G105" i="48" s="1"/>
  <c r="G58" i="48"/>
  <c r="G37" i="48"/>
  <c r="G16" i="48"/>
  <c r="I250" i="47"/>
  <c r="H251" i="47"/>
  <c r="G209" i="47"/>
  <c r="G210" i="47" s="1"/>
  <c r="G188" i="47"/>
  <c r="G144" i="47"/>
  <c r="G105" i="47"/>
  <c r="G80" i="47"/>
  <c r="H57" i="47"/>
  <c r="I56" i="47"/>
  <c r="G38" i="47"/>
  <c r="G16" i="47"/>
  <c r="G251" i="46"/>
  <c r="G228" i="46"/>
  <c r="G229" i="46" s="1"/>
  <c r="G210" i="46"/>
  <c r="G188" i="46"/>
  <c r="G167" i="46"/>
  <c r="G124" i="46"/>
  <c r="G105" i="46"/>
  <c r="G77" i="46"/>
  <c r="G37" i="46"/>
  <c r="G16" i="46"/>
  <c r="I190" i="42"/>
  <c r="I192" i="42" s="1"/>
  <c r="V8" i="42" s="1"/>
  <c r="G252" i="45"/>
  <c r="G228" i="45"/>
  <c r="G210" i="45"/>
  <c r="H167" i="45"/>
  <c r="G145" i="45"/>
  <c r="G146" i="45" s="1"/>
  <c r="G105" i="45"/>
  <c r="G78" i="45"/>
  <c r="G79" i="45" s="1"/>
  <c r="G36" i="45"/>
  <c r="H61" i="45"/>
  <c r="I250" i="44"/>
  <c r="H251" i="44"/>
  <c r="G230" i="44"/>
  <c r="G210" i="44"/>
  <c r="G188" i="44"/>
  <c r="G143" i="44"/>
  <c r="G80" i="44"/>
  <c r="H57" i="44"/>
  <c r="I56" i="44"/>
  <c r="G59" i="44"/>
  <c r="G36" i="44"/>
  <c r="G17" i="44"/>
  <c r="G249" i="43"/>
  <c r="G208" i="43"/>
  <c r="G188" i="43"/>
  <c r="I163" i="43"/>
  <c r="H164" i="43"/>
  <c r="G143" i="43"/>
  <c r="G144" i="43" s="1"/>
  <c r="G126" i="43"/>
  <c r="G103" i="43"/>
  <c r="G104" i="43" s="1"/>
  <c r="G78" i="43"/>
  <c r="H55" i="43"/>
  <c r="H56" i="43" s="1"/>
  <c r="H57" i="43" s="1"/>
  <c r="H58" i="43" s="1"/>
  <c r="H59" i="43" s="1"/>
  <c r="H60" i="43" s="1"/>
  <c r="G17" i="43"/>
  <c r="I148" i="42"/>
  <c r="I150" i="42" s="1"/>
  <c r="X7" i="42" s="1"/>
  <c r="H61" i="42"/>
  <c r="I60" i="42"/>
  <c r="I61" i="42" s="1"/>
  <c r="I63" i="42" s="1"/>
  <c r="X6" i="42" s="1"/>
  <c r="I253" i="42"/>
  <c r="I255" i="42" s="1"/>
  <c r="Y8" i="42" s="1"/>
  <c r="I211" i="42"/>
  <c r="I213" i="42" s="1"/>
  <c r="W8" i="42" s="1"/>
  <c r="R197" i="37"/>
  <c r="AB214" i="37"/>
  <c r="R196" i="37"/>
  <c r="R192" i="37"/>
  <c r="R193" i="37"/>
  <c r="Q188" i="37"/>
  <c r="AA198" i="37"/>
  <c r="T188" i="37"/>
  <c r="X193" i="37"/>
  <c r="Z198" i="37"/>
  <c r="Z191" i="37"/>
  <c r="Z188" i="37"/>
  <c r="X197" i="37"/>
  <c r="Q194" i="37"/>
  <c r="S198" i="37"/>
  <c r="X192" i="37"/>
  <c r="X198" i="37"/>
  <c r="S197" i="37"/>
  <c r="AA192" i="37"/>
  <c r="Q195" i="37"/>
  <c r="Q196" i="37"/>
  <c r="X196" i="37"/>
  <c r="Q192" i="37"/>
  <c r="T195" i="37"/>
  <c r="U198" i="37"/>
  <c r="AA194" i="37"/>
  <c r="T196" i="37"/>
  <c r="T191" i="37"/>
  <c r="Q198" i="37"/>
  <c r="Q197" i="37"/>
  <c r="Z197" i="37"/>
  <c r="Q193" i="37"/>
  <c r="Q190" i="37"/>
  <c r="Y191" i="37"/>
  <c r="W188" i="37"/>
  <c r="AA195" i="37"/>
  <c r="AA191" i="37"/>
  <c r="Q191" i="37"/>
  <c r="V198" i="37"/>
  <c r="AA193" i="37"/>
  <c r="X195" i="37"/>
  <c r="Y194" i="37"/>
  <c r="S190" i="37"/>
  <c r="V193" i="37"/>
  <c r="T190" i="37"/>
  <c r="V197" i="37"/>
  <c r="X191" i="37"/>
  <c r="X194" i="37"/>
  <c r="Y193" i="37"/>
  <c r="S188" i="37"/>
  <c r="S194" i="37"/>
  <c r="Y192" i="37"/>
  <c r="V188" i="37"/>
  <c r="AA188" i="37"/>
  <c r="AA190" i="37"/>
  <c r="Z192" i="37"/>
  <c r="W196" i="37"/>
  <c r="W195" i="37"/>
  <c r="Z195" i="37"/>
  <c r="V195" i="37"/>
  <c r="AA196" i="37"/>
  <c r="T198" i="37"/>
  <c r="U195" i="37"/>
  <c r="V190" i="37"/>
  <c r="W194" i="37"/>
  <c r="Y190" i="37"/>
  <c r="U194" i="37"/>
  <c r="T194" i="37"/>
  <c r="T193" i="37"/>
  <c r="Z193" i="37"/>
  <c r="S195" i="37"/>
  <c r="W190" i="37"/>
  <c r="V196" i="37"/>
  <c r="W192" i="37"/>
  <c r="U190" i="37"/>
  <c r="Z190" i="37"/>
  <c r="V192" i="37"/>
  <c r="Y196" i="37"/>
  <c r="X190" i="37"/>
  <c r="S196" i="37"/>
  <c r="Z196" i="37"/>
  <c r="W198" i="37"/>
  <c r="S193" i="37"/>
  <c r="W191" i="37"/>
  <c r="X188" i="37"/>
  <c r="U193" i="37"/>
  <c r="U192" i="37"/>
  <c r="U197" i="37"/>
  <c r="Y195" i="37"/>
  <c r="S192" i="37"/>
  <c r="W197" i="37"/>
  <c r="Y198" i="37"/>
  <c r="Y188" i="37"/>
  <c r="T192" i="37"/>
  <c r="T197" i="37"/>
  <c r="S191" i="37"/>
  <c r="V191" i="37"/>
  <c r="U191" i="37"/>
  <c r="AA197" i="37"/>
  <c r="Z194" i="37"/>
  <c r="W193" i="37"/>
  <c r="U196" i="37"/>
  <c r="U188" i="37"/>
  <c r="V194" i="37"/>
  <c r="Y197" i="37"/>
  <c r="S189" i="37"/>
  <c r="W189" i="37"/>
  <c r="Y189" i="37"/>
  <c r="X189" i="37"/>
  <c r="AA189" i="37"/>
  <c r="V189" i="37"/>
  <c r="Q189" i="37"/>
  <c r="Z189" i="37"/>
  <c r="U189" i="37"/>
  <c r="T189" i="37"/>
  <c r="R189" i="37"/>
  <c r="R198" i="37"/>
  <c r="R188" i="37"/>
  <c r="R195" i="37"/>
  <c r="R194" i="37"/>
  <c r="AE219" i="37" a="1"/>
  <c r="AE219" i="37" s="1"/>
  <c r="AE220" i="37"/>
  <c r="R190" i="37"/>
  <c r="R191" i="37"/>
  <c r="G311" i="22"/>
  <c r="G312" i="22" s="1"/>
  <c r="I312" i="22" s="1"/>
  <c r="AB51" i="37"/>
  <c r="AB33" i="37"/>
  <c r="Y108" i="37"/>
  <c r="AB107" i="37"/>
  <c r="Y136" i="37"/>
  <c r="H205" i="22"/>
  <c r="I205" i="22" s="1"/>
  <c r="I204" i="22"/>
  <c r="G226" i="22"/>
  <c r="G227" i="22" s="1"/>
  <c r="D154" i="37"/>
  <c r="D159" i="37"/>
  <c r="D158" i="37"/>
  <c r="D161" i="37"/>
  <c r="D160" i="37"/>
  <c r="D156" i="37"/>
  <c r="D162" i="37"/>
  <c r="D157" i="37"/>
  <c r="D163" i="37"/>
  <c r="D155" i="37"/>
  <c r="D175" i="37"/>
  <c r="D174" i="37"/>
  <c r="D177" i="37"/>
  <c r="D178" i="37"/>
  <c r="D181" i="37"/>
  <c r="D176" i="37"/>
  <c r="D179" i="37"/>
  <c r="D172" i="37"/>
  <c r="D173" i="37"/>
  <c r="D180" i="37"/>
  <c r="G207" i="22"/>
  <c r="T135" i="37"/>
  <c r="Y61" i="37"/>
  <c r="V135" i="37"/>
  <c r="W136" i="37"/>
  <c r="W133" i="37"/>
  <c r="Y143" i="37"/>
  <c r="AA136" i="37"/>
  <c r="V133" i="37"/>
  <c r="T61" i="37"/>
  <c r="Z142" i="37"/>
  <c r="T138" i="37"/>
  <c r="W63" i="37"/>
  <c r="AA62" i="37"/>
  <c r="X69" i="37"/>
  <c r="Y63" i="37"/>
  <c r="Q64" i="37"/>
  <c r="V67" i="37"/>
  <c r="T65" i="37"/>
  <c r="S60" i="37"/>
  <c r="Q62" i="37"/>
  <c r="U66" i="37"/>
  <c r="Q60" i="37"/>
  <c r="W60" i="37"/>
  <c r="Q61" i="37"/>
  <c r="R62" i="37"/>
  <c r="U62" i="37"/>
  <c r="S62" i="37"/>
  <c r="U69" i="37"/>
  <c r="AA65" i="37"/>
  <c r="U133" i="37"/>
  <c r="Y140" i="37"/>
  <c r="W135" i="37"/>
  <c r="S59" i="37"/>
  <c r="V68" i="37"/>
  <c r="Z59" i="37"/>
  <c r="V66" i="37"/>
  <c r="U63" i="37"/>
  <c r="T66" i="37"/>
  <c r="X143" i="37"/>
  <c r="Z134" i="37"/>
  <c r="U59" i="37"/>
  <c r="Y67" i="37"/>
  <c r="Z68" i="37"/>
  <c r="X67" i="37"/>
  <c r="W59" i="37"/>
  <c r="AA133" i="37"/>
  <c r="U138" i="37"/>
  <c r="X64" i="37"/>
  <c r="W66" i="37"/>
  <c r="U68" i="37"/>
  <c r="AA63" i="37"/>
  <c r="Q68" i="37"/>
  <c r="Y66" i="37"/>
  <c r="R64" i="37"/>
  <c r="V62" i="37"/>
  <c r="V63" i="37"/>
  <c r="U64" i="37"/>
  <c r="R67" i="37"/>
  <c r="AA67" i="37"/>
  <c r="Q65" i="37"/>
  <c r="Z67" i="37"/>
  <c r="W142" i="37"/>
  <c r="Y133" i="37"/>
  <c r="T68" i="37"/>
  <c r="Y134" i="37"/>
  <c r="W143" i="37"/>
  <c r="T69" i="37"/>
  <c r="AA134" i="37"/>
  <c r="T134" i="37"/>
  <c r="T67" i="37"/>
  <c r="S63" i="37"/>
  <c r="W62" i="37"/>
  <c r="X59" i="37"/>
  <c r="AA64" i="37"/>
  <c r="X61" i="37"/>
  <c r="Z62" i="37"/>
  <c r="Y62" i="37"/>
  <c r="Y69" i="37"/>
  <c r="X60" i="37"/>
  <c r="Q59" i="37"/>
  <c r="Z69" i="37"/>
  <c r="Q63" i="37"/>
  <c r="Z60" i="37"/>
  <c r="V65" i="37"/>
  <c r="X133" i="37"/>
  <c r="W137" i="37"/>
  <c r="Y141" i="37"/>
  <c r="Y138" i="37"/>
  <c r="T139" i="37"/>
  <c r="R133" i="37"/>
  <c r="S135" i="37"/>
  <c r="R135" i="37"/>
  <c r="Q134" i="37"/>
  <c r="S134" i="37"/>
  <c r="Q133" i="37"/>
  <c r="Q135" i="37"/>
  <c r="R134" i="37"/>
  <c r="S133" i="37"/>
  <c r="R138" i="37"/>
  <c r="T140" i="37"/>
  <c r="Z136" i="37"/>
  <c r="AA138" i="37"/>
  <c r="R136" i="37"/>
  <c r="AA139" i="37"/>
  <c r="R141" i="37"/>
  <c r="Q137" i="37"/>
  <c r="Y139" i="37"/>
  <c r="Q142" i="37"/>
  <c r="Y142" i="37"/>
  <c r="Q136" i="37"/>
  <c r="Q138" i="37"/>
  <c r="Q140" i="37"/>
  <c r="S139" i="37"/>
  <c r="AA140" i="37"/>
  <c r="V139" i="37"/>
  <c r="U142" i="37"/>
  <c r="X142" i="37"/>
  <c r="U143" i="37"/>
  <c r="X138" i="37"/>
  <c r="S142" i="37"/>
  <c r="U137" i="37"/>
  <c r="Q141" i="37"/>
  <c r="V143" i="37"/>
  <c r="Z143" i="37"/>
  <c r="Z139" i="37"/>
  <c r="R142" i="37"/>
  <c r="V141" i="37"/>
  <c r="S136" i="37"/>
  <c r="Q143" i="37"/>
  <c r="S137" i="37"/>
  <c r="Q139" i="37"/>
  <c r="Z138" i="37"/>
  <c r="X140" i="37"/>
  <c r="V136" i="37"/>
  <c r="X137" i="37"/>
  <c r="S143" i="37"/>
  <c r="S138" i="37"/>
  <c r="AA142" i="37"/>
  <c r="R140" i="37"/>
  <c r="R139" i="37"/>
  <c r="X141" i="37"/>
  <c r="U136" i="37"/>
  <c r="T137" i="37"/>
  <c r="V137" i="37"/>
  <c r="V140" i="37"/>
  <c r="Z137" i="37"/>
  <c r="R143" i="37"/>
  <c r="R137" i="37"/>
  <c r="Y137" i="37"/>
  <c r="V142" i="37"/>
  <c r="Z141" i="37"/>
  <c r="X139" i="37"/>
  <c r="V138" i="37"/>
  <c r="S140" i="37"/>
  <c r="S141" i="37"/>
  <c r="AA137" i="37"/>
  <c r="T60" i="37"/>
  <c r="S64" i="37"/>
  <c r="AA69" i="37"/>
  <c r="S68" i="37"/>
  <c r="S61" i="37"/>
  <c r="V61" i="37"/>
  <c r="Z64" i="37"/>
  <c r="AA59" i="37"/>
  <c r="Z65" i="37"/>
  <c r="U65" i="37"/>
  <c r="R69" i="37"/>
  <c r="Y60" i="37"/>
  <c r="X63" i="37"/>
  <c r="V69" i="37"/>
  <c r="V59" i="37"/>
  <c r="W138" i="37"/>
  <c r="Z133" i="37"/>
  <c r="U134" i="37"/>
  <c r="U140" i="37"/>
  <c r="T64" i="37"/>
  <c r="X135" i="37"/>
  <c r="T136" i="37"/>
  <c r="T143" i="37"/>
  <c r="T133" i="37"/>
  <c r="W139" i="37"/>
  <c r="R68" i="37"/>
  <c r="W69" i="37"/>
  <c r="R59" i="37"/>
  <c r="X66" i="37"/>
  <c r="AA61" i="37"/>
  <c r="Z63" i="37"/>
  <c r="S65" i="37"/>
  <c r="R63" i="37"/>
  <c r="S67" i="37"/>
  <c r="Z66" i="37"/>
  <c r="Q69" i="37"/>
  <c r="U61" i="37"/>
  <c r="V64" i="37"/>
  <c r="V60" i="37"/>
  <c r="I144" i="22"/>
  <c r="V134" i="37"/>
  <c r="U135" i="37"/>
  <c r="U139" i="37"/>
  <c r="Z135" i="37"/>
  <c r="U141" i="37"/>
  <c r="Y135" i="37"/>
  <c r="T59" i="37"/>
  <c r="W140" i="37"/>
  <c r="Z140" i="37"/>
  <c r="R61" i="37"/>
  <c r="S69" i="37"/>
  <c r="T62" i="37"/>
  <c r="W61" i="37"/>
  <c r="AA68" i="37"/>
  <c r="X62" i="37"/>
  <c r="R65" i="37"/>
  <c r="Y64" i="37"/>
  <c r="W67" i="37"/>
  <c r="W64" i="37"/>
  <c r="AA66" i="37"/>
  <c r="X65" i="37"/>
  <c r="Y65" i="37"/>
  <c r="X68" i="37"/>
  <c r="X136" i="37"/>
  <c r="I143" i="22"/>
  <c r="T142" i="37"/>
  <c r="AA143" i="37"/>
  <c r="AA141" i="37"/>
  <c r="T63" i="37"/>
  <c r="W134" i="37"/>
  <c r="X134" i="37"/>
  <c r="AA135" i="37"/>
  <c r="W141" i="37"/>
  <c r="T141" i="37"/>
  <c r="AA60" i="37"/>
  <c r="R66" i="37"/>
  <c r="S66" i="37"/>
  <c r="U67" i="37"/>
  <c r="U60" i="37"/>
  <c r="Y68" i="37"/>
  <c r="Y59" i="37"/>
  <c r="Z61" i="37"/>
  <c r="Q66" i="37"/>
  <c r="Q67" i="37"/>
  <c r="W68" i="37"/>
  <c r="R60" i="37"/>
  <c r="W65" i="37"/>
  <c r="G34" i="22"/>
  <c r="I34" i="22" s="1"/>
  <c r="I33" i="22"/>
  <c r="G13" i="22"/>
  <c r="I13" i="22" s="1"/>
  <c r="I12" i="22"/>
  <c r="G57" i="22"/>
  <c r="I57" i="22" s="1"/>
  <c r="I56" i="22"/>
  <c r="G145" i="22"/>
  <c r="G124" i="22"/>
  <c r="I123" i="22"/>
  <c r="F106" i="22"/>
  <c r="E106" i="22"/>
  <c r="G231" i="50" l="1"/>
  <c r="G105" i="50"/>
  <c r="G81" i="50"/>
  <c r="I57" i="50"/>
  <c r="H58" i="50"/>
  <c r="G38" i="50"/>
  <c r="G250" i="49"/>
  <c r="G251" i="49" s="1"/>
  <c r="H229" i="49"/>
  <c r="H230" i="49" s="1"/>
  <c r="H231" i="49" s="1"/>
  <c r="G210" i="49"/>
  <c r="G189" i="49"/>
  <c r="G167" i="49"/>
  <c r="G168" i="49" s="1"/>
  <c r="G125" i="49"/>
  <c r="G126" i="49" s="1"/>
  <c r="G105" i="49"/>
  <c r="G79" i="49"/>
  <c r="H56" i="49"/>
  <c r="I55" i="49"/>
  <c r="G58" i="49"/>
  <c r="H37" i="49"/>
  <c r="I36" i="49"/>
  <c r="I54" i="49"/>
  <c r="G230" i="48"/>
  <c r="G231" i="48" s="1"/>
  <c r="G168" i="48"/>
  <c r="G145" i="48"/>
  <c r="G59" i="48"/>
  <c r="G38" i="48"/>
  <c r="G17" i="48"/>
  <c r="H252" i="47"/>
  <c r="I252" i="47" s="1"/>
  <c r="I251" i="47"/>
  <c r="I253" i="47" s="1"/>
  <c r="I255" i="47" s="1"/>
  <c r="Y8" i="47" s="1"/>
  <c r="G189" i="47"/>
  <c r="G145" i="47"/>
  <c r="G146" i="47" s="1"/>
  <c r="G81" i="47"/>
  <c r="I57" i="47"/>
  <c r="H58" i="47"/>
  <c r="G17" i="47"/>
  <c r="G252" i="46"/>
  <c r="G230" i="46"/>
  <c r="G189" i="46"/>
  <c r="G168" i="46"/>
  <c r="G125" i="46"/>
  <c r="G78" i="46"/>
  <c r="G38" i="46"/>
  <c r="G17" i="46"/>
  <c r="G229" i="45"/>
  <c r="G230" i="45" s="1"/>
  <c r="I167" i="45"/>
  <c r="H168" i="45"/>
  <c r="I168" i="45" s="1"/>
  <c r="G147" i="45"/>
  <c r="G80" i="45"/>
  <c r="G37" i="45"/>
  <c r="H252" i="44"/>
  <c r="I252" i="44" s="1"/>
  <c r="I251" i="44"/>
  <c r="I253" i="44"/>
  <c r="I255" i="44" s="1"/>
  <c r="Y28" i="44" s="1"/>
  <c r="G231" i="44"/>
  <c r="G189" i="44"/>
  <c r="G144" i="44"/>
  <c r="G145" i="44" s="1"/>
  <c r="G81" i="44"/>
  <c r="G60" i="44"/>
  <c r="G61" i="44"/>
  <c r="H58" i="44"/>
  <c r="I57" i="44"/>
  <c r="G37" i="44"/>
  <c r="H61" i="43"/>
  <c r="G250" i="43"/>
  <c r="G251" i="43" s="1"/>
  <c r="G209" i="43"/>
  <c r="G189" i="43"/>
  <c r="I164" i="43"/>
  <c r="H165" i="43"/>
  <c r="G145" i="43"/>
  <c r="G105" i="43"/>
  <c r="G79" i="43"/>
  <c r="T227" i="37"/>
  <c r="T225" i="37"/>
  <c r="AB198" i="37"/>
  <c r="S221" i="37"/>
  <c r="S223" i="37"/>
  <c r="R223" i="37"/>
  <c r="R222" i="37"/>
  <c r="R221" i="37"/>
  <c r="Q221" i="37"/>
  <c r="S222" i="37"/>
  <c r="S228" i="37"/>
  <c r="Y228" i="37"/>
  <c r="AA226" i="37"/>
  <c r="X230" i="37"/>
  <c r="W227" i="37"/>
  <c r="X226" i="37"/>
  <c r="U230" i="37"/>
  <c r="X231" i="37"/>
  <c r="Q228" i="37"/>
  <c r="Q222" i="37"/>
  <c r="W225" i="37"/>
  <c r="V228" i="37"/>
  <c r="Q231" i="37"/>
  <c r="Z229" i="37"/>
  <c r="R226" i="37"/>
  <c r="AA231" i="37"/>
  <c r="AA227" i="37"/>
  <c r="S230" i="37"/>
  <c r="Q226" i="37"/>
  <c r="W228" i="37"/>
  <c r="Q230" i="37"/>
  <c r="S231" i="37"/>
  <c r="S225" i="37"/>
  <c r="Q229" i="37"/>
  <c r="W230" i="37"/>
  <c r="U231" i="37"/>
  <c r="X227" i="37"/>
  <c r="Q227" i="37"/>
  <c r="S227" i="37"/>
  <c r="W226" i="37"/>
  <c r="R225" i="37"/>
  <c r="Z225" i="37"/>
  <c r="U227" i="37"/>
  <c r="Z231" i="37"/>
  <c r="Z228" i="37"/>
  <c r="R231" i="37"/>
  <c r="AA229" i="37"/>
  <c r="R230" i="37"/>
  <c r="Z226" i="37"/>
  <c r="V231" i="37"/>
  <c r="AA225" i="37"/>
  <c r="R228" i="37"/>
  <c r="W229" i="37"/>
  <c r="V230" i="37"/>
  <c r="U226" i="37"/>
  <c r="Q225" i="37"/>
  <c r="X229" i="37"/>
  <c r="Y226" i="37"/>
  <c r="S226" i="37"/>
  <c r="R229" i="37"/>
  <c r="Q223" i="37"/>
  <c r="R227" i="37"/>
  <c r="S229" i="37"/>
  <c r="AA221" i="37"/>
  <c r="Y230" i="37"/>
  <c r="Z223" i="37"/>
  <c r="W222" i="37"/>
  <c r="Y231" i="37"/>
  <c r="Y224" i="37"/>
  <c r="V227" i="37"/>
  <c r="Z224" i="37"/>
  <c r="V226" i="37"/>
  <c r="U225" i="37"/>
  <c r="Z230" i="37"/>
  <c r="V224" i="37"/>
  <c r="U228" i="37"/>
  <c r="X225" i="37"/>
  <c r="V223" i="37"/>
  <c r="Y223" i="37"/>
  <c r="V225" i="37"/>
  <c r="X224" i="37"/>
  <c r="AA222" i="37"/>
  <c r="X222" i="37"/>
  <c r="Y225" i="37"/>
  <c r="AA224" i="37"/>
  <c r="T224" i="37"/>
  <c r="Y227" i="37"/>
  <c r="W223" i="37"/>
  <c r="W231" i="37"/>
  <c r="U229" i="37"/>
  <c r="U224" i="37"/>
  <c r="Y222" i="37"/>
  <c r="Z222" i="37"/>
  <c r="Y229" i="37"/>
  <c r="Z221" i="37"/>
  <c r="X228" i="37"/>
  <c r="X221" i="37"/>
  <c r="AA228" i="37"/>
  <c r="U223" i="37"/>
  <c r="U222" i="37"/>
  <c r="AA223" i="37"/>
  <c r="V222" i="37"/>
  <c r="W221" i="37"/>
  <c r="Z227" i="37"/>
  <c r="V221" i="37"/>
  <c r="Y221" i="37"/>
  <c r="V229" i="37"/>
  <c r="Q224" i="37"/>
  <c r="W224" i="37"/>
  <c r="AA230" i="37"/>
  <c r="R224" i="37"/>
  <c r="X223" i="37"/>
  <c r="S224" i="37"/>
  <c r="U221" i="37"/>
  <c r="T221" i="37"/>
  <c r="T231" i="37"/>
  <c r="T222" i="37"/>
  <c r="T229" i="37"/>
  <c r="T226" i="37"/>
  <c r="T230" i="37"/>
  <c r="T228" i="37"/>
  <c r="T223" i="37"/>
  <c r="I311" i="22"/>
  <c r="I313" i="22" s="1"/>
  <c r="I315" i="22" s="1"/>
  <c r="AB69" i="37"/>
  <c r="AB143" i="37"/>
  <c r="G208" i="22"/>
  <c r="G228" i="22"/>
  <c r="AE168" i="37" a="1"/>
  <c r="AE168" i="37" s="1"/>
  <c r="AE169" i="37"/>
  <c r="AE151" i="37"/>
  <c r="AE150" i="37" a="1"/>
  <c r="AE150" i="37" s="1"/>
  <c r="H206" i="22"/>
  <c r="G35" i="22"/>
  <c r="I35" i="22" s="1"/>
  <c r="G58" i="22"/>
  <c r="I58" i="22" s="1"/>
  <c r="G14" i="22"/>
  <c r="I14" i="22" s="1"/>
  <c r="G146" i="22"/>
  <c r="I145" i="22"/>
  <c r="G125" i="22"/>
  <c r="I125" i="22" s="1"/>
  <c r="I124" i="22"/>
  <c r="H59" i="50" l="1"/>
  <c r="I58" i="50"/>
  <c r="G252" i="49"/>
  <c r="G80" i="49"/>
  <c r="G59" i="49"/>
  <c r="H57" i="49"/>
  <c r="I56" i="49"/>
  <c r="I39" i="49"/>
  <c r="I41" i="49" s="1"/>
  <c r="W6" i="49" s="1"/>
  <c r="H38" i="49"/>
  <c r="I38" i="49" s="1"/>
  <c r="I37" i="49"/>
  <c r="G146" i="48"/>
  <c r="G147" i="48" s="1"/>
  <c r="G61" i="48"/>
  <c r="G60" i="48"/>
  <c r="G147" i="47"/>
  <c r="H59" i="47"/>
  <c r="I58" i="47"/>
  <c r="G231" i="46"/>
  <c r="G126" i="46"/>
  <c r="G79" i="46"/>
  <c r="G231" i="45"/>
  <c r="I169" i="45"/>
  <c r="I171" i="45" s="1"/>
  <c r="Y7" i="45" s="1"/>
  <c r="G81" i="45"/>
  <c r="G38" i="45"/>
  <c r="G146" i="44"/>
  <c r="H59" i="44"/>
  <c r="I58" i="44"/>
  <c r="G38" i="44"/>
  <c r="G252" i="43"/>
  <c r="G210" i="43"/>
  <c r="H166" i="43"/>
  <c r="I165" i="43"/>
  <c r="G146" i="43"/>
  <c r="G147" i="43" s="1"/>
  <c r="G80" i="43"/>
  <c r="G81" i="43" s="1"/>
  <c r="AB231" i="37"/>
  <c r="Q172" i="37"/>
  <c r="Q170" i="37"/>
  <c r="G209" i="22"/>
  <c r="G229" i="22"/>
  <c r="G230" i="22" s="1"/>
  <c r="AA161" i="37"/>
  <c r="AA157" i="37"/>
  <c r="Y153" i="37"/>
  <c r="W160" i="37"/>
  <c r="AA155" i="37"/>
  <c r="Y159" i="37"/>
  <c r="W159" i="37"/>
  <c r="T154" i="37"/>
  <c r="R161" i="37"/>
  <c r="S157" i="37"/>
  <c r="W158" i="37"/>
  <c r="U153" i="37"/>
  <c r="S158" i="37"/>
  <c r="X157" i="37"/>
  <c r="W162" i="37"/>
  <c r="T155" i="37"/>
  <c r="U157" i="37"/>
  <c r="X159" i="37"/>
  <c r="U156" i="37"/>
  <c r="Z157" i="37"/>
  <c r="R154" i="37"/>
  <c r="Z159" i="37"/>
  <c r="R162" i="37"/>
  <c r="R157" i="37"/>
  <c r="R153" i="37"/>
  <c r="R156" i="37"/>
  <c r="Y161" i="37"/>
  <c r="AA156" i="37"/>
  <c r="T157" i="37"/>
  <c r="Y157" i="37"/>
  <c r="W156" i="37"/>
  <c r="R160" i="37"/>
  <c r="X156" i="37"/>
  <c r="W157" i="37"/>
  <c r="T158" i="37"/>
  <c r="Z158" i="37"/>
  <c r="T156" i="37"/>
  <c r="R155" i="37"/>
  <c r="W161" i="37"/>
  <c r="Z156" i="37"/>
  <c r="S159" i="37"/>
  <c r="AA158" i="37"/>
  <c r="U162" i="37"/>
  <c r="U154" i="37"/>
  <c r="Z155" i="37"/>
  <c r="W155" i="37"/>
  <c r="R159" i="37"/>
  <c r="W154" i="37"/>
  <c r="Y156" i="37"/>
  <c r="AA159" i="37"/>
  <c r="S155" i="37"/>
  <c r="Y158" i="37"/>
  <c r="T159" i="37"/>
  <c r="R158" i="37"/>
  <c r="S161" i="37"/>
  <c r="T161" i="37"/>
  <c r="U159" i="37"/>
  <c r="Z161" i="37"/>
  <c r="V153" i="37"/>
  <c r="Y154" i="37"/>
  <c r="X154" i="37"/>
  <c r="S156" i="37"/>
  <c r="X155" i="37"/>
  <c r="Y155" i="37"/>
  <c r="S152" i="37"/>
  <c r="V160" i="37"/>
  <c r="X152" i="37"/>
  <c r="W152" i="37"/>
  <c r="Z160" i="37"/>
  <c r="U161" i="37"/>
  <c r="V162" i="37"/>
  <c r="AA160" i="37"/>
  <c r="T152" i="37"/>
  <c r="Q152" i="37"/>
  <c r="V158" i="37"/>
  <c r="V157" i="37"/>
  <c r="AA162" i="37"/>
  <c r="U160" i="37"/>
  <c r="V161" i="37"/>
  <c r="V159" i="37"/>
  <c r="S162" i="37"/>
  <c r="S154" i="37"/>
  <c r="U152" i="37"/>
  <c r="T160" i="37"/>
  <c r="V156" i="37"/>
  <c r="Z153" i="37"/>
  <c r="Y162" i="37"/>
  <c r="X162" i="37"/>
  <c r="W153" i="37"/>
  <c r="V155" i="37"/>
  <c r="Y160" i="37"/>
  <c r="Z152" i="37"/>
  <c r="AA154" i="37"/>
  <c r="S153" i="37"/>
  <c r="U158" i="37"/>
  <c r="S160" i="37"/>
  <c r="X160" i="37"/>
  <c r="T153" i="37"/>
  <c r="Z162" i="37"/>
  <c r="T162" i="37"/>
  <c r="X153" i="37"/>
  <c r="AA153" i="37"/>
  <c r="X158" i="37"/>
  <c r="R152" i="37"/>
  <c r="Z154" i="37"/>
  <c r="Y152" i="37"/>
  <c r="V154" i="37"/>
  <c r="U155" i="37"/>
  <c r="V152" i="37"/>
  <c r="AA152" i="37"/>
  <c r="X161" i="37"/>
  <c r="Q171" i="37"/>
  <c r="Q162" i="37"/>
  <c r="Q159" i="37"/>
  <c r="Q173" i="37"/>
  <c r="Q158" i="37"/>
  <c r="Q179" i="37"/>
  <c r="Q175" i="37"/>
  <c r="Q178" i="37"/>
  <c r="Q157" i="37"/>
  <c r="Q177" i="37"/>
  <c r="Q153" i="37"/>
  <c r="Q160" i="37"/>
  <c r="Q156" i="37"/>
  <c r="Q174" i="37"/>
  <c r="Q161" i="37"/>
  <c r="Q155" i="37"/>
  <c r="Q176" i="37"/>
  <c r="Q180" i="37"/>
  <c r="Z174" i="37"/>
  <c r="V175" i="37"/>
  <c r="W175" i="37"/>
  <c r="R172" i="37"/>
  <c r="AA177" i="37"/>
  <c r="Y174" i="37"/>
  <c r="T178" i="37"/>
  <c r="U179" i="37"/>
  <c r="R171" i="37"/>
  <c r="S177" i="37"/>
  <c r="X177" i="37"/>
  <c r="W178" i="37"/>
  <c r="W177" i="37"/>
  <c r="S175" i="37"/>
  <c r="S178" i="37"/>
  <c r="V173" i="37"/>
  <c r="S176" i="37"/>
  <c r="Y180" i="37"/>
  <c r="U177" i="37"/>
  <c r="T176" i="37"/>
  <c r="AA175" i="37"/>
  <c r="S180" i="37"/>
  <c r="AA178" i="37"/>
  <c r="AA176" i="37"/>
  <c r="S171" i="37"/>
  <c r="V178" i="37"/>
  <c r="R178" i="37"/>
  <c r="V174" i="37"/>
  <c r="Y173" i="37"/>
  <c r="W179" i="37"/>
  <c r="T173" i="37"/>
  <c r="AA172" i="37"/>
  <c r="AA171" i="37"/>
  <c r="U175" i="37"/>
  <c r="R180" i="37"/>
  <c r="U172" i="37"/>
  <c r="S173" i="37"/>
  <c r="AA180" i="37"/>
  <c r="R176" i="37"/>
  <c r="T180" i="37"/>
  <c r="T175" i="37"/>
  <c r="R177" i="37"/>
  <c r="W173" i="37"/>
  <c r="S179" i="37"/>
  <c r="U173" i="37"/>
  <c r="U178" i="37"/>
  <c r="Z179" i="37"/>
  <c r="U180" i="37"/>
  <c r="R174" i="37"/>
  <c r="R173" i="37"/>
  <c r="AA173" i="37"/>
  <c r="U176" i="37"/>
  <c r="R179" i="37"/>
  <c r="R175" i="37"/>
  <c r="U171" i="37"/>
  <c r="W171" i="37"/>
  <c r="Y179" i="37"/>
  <c r="S174" i="37"/>
  <c r="Z171" i="37"/>
  <c r="S172" i="37"/>
  <c r="W174" i="37"/>
  <c r="Z180" i="37"/>
  <c r="Z175" i="37"/>
  <c r="V177" i="37"/>
  <c r="AA179" i="37"/>
  <c r="W176" i="37"/>
  <c r="V171" i="37"/>
  <c r="T177" i="37"/>
  <c r="X179" i="37"/>
  <c r="T170" i="37"/>
  <c r="Z170" i="37"/>
  <c r="W180" i="37"/>
  <c r="V176" i="37"/>
  <c r="Y175" i="37"/>
  <c r="Y178" i="37"/>
  <c r="X171" i="37"/>
  <c r="X178" i="37"/>
  <c r="X173" i="37"/>
  <c r="V179" i="37"/>
  <c r="Y170" i="37"/>
  <c r="Z172" i="37"/>
  <c r="X176" i="37"/>
  <c r="U170" i="37"/>
  <c r="V172" i="37"/>
  <c r="Z176" i="37"/>
  <c r="Z173" i="37"/>
  <c r="V180" i="37"/>
  <c r="AA174" i="37"/>
  <c r="X172" i="37"/>
  <c r="W172" i="37"/>
  <c r="Y171" i="37"/>
  <c r="T171" i="37"/>
  <c r="X174" i="37"/>
  <c r="S170" i="37"/>
  <c r="Y177" i="37"/>
  <c r="Y172" i="37"/>
  <c r="Z178" i="37"/>
  <c r="AA170" i="37"/>
  <c r="R170" i="37"/>
  <c r="V170" i="37"/>
  <c r="T179" i="37"/>
  <c r="T172" i="37"/>
  <c r="X170" i="37"/>
  <c r="X175" i="37"/>
  <c r="U174" i="37"/>
  <c r="Z177" i="37"/>
  <c r="X180" i="37"/>
  <c r="W170" i="37"/>
  <c r="T174" i="37"/>
  <c r="Y176" i="37"/>
  <c r="Q154" i="37"/>
  <c r="H207" i="22"/>
  <c r="I206" i="22"/>
  <c r="G36" i="22"/>
  <c r="I36" i="22" s="1"/>
  <c r="G15" i="22"/>
  <c r="G59" i="22"/>
  <c r="I59" i="22" s="1"/>
  <c r="G147" i="22"/>
  <c r="I147" i="22" s="1"/>
  <c r="I146" i="22"/>
  <c r="G126" i="22"/>
  <c r="I126" i="22" s="1"/>
  <c r="I127" i="22" s="1"/>
  <c r="I129" i="22" s="1"/>
  <c r="W28" i="22" s="1"/>
  <c r="H60" i="50" l="1"/>
  <c r="I59" i="50"/>
  <c r="G81" i="49"/>
  <c r="H58" i="49"/>
  <c r="I57" i="49"/>
  <c r="G60" i="49"/>
  <c r="G61" i="49" s="1"/>
  <c r="H60" i="47"/>
  <c r="I59" i="47"/>
  <c r="G80" i="46"/>
  <c r="G147" i="44"/>
  <c r="H60" i="44"/>
  <c r="I59" i="44"/>
  <c r="H167" i="43"/>
  <c r="I166" i="43"/>
  <c r="I207" i="22"/>
  <c r="H208" i="22"/>
  <c r="G210" i="22"/>
  <c r="G231" i="22"/>
  <c r="G16" i="22"/>
  <c r="I15" i="22"/>
  <c r="G60" i="22"/>
  <c r="G61" i="22" s="1"/>
  <c r="G37" i="22"/>
  <c r="I37" i="22" s="1"/>
  <c r="I148" i="22"/>
  <c r="I150" i="22" s="1"/>
  <c r="X28" i="22" s="1"/>
  <c r="I60" i="50" l="1"/>
  <c r="I61" i="50" s="1"/>
  <c r="I63" i="50" s="1"/>
  <c r="X6" i="50" s="1"/>
  <c r="H61" i="50"/>
  <c r="H59" i="49"/>
  <c r="I58" i="49"/>
  <c r="I60" i="47"/>
  <c r="I61" i="47" s="1"/>
  <c r="I63" i="47" s="1"/>
  <c r="X6" i="47" s="1"/>
  <c r="H61" i="47"/>
  <c r="G81" i="46"/>
  <c r="I60" i="44"/>
  <c r="I61" i="44" s="1"/>
  <c r="I63" i="44" s="1"/>
  <c r="X26" i="44" s="1"/>
  <c r="H61" i="44"/>
  <c r="H168" i="43"/>
  <c r="I168" i="43" s="1"/>
  <c r="I167" i="43"/>
  <c r="H209" i="22"/>
  <c r="I208" i="22"/>
  <c r="I60" i="22"/>
  <c r="I61" i="22" s="1"/>
  <c r="I63" i="22" s="1"/>
  <c r="X27" i="22" s="1"/>
  <c r="G17" i="22"/>
  <c r="I17" i="22" s="1"/>
  <c r="G38" i="22"/>
  <c r="I38" i="22" s="1"/>
  <c r="I39" i="22" s="1"/>
  <c r="I41" i="22" s="1"/>
  <c r="W27" i="22" s="1"/>
  <c r="I16" i="22"/>
  <c r="G95" i="22"/>
  <c r="G96" i="22" s="1"/>
  <c r="G97" i="22" s="1"/>
  <c r="H95" i="22"/>
  <c r="H96" i="22" s="1"/>
  <c r="H97" i="22" s="1"/>
  <c r="H98" i="22" s="1"/>
  <c r="H99" i="22" s="1"/>
  <c r="H100" i="22" s="1"/>
  <c r="H101" i="22" s="1"/>
  <c r="H102" i="22" s="1"/>
  <c r="H103" i="22" s="1"/>
  <c r="H104" i="22" s="1"/>
  <c r="H105" i="22" s="1"/>
  <c r="H60" i="49" l="1"/>
  <c r="I60" i="49" s="1"/>
  <c r="I59" i="49"/>
  <c r="H61" i="49"/>
  <c r="I169" i="43"/>
  <c r="I171" i="43" s="1"/>
  <c r="Y7" i="43" s="1"/>
  <c r="H210" i="22"/>
  <c r="I210" i="22" s="1"/>
  <c r="I209" i="22"/>
  <c r="I96" i="22"/>
  <c r="I95" i="22"/>
  <c r="I18" i="22"/>
  <c r="I20" i="22" s="1"/>
  <c r="V27" i="22" s="1"/>
  <c r="G98" i="22"/>
  <c r="I97" i="22"/>
  <c r="I61" i="49" l="1"/>
  <c r="I63" i="49" s="1"/>
  <c r="X6" i="49" s="1"/>
  <c r="I211" i="22"/>
  <c r="I213" i="22" s="1"/>
  <c r="W26" i="22" s="1"/>
  <c r="G99" i="22"/>
  <c r="I98" i="22"/>
  <c r="G100" i="22" l="1"/>
  <c r="I100" i="22" s="1"/>
  <c r="I99" i="22"/>
  <c r="G101" i="22" l="1"/>
  <c r="G102" i="22" l="1"/>
  <c r="I102" i="22" s="1"/>
  <c r="I101" i="22"/>
  <c r="G103" i="22" l="1"/>
  <c r="I103" i="22" s="1"/>
  <c r="G104" i="22" l="1"/>
  <c r="I104" i="22" s="1"/>
  <c r="G105" i="22" l="1"/>
  <c r="I105" i="22" s="1"/>
  <c r="I106" i="22" s="1"/>
  <c r="I108" i="22" s="1"/>
  <c r="V28" i="22" s="1"/>
  <c r="G283" i="22"/>
  <c r="G284" i="22" s="1"/>
  <c r="G285" i="22" l="1"/>
  <c r="G286" i="22" l="1"/>
  <c r="G287" i="22" s="1"/>
  <c r="H221" i="22" l="1"/>
  <c r="H222" i="22" s="1"/>
  <c r="G179" i="22"/>
  <c r="G180" i="22" s="1"/>
  <c r="H179" i="22"/>
  <c r="H180" i="22" s="1"/>
  <c r="H181" i="22" s="1"/>
  <c r="H182" i="22" s="1"/>
  <c r="H183" i="22" s="1"/>
  <c r="H184" i="22" s="1"/>
  <c r="H185" i="22" s="1"/>
  <c r="H186" i="22" s="1"/>
  <c r="H187" i="22" s="1"/>
  <c r="H188" i="22" s="1"/>
  <c r="H189" i="22" s="1"/>
  <c r="I221" i="22" l="1"/>
  <c r="I179" i="22"/>
  <c r="H223" i="22"/>
  <c r="I223" i="22" s="1"/>
  <c r="I222" i="22"/>
  <c r="I180" i="22"/>
  <c r="G181" i="22"/>
  <c r="I181" i="22" s="1"/>
  <c r="H224" i="22" l="1"/>
  <c r="H225" i="22" s="1"/>
  <c r="G182" i="22"/>
  <c r="I182" i="22" s="1"/>
  <c r="I224" i="22" l="1"/>
  <c r="G183" i="22"/>
  <c r="I183" i="22" s="1"/>
  <c r="I225" i="22"/>
  <c r="H226" i="22"/>
  <c r="H227" i="22" l="1"/>
  <c r="I226" i="22"/>
  <c r="G184" i="22"/>
  <c r="I184" i="22" s="1"/>
  <c r="I227" i="22" l="1"/>
  <c r="H228" i="22"/>
  <c r="G185" i="22"/>
  <c r="I185" i="22" s="1"/>
  <c r="H282" i="22"/>
  <c r="I282" i="22" s="1"/>
  <c r="G288" i="22"/>
  <c r="G289" i="22" s="1"/>
  <c r="G290" i="22" s="1"/>
  <c r="G291" i="22" s="1"/>
  <c r="G292" i="22" s="1"/>
  <c r="H324" i="22"/>
  <c r="G324" i="22"/>
  <c r="G325" i="22" s="1"/>
  <c r="H283" i="22" l="1"/>
  <c r="G262" i="22"/>
  <c r="H229" i="22"/>
  <c r="I228" i="22"/>
  <c r="I324" i="22"/>
  <c r="G186" i="22"/>
  <c r="I186" i="22" s="1"/>
  <c r="G326" i="22"/>
  <c r="H325" i="22"/>
  <c r="H326" i="22" s="1"/>
  <c r="H327" i="22" s="1"/>
  <c r="H328" i="22" s="1"/>
  <c r="H329" i="22" s="1"/>
  <c r="H330" i="22" s="1"/>
  <c r="H331" i="22" s="1"/>
  <c r="H332" i="22" s="1"/>
  <c r="H333" i="22" s="1"/>
  <c r="H334" i="22" s="1"/>
  <c r="I283" i="22" l="1"/>
  <c r="H284" i="22"/>
  <c r="H230" i="22"/>
  <c r="I229" i="22"/>
  <c r="G187" i="22"/>
  <c r="I187" i="22" s="1"/>
  <c r="I325" i="22"/>
  <c r="G327" i="22"/>
  <c r="I327" i="22" s="1"/>
  <c r="I326" i="22"/>
  <c r="H285" i="22" l="1"/>
  <c r="I284" i="22"/>
  <c r="G263" i="22"/>
  <c r="H231" i="22"/>
  <c r="I231" i="22" s="1"/>
  <c r="I230" i="22"/>
  <c r="G188" i="22"/>
  <c r="I188" i="22" s="1"/>
  <c r="G328" i="22"/>
  <c r="I328" i="22" s="1"/>
  <c r="G264" i="22" l="1"/>
  <c r="I232" i="22"/>
  <c r="I234" i="22" s="1"/>
  <c r="X26" i="22" s="1"/>
  <c r="I285" i="22"/>
  <c r="H286" i="22"/>
  <c r="G189" i="22"/>
  <c r="I189" i="22" s="1"/>
  <c r="I190" i="22" s="1"/>
  <c r="I192" i="22" s="1"/>
  <c r="V26" i="22" s="1"/>
  <c r="G329" i="22"/>
  <c r="I329" i="22" s="1"/>
  <c r="I286" i="22" l="1"/>
  <c r="H287" i="22"/>
  <c r="G265" i="22"/>
  <c r="G330" i="22"/>
  <c r="I330" i="22" s="1"/>
  <c r="I287" i="22" l="1"/>
  <c r="H288" i="22"/>
  <c r="G331" i="22"/>
  <c r="I331" i="22" s="1"/>
  <c r="I288" i="22" l="1"/>
  <c r="H289" i="22"/>
  <c r="G332" i="22"/>
  <c r="I332" i="22" s="1"/>
  <c r="H290" i="22" l="1"/>
  <c r="I289" i="22"/>
  <c r="G333" i="22"/>
  <c r="H291" i="22" l="1"/>
  <c r="I290" i="22"/>
  <c r="G334" i="22"/>
  <c r="I334" i="22" s="1"/>
  <c r="I333" i="22"/>
  <c r="I291" i="22" l="1"/>
  <c r="H292" i="22"/>
  <c r="I335" i="22"/>
  <c r="I337" i="22" s="1"/>
  <c r="I292" i="22" l="1"/>
  <c r="I293" i="22"/>
  <c r="I295" i="22" s="1"/>
  <c r="G71" i="22" l="1"/>
  <c r="H71" i="22"/>
  <c r="H242" i="22"/>
  <c r="I242" i="22" s="1"/>
  <c r="H262" i="22"/>
  <c r="I262" i="22"/>
  <c r="H263" i="22"/>
  <c r="H264" i="22" s="1"/>
  <c r="G266" i="22"/>
  <c r="I71" i="22" l="1"/>
  <c r="I263" i="22"/>
  <c r="I264" i="22"/>
  <c r="H265" i="22"/>
  <c r="G158" i="22"/>
  <c r="G267" i="22"/>
  <c r="I265" i="22" l="1"/>
  <c r="H266" i="22"/>
  <c r="H243" i="22"/>
  <c r="G268" i="22"/>
  <c r="G159" i="22"/>
  <c r="H267" i="22" l="1"/>
  <c r="I266" i="22"/>
  <c r="H244" i="22"/>
  <c r="G160" i="22"/>
  <c r="G269" i="22"/>
  <c r="H268" i="22" l="1"/>
  <c r="I267" i="22"/>
  <c r="G270" i="22"/>
  <c r="H269" i="22" l="1"/>
  <c r="I268" i="22"/>
  <c r="G271" i="22"/>
  <c r="H270" i="22" l="1"/>
  <c r="I269" i="22"/>
  <c r="G272" i="22"/>
  <c r="H271" i="22" l="1"/>
  <c r="I270" i="22"/>
  <c r="G72" i="22"/>
  <c r="H272" i="22" l="1"/>
  <c r="I272" i="22" s="1"/>
  <c r="I271" i="22"/>
  <c r="I273" i="22" s="1"/>
  <c r="I275" i="22" s="1"/>
  <c r="G73" i="22"/>
  <c r="G74" i="22" l="1"/>
  <c r="G243" i="22"/>
  <c r="G244" i="22" l="1"/>
  <c r="I244" i="22" s="1"/>
  <c r="I243" i="22"/>
  <c r="G75" i="22"/>
  <c r="G76" i="22" l="1"/>
  <c r="G245" i="22"/>
  <c r="G77" i="22" l="1"/>
  <c r="G78" i="22" s="1"/>
  <c r="G79" i="22" l="1"/>
  <c r="G246" i="22"/>
  <c r="G247" i="22" l="1"/>
  <c r="G80" i="22"/>
  <c r="G81" i="22" s="1"/>
  <c r="G248" i="22" l="1"/>
  <c r="G249" i="22" s="1"/>
  <c r="G250" i="22" s="1"/>
  <c r="H72" i="22"/>
  <c r="I72" i="22" s="1"/>
  <c r="H158" i="22"/>
  <c r="I158" i="22"/>
  <c r="H159" i="22"/>
  <c r="I159" i="22" s="1"/>
  <c r="H160" i="22"/>
  <c r="H161" i="22" s="1"/>
  <c r="I160" i="22"/>
  <c r="G161" i="22"/>
  <c r="G162" i="22"/>
  <c r="G163" i="22"/>
  <c r="G164" i="22" s="1"/>
  <c r="I161" i="22" l="1"/>
  <c r="H162" i="22"/>
  <c r="G165" i="22"/>
  <c r="H73" i="22"/>
  <c r="G251" i="22"/>
  <c r="G252" i="22" s="1"/>
  <c r="H245" i="22"/>
  <c r="I245" i="22" s="1"/>
  <c r="H246" i="22"/>
  <c r="I246" i="22" s="1"/>
  <c r="G386" i="22"/>
  <c r="G387" i="22" s="1"/>
  <c r="G388" i="22" s="1"/>
  <c r="G389" i="22" s="1"/>
  <c r="G390" i="22" s="1"/>
  <c r="G391" i="22" s="1"/>
  <c r="G392" i="22" s="1"/>
  <c r="G393" i="22" s="1"/>
  <c r="G394" i="22" s="1"/>
  <c r="G395" i="22" s="1"/>
  <c r="G396" i="22" s="1"/>
  <c r="H386" i="22"/>
  <c r="H387" i="22" s="1"/>
  <c r="H247" i="22" l="1"/>
  <c r="G166" i="22"/>
  <c r="H163" i="22"/>
  <c r="I162" i="22"/>
  <c r="I73" i="22"/>
  <c r="H74" i="22"/>
  <c r="I387" i="22"/>
  <c r="H388" i="22"/>
  <c r="I386" i="22"/>
  <c r="H248" i="22" l="1"/>
  <c r="I247" i="22"/>
  <c r="H164" i="22"/>
  <c r="I163" i="22"/>
  <c r="G167" i="22"/>
  <c r="I74" i="22"/>
  <c r="H75" i="22"/>
  <c r="H389" i="22"/>
  <c r="I388" i="22"/>
  <c r="I248" i="22" l="1"/>
  <c r="H249" i="22"/>
  <c r="G168" i="22"/>
  <c r="H165" i="22"/>
  <c r="I164" i="22"/>
  <c r="I75" i="22"/>
  <c r="H76" i="22"/>
  <c r="I389" i="22"/>
  <c r="H390" i="22"/>
  <c r="I249" i="22" l="1"/>
  <c r="H250" i="22"/>
  <c r="H166" i="22"/>
  <c r="I165" i="22"/>
  <c r="H77" i="22"/>
  <c r="I76" i="22"/>
  <c r="H391" i="22"/>
  <c r="I390" i="22"/>
  <c r="I250" i="22" l="1"/>
  <c r="H251" i="22"/>
  <c r="H167" i="22"/>
  <c r="I166" i="22"/>
  <c r="I77" i="22"/>
  <c r="H78" i="22"/>
  <c r="I391" i="22"/>
  <c r="H392" i="22"/>
  <c r="I251" i="22" l="1"/>
  <c r="H252" i="22"/>
  <c r="I252" i="22" s="1"/>
  <c r="H168" i="22"/>
  <c r="I168" i="22" s="1"/>
  <c r="I167" i="22"/>
  <c r="H79" i="22"/>
  <c r="I78" i="22"/>
  <c r="I392" i="22"/>
  <c r="H393" i="22"/>
  <c r="I253" i="22" l="1"/>
  <c r="I255" i="22" s="1"/>
  <c r="Y26" i="22" s="1"/>
  <c r="I169" i="22"/>
  <c r="I171" i="22" s="1"/>
  <c r="Y28" i="22" s="1"/>
  <c r="H80" i="22"/>
  <c r="I79" i="22"/>
  <c r="H394" i="22"/>
  <c r="I393" i="22"/>
  <c r="I80" i="22" l="1"/>
  <c r="H81" i="22"/>
  <c r="I81" i="22" s="1"/>
  <c r="I82" i="22" s="1"/>
  <c r="I84" i="22" s="1"/>
  <c r="Y27" i="22" s="1"/>
  <c r="H395" i="22"/>
  <c r="I394" i="22"/>
  <c r="I395" i="22" l="1"/>
  <c r="H396" i="22"/>
  <c r="I396" i="22" s="1"/>
  <c r="G365" i="22"/>
  <c r="G366" i="22" s="1"/>
  <c r="G367" i="22" s="1"/>
  <c r="G368" i="22" s="1"/>
  <c r="H365" i="22"/>
  <c r="H366" i="22" s="1"/>
  <c r="I397" i="22" l="1"/>
  <c r="I399" i="22" s="1"/>
  <c r="H367" i="22"/>
  <c r="H368" i="22" s="1"/>
  <c r="H369" i="22" s="1"/>
  <c r="H370" i="22" s="1"/>
  <c r="H371" i="22" s="1"/>
  <c r="H372" i="22" s="1"/>
  <c r="H373" i="22" s="1"/>
  <c r="I366" i="22"/>
  <c r="I367" i="22"/>
  <c r="I365" i="22"/>
  <c r="G369" i="22"/>
  <c r="I368" i="22"/>
  <c r="G370" i="22" l="1"/>
  <c r="I370" i="22" s="1"/>
  <c r="I369" i="22"/>
  <c r="G371" i="22" l="1"/>
  <c r="I371" i="22" s="1"/>
  <c r="G372" i="22" l="1"/>
  <c r="I372" i="22" s="1"/>
  <c r="G373" i="22" l="1"/>
  <c r="I373" i="22" s="1"/>
  <c r="I374" i="22" s="1"/>
  <c r="I376" i="22" s="1"/>
  <c r="H7" i="43" l="1"/>
  <c r="I7" i="43" s="1"/>
  <c r="H8" i="43"/>
  <c r="I8" i="43" s="1"/>
  <c r="H9" i="43"/>
  <c r="I9" i="43" s="1"/>
  <c r="H10" i="43"/>
  <c r="H11" i="43" s="1"/>
  <c r="G28" i="43"/>
  <c r="I29" i="43" s="1"/>
  <c r="I28" i="43"/>
  <c r="G29" i="43"/>
  <c r="G30" i="43" s="1"/>
  <c r="G50" i="43"/>
  <c r="G51" i="43" s="1"/>
  <c r="I50" i="43"/>
  <c r="H73" i="43"/>
  <c r="H74" i="43"/>
  <c r="H75" i="43" s="1"/>
  <c r="I73" i="43"/>
  <c r="I74" i="43"/>
  <c r="H95" i="43"/>
  <c r="I95" i="43" s="1"/>
  <c r="H116" i="43"/>
  <c r="H117" i="43"/>
  <c r="H118" i="43" s="1"/>
  <c r="I116" i="43"/>
  <c r="H137" i="43"/>
  <c r="H138" i="43" s="1"/>
  <c r="H182" i="43"/>
  <c r="H183" i="43" s="1"/>
  <c r="I182" i="43"/>
  <c r="H200" i="43"/>
  <c r="H201" i="43"/>
  <c r="I201" i="43" s="1"/>
  <c r="I200" i="43"/>
  <c r="G228" i="43"/>
  <c r="H221" i="43"/>
  <c r="H222" i="43" s="1"/>
  <c r="I221" i="43"/>
  <c r="H244" i="43"/>
  <c r="H245" i="43"/>
  <c r="H246" i="43" s="1"/>
  <c r="I244" i="43"/>
  <c r="I245" i="43"/>
  <c r="H247" i="43" l="1"/>
  <c r="I246" i="43"/>
  <c r="H119" i="43"/>
  <c r="I118" i="43"/>
  <c r="H184" i="43"/>
  <c r="I183" i="43"/>
  <c r="H139" i="43"/>
  <c r="I138" i="43"/>
  <c r="G31" i="43"/>
  <c r="I31" i="43"/>
  <c r="H12" i="43"/>
  <c r="I11" i="43"/>
  <c r="I222" i="43"/>
  <c r="H223" i="43"/>
  <c r="H76" i="43"/>
  <c r="I75" i="43"/>
  <c r="G52" i="43"/>
  <c r="I52" i="43"/>
  <c r="H96" i="43"/>
  <c r="G229" i="43"/>
  <c r="H202" i="43"/>
  <c r="I117" i="43"/>
  <c r="I10" i="43"/>
  <c r="I30" i="43"/>
  <c r="I51" i="43"/>
  <c r="I137" i="43"/>
  <c r="G53" i="43" l="1"/>
  <c r="I53" i="43"/>
  <c r="G230" i="43"/>
  <c r="I202" i="43"/>
  <c r="H203" i="43"/>
  <c r="H185" i="43"/>
  <c r="I184" i="43"/>
  <c r="I76" i="43"/>
  <c r="H77" i="43"/>
  <c r="H120" i="43"/>
  <c r="I119" i="43"/>
  <c r="H13" i="43"/>
  <c r="I12" i="43"/>
  <c r="H140" i="43"/>
  <c r="I139" i="43"/>
  <c r="I96" i="43"/>
  <c r="H97" i="43"/>
  <c r="G32" i="43"/>
  <c r="I32" i="43"/>
  <c r="I223" i="43"/>
  <c r="H224" i="43"/>
  <c r="I247" i="43"/>
  <c r="H248" i="43"/>
  <c r="I120" i="43" l="1"/>
  <c r="H121" i="43"/>
  <c r="I54" i="43"/>
  <c r="G54" i="43"/>
  <c r="G231" i="43"/>
  <c r="H186" i="43"/>
  <c r="I185" i="43"/>
  <c r="H141" i="43"/>
  <c r="I140" i="43"/>
  <c r="H98" i="43"/>
  <c r="I97" i="43"/>
  <c r="I248" i="43"/>
  <c r="H249" i="43"/>
  <c r="I13" i="43"/>
  <c r="H14" i="43"/>
  <c r="H204" i="43"/>
  <c r="I203" i="43"/>
  <c r="H225" i="43"/>
  <c r="I224" i="43"/>
  <c r="I77" i="43"/>
  <c r="H78" i="43"/>
  <c r="I33" i="43"/>
  <c r="G33" i="43"/>
  <c r="H142" i="43" l="1"/>
  <c r="I141" i="43"/>
  <c r="I78" i="43"/>
  <c r="H79" i="43"/>
  <c r="H250" i="43"/>
  <c r="I249" i="43"/>
  <c r="I225" i="43"/>
  <c r="H226" i="43"/>
  <c r="G55" i="43"/>
  <c r="I55" i="43"/>
  <c r="H187" i="43"/>
  <c r="I186" i="43"/>
  <c r="H205" i="43"/>
  <c r="I204" i="43"/>
  <c r="H99" i="43"/>
  <c r="I98" i="43"/>
  <c r="G34" i="43"/>
  <c r="I34" i="43"/>
  <c r="I14" i="43"/>
  <c r="H15" i="43"/>
  <c r="I121" i="43"/>
  <c r="H122" i="43"/>
  <c r="I187" i="43" l="1"/>
  <c r="H188" i="43"/>
  <c r="I142" i="43"/>
  <c r="H143" i="43"/>
  <c r="G56" i="43"/>
  <c r="I56" i="43"/>
  <c r="I99" i="43"/>
  <c r="H100" i="43"/>
  <c r="H251" i="43"/>
  <c r="I250" i="43"/>
  <c r="G35" i="43"/>
  <c r="I35" i="43"/>
  <c r="H227" i="43"/>
  <c r="I226" i="43"/>
  <c r="I122" i="43"/>
  <c r="H123" i="43"/>
  <c r="H206" i="43"/>
  <c r="I205" i="43"/>
  <c r="I15" i="43"/>
  <c r="H16" i="43"/>
  <c r="I79" i="43"/>
  <c r="H80" i="43"/>
  <c r="I16" i="43" l="1"/>
  <c r="H17" i="43"/>
  <c r="I17" i="43" s="1"/>
  <c r="I18" i="43" s="1"/>
  <c r="I20" i="43" s="1"/>
  <c r="V6" i="43" s="1"/>
  <c r="G57" i="43"/>
  <c r="I57" i="43"/>
  <c r="I143" i="43"/>
  <c r="H144" i="43"/>
  <c r="H228" i="43"/>
  <c r="I227" i="43"/>
  <c r="G36" i="43"/>
  <c r="I36" i="43"/>
  <c r="I123" i="43"/>
  <c r="H124" i="43"/>
  <c r="I100" i="43"/>
  <c r="H101" i="43"/>
  <c r="I188" i="43"/>
  <c r="H189" i="43"/>
  <c r="I189" i="43" s="1"/>
  <c r="I190" i="43" s="1"/>
  <c r="I192" i="43" s="1"/>
  <c r="V8" i="43" s="1"/>
  <c r="H81" i="43"/>
  <c r="I81" i="43" s="1"/>
  <c r="I80" i="43"/>
  <c r="H207" i="43"/>
  <c r="I206" i="43"/>
  <c r="H252" i="43"/>
  <c r="I252" i="43" s="1"/>
  <c r="I253" i="43" s="1"/>
  <c r="I255" i="43" s="1"/>
  <c r="Y8" i="43" s="1"/>
  <c r="I251" i="43"/>
  <c r="I101" i="43" l="1"/>
  <c r="H102" i="43"/>
  <c r="H229" i="43"/>
  <c r="I228" i="43"/>
  <c r="G58" i="43"/>
  <c r="I207" i="43"/>
  <c r="H208" i="43"/>
  <c r="H145" i="43"/>
  <c r="I144" i="43"/>
  <c r="I124" i="43"/>
  <c r="H125" i="43"/>
  <c r="I82" i="43"/>
  <c r="I84" i="43" s="1"/>
  <c r="Y6" i="43" s="1"/>
  <c r="G37" i="43"/>
  <c r="G59" i="43" l="1"/>
  <c r="I59" i="43"/>
  <c r="G38" i="43"/>
  <c r="I38" i="43" s="1"/>
  <c r="I39" i="43" s="1"/>
  <c r="I41" i="43" s="1"/>
  <c r="W6" i="43" s="1"/>
  <c r="I37" i="43"/>
  <c r="H146" i="43"/>
  <c r="I145" i="43"/>
  <c r="H126" i="43"/>
  <c r="I126" i="43" s="1"/>
  <c r="I127" i="43" s="1"/>
  <c r="I129" i="43" s="1"/>
  <c r="W7" i="43" s="1"/>
  <c r="I125" i="43"/>
  <c r="I58" i="43"/>
  <c r="H230" i="43"/>
  <c r="I229" i="43"/>
  <c r="I102" i="43"/>
  <c r="H103" i="43"/>
  <c r="I208" i="43"/>
  <c r="H209" i="43"/>
  <c r="I209" i="43" l="1"/>
  <c r="H210" i="43"/>
  <c r="I210" i="43" s="1"/>
  <c r="I211" i="43" s="1"/>
  <c r="I213" i="43" s="1"/>
  <c r="W8" i="43" s="1"/>
  <c r="H231" i="43"/>
  <c r="I231" i="43" s="1"/>
  <c r="I230" i="43"/>
  <c r="I103" i="43"/>
  <c r="H104" i="43"/>
  <c r="H147" i="43"/>
  <c r="I147" i="43" s="1"/>
  <c r="I148" i="43" s="1"/>
  <c r="I150" i="43" s="1"/>
  <c r="X7" i="43" s="1"/>
  <c r="I146" i="43"/>
  <c r="G60" i="43"/>
  <c r="G61" i="43" s="1"/>
  <c r="I60" i="43"/>
  <c r="I61" i="43" s="1"/>
  <c r="I63" i="43" s="1"/>
  <c r="X6" i="43" s="1"/>
  <c r="I232" i="43" l="1"/>
  <c r="I234" i="43" s="1"/>
  <c r="X8" i="43" s="1"/>
  <c r="I104" i="43"/>
  <c r="H105" i="43"/>
  <c r="I105" i="43" s="1"/>
  <c r="I106" i="43" l="1"/>
  <c r="I108" i="43" s="1"/>
  <c r="V7" i="43" s="1"/>
  <c r="H7" i="44"/>
  <c r="H8" i="44"/>
  <c r="H9" i="44"/>
  <c r="H10" i="44"/>
  <c r="H11" i="44"/>
  <c r="H12" i="44"/>
  <c r="H13" i="44"/>
  <c r="H14" i="44"/>
  <c r="H15" i="44"/>
  <c r="H16" i="44"/>
  <c r="H17" i="44"/>
  <c r="I17" i="44"/>
  <c r="I16" i="44"/>
  <c r="I15" i="44"/>
  <c r="I7" i="44"/>
  <c r="I8" i="44"/>
  <c r="I9" i="44"/>
  <c r="I10" i="44"/>
  <c r="I11" i="44"/>
  <c r="I12" i="44"/>
  <c r="I13" i="44"/>
  <c r="I14" i="44"/>
  <c r="I18" i="44"/>
  <c r="I20" i="44"/>
  <c r="V26" i="44"/>
  <c r="H28" i="44"/>
  <c r="H29" i="44"/>
  <c r="H30" i="44"/>
  <c r="H31" i="44"/>
  <c r="H32" i="44"/>
  <c r="H33" i="44"/>
  <c r="H34" i="44"/>
  <c r="H35" i="44"/>
  <c r="H36" i="44"/>
  <c r="H37" i="44"/>
  <c r="I37" i="44"/>
  <c r="H38" i="44"/>
  <c r="I38" i="44"/>
  <c r="I36" i="44"/>
  <c r="I28" i="44"/>
  <c r="I29" i="44"/>
  <c r="I30" i="44"/>
  <c r="I31" i="44"/>
  <c r="I32" i="44"/>
  <c r="I33" i="44"/>
  <c r="I34" i="44"/>
  <c r="I35" i="44"/>
  <c r="I39" i="44"/>
  <c r="I41" i="44"/>
  <c r="W26" i="44"/>
  <c r="H71" i="44"/>
  <c r="H72" i="44"/>
  <c r="H73" i="44"/>
  <c r="H74" i="44"/>
  <c r="H75" i="44"/>
  <c r="H76" i="44"/>
  <c r="H77" i="44"/>
  <c r="H78" i="44"/>
  <c r="H79" i="44"/>
  <c r="H80" i="44"/>
  <c r="H81" i="44"/>
  <c r="I81" i="44"/>
  <c r="I80" i="44"/>
  <c r="I71" i="44"/>
  <c r="I72" i="44"/>
  <c r="I73" i="44"/>
  <c r="I74" i="44"/>
  <c r="I75" i="44"/>
  <c r="I76" i="44"/>
  <c r="I77" i="44"/>
  <c r="I78" i="44"/>
  <c r="I79" i="44"/>
  <c r="I82" i="44"/>
  <c r="I84" i="44"/>
  <c r="Y26" i="44"/>
  <c r="H98" i="44"/>
  <c r="H99" i="44"/>
  <c r="H100" i="44"/>
  <c r="H101" i="44"/>
  <c r="H102" i="44"/>
  <c r="H103" i="44"/>
  <c r="H104" i="44"/>
  <c r="H105" i="44"/>
  <c r="I105" i="44"/>
  <c r="I104" i="44"/>
  <c r="I101" i="44"/>
  <c r="I100" i="44"/>
  <c r="I98" i="44"/>
  <c r="I99" i="44"/>
  <c r="I102" i="44"/>
  <c r="I103" i="44"/>
  <c r="I106" i="44"/>
  <c r="I108" i="44"/>
  <c r="V27" i="44"/>
  <c r="H116" i="44"/>
  <c r="H117" i="44"/>
  <c r="H118" i="44"/>
  <c r="H119" i="44"/>
  <c r="H120" i="44"/>
  <c r="H121" i="44"/>
  <c r="H122" i="44"/>
  <c r="H123" i="44"/>
  <c r="H124" i="44"/>
  <c r="H125" i="44"/>
  <c r="H126" i="44"/>
  <c r="I126" i="44"/>
  <c r="I125" i="44"/>
  <c r="I124" i="44"/>
  <c r="I116" i="44"/>
  <c r="I117" i="44"/>
  <c r="I118" i="44"/>
  <c r="I119" i="44"/>
  <c r="I120" i="44"/>
  <c r="I121" i="44"/>
  <c r="I122" i="44"/>
  <c r="I123" i="44"/>
  <c r="I127" i="44"/>
  <c r="I129" i="44"/>
  <c r="W27" i="44"/>
  <c r="H139" i="44"/>
  <c r="H140" i="44"/>
  <c r="H141" i="44"/>
  <c r="H142" i="44"/>
  <c r="H143" i="44"/>
  <c r="H144" i="44"/>
  <c r="H145" i="44"/>
  <c r="H146" i="44"/>
  <c r="H147" i="44"/>
  <c r="I147" i="44"/>
  <c r="I139" i="44"/>
  <c r="I140" i="44"/>
  <c r="I141" i="44"/>
  <c r="I142" i="44"/>
  <c r="I143" i="44"/>
  <c r="I144" i="44"/>
  <c r="I145" i="44"/>
  <c r="I146" i="44"/>
  <c r="I148" i="44"/>
  <c r="I150" i="44"/>
  <c r="X27" i="44"/>
  <c r="H161" i="44"/>
  <c r="H162" i="44"/>
  <c r="H163" i="44"/>
  <c r="H164" i="44"/>
  <c r="H165" i="44"/>
  <c r="H166" i="44"/>
  <c r="H167" i="44"/>
  <c r="H168" i="44"/>
  <c r="I168" i="44"/>
  <c r="I164" i="44"/>
  <c r="I165" i="44"/>
  <c r="I163" i="44"/>
  <c r="I161" i="44"/>
  <c r="I162" i="44"/>
  <c r="I166" i="44"/>
  <c r="I167" i="44"/>
  <c r="I169" i="44"/>
  <c r="I171" i="44"/>
  <c r="Y27" i="44"/>
  <c r="H182" i="44"/>
  <c r="H183" i="44"/>
  <c r="H184" i="44"/>
  <c r="H185" i="44"/>
  <c r="H186" i="44"/>
  <c r="H187" i="44"/>
  <c r="H188" i="44"/>
  <c r="H189" i="44"/>
  <c r="I189" i="44"/>
  <c r="I188" i="44"/>
  <c r="I182" i="44"/>
  <c r="I183" i="44"/>
  <c r="I184" i="44"/>
  <c r="I185" i="44"/>
  <c r="I186" i="44"/>
  <c r="I187" i="44"/>
  <c r="I190" i="44"/>
  <c r="I192" i="44"/>
  <c r="V28" i="44"/>
  <c r="H200" i="44"/>
  <c r="H201" i="44"/>
  <c r="H202" i="44"/>
  <c r="H203" i="44"/>
  <c r="H204" i="44"/>
  <c r="H205" i="44"/>
  <c r="H206" i="44"/>
  <c r="H207" i="44"/>
  <c r="H208" i="44"/>
  <c r="H209" i="44"/>
  <c r="H210" i="44"/>
  <c r="I210" i="44"/>
  <c r="I209" i="44"/>
  <c r="I208" i="44"/>
  <c r="I206" i="44"/>
  <c r="I205" i="44"/>
  <c r="I204" i="44"/>
  <c r="I201" i="44"/>
  <c r="I202" i="44"/>
  <c r="I200" i="44"/>
  <c r="I203" i="44"/>
  <c r="I207" i="44"/>
  <c r="I211" i="44"/>
  <c r="I213" i="44"/>
  <c r="W28" i="44"/>
  <c r="H223" i="44"/>
  <c r="H224" i="44"/>
  <c r="H225" i="44"/>
  <c r="H226" i="44"/>
  <c r="H227" i="44"/>
  <c r="H228" i="44"/>
  <c r="H229" i="44"/>
  <c r="H230" i="44"/>
  <c r="H231" i="44"/>
  <c r="I231" i="44"/>
  <c r="I229" i="44"/>
  <c r="I228" i="44"/>
  <c r="I223" i="44"/>
  <c r="I224" i="44"/>
  <c r="I225" i="44"/>
  <c r="I226" i="44"/>
  <c r="I227" i="44"/>
  <c r="I230" i="44"/>
  <c r="I232" i="44"/>
  <c r="I234" i="44"/>
  <c r="X28" i="44"/>
  <c r="H10" i="45"/>
  <c r="H11" i="45" s="1"/>
  <c r="I10" i="45"/>
  <c r="H28" i="45"/>
  <c r="I28" i="45" s="1"/>
  <c r="G50" i="45"/>
  <c r="I50" i="45"/>
  <c r="G51" i="45"/>
  <c r="G52" i="45" s="1"/>
  <c r="I51" i="45"/>
  <c r="H73" i="45"/>
  <c r="I73" i="45" s="1"/>
  <c r="H74" i="45"/>
  <c r="H75" i="45" s="1"/>
  <c r="H101" i="45"/>
  <c r="I101" i="45" s="1"/>
  <c r="H116" i="45"/>
  <c r="H117" i="45"/>
  <c r="H118" i="45"/>
  <c r="H119" i="45" s="1"/>
  <c r="I116" i="45"/>
  <c r="I117" i="45"/>
  <c r="H138" i="45"/>
  <c r="H139" i="45"/>
  <c r="H140" i="45" s="1"/>
  <c r="I138" i="45"/>
  <c r="H182" i="45"/>
  <c r="H183" i="45" s="1"/>
  <c r="I182" i="45"/>
  <c r="H200" i="45"/>
  <c r="H201" i="45" s="1"/>
  <c r="I200" i="45"/>
  <c r="H222" i="45"/>
  <c r="H223" i="45" s="1"/>
  <c r="I222" i="45"/>
  <c r="H245" i="45"/>
  <c r="I245" i="45"/>
  <c r="H246" i="45"/>
  <c r="I246" i="45" s="1"/>
  <c r="H247" i="45"/>
  <c r="I247" i="45" s="1"/>
  <c r="H120" i="45" l="1"/>
  <c r="I119" i="45"/>
  <c r="H202" i="45"/>
  <c r="I201" i="45"/>
  <c r="H224" i="45"/>
  <c r="I223" i="45"/>
  <c r="H184" i="45"/>
  <c r="I183" i="45"/>
  <c r="H141" i="45"/>
  <c r="I140" i="45"/>
  <c r="H76" i="45"/>
  <c r="I75" i="45"/>
  <c r="H12" i="45"/>
  <c r="I11" i="45"/>
  <c r="G53" i="45"/>
  <c r="I53" i="45" s="1"/>
  <c r="H248" i="45"/>
  <c r="I118" i="45"/>
  <c r="H102" i="45"/>
  <c r="H29" i="45"/>
  <c r="I139" i="45"/>
  <c r="I74" i="45"/>
  <c r="I52" i="45"/>
  <c r="H142" i="45" l="1"/>
  <c r="I141" i="45"/>
  <c r="I29" i="45"/>
  <c r="H30" i="45"/>
  <c r="I102" i="45"/>
  <c r="H103" i="45"/>
  <c r="H185" i="45"/>
  <c r="I184" i="45"/>
  <c r="H13" i="45"/>
  <c r="I12" i="45"/>
  <c r="H77" i="45"/>
  <c r="I76" i="45"/>
  <c r="G54" i="45"/>
  <c r="I54" i="45"/>
  <c r="H203" i="45"/>
  <c r="I202" i="45"/>
  <c r="H249" i="45"/>
  <c r="I248" i="45"/>
  <c r="H225" i="45"/>
  <c r="I224" i="45"/>
  <c r="I120" i="45"/>
  <c r="H121" i="45"/>
  <c r="H78" i="45" l="1"/>
  <c r="I77" i="45"/>
  <c r="I121" i="45"/>
  <c r="H122" i="45"/>
  <c r="I30" i="45"/>
  <c r="H31" i="45"/>
  <c r="H14" i="45"/>
  <c r="I13" i="45"/>
  <c r="I203" i="45"/>
  <c r="H204" i="45"/>
  <c r="H143" i="45"/>
  <c r="I142" i="45"/>
  <c r="I225" i="45"/>
  <c r="H226" i="45"/>
  <c r="G55" i="45"/>
  <c r="I55" i="45" s="1"/>
  <c r="I103" i="45"/>
  <c r="H104" i="45"/>
  <c r="I249" i="45"/>
  <c r="H250" i="45"/>
  <c r="H186" i="45"/>
  <c r="I185" i="45"/>
  <c r="H79" i="45" l="1"/>
  <c r="I78" i="45"/>
  <c r="I204" i="45"/>
  <c r="H205" i="45"/>
  <c r="H15" i="45"/>
  <c r="I14" i="45"/>
  <c r="I226" i="45"/>
  <c r="H227" i="45"/>
  <c r="H32" i="45"/>
  <c r="I31" i="45"/>
  <c r="I143" i="45"/>
  <c r="H144" i="45"/>
  <c r="H105" i="45"/>
  <c r="I105" i="45" s="1"/>
  <c r="I104" i="45"/>
  <c r="I106" i="45" s="1"/>
  <c r="I108" i="45" s="1"/>
  <c r="V7" i="45" s="1"/>
  <c r="G56" i="45"/>
  <c r="I56" i="45"/>
  <c r="H187" i="45"/>
  <c r="I186" i="45"/>
  <c r="I250" i="45"/>
  <c r="H251" i="45"/>
  <c r="I122" i="45"/>
  <c r="H123" i="45"/>
  <c r="I144" i="45" l="1"/>
  <c r="H145" i="45"/>
  <c r="H33" i="45"/>
  <c r="I32" i="45"/>
  <c r="H80" i="45"/>
  <c r="I79" i="45"/>
  <c r="H188" i="45"/>
  <c r="I187" i="45"/>
  <c r="I205" i="45"/>
  <c r="H206" i="45"/>
  <c r="H228" i="45"/>
  <c r="I227" i="45"/>
  <c r="G57" i="45"/>
  <c r="I57" i="45"/>
  <c r="I123" i="45"/>
  <c r="H124" i="45"/>
  <c r="I251" i="45"/>
  <c r="H252" i="45"/>
  <c r="I252" i="45" s="1"/>
  <c r="I253" i="45" s="1"/>
  <c r="I255" i="45" s="1"/>
  <c r="Y8" i="45" s="1"/>
  <c r="I15" i="45"/>
  <c r="H16" i="45"/>
  <c r="H17" i="45" l="1"/>
  <c r="I17" i="45" s="1"/>
  <c r="I16" i="45"/>
  <c r="G58" i="45"/>
  <c r="H189" i="45"/>
  <c r="I189" i="45" s="1"/>
  <c r="I188" i="45"/>
  <c r="H207" i="45"/>
  <c r="I206" i="45"/>
  <c r="I80" i="45"/>
  <c r="H81" i="45"/>
  <c r="I81" i="45" s="1"/>
  <c r="I82" i="45" s="1"/>
  <c r="I84" i="45" s="1"/>
  <c r="Y6" i="45" s="1"/>
  <c r="H229" i="45"/>
  <c r="I228" i="45"/>
  <c r="H34" i="45"/>
  <c r="I33" i="45"/>
  <c r="I124" i="45"/>
  <c r="H125" i="45"/>
  <c r="H146" i="45"/>
  <c r="I145" i="45"/>
  <c r="H208" i="45" l="1"/>
  <c r="I207" i="45"/>
  <c r="I190" i="45"/>
  <c r="I192" i="45" s="1"/>
  <c r="V8" i="45" s="1"/>
  <c r="I34" i="45"/>
  <c r="H35" i="45"/>
  <c r="G59" i="45"/>
  <c r="H230" i="45"/>
  <c r="I229" i="45"/>
  <c r="I58" i="45"/>
  <c r="H147" i="45"/>
  <c r="I147" i="45" s="1"/>
  <c r="I146" i="45"/>
  <c r="H126" i="45"/>
  <c r="I126" i="45" s="1"/>
  <c r="I125" i="45"/>
  <c r="I18" i="45"/>
  <c r="I20" i="45" s="1"/>
  <c r="V6" i="45" s="1"/>
  <c r="H231" i="45" l="1"/>
  <c r="I231" i="45" s="1"/>
  <c r="I230" i="45"/>
  <c r="G60" i="45"/>
  <c r="I60" i="45"/>
  <c r="I61" i="45" s="1"/>
  <c r="I63" i="45" s="1"/>
  <c r="X6" i="45" s="1"/>
  <c r="G61" i="45"/>
  <c r="I127" i="45"/>
  <c r="I129" i="45" s="1"/>
  <c r="W7" i="45" s="1"/>
  <c r="I148" i="45"/>
  <c r="I150" i="45" s="1"/>
  <c r="X7" i="45" s="1"/>
  <c r="I59" i="45"/>
  <c r="I35" i="45"/>
  <c r="H36" i="45"/>
  <c r="H209" i="45"/>
  <c r="I208" i="45"/>
  <c r="H210" i="45" l="1"/>
  <c r="I210" i="45" s="1"/>
  <c r="I209" i="45"/>
  <c r="I36" i="45"/>
  <c r="H37" i="45"/>
  <c r="I232" i="45"/>
  <c r="I234" i="45" s="1"/>
  <c r="X8" i="45" s="1"/>
  <c r="I37" i="45" l="1"/>
  <c r="H38" i="45"/>
  <c r="I38" i="45" s="1"/>
  <c r="I39" i="45" s="1"/>
  <c r="I41" i="45" s="1"/>
  <c r="W6" i="45" s="1"/>
  <c r="I211" i="45"/>
  <c r="I213" i="45" s="1"/>
  <c r="W8" i="45" s="1"/>
  <c r="H10" i="46"/>
  <c r="H11" i="46"/>
  <c r="H12" i="46"/>
  <c r="H13" i="46"/>
  <c r="H14" i="46"/>
  <c r="H15" i="46"/>
  <c r="H16" i="46"/>
  <c r="H17" i="46"/>
  <c r="I17" i="46"/>
  <c r="I16" i="46"/>
  <c r="I10" i="46"/>
  <c r="I11" i="46"/>
  <c r="I12" i="46"/>
  <c r="I13" i="46"/>
  <c r="I14" i="46"/>
  <c r="I15" i="46"/>
  <c r="I18" i="46"/>
  <c r="I20" i="46"/>
  <c r="V6" i="46"/>
  <c r="H28" i="46"/>
  <c r="H29" i="46"/>
  <c r="H30" i="46"/>
  <c r="H31" i="46"/>
  <c r="H32" i="46"/>
  <c r="H33" i="46"/>
  <c r="H34" i="46"/>
  <c r="H35" i="46"/>
  <c r="H36" i="46"/>
  <c r="H37" i="46"/>
  <c r="I37" i="46"/>
  <c r="H38" i="46"/>
  <c r="I38" i="46"/>
  <c r="I36" i="46"/>
  <c r="I28" i="46"/>
  <c r="I29" i="46"/>
  <c r="I30" i="46"/>
  <c r="I31" i="46"/>
  <c r="I32" i="46"/>
  <c r="I33" i="46"/>
  <c r="I34" i="46"/>
  <c r="I35" i="46"/>
  <c r="I39" i="46"/>
  <c r="I41" i="46"/>
  <c r="W6" i="46"/>
  <c r="G50" i="46"/>
  <c r="I50" i="46"/>
  <c r="G51" i="46"/>
  <c r="H51" i="46"/>
  <c r="I51" i="46"/>
  <c r="G52" i="46"/>
  <c r="H52" i="46"/>
  <c r="I52" i="46"/>
  <c r="G53" i="46"/>
  <c r="H53" i="46"/>
  <c r="I53" i="46"/>
  <c r="G54" i="46"/>
  <c r="H54" i="46"/>
  <c r="I54" i="46"/>
  <c r="G55" i="46"/>
  <c r="H55" i="46"/>
  <c r="I55" i="46"/>
  <c r="G56" i="46"/>
  <c r="H56" i="46"/>
  <c r="I56" i="46"/>
  <c r="G57" i="46"/>
  <c r="H57" i="46"/>
  <c r="I57" i="46"/>
  <c r="G58" i="46"/>
  <c r="H58" i="46"/>
  <c r="I58" i="46"/>
  <c r="G59" i="46"/>
  <c r="H59" i="46"/>
  <c r="I59" i="46"/>
  <c r="G60" i="46"/>
  <c r="H60" i="46"/>
  <c r="I60" i="46"/>
  <c r="I61" i="46"/>
  <c r="I63" i="46"/>
  <c r="X6" i="46"/>
  <c r="H61" i="46"/>
  <c r="G61" i="46"/>
  <c r="H72" i="46"/>
  <c r="H73" i="46"/>
  <c r="H74" i="46"/>
  <c r="H75" i="46"/>
  <c r="H76" i="46"/>
  <c r="H77" i="46"/>
  <c r="H78" i="46"/>
  <c r="H79" i="46"/>
  <c r="H80" i="46"/>
  <c r="H81" i="46"/>
  <c r="I81" i="46"/>
  <c r="I80" i="46"/>
  <c r="I78" i="46"/>
  <c r="I77" i="46"/>
  <c r="I72" i="46"/>
  <c r="I73" i="46"/>
  <c r="I74" i="46"/>
  <c r="I75" i="46"/>
  <c r="I76" i="46"/>
  <c r="I79" i="46"/>
  <c r="I82" i="46"/>
  <c r="I84" i="46"/>
  <c r="Y6" i="46"/>
  <c r="H98" i="46"/>
  <c r="H99" i="46"/>
  <c r="H100" i="46"/>
  <c r="H101" i="46"/>
  <c r="H102" i="46"/>
  <c r="H103" i="46"/>
  <c r="H104" i="46"/>
  <c r="H105" i="46"/>
  <c r="I105" i="46"/>
  <c r="I104" i="46"/>
  <c r="I98" i="46"/>
  <c r="I99" i="46"/>
  <c r="I100" i="46"/>
  <c r="I101" i="46"/>
  <c r="I102" i="46"/>
  <c r="I103" i="46"/>
  <c r="I106" i="46"/>
  <c r="I108" i="46"/>
  <c r="V7" i="46"/>
  <c r="H116" i="46"/>
  <c r="H117" i="46"/>
  <c r="H118" i="46"/>
  <c r="H119" i="46"/>
  <c r="H120" i="46"/>
  <c r="H121" i="46"/>
  <c r="H122" i="46"/>
  <c r="H123" i="46"/>
  <c r="H124" i="46"/>
  <c r="H125" i="46"/>
  <c r="H126" i="46"/>
  <c r="I126" i="46"/>
  <c r="I125" i="46"/>
  <c r="I116" i="46"/>
  <c r="I117" i="46"/>
  <c r="I118" i="46"/>
  <c r="I119" i="46"/>
  <c r="I120" i="46"/>
  <c r="I121" i="46"/>
  <c r="I122" i="46"/>
  <c r="I123" i="46"/>
  <c r="I124" i="46"/>
  <c r="I127" i="46"/>
  <c r="I129" i="46"/>
  <c r="W7" i="46"/>
  <c r="G138" i="46"/>
  <c r="G139" i="46"/>
  <c r="G140" i="46"/>
  <c r="G141" i="46"/>
  <c r="G142" i="46"/>
  <c r="G143" i="46"/>
  <c r="G144" i="46"/>
  <c r="G145" i="46"/>
  <c r="G146" i="46"/>
  <c r="H143" i="46"/>
  <c r="H144" i="46"/>
  <c r="H145" i="46"/>
  <c r="H146" i="46"/>
  <c r="I146" i="46"/>
  <c r="I138" i="46"/>
  <c r="I139" i="46"/>
  <c r="I143" i="46"/>
  <c r="I145" i="46"/>
  <c r="I142" i="46"/>
  <c r="G147" i="46"/>
  <c r="H147" i="46"/>
  <c r="I147" i="46"/>
  <c r="I144" i="46"/>
  <c r="I141" i="46"/>
  <c r="I140" i="46"/>
  <c r="I148" i="46"/>
  <c r="I150" i="46"/>
  <c r="X7" i="46"/>
  <c r="H161" i="46"/>
  <c r="H162" i="46"/>
  <c r="H163" i="46"/>
  <c r="H164" i="46"/>
  <c r="H165" i="46"/>
  <c r="H166" i="46"/>
  <c r="H167" i="46"/>
  <c r="H168" i="46"/>
  <c r="I168" i="46"/>
  <c r="I165" i="46"/>
  <c r="I161" i="46"/>
  <c r="I162" i="46"/>
  <c r="I163" i="46"/>
  <c r="I164" i="46"/>
  <c r="I166" i="46"/>
  <c r="I167" i="46"/>
  <c r="I169" i="46"/>
  <c r="I171" i="46"/>
  <c r="Y7" i="46"/>
  <c r="H182" i="46"/>
  <c r="H183" i="46"/>
  <c r="H184" i="46"/>
  <c r="H185" i="46"/>
  <c r="H186" i="46"/>
  <c r="H187" i="46"/>
  <c r="H188" i="46"/>
  <c r="H189" i="46"/>
  <c r="I189" i="46"/>
  <c r="I188" i="46"/>
  <c r="I182" i="46"/>
  <c r="I183" i="46"/>
  <c r="I184" i="46"/>
  <c r="I185" i="46"/>
  <c r="I186" i="46"/>
  <c r="I187" i="46"/>
  <c r="I190" i="46"/>
  <c r="I192" i="46"/>
  <c r="V8" i="46"/>
  <c r="H200" i="46"/>
  <c r="H201" i="46"/>
  <c r="H202" i="46"/>
  <c r="H203" i="46"/>
  <c r="H204" i="46"/>
  <c r="H205" i="46"/>
  <c r="H206" i="46"/>
  <c r="H207" i="46"/>
  <c r="H208" i="46"/>
  <c r="H209" i="46"/>
  <c r="H210" i="46"/>
  <c r="I210" i="46"/>
  <c r="I209" i="46"/>
  <c r="I208" i="46"/>
  <c r="I206" i="46"/>
  <c r="I205" i="46"/>
  <c r="I201" i="46"/>
  <c r="I200" i="46"/>
  <c r="I202" i="46"/>
  <c r="I203" i="46"/>
  <c r="I204" i="46"/>
  <c r="I207" i="46"/>
  <c r="I211" i="46"/>
  <c r="I213" i="46"/>
  <c r="W8" i="46"/>
  <c r="H221" i="46"/>
  <c r="H222" i="46"/>
  <c r="H223" i="46"/>
  <c r="H224" i="46"/>
  <c r="H225" i="46"/>
  <c r="H226" i="46"/>
  <c r="H227" i="46"/>
  <c r="H228" i="46"/>
  <c r="H229" i="46"/>
  <c r="H230" i="46"/>
  <c r="H231" i="46"/>
  <c r="I231" i="46"/>
  <c r="I229" i="46"/>
  <c r="I226" i="46"/>
  <c r="I225" i="46"/>
  <c r="I223" i="46"/>
  <c r="I222" i="46"/>
  <c r="I221" i="46"/>
  <c r="I227" i="46"/>
  <c r="I228" i="46"/>
  <c r="I224" i="46"/>
  <c r="I230" i="46"/>
  <c r="I232" i="46"/>
  <c r="I234" i="46"/>
  <c r="X8" i="46"/>
  <c r="H242" i="46"/>
  <c r="H243" i="46"/>
  <c r="H244" i="46"/>
  <c r="H245" i="46"/>
  <c r="H246" i="46"/>
  <c r="H247" i="46"/>
  <c r="H248" i="46"/>
  <c r="H249" i="46"/>
  <c r="H250" i="46"/>
  <c r="H251" i="46"/>
  <c r="H252" i="46"/>
  <c r="I252" i="46"/>
  <c r="I249" i="46"/>
  <c r="I250" i="46"/>
  <c r="I246" i="46"/>
  <c r="I245" i="46"/>
  <c r="I244" i="46"/>
  <c r="I242" i="46"/>
  <c r="I243" i="46"/>
  <c r="I248" i="46"/>
  <c r="I247" i="46"/>
  <c r="I251" i="46"/>
  <c r="I253" i="46"/>
  <c r="I255" i="46"/>
  <c r="Y8" i="46"/>
  <c r="H7" i="47"/>
  <c r="H8" i="47"/>
  <c r="H9" i="47"/>
  <c r="H10" i="47"/>
  <c r="H11" i="47"/>
  <c r="H12" i="47"/>
  <c r="H13" i="47"/>
  <c r="H14" i="47"/>
  <c r="H15" i="47"/>
  <c r="H16" i="47"/>
  <c r="I16" i="47"/>
  <c r="H17" i="47"/>
  <c r="I17" i="47"/>
  <c r="I15" i="47"/>
  <c r="I7" i="47"/>
  <c r="I8" i="47"/>
  <c r="I9" i="47"/>
  <c r="I10" i="47"/>
  <c r="I11" i="47"/>
  <c r="I12" i="47"/>
  <c r="I13" i="47"/>
  <c r="I14" i="47"/>
  <c r="I18" i="47"/>
  <c r="I20" i="47"/>
  <c r="V6" i="47"/>
  <c r="H28" i="47"/>
  <c r="H29" i="47"/>
  <c r="H30" i="47"/>
  <c r="H31" i="47"/>
  <c r="H32" i="47"/>
  <c r="H33" i="47"/>
  <c r="H34" i="47"/>
  <c r="H35" i="47"/>
  <c r="H36" i="47"/>
  <c r="H37" i="47"/>
  <c r="H38" i="47"/>
  <c r="I38" i="47"/>
  <c r="I37" i="47"/>
  <c r="I28" i="47"/>
  <c r="I29" i="47"/>
  <c r="I30" i="47"/>
  <c r="I31" i="47"/>
  <c r="I32" i="47"/>
  <c r="I33" i="47"/>
  <c r="I34" i="47"/>
  <c r="I35" i="47"/>
  <c r="I36" i="47"/>
  <c r="I39" i="47"/>
  <c r="I41" i="47"/>
  <c r="W6" i="47"/>
  <c r="H71" i="47"/>
  <c r="H72" i="47"/>
  <c r="H73" i="47"/>
  <c r="H74" i="47"/>
  <c r="H75" i="47"/>
  <c r="H76" i="47"/>
  <c r="H77" i="47"/>
  <c r="H78" i="47"/>
  <c r="H79" i="47"/>
  <c r="H80" i="47"/>
  <c r="H81" i="47"/>
  <c r="I81" i="47"/>
  <c r="I71" i="47"/>
  <c r="I72" i="47"/>
  <c r="I73" i="47"/>
  <c r="I74" i="47"/>
  <c r="I75" i="47"/>
  <c r="I76" i="47"/>
  <c r="I77" i="47"/>
  <c r="I78" i="47"/>
  <c r="I79" i="47"/>
  <c r="I80" i="47"/>
  <c r="I82" i="47"/>
  <c r="I84" i="47"/>
  <c r="Y6" i="47"/>
  <c r="H98" i="47"/>
  <c r="H99" i="47"/>
  <c r="H100" i="47"/>
  <c r="H101" i="47"/>
  <c r="H102" i="47"/>
  <c r="H103" i="47"/>
  <c r="H104" i="47"/>
  <c r="H105" i="47"/>
  <c r="I105" i="47"/>
  <c r="I104" i="47"/>
  <c r="I98" i="47"/>
  <c r="I99" i="47"/>
  <c r="I100" i="47"/>
  <c r="I101" i="47"/>
  <c r="I102" i="47"/>
  <c r="I103" i="47"/>
  <c r="I106" i="47"/>
  <c r="I108" i="47"/>
  <c r="V7" i="47"/>
  <c r="H116" i="47"/>
  <c r="H117" i="47"/>
  <c r="H118" i="47"/>
  <c r="H119" i="47"/>
  <c r="H120" i="47"/>
  <c r="H121" i="47"/>
  <c r="H122" i="47"/>
  <c r="H123" i="47"/>
  <c r="H124" i="47"/>
  <c r="H125" i="47"/>
  <c r="H126" i="47"/>
  <c r="I126" i="47"/>
  <c r="I125" i="47"/>
  <c r="I124" i="47"/>
  <c r="I121" i="47"/>
  <c r="I120" i="47"/>
  <c r="I117" i="47"/>
  <c r="I122" i="47"/>
  <c r="I119" i="47"/>
  <c r="I116" i="47"/>
  <c r="I118" i="47"/>
  <c r="I123" i="47"/>
  <c r="I127" i="47"/>
  <c r="I129" i="47"/>
  <c r="W7" i="47"/>
  <c r="H139" i="47"/>
  <c r="H140" i="47"/>
  <c r="H141" i="47"/>
  <c r="H142" i="47"/>
  <c r="H143" i="47"/>
  <c r="H144" i="47"/>
  <c r="H145" i="47"/>
  <c r="H146" i="47"/>
  <c r="H147" i="47"/>
  <c r="I147" i="47"/>
  <c r="I139" i="47"/>
  <c r="I140" i="47"/>
  <c r="I141" i="47"/>
  <c r="I142" i="47"/>
  <c r="I143" i="47"/>
  <c r="I144" i="47"/>
  <c r="I145" i="47"/>
  <c r="I146" i="47"/>
  <c r="I148" i="47"/>
  <c r="I150" i="47"/>
  <c r="X7" i="47"/>
  <c r="H160" i="47"/>
  <c r="H161" i="47"/>
  <c r="H162" i="47"/>
  <c r="H163" i="47"/>
  <c r="H164" i="47"/>
  <c r="H165" i="47"/>
  <c r="H166" i="47"/>
  <c r="H167" i="47"/>
  <c r="H168" i="47"/>
  <c r="I168" i="47"/>
  <c r="I165" i="47"/>
  <c r="I167" i="47"/>
  <c r="I164" i="47"/>
  <c r="I163" i="47"/>
  <c r="I162" i="47"/>
  <c r="I160" i="47"/>
  <c r="I161" i="47"/>
  <c r="I166" i="47"/>
  <c r="I169" i="47"/>
  <c r="I171" i="47"/>
  <c r="Y7" i="47"/>
  <c r="H182" i="47"/>
  <c r="H183" i="47"/>
  <c r="H184" i="47"/>
  <c r="H185" i="47"/>
  <c r="H186" i="47"/>
  <c r="H187" i="47"/>
  <c r="H188" i="47"/>
  <c r="H189" i="47"/>
  <c r="I189" i="47"/>
  <c r="I188" i="47"/>
  <c r="I182" i="47"/>
  <c r="I183" i="47"/>
  <c r="I184" i="47"/>
  <c r="I185" i="47"/>
  <c r="I186" i="47"/>
  <c r="I187" i="47"/>
  <c r="I190" i="47"/>
  <c r="I192" i="47"/>
  <c r="V8" i="47"/>
  <c r="H200" i="47"/>
  <c r="H201" i="47"/>
  <c r="H202" i="47"/>
  <c r="H203" i="47"/>
  <c r="H204" i="47"/>
  <c r="H205" i="47"/>
  <c r="H206" i="47"/>
  <c r="H207" i="47"/>
  <c r="H208" i="47"/>
  <c r="H209" i="47"/>
  <c r="H210" i="47"/>
  <c r="I210" i="47"/>
  <c r="I209" i="47"/>
  <c r="I208" i="47"/>
  <c r="I206" i="47"/>
  <c r="I205" i="47"/>
  <c r="I204" i="47"/>
  <c r="I203" i="47"/>
  <c r="I202" i="47"/>
  <c r="I200" i="47"/>
  <c r="I201" i="47"/>
  <c r="I207" i="47"/>
  <c r="I211" i="47"/>
  <c r="I213" i="47"/>
  <c r="W8" i="47"/>
  <c r="G225" i="47"/>
  <c r="G226" i="47"/>
  <c r="G227" i="47"/>
  <c r="G228" i="47"/>
  <c r="G229" i="47"/>
  <c r="G230" i="47"/>
  <c r="H225" i="47"/>
  <c r="H226" i="47"/>
  <c r="H227" i="47"/>
  <c r="H228" i="47"/>
  <c r="H229" i="47"/>
  <c r="I229" i="47"/>
  <c r="I228" i="47"/>
  <c r="G231" i="47"/>
  <c r="H230" i="47"/>
  <c r="H231" i="47"/>
  <c r="I231" i="47"/>
  <c r="I225" i="47"/>
  <c r="I226" i="47"/>
  <c r="I227" i="47"/>
  <c r="I230" i="47"/>
  <c r="I232" i="47"/>
  <c r="I234" i="47"/>
  <c r="X8" i="47"/>
  <c r="H7" i="48"/>
  <c r="H8" i="48"/>
  <c r="H9" i="48"/>
  <c r="H10" i="48"/>
  <c r="H11" i="48"/>
  <c r="H12" i="48"/>
  <c r="H13" i="48"/>
  <c r="H14" i="48"/>
  <c r="H15" i="48"/>
  <c r="H16" i="48"/>
  <c r="H17" i="48"/>
  <c r="I17" i="48"/>
  <c r="I16" i="48"/>
  <c r="I15" i="48"/>
  <c r="I7" i="48"/>
  <c r="I8" i="48"/>
  <c r="I9" i="48"/>
  <c r="I10" i="48"/>
  <c r="I11" i="48"/>
  <c r="I12" i="48"/>
  <c r="I13" i="48"/>
  <c r="I14" i="48"/>
  <c r="I18" i="48"/>
  <c r="I20" i="48"/>
  <c r="V6" i="48"/>
  <c r="H30" i="48"/>
  <c r="H31" i="48"/>
  <c r="H32" i="48"/>
  <c r="H33" i="48"/>
  <c r="H34" i="48"/>
  <c r="H35" i="48"/>
  <c r="H36" i="48"/>
  <c r="H37" i="48"/>
  <c r="H38" i="48"/>
  <c r="I38" i="48"/>
  <c r="I30" i="48"/>
  <c r="I31" i="48"/>
  <c r="I32" i="48"/>
  <c r="I33" i="48"/>
  <c r="I34" i="48"/>
  <c r="I35" i="48"/>
  <c r="I36" i="48"/>
  <c r="I37" i="48"/>
  <c r="I39" i="48"/>
  <c r="I41" i="48"/>
  <c r="W6" i="48"/>
  <c r="H50" i="48"/>
  <c r="H51" i="48"/>
  <c r="H52" i="48"/>
  <c r="H53" i="48"/>
  <c r="H54" i="48"/>
  <c r="H55" i="48"/>
  <c r="H56" i="48"/>
  <c r="H57" i="48"/>
  <c r="H58" i="48"/>
  <c r="H59" i="48"/>
  <c r="H60" i="48"/>
  <c r="I60" i="48"/>
  <c r="I50" i="48"/>
  <c r="I51" i="48"/>
  <c r="I52" i="48"/>
  <c r="I53" i="48"/>
  <c r="I54" i="48"/>
  <c r="I55" i="48"/>
  <c r="I56" i="48"/>
  <c r="I57" i="48"/>
  <c r="I58" i="48"/>
  <c r="I59" i="48"/>
  <c r="I61" i="48"/>
  <c r="I63" i="48"/>
  <c r="X6" i="48"/>
  <c r="H61" i="48"/>
  <c r="H71" i="48"/>
  <c r="I71" i="48"/>
  <c r="H72" i="48"/>
  <c r="I72" i="48"/>
  <c r="H73" i="48"/>
  <c r="I73" i="48"/>
  <c r="H74" i="48"/>
  <c r="I74" i="48"/>
  <c r="H75" i="48"/>
  <c r="I75" i="48"/>
  <c r="H76" i="48"/>
  <c r="I76" i="48"/>
  <c r="H77" i="48"/>
  <c r="I77" i="48"/>
  <c r="H78" i="48"/>
  <c r="I78" i="48"/>
  <c r="H79" i="48"/>
  <c r="I79" i="48"/>
  <c r="H80" i="48"/>
  <c r="I80" i="48"/>
  <c r="H81" i="48"/>
  <c r="I81" i="48"/>
  <c r="I82" i="48"/>
  <c r="I84" i="48"/>
  <c r="Y6" i="48"/>
  <c r="H95" i="48"/>
  <c r="H96" i="48" s="1"/>
  <c r="I95" i="48"/>
  <c r="I96" i="48" l="1"/>
  <c r="H97" i="48"/>
  <c r="I97" i="48" l="1"/>
  <c r="H98" i="48"/>
  <c r="I98" i="48" l="1"/>
  <c r="H99" i="48"/>
  <c r="I99" i="48" l="1"/>
  <c r="H100" i="48"/>
  <c r="H101" i="48" l="1"/>
  <c r="I100" i="48"/>
  <c r="H102" i="48" l="1"/>
  <c r="I101" i="48"/>
  <c r="H103" i="48" l="1"/>
  <c r="I102" i="48"/>
  <c r="H104" i="48" l="1"/>
  <c r="I103" i="48"/>
  <c r="I104" i="48" l="1"/>
  <c r="H105" i="48"/>
  <c r="I105" i="48" s="1"/>
  <c r="I106" i="48" s="1"/>
  <c r="I108" i="48" s="1"/>
  <c r="V7" i="48" s="1"/>
  <c r="H116" i="48"/>
  <c r="H117" i="48"/>
  <c r="H118" i="48"/>
  <c r="H119" i="48"/>
  <c r="H120" i="48"/>
  <c r="H121" i="48"/>
  <c r="H122" i="48"/>
  <c r="H123" i="48"/>
  <c r="H124" i="48"/>
  <c r="H125" i="48"/>
  <c r="H126" i="48"/>
  <c r="I126" i="48"/>
  <c r="I125" i="48"/>
  <c r="I116" i="48"/>
  <c r="I117" i="48"/>
  <c r="I118" i="48"/>
  <c r="I119" i="48"/>
  <c r="I120" i="48"/>
  <c r="I121" i="48"/>
  <c r="I122" i="48"/>
  <c r="I123" i="48"/>
  <c r="I124" i="48"/>
  <c r="I127" i="48"/>
  <c r="I129" i="48"/>
  <c r="W7" i="48"/>
  <c r="H137" i="48"/>
  <c r="I137" i="48"/>
  <c r="H138" i="48"/>
  <c r="I138" i="48"/>
  <c r="H139" i="48"/>
  <c r="I139" i="48"/>
  <c r="H140" i="48"/>
  <c r="I140" i="48"/>
  <c r="H141" i="48"/>
  <c r="I141" i="48"/>
  <c r="H142" i="48"/>
  <c r="I142" i="48"/>
  <c r="H143" i="48"/>
  <c r="I143" i="48"/>
  <c r="H144" i="48"/>
  <c r="I144" i="48"/>
  <c r="H145" i="48"/>
  <c r="I145" i="48"/>
  <c r="H146" i="48"/>
  <c r="I146" i="48"/>
  <c r="H147" i="48"/>
  <c r="I147" i="48"/>
  <c r="I148" i="48"/>
  <c r="I150" i="48"/>
  <c r="X7" i="48"/>
  <c r="H159" i="48"/>
  <c r="I159" i="48"/>
  <c r="H160" i="48"/>
  <c r="I160" i="48"/>
  <c r="H161" i="48"/>
  <c r="I161" i="48"/>
  <c r="H162" i="48"/>
  <c r="I162" i="48"/>
  <c r="H163" i="48"/>
  <c r="I163" i="48"/>
  <c r="H164" i="48"/>
  <c r="I164" i="48"/>
  <c r="H165" i="48"/>
  <c r="I165" i="48"/>
  <c r="H166" i="48"/>
  <c r="I166" i="48"/>
  <c r="H167" i="48"/>
  <c r="I167" i="48"/>
  <c r="H168" i="48"/>
  <c r="I168" i="48"/>
  <c r="I169" i="48"/>
  <c r="I171" i="48"/>
  <c r="Y7" i="48"/>
  <c r="H182" i="48"/>
  <c r="H183" i="48"/>
  <c r="H184" i="48"/>
  <c r="H185" i="48"/>
  <c r="H186" i="48"/>
  <c r="H187" i="48"/>
  <c r="H188" i="48"/>
  <c r="H189" i="48"/>
  <c r="I189" i="48"/>
  <c r="I188" i="48"/>
  <c r="I182" i="48"/>
  <c r="I183" i="48"/>
  <c r="I184" i="48"/>
  <c r="I185" i="48"/>
  <c r="I186" i="48"/>
  <c r="I187" i="48"/>
  <c r="I190" i="48"/>
  <c r="I192" i="48"/>
  <c r="V8" i="48"/>
  <c r="H200" i="48"/>
  <c r="H201" i="48"/>
  <c r="H202" i="48"/>
  <c r="H203" i="48"/>
  <c r="H204" i="48"/>
  <c r="H205" i="48"/>
  <c r="H206" i="48"/>
  <c r="H207" i="48"/>
  <c r="H208" i="48"/>
  <c r="H209" i="48"/>
  <c r="H210" i="48"/>
  <c r="I210" i="48"/>
  <c r="I209" i="48"/>
  <c r="I208" i="48"/>
  <c r="I200" i="48"/>
  <c r="I201" i="48"/>
  <c r="I202" i="48"/>
  <c r="I203" i="48"/>
  <c r="I204" i="48"/>
  <c r="I205" i="48"/>
  <c r="I206" i="48"/>
  <c r="I207" i="48"/>
  <c r="I211" i="48"/>
  <c r="I213" i="48"/>
  <c r="W8" i="48"/>
  <c r="H221" i="48"/>
  <c r="H222" i="48"/>
  <c r="H223" i="48"/>
  <c r="H224" i="48"/>
  <c r="H225" i="48"/>
  <c r="H226" i="48"/>
  <c r="H227" i="48"/>
  <c r="H228" i="48"/>
  <c r="H229" i="48"/>
  <c r="H230" i="48"/>
  <c r="H231" i="48"/>
  <c r="I231" i="48"/>
  <c r="I229" i="48"/>
  <c r="I228" i="48"/>
  <c r="I227" i="48"/>
  <c r="I224" i="48"/>
  <c r="I225" i="48"/>
  <c r="I222" i="48"/>
  <c r="I221" i="48"/>
  <c r="I223" i="48"/>
  <c r="I226" i="48"/>
  <c r="I230" i="48"/>
  <c r="I232" i="48"/>
  <c r="I234" i="48"/>
  <c r="X8" i="48"/>
  <c r="H243" i="48"/>
  <c r="H244" i="48"/>
  <c r="H245" i="48"/>
  <c r="H246" i="48"/>
  <c r="H247" i="48"/>
  <c r="H248" i="48"/>
  <c r="H249" i="48"/>
  <c r="H250" i="48"/>
  <c r="H251" i="48"/>
  <c r="I251" i="48"/>
  <c r="I243" i="48"/>
  <c r="I244" i="48"/>
  <c r="I245" i="48"/>
  <c r="I246" i="48"/>
  <c r="I247" i="48"/>
  <c r="I248" i="48"/>
  <c r="I249" i="48"/>
  <c r="I250" i="48"/>
  <c r="H252" i="48"/>
  <c r="I252" i="48"/>
  <c r="I253" i="48"/>
  <c r="I255" i="48"/>
  <c r="Y8" i="48"/>
  <c r="H7" i="49"/>
  <c r="H8" i="49"/>
  <c r="H9" i="49"/>
  <c r="H10" i="49"/>
  <c r="H11" i="49"/>
  <c r="H12" i="49"/>
  <c r="H13" i="49"/>
  <c r="H14" i="49"/>
  <c r="H15" i="49"/>
  <c r="H16" i="49"/>
  <c r="H17" i="49"/>
  <c r="I17" i="49"/>
  <c r="I15" i="49"/>
  <c r="I16" i="49"/>
  <c r="I7" i="49"/>
  <c r="I8" i="49"/>
  <c r="I9" i="49"/>
  <c r="I10" i="49"/>
  <c r="I11" i="49"/>
  <c r="I12" i="49"/>
  <c r="I13" i="49"/>
  <c r="I14" i="49"/>
  <c r="I18" i="49"/>
  <c r="I20" i="49"/>
  <c r="V6" i="49"/>
  <c r="H71" i="49"/>
  <c r="H72" i="49"/>
  <c r="H73" i="49"/>
  <c r="H74" i="49"/>
  <c r="H75" i="49"/>
  <c r="H76" i="49"/>
  <c r="H77" i="49"/>
  <c r="H78" i="49"/>
  <c r="H79" i="49"/>
  <c r="H80" i="49"/>
  <c r="H81" i="49"/>
  <c r="I81" i="49"/>
  <c r="I80" i="49"/>
  <c r="I79" i="49"/>
  <c r="I78" i="49"/>
  <c r="I71" i="49"/>
  <c r="I72" i="49"/>
  <c r="I73" i="49"/>
  <c r="I74" i="49"/>
  <c r="I75" i="49"/>
  <c r="I76" i="49"/>
  <c r="I77" i="49"/>
  <c r="I82" i="49"/>
  <c r="I84" i="49"/>
  <c r="Y6" i="49"/>
  <c r="H95" i="49"/>
  <c r="H96" i="49"/>
  <c r="H97" i="49"/>
  <c r="H98" i="49"/>
  <c r="H99" i="49"/>
  <c r="H100" i="49"/>
  <c r="H101" i="49"/>
  <c r="H102" i="49"/>
  <c r="H103" i="49"/>
  <c r="H104" i="49"/>
  <c r="H105" i="49"/>
  <c r="I105" i="49"/>
  <c r="I104" i="49"/>
  <c r="I103" i="49"/>
  <c r="I95" i="49"/>
  <c r="I96" i="49"/>
  <c r="I97" i="49"/>
  <c r="I98" i="49"/>
  <c r="I99" i="49"/>
  <c r="I100" i="49"/>
  <c r="I101" i="49"/>
  <c r="I102" i="49"/>
  <c r="I106" i="49"/>
  <c r="I108" i="49"/>
  <c r="V7" i="49"/>
  <c r="H116" i="49"/>
  <c r="H117" i="49"/>
  <c r="H118" i="49"/>
  <c r="H119" i="49"/>
  <c r="H120" i="49"/>
  <c r="H121" i="49"/>
  <c r="H122" i="49"/>
  <c r="H123" i="49"/>
  <c r="H124" i="49"/>
  <c r="H125" i="49"/>
  <c r="I125" i="49"/>
  <c r="H126" i="49"/>
  <c r="I126" i="49"/>
  <c r="I123" i="49"/>
  <c r="I124" i="49"/>
  <c r="I116" i="49"/>
  <c r="I117" i="49"/>
  <c r="I118" i="49"/>
  <c r="I119" i="49"/>
  <c r="I120" i="49"/>
  <c r="I121" i="49"/>
  <c r="I122" i="49"/>
  <c r="I127" i="49"/>
  <c r="I129" i="49"/>
  <c r="W7" i="49"/>
  <c r="G137" i="49"/>
  <c r="I137" i="49"/>
  <c r="G138" i="49"/>
  <c r="I138" i="49"/>
  <c r="G139" i="49"/>
  <c r="H139" i="49"/>
  <c r="I139" i="49"/>
  <c r="G140" i="49"/>
  <c r="H140" i="49"/>
  <c r="I140" i="49"/>
  <c r="G141" i="49"/>
  <c r="H141" i="49"/>
  <c r="I141" i="49"/>
  <c r="G142" i="49"/>
  <c r="H142" i="49"/>
  <c r="I142" i="49"/>
  <c r="G143" i="49"/>
  <c r="H143" i="49"/>
  <c r="I143" i="49"/>
  <c r="G144" i="49"/>
  <c r="H144" i="49"/>
  <c r="I144" i="49"/>
  <c r="G145" i="49"/>
  <c r="H145" i="49"/>
  <c r="I145" i="49"/>
  <c r="G146" i="49"/>
  <c r="H146" i="49"/>
  <c r="I146" i="49"/>
  <c r="G147" i="49"/>
  <c r="H147" i="49"/>
  <c r="I147" i="49"/>
  <c r="I148" i="49"/>
  <c r="I150" i="49"/>
  <c r="X7" i="49"/>
  <c r="H158" i="49"/>
  <c r="H159" i="49"/>
  <c r="H160" i="49"/>
  <c r="H161" i="49"/>
  <c r="H162" i="49"/>
  <c r="H163" i="49"/>
  <c r="H164" i="49"/>
  <c r="H165" i="49"/>
  <c r="H166" i="49"/>
  <c r="H167" i="49"/>
  <c r="I167" i="49"/>
  <c r="H168" i="49"/>
  <c r="I168" i="49"/>
  <c r="I166" i="49"/>
  <c r="I165" i="49"/>
  <c r="I158" i="49"/>
  <c r="I159" i="49"/>
  <c r="I160" i="49"/>
  <c r="I161" i="49"/>
  <c r="I162" i="49"/>
  <c r="I163" i="49"/>
  <c r="I164" i="49"/>
  <c r="I169" i="49"/>
  <c r="I171" i="49"/>
  <c r="Y7" i="49"/>
  <c r="H182" i="49"/>
  <c r="H183" i="49"/>
  <c r="H184" i="49"/>
  <c r="H185" i="49"/>
  <c r="H186" i="49"/>
  <c r="H187" i="49"/>
  <c r="H188" i="49"/>
  <c r="I188" i="49"/>
  <c r="H189" i="49"/>
  <c r="I189" i="49"/>
  <c r="I182" i="49"/>
  <c r="I183" i="49"/>
  <c r="I184" i="49"/>
  <c r="I185" i="49"/>
  <c r="I186" i="49"/>
  <c r="I187" i="49"/>
  <c r="I190" i="49"/>
  <c r="I192" i="49"/>
  <c r="V8" i="49"/>
  <c r="H200" i="49"/>
  <c r="H201" i="49"/>
  <c r="H202" i="49"/>
  <c r="H203" i="49"/>
  <c r="H204" i="49"/>
  <c r="H205" i="49"/>
  <c r="H206" i="49"/>
  <c r="H207" i="49"/>
  <c r="H208" i="49"/>
  <c r="H209" i="49"/>
  <c r="H210" i="49"/>
  <c r="I210" i="49"/>
  <c r="I209" i="49"/>
  <c r="I200" i="49"/>
  <c r="I201" i="49"/>
  <c r="I202" i="49"/>
  <c r="I203" i="49"/>
  <c r="I204" i="49"/>
  <c r="I205" i="49"/>
  <c r="I206" i="49"/>
  <c r="I207" i="49"/>
  <c r="I208" i="49"/>
  <c r="I211" i="49"/>
  <c r="I213" i="49"/>
  <c r="W8" i="49"/>
  <c r="G221" i="49"/>
  <c r="I221" i="49"/>
  <c r="G222" i="49"/>
  <c r="I222" i="49"/>
  <c r="G223" i="49"/>
  <c r="I223" i="49"/>
  <c r="G224" i="49"/>
  <c r="I224" i="49"/>
  <c r="G225" i="49"/>
  <c r="I225" i="49"/>
  <c r="G226" i="49"/>
  <c r="I226" i="49"/>
  <c r="G227" i="49"/>
  <c r="I227" i="49"/>
  <c r="G228" i="49"/>
  <c r="I228" i="49"/>
  <c r="G229" i="49"/>
  <c r="I229" i="49"/>
  <c r="G230" i="49"/>
  <c r="I230" i="49"/>
  <c r="G231" i="49"/>
  <c r="I231" i="49"/>
  <c r="I232" i="49"/>
  <c r="I234" i="49"/>
  <c r="X8" i="49"/>
  <c r="H243" i="49"/>
  <c r="H244" i="49"/>
  <c r="H245" i="49"/>
  <c r="H246" i="49"/>
  <c r="H247" i="49"/>
  <c r="H248" i="49"/>
  <c r="H249" i="49"/>
  <c r="H250" i="49"/>
  <c r="H251" i="49"/>
  <c r="H252" i="49"/>
  <c r="I252" i="49"/>
  <c r="I249" i="49"/>
  <c r="I243" i="49"/>
  <c r="I244" i="49"/>
  <c r="I245" i="49"/>
  <c r="I246" i="49"/>
  <c r="I247" i="49"/>
  <c r="I248" i="49"/>
  <c r="I250" i="49"/>
  <c r="I251" i="49"/>
  <c r="I253" i="49"/>
  <c r="I255" i="49"/>
  <c r="Y8" i="49"/>
  <c r="H10" i="50"/>
  <c r="H11" i="50"/>
  <c r="H12" i="50"/>
  <c r="H13" i="50"/>
  <c r="H14" i="50"/>
  <c r="H15" i="50"/>
  <c r="H16" i="50"/>
  <c r="H17" i="50"/>
  <c r="I17" i="50"/>
  <c r="I16" i="50"/>
  <c r="I10" i="50"/>
  <c r="I11" i="50"/>
  <c r="I12" i="50"/>
  <c r="I13" i="50"/>
  <c r="I14" i="50"/>
  <c r="I15" i="50"/>
  <c r="I18" i="50"/>
  <c r="I20" i="50"/>
  <c r="V6" i="50"/>
  <c r="H28" i="50"/>
  <c r="H29" i="50"/>
  <c r="H30" i="50"/>
  <c r="H31" i="50"/>
  <c r="H32" i="50"/>
  <c r="H33" i="50"/>
  <c r="H34" i="50"/>
  <c r="H35" i="50"/>
  <c r="H36" i="50"/>
  <c r="H37" i="50"/>
  <c r="H38" i="50"/>
  <c r="I38" i="50"/>
  <c r="I37" i="50"/>
  <c r="I36" i="50"/>
  <c r="I28" i="50"/>
  <c r="I29" i="50"/>
  <c r="I30" i="50"/>
  <c r="I31" i="50"/>
  <c r="I32" i="50"/>
  <c r="I33" i="50"/>
  <c r="I34" i="50"/>
  <c r="I35" i="50"/>
  <c r="I39" i="50"/>
  <c r="I41" i="50"/>
  <c r="W6" i="50"/>
  <c r="H73" i="50"/>
  <c r="H74" i="50"/>
  <c r="H75" i="50"/>
  <c r="H76" i="50"/>
  <c r="H77" i="50"/>
  <c r="H78" i="50"/>
  <c r="H79" i="50"/>
  <c r="H80" i="50"/>
  <c r="H81" i="50"/>
  <c r="I81" i="50"/>
  <c r="I73" i="50"/>
  <c r="I74" i="50"/>
  <c r="I75" i="50"/>
  <c r="I76" i="50"/>
  <c r="I77" i="50"/>
  <c r="I78" i="50"/>
  <c r="I79" i="50"/>
  <c r="I80" i="50"/>
  <c r="I82" i="50"/>
  <c r="I84" i="50"/>
  <c r="Y6" i="50"/>
  <c r="H98" i="50"/>
  <c r="H99" i="50"/>
  <c r="H100" i="50"/>
  <c r="H101" i="50"/>
  <c r="H102" i="50"/>
  <c r="H103" i="50"/>
  <c r="H104" i="50"/>
  <c r="H105" i="50"/>
  <c r="I105" i="50"/>
  <c r="I104" i="50"/>
  <c r="I98" i="50"/>
  <c r="I99" i="50"/>
  <c r="I100" i="50"/>
  <c r="I101" i="50"/>
  <c r="I102" i="50"/>
  <c r="I103" i="50"/>
  <c r="I106" i="50"/>
  <c r="I108" i="50"/>
  <c r="V7" i="50"/>
  <c r="H116" i="50"/>
  <c r="H117" i="50"/>
  <c r="H118" i="50"/>
  <c r="H119" i="50"/>
  <c r="H120" i="50"/>
  <c r="H121" i="50"/>
  <c r="H122" i="50"/>
  <c r="H123" i="50"/>
  <c r="H124" i="50"/>
  <c r="H125" i="50"/>
  <c r="H126" i="50"/>
  <c r="I126" i="50"/>
  <c r="I125" i="50"/>
  <c r="I124" i="50"/>
  <c r="I116" i="50"/>
  <c r="I117" i="50"/>
  <c r="I118" i="50"/>
  <c r="I119" i="50"/>
  <c r="I120" i="50"/>
  <c r="I121" i="50"/>
  <c r="I122" i="50"/>
  <c r="I123" i="50"/>
  <c r="I127" i="50"/>
  <c r="I129" i="50"/>
  <c r="W7" i="50"/>
  <c r="H137" i="50"/>
  <c r="H138" i="50"/>
  <c r="H139" i="50"/>
  <c r="H140" i="50"/>
  <c r="H141" i="50"/>
  <c r="H142" i="50"/>
  <c r="H143" i="50"/>
  <c r="H144" i="50"/>
  <c r="H145" i="50"/>
  <c r="H146" i="50"/>
  <c r="H147" i="50"/>
  <c r="I147" i="50"/>
  <c r="I146" i="50"/>
  <c r="I137" i="50"/>
  <c r="I138" i="50"/>
  <c r="I139" i="50"/>
  <c r="I140" i="50"/>
  <c r="I141" i="50"/>
  <c r="I142" i="50"/>
  <c r="I143" i="50"/>
  <c r="I144" i="50"/>
  <c r="I145" i="50"/>
  <c r="I148" i="50"/>
  <c r="I150" i="50"/>
  <c r="X7" i="50"/>
  <c r="H160" i="50"/>
  <c r="H161" i="50"/>
  <c r="H162" i="50"/>
  <c r="H163" i="50"/>
  <c r="H164" i="50"/>
  <c r="H165" i="50"/>
  <c r="H166" i="50"/>
  <c r="H167" i="50"/>
  <c r="H168" i="50"/>
  <c r="I168" i="50"/>
  <c r="I160" i="50"/>
  <c r="I161" i="50"/>
  <c r="I162" i="50"/>
  <c r="I163" i="50"/>
  <c r="I164" i="50"/>
  <c r="I165" i="50"/>
  <c r="I166" i="50"/>
  <c r="I167" i="50"/>
  <c r="I169" i="50"/>
  <c r="I171" i="50"/>
  <c r="Y7" i="50"/>
  <c r="H182" i="50"/>
  <c r="H183" i="50"/>
  <c r="H184" i="50"/>
  <c r="H185" i="50"/>
  <c r="H186" i="50"/>
  <c r="H187" i="50"/>
  <c r="H188" i="50"/>
  <c r="H189" i="50"/>
  <c r="I189" i="50"/>
  <c r="I188" i="50"/>
  <c r="I182" i="50"/>
  <c r="I183" i="50"/>
  <c r="I184" i="50"/>
  <c r="I185" i="50"/>
  <c r="I186" i="50"/>
  <c r="I187" i="50"/>
  <c r="I190" i="50"/>
  <c r="I192" i="50"/>
  <c r="V8" i="50"/>
  <c r="H200" i="50"/>
  <c r="H201" i="50"/>
  <c r="H202" i="50"/>
  <c r="H203" i="50"/>
  <c r="H204" i="50"/>
  <c r="H205" i="50"/>
  <c r="H206" i="50"/>
  <c r="H207" i="50"/>
  <c r="H208" i="50"/>
  <c r="H209" i="50"/>
  <c r="H210" i="50"/>
  <c r="I210" i="50"/>
  <c r="I209" i="50"/>
  <c r="I208" i="50"/>
  <c r="I205" i="50"/>
  <c r="I206" i="50"/>
  <c r="I203" i="50"/>
  <c r="I201" i="50"/>
  <c r="I200" i="50"/>
  <c r="I202" i="50"/>
  <c r="I204" i="50"/>
  <c r="I207" i="50"/>
  <c r="I211" i="50"/>
  <c r="I213" i="50"/>
  <c r="W8" i="50"/>
  <c r="H221" i="50"/>
  <c r="H222" i="50"/>
  <c r="H223" i="50"/>
  <c r="H224" i="50"/>
  <c r="H225" i="50"/>
  <c r="H226" i="50"/>
  <c r="H227" i="50"/>
  <c r="H228" i="50"/>
  <c r="H229" i="50"/>
  <c r="H230" i="50"/>
  <c r="H231" i="50"/>
  <c r="I231" i="50"/>
  <c r="I221" i="50"/>
  <c r="I222" i="50"/>
  <c r="I223" i="50"/>
  <c r="I224" i="50"/>
  <c r="I225" i="50"/>
  <c r="I226" i="50"/>
  <c r="I227" i="50"/>
  <c r="I228" i="50"/>
  <c r="I229" i="50"/>
  <c r="I230" i="50"/>
  <c r="I232" i="50"/>
  <c r="I234" i="50"/>
  <c r="X8" i="50"/>
  <c r="H244" i="50"/>
  <c r="H245" i="50"/>
  <c r="H246" i="50"/>
  <c r="H247" i="50"/>
  <c r="H248" i="50"/>
  <c r="H249" i="50"/>
  <c r="H250" i="50"/>
  <c r="H251" i="50"/>
  <c r="H252" i="50"/>
  <c r="I252" i="50"/>
  <c r="I249" i="50"/>
  <c r="I247" i="50"/>
  <c r="I245" i="50"/>
  <c r="I246" i="50"/>
  <c r="I244" i="50"/>
  <c r="I248" i="50"/>
  <c r="I250" i="50"/>
  <c r="I251" i="50"/>
  <c r="I253" i="50"/>
  <c r="I255" i="50"/>
  <c r="Y8" i="50"/>
</calcChain>
</file>

<file path=xl/sharedStrings.xml><?xml version="1.0" encoding="utf-8"?>
<sst xmlns="http://schemas.openxmlformats.org/spreadsheetml/2006/main" count="8576" uniqueCount="296">
  <si>
    <t>Population</t>
  </si>
  <si>
    <t>Burundi</t>
  </si>
  <si>
    <t>Egypt</t>
  </si>
  <si>
    <t>Eritrea</t>
  </si>
  <si>
    <t>Ethiopia</t>
  </si>
  <si>
    <t>Kenya</t>
  </si>
  <si>
    <t>Rwanda</t>
  </si>
  <si>
    <t>Sudan</t>
  </si>
  <si>
    <t>South Sudan</t>
  </si>
  <si>
    <t>Tanzania</t>
  </si>
  <si>
    <t>Uganda</t>
  </si>
  <si>
    <t>total</t>
  </si>
  <si>
    <t>Total</t>
  </si>
  <si>
    <t xml:space="preserve">Countries </t>
  </si>
  <si>
    <t xml:space="preserve"> </t>
  </si>
  <si>
    <t>AW %</t>
  </si>
  <si>
    <t>Population %</t>
  </si>
  <si>
    <t>Cumulative AW%</t>
  </si>
  <si>
    <t>Commulative Pop %</t>
  </si>
  <si>
    <t>Countries</t>
  </si>
  <si>
    <t>Area under Lorenz Curve (B)</t>
  </si>
  <si>
    <t>Area %</t>
  </si>
  <si>
    <t>Normalization of data</t>
  </si>
  <si>
    <t>A= min number</t>
  </si>
  <si>
    <t xml:space="preserve">B= max number </t>
  </si>
  <si>
    <t>a= min range</t>
  </si>
  <si>
    <t>a+(x-A)(b-a) / (B-A)</t>
  </si>
  <si>
    <t>P %</t>
  </si>
  <si>
    <t>Cumulative P%</t>
  </si>
  <si>
    <t>Gini C. = (1-2B)</t>
  </si>
  <si>
    <t>Gini C. =  (1-2B)</t>
  </si>
  <si>
    <t>ETa %</t>
  </si>
  <si>
    <t>Cumulative ETa%</t>
  </si>
  <si>
    <t>Gini c. =  (1-2B)</t>
  </si>
  <si>
    <t>Area (km2)</t>
  </si>
  <si>
    <t>Cropland, irrigated</t>
  </si>
  <si>
    <t>Cropland, fallow</t>
  </si>
  <si>
    <t>Gini C = (1-2B)</t>
  </si>
  <si>
    <t>Available Water (Km3/y)</t>
  </si>
  <si>
    <t>Total available water (km3/y)</t>
  </si>
  <si>
    <t>Cropland area (km2)</t>
  </si>
  <si>
    <t>Population (M)</t>
  </si>
  <si>
    <t>Precipitation (Km3/y)</t>
  </si>
  <si>
    <t>Eta (Km3/y)</t>
  </si>
  <si>
    <t>Cropland area (Km2)</t>
  </si>
  <si>
    <t xml:space="preserve">min water per capita </t>
  </si>
  <si>
    <t xml:space="preserve">min per 1 m2 cropland </t>
  </si>
  <si>
    <t>Area (Km2)</t>
  </si>
  <si>
    <t>Data for 2018</t>
  </si>
  <si>
    <t>m3/y (UN)</t>
  </si>
  <si>
    <t>Km3 to m3</t>
  </si>
  <si>
    <t>Area in the basin (Km2)</t>
  </si>
  <si>
    <t>Country</t>
  </si>
  <si>
    <t>Km2 to m2</t>
  </si>
  <si>
    <t>Cropland, rainfed (Km2)</t>
  </si>
  <si>
    <t>Cropland, irrigated (Km2)</t>
  </si>
  <si>
    <t xml:space="preserve"> m3/y (FAO)</t>
  </si>
  <si>
    <t>min per 1 Km2 cropland</t>
  </si>
  <si>
    <t>m3/y</t>
  </si>
  <si>
    <t>min water per million</t>
  </si>
  <si>
    <t>Calculating (Demand - Supply) in terms of population</t>
  </si>
  <si>
    <t>D-P for rainfed (Km3)</t>
  </si>
  <si>
    <t>D-P for irrigated (Km3)</t>
  </si>
  <si>
    <t>D- Total AW for irrigated (Km3)</t>
  </si>
  <si>
    <t>D- AW for irrigated (Km3)</t>
  </si>
  <si>
    <t>D-P (Km3)</t>
  </si>
  <si>
    <t>D-Eta (Km3)</t>
  </si>
  <si>
    <t>D- AW (Km3)</t>
  </si>
  <si>
    <t>D- Total AW (Km3)</t>
  </si>
  <si>
    <t>D-P in terms of population</t>
  </si>
  <si>
    <t xml:space="preserve">b= max range </t>
  </si>
  <si>
    <t>Envy Freeness Calculation for D-P in terms of population</t>
  </si>
  <si>
    <t>km3 to m3</t>
  </si>
  <si>
    <t xml:space="preserve">Cropland, rainfed </t>
  </si>
  <si>
    <t>Cropland total (Km2)</t>
  </si>
  <si>
    <t>Calculating (Demand - Supply) in terms of cropland area</t>
  </si>
  <si>
    <t>Normalized Envy Freeness Calculation for D-P in terms of population</t>
  </si>
  <si>
    <t>Envy Freeness Calculation for D-Internal_AW in terms of population</t>
  </si>
  <si>
    <t>Normalized Envy Freeness Calculation for D-Internal_AW in terms of population</t>
  </si>
  <si>
    <t>Envy Freeness Calculation for D-Total_AW in terms of population</t>
  </si>
  <si>
    <t>Normalized Envy Freeness Calculation for D-Total_AW in terms of population</t>
  </si>
  <si>
    <t>In terms of Population</t>
  </si>
  <si>
    <t>In terms of Cropland Area</t>
  </si>
  <si>
    <t>Envy Freeness Calculation for D-P in terms of Rainfed Cropland area</t>
  </si>
  <si>
    <t>Normalized Envy Freeness Calculation for D-P in terms of Rainfed Cropland area</t>
  </si>
  <si>
    <t>Envy Freeness Calculation for D-P in terms of Irrigated Cropland area</t>
  </si>
  <si>
    <t>Envy Freeness Calculation for D-AW in terms of Irrigated Cropland area</t>
  </si>
  <si>
    <t>Normalized Envy Freeness Calculation for D-P in terms of Irrigated Cropland area</t>
  </si>
  <si>
    <t>Normalized Envy Freeness Calculation for D-AW in terms of Irrigated Cropland area</t>
  </si>
  <si>
    <t>Envy Freeness Calculation for D-Total_AW in terms of Irrigated Cropland area</t>
  </si>
  <si>
    <t>Normalized Envy Freeness Calculation for D-Total_AW in terms of Irrigated Cropland area</t>
  </si>
  <si>
    <t>Total_AW%</t>
  </si>
  <si>
    <t>Cumulative of Total_AW%</t>
  </si>
  <si>
    <t>Total_AW% (Km3/y)</t>
  </si>
  <si>
    <t>In terms of Area of the country in the basin</t>
  </si>
  <si>
    <t>Gini C. of precipitation (P) in terms of population</t>
  </si>
  <si>
    <t>Gini C. of actual evapotranspiration (ETa) in terms of population</t>
  </si>
  <si>
    <t>ETa (Km3/y)</t>
  </si>
  <si>
    <t>Gini C. of total available water (Total_AW) in terms of population</t>
  </si>
  <si>
    <t>Gini C. of precipitation (P) in terms of cropland area</t>
  </si>
  <si>
    <t>Gini C. of actual evapotranspiration (ETa) in terms of cropland area</t>
  </si>
  <si>
    <t>Gini C. of total available water (Total_AW) in terms of cropland area</t>
  </si>
  <si>
    <t>Envy Freeness Calculation for D-ETa in terms of population</t>
  </si>
  <si>
    <t>Normalized Envy Freeness Calculation for D-ETa in terms of population</t>
  </si>
  <si>
    <t>Gini C. of internal available water (AW) in terms of population</t>
  </si>
  <si>
    <t>Gini C. of internal available water (AW) in terms of cropland area</t>
  </si>
  <si>
    <t xml:space="preserve">Scenario 2: Total available water divided equally per capita/per area in the basin </t>
  </si>
  <si>
    <t>Population (D-Taw)</t>
  </si>
  <si>
    <t>Irrigatet cropland (D-Taw)</t>
  </si>
  <si>
    <t>Gini C. of total available water (Total_AW) equally divided in terms of cropland area</t>
  </si>
  <si>
    <t>Gini C. of total available water (Total_AW) equally divided in terms of population</t>
  </si>
  <si>
    <t>Population in the basin (million)</t>
  </si>
  <si>
    <t xml:space="preserve">Scenario 3: Total available water divided to population growth by 2050 </t>
  </si>
  <si>
    <t xml:space="preserve">In terms of cropland  area </t>
  </si>
  <si>
    <t>Gini C. of precipitation (P) in terms of country area in the basin</t>
  </si>
  <si>
    <t xml:space="preserve"> Area (Km2)</t>
  </si>
  <si>
    <t>Cumulative Pop %</t>
  </si>
  <si>
    <t>Cumulative Area %</t>
  </si>
  <si>
    <t>Gini C. of total available water (Total_AW) in terms of country area in the basin</t>
  </si>
  <si>
    <t>Gini C. of internal available water (AW) in terms of country area in the basin</t>
  </si>
  <si>
    <t>Gini C. of actual evapotranspiration (ETa) in terms of country area in the basin</t>
  </si>
  <si>
    <t>Scenario 2</t>
  </si>
  <si>
    <t>Scenario 1</t>
  </si>
  <si>
    <t xml:space="preserve">countries </t>
  </si>
  <si>
    <t xml:space="preserve">Total_AW </t>
  </si>
  <si>
    <t xml:space="preserve">Total AW equally divided to 11 countries </t>
  </si>
  <si>
    <t>Gini C. of total available water (Total_AW) divided to 11 countries in terms of population</t>
  </si>
  <si>
    <t>Gini C. of total available water (Total_AW) equally divided to 11 countries (area)</t>
  </si>
  <si>
    <t xml:space="preserve"> Area (km2)</t>
  </si>
  <si>
    <t>Data for 2017</t>
  </si>
  <si>
    <t>Cropland area</t>
  </si>
  <si>
    <t>Precipitation</t>
  </si>
  <si>
    <t>Internal AW</t>
  </si>
  <si>
    <t>Total AW</t>
  </si>
  <si>
    <t>Eta</t>
  </si>
  <si>
    <t xml:space="preserve">Country area </t>
  </si>
  <si>
    <t>No</t>
  </si>
  <si>
    <t>C_P</t>
  </si>
  <si>
    <t>C_Eta</t>
  </si>
  <si>
    <t>C_pop</t>
  </si>
  <si>
    <t>C_AW</t>
  </si>
  <si>
    <t>C_TAW</t>
  </si>
  <si>
    <t>C_Pop</t>
  </si>
  <si>
    <t>Growth rate</t>
  </si>
  <si>
    <t>C_area</t>
  </si>
  <si>
    <t>Country order based on each variable for population criterion</t>
  </si>
  <si>
    <t>Country order based on each variable for cropland area criterion</t>
  </si>
  <si>
    <t>Country order based on each variable for country area criterion</t>
  </si>
  <si>
    <t>C_CLA</t>
  </si>
  <si>
    <t> A finite amount of water resources stands to be used by a population that is  increasing by 2–3% annually.</t>
  </si>
  <si>
    <t>The Nile countries’ national socio-economic and political capacity to find alternatives to present water use trends is limited.</t>
  </si>
  <si>
    <t>International investment in water resource development has been blocked, due  to disagreement between the countries.</t>
  </si>
  <si>
    <t>The downstream countries are concerned about a decrease in water flow due  to upstream water resource development.</t>
  </si>
  <si>
    <t>The upstream countries are concerned about the downstream countries hindering their water resource development.</t>
  </si>
  <si>
    <t>There have been diplomatic tensions and instances of threatening and concerned rhetoric between the countries of the Nile, especially between Egypt and Ethiopia.</t>
  </si>
  <si>
    <t>Treaty between Ethiopia and the Great Britain on the Delineation of the Frontier between Ethiopia and Sudan: Addis Ababa. Ethiopia, 15th May 1902.</t>
  </si>
  <si>
    <t>Protocols between Great Britain and Italy on the demarcation of their respective spheres of influence in East Africa:</t>
  </si>
  <si>
    <t>Date</t>
  </si>
  <si>
    <t xml:space="preserve"> 15th April 1891</t>
  </si>
  <si>
    <t xml:space="preserve"> Rome, Italy,</t>
  </si>
  <si>
    <t>Signatoreies</t>
  </si>
  <si>
    <t>15th May 1902</t>
  </si>
  <si>
    <t>7th May 1929</t>
  </si>
  <si>
    <t>8th November 1959</t>
  </si>
  <si>
    <t>1st July 1993</t>
  </si>
  <si>
    <t>14th May 2010</t>
  </si>
  <si>
    <t xml:space="preserve">Addis Ababa. Ethiopia, </t>
  </si>
  <si>
    <t>Agreement between Great Britain and the independent State of the Congo</t>
  </si>
  <si>
    <t xml:space="preserve"> 9th May 1906</t>
  </si>
  <si>
    <t>London, UK,</t>
  </si>
  <si>
    <t>Agreement between the Great Britain, France and Italy respecting Abyssinia/ Ethiopia</t>
  </si>
  <si>
    <t xml:space="preserve"> 13th December 1906</t>
  </si>
  <si>
    <t>Exchange of Notes between Great Britain and Italy respecting concessions for a barrage at Lake Tsana and a railway across Abyssinia from Eritrea to ItalianSomali land</t>
  </si>
  <si>
    <t xml:space="preserve"> 20th December 1925</t>
  </si>
  <si>
    <t xml:space="preserve"> Rome Italy</t>
  </si>
  <si>
    <t>Exchange of Notes between her Majesty’s Government in the United Kingdom and the Egyptian Government on the use of the waters of the Nile for Irrigation</t>
  </si>
  <si>
    <t>Cairo. Egypt,</t>
  </si>
  <si>
    <t>Exchange of notes constituting an agreement between the government of the United Kingdom of Great Britain and Northern Ireland and the Government of Egypt regarding the construction of the Owen Falls Dam, Uganda</t>
  </si>
  <si>
    <t>Cairo, Egypt</t>
  </si>
  <si>
    <t>Agreement between the republic of Sudan and the United Arab republic on the full utilization of the waters of the Nile</t>
  </si>
  <si>
    <t xml:space="preserve">Cairo. Egypt, </t>
  </si>
  <si>
    <t>Framework for General Cooperation between Ethiopia and the Arab Republic of Egypt</t>
  </si>
  <si>
    <t xml:space="preserve">Agreement on the Nile River basin cooperative Framework (CFA). </t>
  </si>
  <si>
    <t>Entebbe, Uganda</t>
  </si>
  <si>
    <t>Agreements</t>
  </si>
  <si>
    <t>Challenges</t>
  </si>
  <si>
    <t xml:space="preserve">Total </t>
  </si>
  <si>
    <t>Population in the basin (M)</t>
  </si>
  <si>
    <t>Data for 2016</t>
  </si>
  <si>
    <t>Data for 2015</t>
  </si>
  <si>
    <t>Data for 2014</t>
  </si>
  <si>
    <t>Data for 2013</t>
  </si>
  <si>
    <t>Data for 2012</t>
  </si>
  <si>
    <t>Data for 2011</t>
  </si>
  <si>
    <t>Data for 2010</t>
  </si>
  <si>
    <t>DRC</t>
  </si>
  <si>
    <r>
      <t xml:space="preserve">Area </t>
    </r>
    <r>
      <rPr>
        <sz val="10"/>
        <color rgb="FF000000"/>
        <rFont val="Arial"/>
        <family val="2"/>
        <scheme val="minor"/>
      </rPr>
      <t>(Km2)</t>
    </r>
  </si>
  <si>
    <t xml:space="preserve">Area </t>
  </si>
  <si>
    <t>(Km2)</t>
  </si>
  <si>
    <r>
      <t>P</t>
    </r>
    <r>
      <rPr>
        <sz val="10"/>
        <color rgb="FF000000"/>
        <rFont val="Arial"/>
        <family val="2"/>
        <scheme val="minor"/>
      </rPr>
      <t xml:space="preserve"> </t>
    </r>
  </si>
  <si>
    <t>(mm/y)</t>
  </si>
  <si>
    <t xml:space="preserve">P </t>
  </si>
  <si>
    <t xml:space="preserve"> (mm/y)</t>
  </si>
  <si>
    <t xml:space="preserve">ETa </t>
  </si>
  <si>
    <t>ETa</t>
  </si>
  <si>
    <t>In. AW</t>
  </si>
  <si>
    <t>Irrigated cropland</t>
  </si>
  <si>
    <t>Cropland</t>
  </si>
  <si>
    <t>Rainfed cropland</t>
  </si>
  <si>
    <t xml:space="preserve">Scenario 1: Total available water divided equally  to 11 countries in the basin </t>
  </si>
  <si>
    <t>Gini C. of total available water (Total_AW) divided to population of 2050</t>
  </si>
  <si>
    <r>
      <t xml:space="preserve">Internally generated available water </t>
    </r>
    <r>
      <rPr>
        <sz val="10"/>
        <color rgb="FF000000"/>
        <rFont val="Arial"/>
        <family val="2"/>
        <scheme val="minor"/>
      </rPr>
      <t>(mm/y)</t>
    </r>
  </si>
  <si>
    <r>
      <t>P-ETa (</t>
    </r>
    <r>
      <rPr>
        <sz val="10"/>
        <color rgb="FF000000"/>
        <rFont val="Arial"/>
        <family val="2"/>
        <scheme val="minor"/>
      </rPr>
      <t>mm/y)</t>
    </r>
  </si>
  <si>
    <r>
      <t xml:space="preserve">Actual Evapotranspiration </t>
    </r>
    <r>
      <rPr>
        <sz val="10"/>
        <color rgb="FF000000"/>
        <rFont val="Arial"/>
        <family val="2"/>
        <scheme val="minor"/>
      </rPr>
      <t>(mm/y)</t>
    </r>
  </si>
  <si>
    <r>
      <t>Precipitation</t>
    </r>
    <r>
      <rPr>
        <sz val="10"/>
        <color rgb="FF000000"/>
        <rFont val="Arial"/>
        <family val="2"/>
        <scheme val="minor"/>
      </rPr>
      <t xml:space="preserve"> (mm/y)</t>
    </r>
  </si>
  <si>
    <t>(M)</t>
  </si>
  <si>
    <t>Scenario 3</t>
  </si>
  <si>
    <t>Area</t>
  </si>
  <si>
    <t xml:space="preserve">Scenario 3: Total available water divided equally per capita/per area in the basin </t>
  </si>
  <si>
    <t xml:space="preserve"> Water equally divided to the area/population/cropland area</t>
  </si>
  <si>
    <t xml:space="preserve">Scenario 1: Total available water divided equally per 11 countries </t>
  </si>
  <si>
    <t>Pop 2050</t>
  </si>
  <si>
    <t xml:space="preserve">D- AW for irrigated </t>
  </si>
  <si>
    <t xml:space="preserve">D-P for rainfed </t>
  </si>
  <si>
    <t xml:space="preserve">Demand Crop total </t>
  </si>
  <si>
    <t xml:space="preserve">D-Eta </t>
  </si>
  <si>
    <t xml:space="preserve">D-P </t>
  </si>
  <si>
    <t xml:space="preserve">Demand pop </t>
  </si>
  <si>
    <t>D- AW</t>
  </si>
  <si>
    <t xml:space="preserve">D- Total AW </t>
  </si>
  <si>
    <r>
      <t xml:space="preserve">Population </t>
    </r>
    <r>
      <rPr>
        <sz val="10"/>
        <color rgb="FF000000"/>
        <rFont val="Arial"/>
        <family val="2"/>
        <scheme val="minor"/>
      </rPr>
      <t>(Demand-TAW)</t>
    </r>
  </si>
  <si>
    <r>
      <t xml:space="preserve">Irrigatet cropland </t>
    </r>
    <r>
      <rPr>
        <sz val="10"/>
        <color rgb="FF000000"/>
        <rFont val="Arial"/>
        <family val="2"/>
        <scheme val="minor"/>
      </rPr>
      <t>(Demand-TAW)</t>
    </r>
  </si>
  <si>
    <t>Demand Population</t>
  </si>
  <si>
    <r>
      <t xml:space="preserve"> Total AW_ per Population</t>
    </r>
    <r>
      <rPr>
        <sz val="10"/>
        <color rgb="FF000000"/>
        <rFont val="Arial"/>
        <family val="2"/>
        <scheme val="minor"/>
      </rPr>
      <t>(M)</t>
    </r>
  </si>
  <si>
    <r>
      <t xml:space="preserve"> Total AW_ per Area</t>
    </r>
    <r>
      <rPr>
        <sz val="10"/>
        <color rgb="FF000000"/>
        <rFont val="Arial"/>
        <family val="2"/>
        <scheme val="minor"/>
      </rPr>
      <t>(Km2)</t>
    </r>
  </si>
  <si>
    <r>
      <t>Total AW_per cropland area</t>
    </r>
    <r>
      <rPr>
        <sz val="10"/>
        <color rgb="FF000000"/>
        <rFont val="Arial"/>
        <family val="2"/>
        <scheme val="minor"/>
      </rPr>
      <t>(Km2)</t>
    </r>
  </si>
  <si>
    <t xml:space="preserve">D- Total AW for irrigated </t>
  </si>
  <si>
    <t xml:space="preserve">D-P for irrigated </t>
  </si>
  <si>
    <t xml:space="preserve">Demand irrigated </t>
  </si>
  <si>
    <t xml:space="preserve">Demand Rinfed </t>
  </si>
  <si>
    <t>Cropland, rainfed</t>
  </si>
  <si>
    <t xml:space="preserve">Cropland total </t>
  </si>
  <si>
    <t xml:space="preserve">Area in the basin </t>
  </si>
  <si>
    <t xml:space="preserve">Cropland, irrigated </t>
  </si>
  <si>
    <t xml:space="preserve">Population in the basin </t>
  </si>
  <si>
    <t xml:space="preserve">Precipitation </t>
  </si>
  <si>
    <t xml:space="preserve">Actual ET </t>
  </si>
  <si>
    <t xml:space="preserve">Internal AW </t>
  </si>
  <si>
    <t xml:space="preserve">External AW </t>
  </si>
  <si>
    <t xml:space="preserve">Demand </t>
  </si>
  <si>
    <t xml:space="preserve"> Demand-Total AW</t>
  </si>
  <si>
    <r>
      <t xml:space="preserve">Popuation </t>
    </r>
    <r>
      <rPr>
        <sz val="10"/>
        <color rgb="FF000000"/>
        <rFont val="Arial"/>
        <family val="2"/>
        <scheme val="minor"/>
      </rPr>
      <t>by</t>
    </r>
    <r>
      <rPr>
        <b/>
        <sz val="10"/>
        <color rgb="FF000000"/>
        <rFont val="Arial"/>
        <family val="2"/>
        <scheme val="minor"/>
      </rPr>
      <t xml:space="preserve"> </t>
    </r>
    <r>
      <rPr>
        <sz val="10"/>
        <color rgb="FF000000"/>
        <rFont val="Arial"/>
        <family val="2"/>
        <scheme val="minor"/>
      </rPr>
      <t>2050</t>
    </r>
  </si>
  <si>
    <r>
      <t xml:space="preserve">Cropland area </t>
    </r>
    <r>
      <rPr>
        <sz val="10"/>
        <color rgb="FF000000"/>
        <rFont val="Arial"/>
        <family val="2"/>
        <scheme val="minor"/>
      </rPr>
      <t>(Km2)</t>
    </r>
  </si>
  <si>
    <t>Population growth by 2050</t>
  </si>
  <si>
    <t xml:space="preserve">Scenario 3: Total available water divided equally per capita in the basin </t>
  </si>
  <si>
    <t xml:space="preserve">Scenario 2: Total available water divided equally per capita area in the basin </t>
  </si>
  <si>
    <t>Internal. AW</t>
  </si>
  <si>
    <t>External AW</t>
  </si>
  <si>
    <t>D-ETa in terms of population</t>
  </si>
  <si>
    <t>D-In. AW in terms of population</t>
  </si>
  <si>
    <t>D-Total AW in terms of population</t>
  </si>
  <si>
    <t>D-P in terms of rainfed cropland</t>
  </si>
  <si>
    <t>D-P in terms of irrigated cropland</t>
  </si>
  <si>
    <t>D-AW in terms of irrigated cropland</t>
  </si>
  <si>
    <t>D-Total AW in terms of irrigated cropland</t>
  </si>
  <si>
    <t>D-AW in terms of population</t>
  </si>
  <si>
    <r>
      <t xml:space="preserve">10 </t>
    </r>
    <r>
      <rPr>
        <vertAlign val="superscript"/>
        <sz val="10"/>
        <color rgb="FF000000"/>
        <rFont val="Arial"/>
        <family val="2"/>
        <scheme val="minor"/>
      </rPr>
      <t xml:space="preserve">9 </t>
    </r>
    <r>
      <rPr>
        <sz val="10"/>
        <color rgb="FF000000"/>
        <rFont val="Arial"/>
        <scheme val="minor"/>
      </rPr>
      <t>m</t>
    </r>
    <r>
      <rPr>
        <vertAlign val="superscript"/>
        <sz val="10"/>
        <color rgb="FF000000"/>
        <rFont val="Arial"/>
        <family val="2"/>
        <scheme val="minor"/>
      </rPr>
      <t>3</t>
    </r>
    <r>
      <rPr>
        <sz val="10"/>
        <color rgb="FF000000"/>
        <rFont val="Arial"/>
        <scheme val="minor"/>
      </rPr>
      <t xml:space="preserve"> yr</t>
    </r>
    <r>
      <rPr>
        <vertAlign val="superscript"/>
        <sz val="10"/>
        <color rgb="FF000000"/>
        <rFont val="Arial"/>
        <family val="2"/>
        <scheme val="minor"/>
      </rPr>
      <t>-1</t>
    </r>
  </si>
  <si>
    <t xml:space="preserve">Total AW per 1M population </t>
  </si>
  <si>
    <t>(Billion m3/yr)</t>
  </si>
  <si>
    <t>Billion m3/yr</t>
  </si>
  <si>
    <t>Precipitation (Billion m3/yr)</t>
  </si>
  <si>
    <t>Actual ET (Billion m3/yr)</t>
  </si>
  <si>
    <t>Internal AW (Billion m3/yr)</t>
  </si>
  <si>
    <t>External AW (Billion m3/yr)</t>
  </si>
  <si>
    <t>Total AW (Billion m3/yr)</t>
  </si>
  <si>
    <t>Demand Crop total (Billion m3/yr)</t>
  </si>
  <si>
    <t>Demand Rinfed (Billion m3/yr)</t>
  </si>
  <si>
    <t>Demand irrigated (Billion m3/yr)</t>
  </si>
  <si>
    <t>Demand pop (Billion m3/yr)</t>
  </si>
  <si>
    <t xml:space="preserve">Precipitation (Billion m3/yr) </t>
  </si>
  <si>
    <t>Actual Evapotranspiration (Billion m3/yr)</t>
  </si>
  <si>
    <t>P-ETa (Billion m3/yr)</t>
  </si>
  <si>
    <t>Available water (Billion m3/yr)</t>
  </si>
  <si>
    <t>Total Available water (Billion m3/yr)</t>
  </si>
  <si>
    <t>Total available water (Billion m3/yr)</t>
  </si>
  <si>
    <t>Total AW per capita (Billion m3/yr)</t>
  </si>
  <si>
    <t xml:space="preserve">(Billion m3/yr) </t>
  </si>
  <si>
    <t>ETa (Billion m3/yr)</t>
  </si>
  <si>
    <t>Available Water (Billion m3/yr)</t>
  </si>
  <si>
    <t>Total_AW% (Billion m3/yr)</t>
  </si>
  <si>
    <t>Eta (Billion m3/yr)</t>
  </si>
  <si>
    <t>Total_AW (Billion m3/yr)</t>
  </si>
  <si>
    <r>
      <t>(Billion m</t>
    </r>
    <r>
      <rPr>
        <vertAlign val="superscript"/>
        <sz val="10"/>
        <color rgb="FF000000"/>
        <rFont val="Arial"/>
        <family val="2"/>
        <scheme val="minor"/>
      </rPr>
      <t>3</t>
    </r>
    <r>
      <rPr>
        <sz val="10"/>
        <color rgb="FF000000"/>
        <rFont val="Arial"/>
        <family val="2"/>
        <scheme val="minor"/>
      </rPr>
      <t>/yr)</t>
    </r>
  </si>
  <si>
    <r>
      <t>(Km</t>
    </r>
    <r>
      <rPr>
        <vertAlign val="superscript"/>
        <sz val="10"/>
        <color rgb="FF000000"/>
        <rFont val="Arial"/>
        <family val="2"/>
        <scheme val="minor"/>
      </rPr>
      <t>2</t>
    </r>
    <r>
      <rPr>
        <sz val="10"/>
        <color rgb="FF000000"/>
        <rFont val="Arial"/>
        <scheme val="minor"/>
      </rPr>
      <t>)</t>
    </r>
  </si>
  <si>
    <t>There is no agreement on water allocation between the riparian countries that  is accepted by all. Egypt and Sudan uphold the principle of “acquired rights”  and the validity of the Agreement of 1959, the upstream countries seek to negotiate a new Nile waters agreement</t>
  </si>
  <si>
    <t>S. Sudan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</si>
</sst>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1">
    <numFmt numFmtId="43" formatCode="_-* #,##0.00_-;\-* #,##0.00_-;_-* &quot;-&quot;??_-;_-@_-"/>
    <numFmt numFmtId="164" formatCode="_(* #,##0.00_);_(* \(#,##0.00\);_(* &quot;-&quot;??_);_(@_)"/>
    <numFmt numFmtId="165" formatCode="_-* #,##0_-;\-* #,##0_-;_-* &quot;-&quot;??_-;_-@"/>
    <numFmt numFmtId="166" formatCode="0.000"/>
    <numFmt numFmtId="167" formatCode="0.0000"/>
    <numFmt numFmtId="168" formatCode="_-* #,##0_-;\-* #,##0_-;_-* &quot;-&quot;??_-;_-@_-"/>
    <numFmt numFmtId="169" formatCode="_-* #,##0.0_-;\-* #,##0.0_-;_-* &quot;-&quot;??_-;_-@_-"/>
    <numFmt numFmtId="170" formatCode="_-* #,##0_-;\-* #,##0_-;_-* &quot;-&quot;?_-;_-@_-"/>
    <numFmt numFmtId="171" formatCode="0.0"/>
    <numFmt numFmtId="172" formatCode="_(* #,##0.0000_);_(* \(#,##0.0000\);_(* &quot;-&quot;??_);_(@_)"/>
    <numFmt numFmtId="173" formatCode="_-* #,##0.00_-;\-* #,##0.00_-;_-* &quot;-&quot;??_-;_-@"/>
  </numFmts>
  <fonts count="13" x14ac:knownFonts="1">
    <font>
      <sz val="10"/>
      <color rgb="FF000000"/>
      <name val="Arial"/>
      <scheme val="minor"/>
    </font>
    <font>
      <sz val="10"/>
      <color theme="1"/>
      <name val="Arial"/>
      <family val="2"/>
      <scheme val="minor"/>
    </font>
    <font>
      <sz val="10"/>
      <color theme="1"/>
      <name val="Arial"/>
      <family val="2"/>
    </font>
    <font>
      <b/>
      <sz val="12"/>
      <color theme="1"/>
      <name val="Arial"/>
      <family val="2"/>
    </font>
    <font>
      <b/>
      <sz val="10"/>
      <color theme="1"/>
      <name val="Arial"/>
      <family val="2"/>
    </font>
    <font>
      <sz val="10"/>
      <color rgb="FF000000"/>
      <name val="Arial"/>
      <family val="2"/>
      <scheme val="minor"/>
    </font>
    <font>
      <b/>
      <sz val="10"/>
      <color rgb="FF000000"/>
      <name val="Arial"/>
      <family val="2"/>
      <scheme val="minor"/>
    </font>
    <font>
      <b/>
      <sz val="10"/>
      <color theme="1"/>
      <name val="Arial"/>
      <family val="2"/>
      <scheme val="minor"/>
    </font>
    <font>
      <sz val="10"/>
      <color rgb="FF000000"/>
      <name val="Arial"/>
      <family val="2"/>
      <scheme val="minor"/>
    </font>
    <font>
      <b/>
      <sz val="12"/>
      <color rgb="FF000000"/>
      <name val="Arial"/>
      <family val="2"/>
      <scheme val="minor"/>
    </font>
    <font>
      <sz val="12"/>
      <color rgb="FF000000"/>
      <name val="Times New Roman"/>
      <family val="1"/>
    </font>
    <font>
      <sz val="10"/>
      <color rgb="FF000000"/>
      <name val="Times New Roman"/>
      <family val="1"/>
    </font>
    <font>
      <vertAlign val="superscript"/>
      <sz val="10"/>
      <color rgb="FF000000"/>
      <name val="Arial"/>
      <family val="2"/>
      <scheme val="minor"/>
    </font>
  </fonts>
  <fills count="10">
    <fill>
      <patternFill patternType="none"/>
    </fill>
    <fill>
      <patternFill patternType="gray125"/>
    </fill>
    <fill>
      <patternFill patternType="solid">
        <fgColor theme="0"/>
        <bgColor indexed="64"/>
      </patternFill>
    </fill>
    <fill>
      <patternFill patternType="solid">
        <fgColor theme="0"/>
        <bgColor theme="0"/>
      </patternFill>
    </fill>
    <fill>
      <patternFill patternType="solid">
        <fgColor theme="2"/>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2" tint="-0.14999847407452621"/>
        <bgColor indexed="64"/>
      </patternFill>
    </fill>
  </fills>
  <borders count="13">
    <border>
      <left/>
      <right/>
      <top/>
      <bottom/>
      <diagonal/>
    </border>
    <border>
      <left/>
      <right/>
      <top/>
      <bottom/>
      <diagonal/>
    </border>
    <border>
      <left/>
      <right/>
      <top style="medium">
        <color indexed="64"/>
      </top>
      <bottom style="medium">
        <color indexed="64"/>
      </bottom>
      <diagonal/>
    </border>
    <border>
      <left/>
      <right/>
      <top/>
      <bottom style="medium">
        <color indexed="64"/>
      </bottom>
      <diagonal/>
    </border>
    <border>
      <left/>
      <right/>
      <top/>
      <bottom style="thin">
        <color indexed="64"/>
      </bottom>
      <diagonal/>
    </border>
    <border>
      <left/>
      <right style="thin">
        <color indexed="64"/>
      </right>
      <top style="medium">
        <color indexed="64"/>
      </top>
      <bottom style="medium">
        <color indexed="64"/>
      </bottom>
      <diagonal/>
    </border>
    <border>
      <left/>
      <right style="thin">
        <color indexed="64"/>
      </right>
      <top/>
      <bottom/>
      <diagonal/>
    </border>
    <border>
      <left/>
      <right style="thin">
        <color indexed="64"/>
      </right>
      <top/>
      <bottom style="medium">
        <color indexed="64"/>
      </bottom>
      <diagonal/>
    </border>
    <border>
      <left style="thin">
        <color indexed="64"/>
      </left>
      <right/>
      <top style="medium">
        <color indexed="64"/>
      </top>
      <bottom style="medium">
        <color indexed="64"/>
      </bottom>
      <diagonal/>
    </border>
    <border>
      <left style="thin">
        <color indexed="64"/>
      </left>
      <right/>
      <top/>
      <bottom/>
      <diagonal/>
    </border>
    <border>
      <left style="thin">
        <color indexed="64"/>
      </left>
      <right/>
      <top/>
      <bottom style="medium">
        <color indexed="64"/>
      </bottom>
      <diagonal/>
    </border>
    <border>
      <left/>
      <right/>
      <top style="thin">
        <color indexed="64"/>
      </top>
      <bottom style="thin">
        <color indexed="64"/>
      </bottom>
      <diagonal/>
    </border>
    <border>
      <left/>
      <right/>
      <top style="medium">
        <color indexed="64"/>
      </top>
      <bottom/>
      <diagonal/>
    </border>
  </borders>
  <cellStyleXfs count="2">
    <xf numFmtId="0" fontId="0" fillId="0" borderId="0"/>
    <xf numFmtId="43" fontId="8" fillId="0" borderId="0" applyFont="0" applyFill="0" applyBorder="0" applyAlignment="0" applyProtection="0"/>
  </cellStyleXfs>
  <cellXfs count="262">
    <xf numFmtId="0" fontId="0" fillId="0" borderId="0" xfId="0" applyFont="1" applyAlignment="1"/>
    <xf numFmtId="165" fontId="2" fillId="0" borderId="0" xfId="0" applyNumberFormat="1" applyFont="1"/>
    <xf numFmtId="0" fontId="0" fillId="0" borderId="0" xfId="0" applyFont="1" applyAlignment="1"/>
    <xf numFmtId="0" fontId="5" fillId="0" borderId="0" xfId="0" applyFont="1" applyAlignment="1"/>
    <xf numFmtId="0" fontId="0" fillId="0" borderId="1" xfId="0" applyFont="1" applyFill="1" applyBorder="1" applyAlignment="1"/>
    <xf numFmtId="0" fontId="0" fillId="0" borderId="1" xfId="0" applyFont="1" applyBorder="1" applyAlignment="1"/>
    <xf numFmtId="165" fontId="2" fillId="0" borderId="2" xfId="0" applyNumberFormat="1" applyFont="1" applyFill="1" applyBorder="1"/>
    <xf numFmtId="0" fontId="0" fillId="0" borderId="2" xfId="0" applyFont="1" applyFill="1" applyBorder="1" applyAlignment="1"/>
    <xf numFmtId="0" fontId="0" fillId="0" borderId="0" xfId="0" applyFont="1" applyAlignment="1">
      <alignment horizontal="center" vertical="center"/>
    </xf>
    <xf numFmtId="167" fontId="0" fillId="0" borderId="1" xfId="0" applyNumberFormat="1" applyFont="1" applyFill="1" applyBorder="1" applyAlignment="1"/>
    <xf numFmtId="0" fontId="0" fillId="0" borderId="0" xfId="0"/>
    <xf numFmtId="168" fontId="0" fillId="0" borderId="0" xfId="1" applyNumberFormat="1" applyFont="1"/>
    <xf numFmtId="43" fontId="0" fillId="0" borderId="0" xfId="1" applyNumberFormat="1" applyFont="1"/>
    <xf numFmtId="0" fontId="5" fillId="0" borderId="0" xfId="0" applyFont="1"/>
    <xf numFmtId="168" fontId="0" fillId="0" borderId="0" xfId="1" applyNumberFormat="1" applyFont="1" applyAlignment="1"/>
    <xf numFmtId="168" fontId="0" fillId="0" borderId="0" xfId="0" applyNumberFormat="1" applyFont="1" applyAlignment="1"/>
    <xf numFmtId="0" fontId="0" fillId="0" borderId="0" xfId="0" applyFont="1" applyAlignment="1">
      <alignment horizontal="center" vertical="center" wrapText="1"/>
    </xf>
    <xf numFmtId="1" fontId="0" fillId="0" borderId="0" xfId="0" applyNumberFormat="1" applyFont="1" applyAlignment="1"/>
    <xf numFmtId="0" fontId="6" fillId="0" borderId="0" xfId="0" applyFont="1" applyAlignment="1"/>
    <xf numFmtId="43" fontId="0" fillId="0" borderId="0" xfId="1" applyFont="1" applyAlignment="1"/>
    <xf numFmtId="165" fontId="0" fillId="0" borderId="0" xfId="0" applyNumberFormat="1" applyFont="1" applyAlignment="1"/>
    <xf numFmtId="0" fontId="4" fillId="0" borderId="1" xfId="0" applyFont="1" applyFill="1" applyBorder="1"/>
    <xf numFmtId="0" fontId="4" fillId="0" borderId="3" xfId="0" applyFont="1" applyFill="1" applyBorder="1"/>
    <xf numFmtId="0" fontId="0" fillId="0" borderId="3" xfId="0" applyFont="1" applyBorder="1" applyAlignment="1"/>
    <xf numFmtId="0" fontId="5" fillId="0" borderId="3" xfId="0" applyFont="1" applyFill="1" applyBorder="1" applyAlignment="1"/>
    <xf numFmtId="0" fontId="7" fillId="0" borderId="1" xfId="0" applyFont="1" applyFill="1" applyBorder="1" applyAlignment="1">
      <alignment horizontal="center" vertical="center" wrapText="1"/>
    </xf>
    <xf numFmtId="0" fontId="1" fillId="0" borderId="1" xfId="0" applyFont="1" applyFill="1" applyBorder="1"/>
    <xf numFmtId="166" fontId="1" fillId="0" borderId="1" xfId="0" applyNumberFormat="1" applyFont="1" applyFill="1" applyBorder="1"/>
    <xf numFmtId="167" fontId="1" fillId="0" borderId="1" xfId="0" applyNumberFormat="1" applyFont="1" applyFill="1" applyBorder="1"/>
    <xf numFmtId="165" fontId="2" fillId="0" borderId="1" xfId="0" applyNumberFormat="1" applyFont="1" applyFill="1" applyBorder="1"/>
    <xf numFmtId="0" fontId="6" fillId="0" borderId="2" xfId="0" applyFont="1" applyFill="1" applyBorder="1" applyAlignment="1">
      <alignment horizontal="center" vertical="center" wrapText="1"/>
    </xf>
    <xf numFmtId="0" fontId="7" fillId="0" borderId="2" xfId="0" applyFont="1" applyFill="1" applyBorder="1" applyAlignment="1">
      <alignment horizontal="center" vertical="center" wrapText="1"/>
    </xf>
    <xf numFmtId="165" fontId="2" fillId="0" borderId="3" xfId="0" applyNumberFormat="1" applyFont="1" applyFill="1" applyBorder="1"/>
    <xf numFmtId="166" fontId="1" fillId="0" borderId="3" xfId="0" applyNumberFormat="1" applyFont="1" applyFill="1" applyBorder="1"/>
    <xf numFmtId="167" fontId="1" fillId="0" borderId="3" xfId="0" applyNumberFormat="1" applyFont="1" applyFill="1" applyBorder="1"/>
    <xf numFmtId="0" fontId="6" fillId="0" borderId="2" xfId="0" applyFont="1" applyFill="1" applyBorder="1" applyAlignment="1"/>
    <xf numFmtId="0" fontId="6" fillId="0" borderId="3" xfId="0" applyFont="1" applyFill="1" applyBorder="1" applyAlignment="1">
      <alignment horizontal="center" vertical="center" wrapText="1"/>
    </xf>
    <xf numFmtId="0" fontId="7" fillId="0" borderId="3" xfId="0" applyFont="1" applyFill="1" applyBorder="1" applyAlignment="1">
      <alignment horizontal="center" vertical="center" wrapText="1"/>
    </xf>
    <xf numFmtId="0" fontId="6" fillId="0" borderId="3" xfId="0" applyFont="1" applyFill="1" applyBorder="1" applyAlignment="1"/>
    <xf numFmtId="0" fontId="1" fillId="0" borderId="3" xfId="0" applyFont="1" applyFill="1" applyBorder="1"/>
    <xf numFmtId="0" fontId="0" fillId="0" borderId="3" xfId="0" applyFont="1" applyFill="1" applyBorder="1" applyAlignment="1"/>
    <xf numFmtId="0" fontId="6" fillId="0" borderId="0" xfId="0" applyFont="1" applyAlignment="1">
      <alignment wrapText="1"/>
    </xf>
    <xf numFmtId="0" fontId="0" fillId="0" borderId="0" xfId="0" applyFont="1" applyAlignment="1">
      <alignment wrapText="1"/>
    </xf>
    <xf numFmtId="0" fontId="6" fillId="0" borderId="3" xfId="0" applyFont="1" applyBorder="1" applyAlignment="1"/>
    <xf numFmtId="168" fontId="2" fillId="0" borderId="1" xfId="1" applyNumberFormat="1" applyFont="1" applyFill="1" applyBorder="1" applyAlignment="1">
      <alignment horizontal="right"/>
    </xf>
    <xf numFmtId="43" fontId="0" fillId="0" borderId="0" xfId="0" applyNumberFormat="1" applyFont="1" applyAlignment="1"/>
    <xf numFmtId="43" fontId="0" fillId="0" borderId="0" xfId="1" applyFont="1"/>
    <xf numFmtId="0" fontId="6" fillId="0" borderId="1" xfId="0" applyFont="1" applyFill="1" applyBorder="1" applyAlignment="1"/>
    <xf numFmtId="0" fontId="5" fillId="2" borderId="2" xfId="0" applyFont="1" applyFill="1" applyBorder="1" applyAlignment="1"/>
    <xf numFmtId="2" fontId="1" fillId="0" borderId="1" xfId="0" applyNumberFormat="1" applyFont="1" applyFill="1" applyBorder="1"/>
    <xf numFmtId="2" fontId="0" fillId="0" borderId="1" xfId="0" applyNumberFormat="1" applyFont="1" applyFill="1" applyBorder="1" applyAlignment="1"/>
    <xf numFmtId="2" fontId="1" fillId="0" borderId="3" xfId="0" applyNumberFormat="1" applyFont="1" applyFill="1" applyBorder="1"/>
    <xf numFmtId="2" fontId="0" fillId="0" borderId="3" xfId="0" applyNumberFormat="1" applyFont="1" applyFill="1" applyBorder="1" applyAlignment="1"/>
    <xf numFmtId="2" fontId="0" fillId="0" borderId="2" xfId="0" applyNumberFormat="1" applyFont="1" applyFill="1" applyBorder="1" applyAlignment="1"/>
    <xf numFmtId="0" fontId="6" fillId="0" borderId="0" xfId="0" applyFont="1" applyBorder="1" applyAlignment="1"/>
    <xf numFmtId="2" fontId="0" fillId="0" borderId="1" xfId="0" applyNumberFormat="1" applyFont="1" applyBorder="1" applyAlignment="1"/>
    <xf numFmtId="2" fontId="5" fillId="0" borderId="3" xfId="0" applyNumberFormat="1" applyFont="1" applyFill="1" applyBorder="1" applyAlignment="1"/>
    <xf numFmtId="2" fontId="5" fillId="2" borderId="3" xfId="0" applyNumberFormat="1" applyFont="1" applyFill="1" applyBorder="1" applyAlignment="1"/>
    <xf numFmtId="2" fontId="0" fillId="2" borderId="3" xfId="0" applyNumberFormat="1" applyFont="1" applyFill="1" applyBorder="1" applyAlignment="1"/>
    <xf numFmtId="2" fontId="1" fillId="0" borderId="2" xfId="0" applyNumberFormat="1" applyFont="1" applyFill="1" applyBorder="1"/>
    <xf numFmtId="2" fontId="0" fillId="0" borderId="0" xfId="0" applyNumberFormat="1" applyFont="1" applyAlignment="1"/>
    <xf numFmtId="2" fontId="0" fillId="2" borderId="2" xfId="0" applyNumberFormat="1" applyFont="1" applyFill="1" applyBorder="1" applyAlignment="1"/>
    <xf numFmtId="0" fontId="3" fillId="0" borderId="1" xfId="0" applyFont="1" applyBorder="1" applyAlignment="1">
      <alignment horizontal="center"/>
    </xf>
    <xf numFmtId="0" fontId="0" fillId="0" borderId="0" xfId="0" applyFont="1" applyAlignment="1">
      <alignment horizontal="center" vertical="top" wrapText="1"/>
    </xf>
    <xf numFmtId="0" fontId="5" fillId="0" borderId="1" xfId="0" applyFont="1" applyBorder="1" applyAlignment="1"/>
    <xf numFmtId="0" fontId="6" fillId="0" borderId="1" xfId="0" applyFont="1" applyBorder="1" applyAlignment="1"/>
    <xf numFmtId="0" fontId="2" fillId="0" borderId="2" xfId="0" applyFont="1" applyFill="1" applyBorder="1" applyAlignment="1">
      <alignment vertical="center" wrapText="1"/>
    </xf>
    <xf numFmtId="0" fontId="4" fillId="0" borderId="2" xfId="0" applyFont="1" applyFill="1" applyBorder="1"/>
    <xf numFmtId="0" fontId="6" fillId="0" borderId="1" xfId="0" applyFont="1" applyBorder="1" applyAlignment="1">
      <alignment horizontal="center" vertical="center" wrapText="1"/>
    </xf>
    <xf numFmtId="168" fontId="0" fillId="0" borderId="1" xfId="1" applyNumberFormat="1" applyFont="1" applyBorder="1" applyAlignment="1"/>
    <xf numFmtId="43" fontId="0" fillId="0" borderId="1" xfId="1" applyNumberFormat="1" applyFont="1" applyBorder="1" applyAlignment="1"/>
    <xf numFmtId="169" fontId="0" fillId="0" borderId="1" xfId="1" applyNumberFormat="1" applyFont="1" applyBorder="1" applyAlignment="1"/>
    <xf numFmtId="172" fontId="5" fillId="0" borderId="0" xfId="0" applyNumberFormat="1" applyFont="1" applyAlignment="1"/>
    <xf numFmtId="164" fontId="0" fillId="0" borderId="0" xfId="0" applyNumberFormat="1" applyFont="1" applyAlignment="1"/>
    <xf numFmtId="169" fontId="0" fillId="0" borderId="0" xfId="0" applyNumberFormat="1" applyFont="1" applyAlignment="1"/>
    <xf numFmtId="0" fontId="4" fillId="0" borderId="1" xfId="0" applyFont="1" applyFill="1" applyBorder="1" applyAlignment="1">
      <alignment vertical="center"/>
    </xf>
    <xf numFmtId="0" fontId="4" fillId="0" borderId="3" xfId="0" applyFont="1" applyFill="1" applyBorder="1" applyAlignment="1">
      <alignment vertical="center"/>
    </xf>
    <xf numFmtId="0" fontId="4" fillId="3" borderId="3" xfId="0" applyFont="1" applyFill="1" applyBorder="1"/>
    <xf numFmtId="168" fontId="0" fillId="5" borderId="1" xfId="1" applyNumberFormat="1" applyFont="1" applyFill="1" applyBorder="1" applyAlignment="1"/>
    <xf numFmtId="168" fontId="0" fillId="5" borderId="3" xfId="1" applyNumberFormat="1" applyFont="1" applyFill="1" applyBorder="1" applyAlignment="1"/>
    <xf numFmtId="0" fontId="6" fillId="5" borderId="3" xfId="0" applyFont="1" applyFill="1" applyBorder="1" applyAlignment="1">
      <alignment horizontal="center" vertical="center" wrapText="1"/>
    </xf>
    <xf numFmtId="0" fontId="6" fillId="2" borderId="3" xfId="0" applyFont="1" applyFill="1" applyBorder="1" applyAlignment="1">
      <alignment horizontal="center" vertical="center" wrapText="1"/>
    </xf>
    <xf numFmtId="0" fontId="6" fillId="2" borderId="0" xfId="0" applyFont="1" applyFill="1" applyAlignment="1"/>
    <xf numFmtId="168" fontId="0" fillId="2" borderId="0" xfId="1" applyNumberFormat="1" applyFont="1" applyFill="1" applyAlignment="1"/>
    <xf numFmtId="168" fontId="0" fillId="2" borderId="1" xfId="1" applyNumberFormat="1" applyFont="1" applyFill="1" applyBorder="1" applyAlignment="1"/>
    <xf numFmtId="168" fontId="0" fillId="2" borderId="0" xfId="0" applyNumberFormat="1" applyFont="1" applyFill="1" applyAlignment="1"/>
    <xf numFmtId="0" fontId="6" fillId="2" borderId="3" xfId="0" applyFont="1" applyFill="1" applyBorder="1" applyAlignment="1"/>
    <xf numFmtId="168" fontId="0" fillId="2" borderId="3" xfId="1" applyNumberFormat="1" applyFont="1" applyFill="1" applyBorder="1" applyAlignment="1"/>
    <xf numFmtId="169" fontId="0" fillId="2" borderId="0" xfId="0" applyNumberFormat="1" applyFont="1" applyFill="1" applyAlignment="1"/>
    <xf numFmtId="168" fontId="0" fillId="2" borderId="3" xfId="0" applyNumberFormat="1" applyFont="1" applyFill="1" applyBorder="1" applyAlignment="1"/>
    <xf numFmtId="169" fontId="0" fillId="2" borderId="3" xfId="0" applyNumberFormat="1" applyFont="1" applyFill="1" applyBorder="1" applyAlignment="1"/>
    <xf numFmtId="170" fontId="0" fillId="2" borderId="0" xfId="0" applyNumberFormat="1" applyFont="1" applyFill="1" applyAlignment="1"/>
    <xf numFmtId="170" fontId="0" fillId="2" borderId="3" xfId="0" applyNumberFormat="1" applyFont="1" applyFill="1" applyBorder="1" applyAlignment="1"/>
    <xf numFmtId="0" fontId="2" fillId="4" borderId="1" xfId="0" applyFont="1" applyFill="1" applyBorder="1" applyAlignment="1">
      <alignment vertical="center"/>
    </xf>
    <xf numFmtId="0" fontId="4" fillId="4" borderId="1" xfId="0" applyFont="1" applyFill="1" applyBorder="1" applyAlignment="1">
      <alignment vertical="center" wrapText="1"/>
    </xf>
    <xf numFmtId="165" fontId="2" fillId="5" borderId="1" xfId="0" applyNumberFormat="1" applyFont="1" applyFill="1" applyBorder="1"/>
    <xf numFmtId="165" fontId="2" fillId="5" borderId="3" xfId="0" applyNumberFormat="1" applyFont="1" applyFill="1" applyBorder="1"/>
    <xf numFmtId="171" fontId="2" fillId="0" borderId="1" xfId="0" applyNumberFormat="1" applyFont="1" applyFill="1" applyBorder="1" applyAlignment="1">
      <alignment horizontal="right"/>
    </xf>
    <xf numFmtId="171" fontId="2" fillId="0" borderId="3" xfId="0" applyNumberFormat="1" applyFont="1" applyFill="1" applyBorder="1" applyAlignment="1">
      <alignment horizontal="right"/>
    </xf>
    <xf numFmtId="0" fontId="6" fillId="0" borderId="1" xfId="0" applyFont="1" applyBorder="1" applyAlignment="1">
      <alignment wrapText="1"/>
    </xf>
    <xf numFmtId="0" fontId="6" fillId="0" borderId="0" xfId="0" applyFont="1" applyAlignment="1">
      <alignment horizontal="left" vertical="center" wrapText="1"/>
    </xf>
    <xf numFmtId="0" fontId="6" fillId="0" borderId="0" xfId="0" applyFont="1" applyAlignment="1">
      <alignment horizontal="left" vertical="center"/>
    </xf>
    <xf numFmtId="0" fontId="0" fillId="0" borderId="0" xfId="0" applyFont="1" applyAlignment="1">
      <alignment horizontal="left" vertical="center"/>
    </xf>
    <xf numFmtId="0" fontId="0" fillId="0" borderId="1" xfId="0" applyFont="1" applyBorder="1" applyAlignment="1">
      <alignment horizontal="center" vertical="center"/>
    </xf>
    <xf numFmtId="0" fontId="6" fillId="2" borderId="3" xfId="0" applyFont="1" applyFill="1" applyBorder="1" applyAlignment="1">
      <alignment horizontal="center" vertical="center"/>
    </xf>
    <xf numFmtId="0" fontId="0" fillId="0" borderId="0" xfId="0" applyFont="1" applyFill="1" applyAlignment="1">
      <alignment horizontal="center" vertical="center" wrapText="1"/>
    </xf>
    <xf numFmtId="173" fontId="2" fillId="0" borderId="2" xfId="0" applyNumberFormat="1" applyFont="1" applyFill="1" applyBorder="1"/>
    <xf numFmtId="0" fontId="5" fillId="2" borderId="1" xfId="0" applyFont="1" applyFill="1" applyBorder="1" applyAlignment="1"/>
    <xf numFmtId="2" fontId="0" fillId="2" borderId="1" xfId="0" applyNumberFormat="1" applyFont="1" applyFill="1" applyBorder="1" applyAlignment="1"/>
    <xf numFmtId="43" fontId="0" fillId="2" borderId="1" xfId="0" applyNumberFormat="1" applyFont="1" applyFill="1" applyBorder="1" applyAlignment="1">
      <alignment horizontal="center" vertical="center" wrapText="1"/>
    </xf>
    <xf numFmtId="43" fontId="0" fillId="2" borderId="3" xfId="0" applyNumberFormat="1" applyFont="1" applyFill="1" applyBorder="1" applyAlignment="1">
      <alignment horizontal="center" vertical="center" wrapText="1"/>
    </xf>
    <xf numFmtId="0" fontId="6" fillId="2" borderId="0" xfId="0" applyFont="1" applyFill="1" applyBorder="1" applyAlignment="1"/>
    <xf numFmtId="0" fontId="9" fillId="8" borderId="0" xfId="0" applyFont="1" applyFill="1" applyAlignment="1">
      <alignment vertical="center"/>
    </xf>
    <xf numFmtId="0" fontId="0" fillId="8" borderId="0" xfId="0" applyFont="1" applyFill="1" applyAlignment="1"/>
    <xf numFmtId="1" fontId="0" fillId="0" borderId="3" xfId="0" applyNumberFormat="1" applyFont="1" applyBorder="1" applyAlignment="1"/>
    <xf numFmtId="1" fontId="0" fillId="2" borderId="2" xfId="0" applyNumberFormat="1" applyFont="1" applyFill="1" applyBorder="1" applyAlignment="1"/>
    <xf numFmtId="2" fontId="5" fillId="2" borderId="1" xfId="0" applyNumberFormat="1" applyFont="1" applyFill="1" applyBorder="1" applyAlignment="1"/>
    <xf numFmtId="0" fontId="5" fillId="0" borderId="1" xfId="0" applyFont="1" applyFill="1" applyBorder="1" applyAlignment="1"/>
    <xf numFmtId="171" fontId="0" fillId="2" borderId="0" xfId="0" applyNumberFormat="1" applyFont="1" applyFill="1" applyAlignment="1"/>
    <xf numFmtId="1" fontId="0" fillId="0" borderId="0" xfId="0" applyNumberFormat="1" applyFont="1" applyBorder="1" applyAlignment="1"/>
    <xf numFmtId="0" fontId="6" fillId="0" borderId="1" xfId="0" applyFont="1" applyFill="1" applyBorder="1" applyAlignment="1">
      <alignment horizontal="center"/>
    </xf>
    <xf numFmtId="0" fontId="6" fillId="0" borderId="3" xfId="0" applyFont="1" applyBorder="1" applyAlignment="1">
      <alignment horizontal="center"/>
    </xf>
    <xf numFmtId="0" fontId="3" fillId="0" borderId="1" xfId="0" applyFont="1" applyBorder="1" applyAlignment="1">
      <alignment horizontal="center"/>
    </xf>
    <xf numFmtId="0" fontId="4" fillId="3" borderId="2" xfId="0" applyFont="1" applyFill="1" applyBorder="1"/>
    <xf numFmtId="168" fontId="0" fillId="2" borderId="0" xfId="1" applyNumberFormat="1" applyFont="1" applyFill="1" applyBorder="1" applyAlignment="1"/>
    <xf numFmtId="0" fontId="6" fillId="0" borderId="3" xfId="0" applyFont="1" applyBorder="1" applyAlignment="1">
      <alignment wrapText="1"/>
    </xf>
    <xf numFmtId="2" fontId="0" fillId="0" borderId="3" xfId="0" applyNumberFormat="1" applyFont="1" applyBorder="1" applyAlignment="1"/>
    <xf numFmtId="0" fontId="6" fillId="0" borderId="3" xfId="0" applyFont="1" applyBorder="1" applyAlignment="1">
      <alignment horizontal="center" wrapText="1"/>
    </xf>
    <xf numFmtId="0" fontId="4" fillId="0" borderId="2" xfId="0" applyFont="1" applyFill="1" applyBorder="1" applyAlignment="1">
      <alignment vertical="center"/>
    </xf>
    <xf numFmtId="166" fontId="0" fillId="0" borderId="0" xfId="0" applyNumberFormat="1" applyFont="1" applyAlignment="1"/>
    <xf numFmtId="169" fontId="0" fillId="0" borderId="0" xfId="1" applyNumberFormat="1" applyFont="1" applyAlignment="1"/>
    <xf numFmtId="0" fontId="2" fillId="0" borderId="1" xfId="0" applyFont="1" applyFill="1" applyBorder="1"/>
    <xf numFmtId="2" fontId="2" fillId="0" borderId="1" xfId="0" applyNumberFormat="1" applyFont="1" applyFill="1" applyBorder="1"/>
    <xf numFmtId="0" fontId="2" fillId="0" borderId="3" xfId="0" applyFont="1" applyFill="1" applyBorder="1"/>
    <xf numFmtId="2" fontId="2" fillId="0" borderId="3" xfId="0" applyNumberFormat="1" applyFont="1" applyFill="1" applyBorder="1"/>
    <xf numFmtId="2" fontId="2" fillId="5" borderId="1" xfId="0" applyNumberFormat="1" applyFont="1" applyFill="1" applyBorder="1"/>
    <xf numFmtId="2" fontId="2" fillId="5" borderId="3" xfId="0" applyNumberFormat="1" applyFont="1" applyFill="1" applyBorder="1"/>
    <xf numFmtId="0" fontId="0" fillId="0" borderId="3" xfId="0" applyFont="1" applyBorder="1" applyAlignment="1">
      <alignment horizontal="center" vertical="center"/>
    </xf>
    <xf numFmtId="0" fontId="0" fillId="0" borderId="0" xfId="0" applyFont="1" applyFill="1" applyAlignment="1"/>
    <xf numFmtId="2" fontId="5" fillId="0" borderId="0" xfId="0" applyNumberFormat="1" applyFont="1" applyFill="1" applyAlignment="1"/>
    <xf numFmtId="0" fontId="6" fillId="5" borderId="2" xfId="0" applyFont="1" applyFill="1" applyBorder="1" applyAlignment="1"/>
    <xf numFmtId="0" fontId="6" fillId="5" borderId="5" xfId="0" applyFont="1" applyFill="1" applyBorder="1" applyAlignment="1"/>
    <xf numFmtId="2" fontId="2" fillId="5" borderId="6" xfId="0" applyNumberFormat="1" applyFont="1" applyFill="1" applyBorder="1"/>
    <xf numFmtId="2" fontId="2" fillId="5" borderId="7" xfId="0" applyNumberFormat="1" applyFont="1" applyFill="1" applyBorder="1"/>
    <xf numFmtId="0" fontId="6" fillId="5" borderId="8" xfId="0" applyFont="1" applyFill="1" applyBorder="1" applyAlignment="1"/>
    <xf numFmtId="0" fontId="2" fillId="5" borderId="9" xfId="0" applyFont="1" applyFill="1" applyBorder="1"/>
    <xf numFmtId="0" fontId="2" fillId="5" borderId="10" xfId="0" applyFont="1" applyFill="1" applyBorder="1"/>
    <xf numFmtId="0" fontId="6" fillId="0" borderId="8" xfId="0" applyFont="1" applyFill="1" applyBorder="1" applyAlignment="1"/>
    <xf numFmtId="0" fontId="2" fillId="0" borderId="9" xfId="0" applyFont="1" applyFill="1" applyBorder="1"/>
    <xf numFmtId="0" fontId="2" fillId="0" borderId="10" xfId="0" applyFont="1" applyFill="1" applyBorder="1"/>
    <xf numFmtId="0" fontId="5" fillId="0" borderId="0" xfId="0" applyFont="1" applyAlignment="1">
      <alignment horizontal="left" vertical="center"/>
    </xf>
    <xf numFmtId="0" fontId="6" fillId="0" borderId="11" xfId="0" applyFont="1" applyBorder="1" applyAlignment="1"/>
    <xf numFmtId="0" fontId="0" fillId="0" borderId="4" xfId="0" applyFont="1" applyBorder="1" applyAlignment="1"/>
    <xf numFmtId="166" fontId="0" fillId="0" borderId="4" xfId="0" applyNumberFormat="1" applyFont="1" applyBorder="1" applyAlignment="1"/>
    <xf numFmtId="169" fontId="0" fillId="0" borderId="4" xfId="1" applyNumberFormat="1" applyFont="1" applyBorder="1" applyAlignment="1"/>
    <xf numFmtId="0" fontId="6" fillId="0" borderId="4" xfId="0" applyFont="1" applyBorder="1" applyAlignment="1"/>
    <xf numFmtId="168" fontId="6" fillId="0" borderId="0" xfId="1" applyNumberFormat="1" applyFont="1" applyAlignment="1"/>
    <xf numFmtId="168" fontId="6" fillId="0" borderId="11" xfId="1" applyNumberFormat="1" applyFont="1" applyBorder="1" applyAlignment="1"/>
    <xf numFmtId="1" fontId="6" fillId="0" borderId="11" xfId="1" applyNumberFormat="1" applyFont="1" applyBorder="1" applyAlignment="1"/>
    <xf numFmtId="168" fontId="6" fillId="0" borderId="4" xfId="1" applyNumberFormat="1" applyFont="1" applyBorder="1" applyAlignment="1"/>
    <xf numFmtId="168" fontId="0" fillId="0" borderId="4" xfId="1" applyNumberFormat="1" applyFont="1" applyBorder="1" applyAlignment="1"/>
    <xf numFmtId="168" fontId="0" fillId="0" borderId="1" xfId="1" applyNumberFormat="1" applyFont="1" applyFill="1" applyBorder="1" applyAlignment="1"/>
    <xf numFmtId="168" fontId="0" fillId="0" borderId="4" xfId="1" applyNumberFormat="1" applyFont="1" applyFill="1" applyBorder="1" applyAlignment="1"/>
    <xf numFmtId="1" fontId="6" fillId="0" borderId="11" xfId="1" applyNumberFormat="1" applyFont="1" applyFill="1" applyBorder="1" applyAlignment="1"/>
    <xf numFmtId="0" fontId="6" fillId="5" borderId="3" xfId="0" applyFont="1" applyFill="1" applyBorder="1" applyAlignment="1"/>
    <xf numFmtId="0" fontId="6" fillId="5" borderId="7" xfId="0" applyFont="1" applyFill="1" applyBorder="1" applyAlignment="1"/>
    <xf numFmtId="0" fontId="6" fillId="5" borderId="10" xfId="0" applyFont="1" applyFill="1" applyBorder="1" applyAlignment="1"/>
    <xf numFmtId="0" fontId="6" fillId="0" borderId="10" xfId="0" applyFont="1" applyFill="1" applyBorder="1" applyAlignment="1"/>
    <xf numFmtId="0" fontId="10" fillId="0" borderId="0" xfId="0" applyFont="1" applyAlignment="1">
      <alignment horizontal="justify" vertical="center"/>
    </xf>
    <xf numFmtId="0" fontId="11" fillId="0" borderId="1" xfId="0" applyNumberFormat="1" applyFont="1" applyBorder="1" applyAlignment="1"/>
    <xf numFmtId="0" fontId="11" fillId="0" borderId="1" xfId="0" applyFont="1" applyBorder="1" applyAlignment="1">
      <alignment wrapText="1"/>
    </xf>
    <xf numFmtId="0" fontId="11" fillId="0" borderId="1" xfId="0" applyFont="1" applyBorder="1" applyAlignment="1"/>
    <xf numFmtId="0" fontId="11" fillId="0" borderId="4" xfId="0" applyFont="1" applyBorder="1" applyAlignment="1"/>
    <xf numFmtId="0" fontId="10" fillId="0" borderId="1" xfId="0" applyFont="1" applyBorder="1" applyAlignment="1">
      <alignment wrapText="1"/>
    </xf>
    <xf numFmtId="0" fontId="10" fillId="0" borderId="1" xfId="0" applyFont="1" applyBorder="1" applyAlignment="1">
      <alignment vertical="top" wrapText="1"/>
    </xf>
    <xf numFmtId="0" fontId="10" fillId="0" borderId="4" xfId="0" applyFont="1" applyBorder="1" applyAlignment="1"/>
    <xf numFmtId="0" fontId="10" fillId="0" borderId="1" xfId="0" applyNumberFormat="1" applyFont="1" applyBorder="1" applyAlignment="1"/>
    <xf numFmtId="0" fontId="10" fillId="0" borderId="1" xfId="0" applyFont="1" applyBorder="1" applyAlignment="1"/>
    <xf numFmtId="0" fontId="10" fillId="0" borderId="1" xfId="0" applyFont="1" applyBorder="1" applyAlignment="1">
      <alignment horizontal="left" wrapText="1"/>
    </xf>
    <xf numFmtId="0" fontId="10" fillId="0" borderId="0" xfId="0" applyFont="1" applyAlignment="1">
      <alignment horizontal="left"/>
    </xf>
    <xf numFmtId="0" fontId="0" fillId="0" borderId="11" xfId="0" applyFont="1" applyBorder="1" applyAlignment="1"/>
    <xf numFmtId="168" fontId="0" fillId="0" borderId="11" xfId="0" applyNumberFormat="1" applyFont="1" applyBorder="1" applyAlignment="1"/>
    <xf numFmtId="0" fontId="5" fillId="0" borderId="11" xfId="0" applyFont="1" applyBorder="1" applyAlignment="1"/>
    <xf numFmtId="0" fontId="6" fillId="0" borderId="3" xfId="0" applyFont="1" applyBorder="1" applyAlignment="1">
      <alignment horizontal="center"/>
    </xf>
    <xf numFmtId="43" fontId="0" fillId="0" borderId="0" xfId="1" applyNumberFormat="1" applyFont="1" applyAlignment="1"/>
    <xf numFmtId="0" fontId="6" fillId="0" borderId="3" xfId="0" applyFont="1" applyBorder="1" applyAlignment="1">
      <alignment horizontal="left" vertical="center"/>
    </xf>
    <xf numFmtId="171" fontId="0" fillId="0" borderId="0" xfId="0" applyNumberFormat="1" applyFont="1" applyAlignment="1"/>
    <xf numFmtId="168" fontId="0" fillId="0" borderId="0" xfId="0" applyNumberFormat="1" applyFont="1" applyFill="1" applyAlignment="1"/>
    <xf numFmtId="168" fontId="0" fillId="0" borderId="3" xfId="1" applyNumberFormat="1" applyFont="1" applyFill="1" applyBorder="1" applyAlignment="1"/>
    <xf numFmtId="168" fontId="0" fillId="2" borderId="1" xfId="0" applyNumberFormat="1" applyFont="1" applyFill="1" applyBorder="1" applyAlignment="1">
      <alignment horizontal="center" vertical="center" wrapText="1"/>
    </xf>
    <xf numFmtId="168" fontId="0" fillId="2" borderId="3" xfId="0" applyNumberFormat="1" applyFont="1" applyFill="1" applyBorder="1" applyAlignment="1">
      <alignment horizontal="center" vertical="center" wrapText="1"/>
    </xf>
    <xf numFmtId="0" fontId="6" fillId="2" borderId="1" xfId="0" applyFont="1" applyFill="1" applyBorder="1" applyAlignment="1">
      <alignment horizontal="center" vertical="center" wrapText="1"/>
    </xf>
    <xf numFmtId="0" fontId="6" fillId="2" borderId="1" xfId="0" applyFont="1" applyFill="1" applyBorder="1" applyAlignment="1">
      <alignment horizontal="center" vertical="center"/>
    </xf>
    <xf numFmtId="0" fontId="6" fillId="0" borderId="1" xfId="0" applyFont="1" applyFill="1" applyBorder="1" applyAlignment="1">
      <alignment horizontal="center" vertical="center" wrapText="1"/>
    </xf>
    <xf numFmtId="0" fontId="6" fillId="0" borderId="1" xfId="0" applyFont="1" applyFill="1" applyBorder="1" applyAlignment="1">
      <alignment horizontal="center" vertical="center"/>
    </xf>
    <xf numFmtId="0" fontId="0" fillId="0" borderId="1" xfId="0" applyFont="1" applyFill="1" applyBorder="1" applyAlignment="1">
      <alignment horizontal="center" vertical="center" wrapText="1"/>
    </xf>
    <xf numFmtId="43" fontId="0" fillId="0" borderId="1" xfId="0" applyNumberFormat="1" applyFont="1" applyFill="1" applyBorder="1" applyAlignment="1">
      <alignment horizontal="center" vertical="center" wrapText="1"/>
    </xf>
    <xf numFmtId="43" fontId="0" fillId="0" borderId="1" xfId="0" applyNumberFormat="1" applyFont="1" applyFill="1" applyBorder="1" applyAlignment="1"/>
    <xf numFmtId="171" fontId="0" fillId="0" borderId="1" xfId="0" applyNumberFormat="1" applyFont="1" applyFill="1" applyBorder="1" applyAlignment="1"/>
    <xf numFmtId="1" fontId="0" fillId="0" borderId="1" xfId="0" applyNumberFormat="1" applyFont="1" applyFill="1" applyBorder="1" applyAlignment="1"/>
    <xf numFmtId="0" fontId="0" fillId="0" borderId="1" xfId="0" applyFont="1" applyFill="1" applyBorder="1" applyAlignment="1">
      <alignment horizontal="center" vertical="center"/>
    </xf>
    <xf numFmtId="43" fontId="0" fillId="0" borderId="1" xfId="1" applyNumberFormat="1" applyFont="1" applyFill="1" applyBorder="1" applyAlignment="1"/>
    <xf numFmtId="169" fontId="0" fillId="0" borderId="1" xfId="1" applyNumberFormat="1" applyFont="1" applyFill="1" applyBorder="1" applyAlignment="1"/>
    <xf numFmtId="168" fontId="0" fillId="0" borderId="3" xfId="1" applyNumberFormat="1" applyFont="1" applyBorder="1" applyAlignment="1"/>
    <xf numFmtId="168" fontId="0" fillId="0" borderId="3" xfId="0" applyNumberFormat="1" applyFont="1" applyBorder="1" applyAlignment="1"/>
    <xf numFmtId="0" fontId="6" fillId="0" borderId="1" xfId="0" applyFont="1" applyBorder="1" applyAlignment="1">
      <alignment horizontal="center" wrapText="1"/>
    </xf>
    <xf numFmtId="0" fontId="6" fillId="0" borderId="1" xfId="0" applyFont="1" applyFill="1" applyBorder="1" applyAlignment="1">
      <alignment horizontal="left" vertical="center"/>
    </xf>
    <xf numFmtId="0" fontId="0" fillId="0" borderId="3" xfId="0" applyFont="1" applyFill="1" applyBorder="1" applyAlignment="1">
      <alignment horizontal="center"/>
    </xf>
    <xf numFmtId="168" fontId="0" fillId="2" borderId="2" xfId="0" applyNumberFormat="1" applyFont="1" applyFill="1" applyBorder="1" applyAlignment="1"/>
    <xf numFmtId="0" fontId="6" fillId="0" borderId="1" xfId="0" applyFont="1" applyFill="1" applyBorder="1" applyAlignment="1">
      <alignment wrapText="1"/>
    </xf>
    <xf numFmtId="0" fontId="0" fillId="9" borderId="3" xfId="0" applyFont="1" applyFill="1" applyBorder="1" applyAlignment="1"/>
    <xf numFmtId="166" fontId="0" fillId="0" borderId="3" xfId="0" applyNumberFormat="1" applyFont="1" applyBorder="1" applyAlignment="1"/>
    <xf numFmtId="169" fontId="0" fillId="0" borderId="3" xfId="1" applyNumberFormat="1" applyFont="1" applyBorder="1" applyAlignment="1"/>
    <xf numFmtId="168" fontId="0" fillId="0" borderId="3" xfId="1" applyNumberFormat="1" applyFont="1" applyBorder="1"/>
    <xf numFmtId="169" fontId="0" fillId="0" borderId="3" xfId="1" applyNumberFormat="1" applyFont="1" applyBorder="1"/>
    <xf numFmtId="0" fontId="6" fillId="0" borderId="2" xfId="0" applyFont="1" applyBorder="1" applyAlignment="1">
      <alignment horizontal="left" vertical="center" wrapText="1"/>
    </xf>
    <xf numFmtId="0" fontId="6" fillId="0" borderId="2" xfId="0" applyFont="1" applyBorder="1" applyAlignment="1">
      <alignment horizontal="center" vertical="top" wrapText="1"/>
    </xf>
    <xf numFmtId="0" fontId="6" fillId="0" borderId="2" xfId="0" applyFont="1" applyBorder="1" applyAlignment="1"/>
    <xf numFmtId="0" fontId="6" fillId="0" borderId="2" xfId="0" applyFont="1" applyBorder="1" applyAlignment="1">
      <alignment wrapText="1"/>
    </xf>
    <xf numFmtId="0" fontId="6" fillId="0" borderId="1" xfId="0" applyFont="1" applyFill="1" applyBorder="1" applyAlignment="1">
      <alignment horizontal="center" wrapText="1"/>
    </xf>
    <xf numFmtId="2" fontId="5" fillId="0" borderId="3" xfId="0" applyNumberFormat="1" applyFont="1" applyBorder="1" applyAlignment="1"/>
    <xf numFmtId="1" fontId="0" fillId="0" borderId="4" xfId="0" applyNumberFormat="1" applyFont="1" applyBorder="1" applyAlignment="1"/>
    <xf numFmtId="171" fontId="0" fillId="0" borderId="4" xfId="0" applyNumberFormat="1" applyFont="1" applyBorder="1" applyAlignment="1"/>
    <xf numFmtId="0" fontId="5" fillId="2" borderId="3" xfId="0" applyFont="1" applyFill="1" applyBorder="1" applyAlignment="1">
      <alignment horizontal="center" vertical="center"/>
    </xf>
    <xf numFmtId="0" fontId="6" fillId="5" borderId="1" xfId="0" applyFont="1" applyFill="1" applyBorder="1" applyAlignment="1">
      <alignment horizontal="center" vertical="center" wrapText="1"/>
    </xf>
    <xf numFmtId="0" fontId="5" fillId="2" borderId="3" xfId="0" applyFont="1" applyFill="1" applyBorder="1" applyAlignment="1">
      <alignment horizontal="center" vertical="center" wrapText="1"/>
    </xf>
    <xf numFmtId="1" fontId="5" fillId="2" borderId="0" xfId="0" applyNumberFormat="1" applyFont="1" applyFill="1" applyAlignment="1"/>
    <xf numFmtId="1" fontId="5" fillId="2" borderId="3" xfId="0" applyNumberFormat="1" applyFont="1" applyFill="1" applyBorder="1" applyAlignment="1"/>
    <xf numFmtId="168" fontId="0" fillId="5" borderId="3" xfId="1" applyNumberFormat="1" applyFont="1" applyFill="1" applyBorder="1" applyAlignment="1">
      <alignment horizontal="center"/>
    </xf>
    <xf numFmtId="168" fontId="5" fillId="0" borderId="0" xfId="1" applyNumberFormat="1" applyFont="1" applyAlignment="1"/>
    <xf numFmtId="168" fontId="6" fillId="0" borderId="1" xfId="1" applyNumberFormat="1" applyFont="1" applyBorder="1" applyAlignment="1"/>
    <xf numFmtId="168" fontId="6" fillId="0" borderId="1" xfId="1" applyNumberFormat="1" applyFont="1" applyBorder="1" applyAlignment="1">
      <alignment vertical="center"/>
    </xf>
    <xf numFmtId="0" fontId="0" fillId="0" borderId="4" xfId="0" applyFont="1" applyBorder="1" applyAlignment="1">
      <alignment horizontal="center" vertical="center"/>
    </xf>
    <xf numFmtId="168" fontId="6" fillId="0" borderId="4" xfId="1" applyNumberFormat="1" applyFont="1" applyBorder="1" applyAlignment="1">
      <alignment vertical="center"/>
    </xf>
    <xf numFmtId="168" fontId="5" fillId="0" borderId="4" xfId="1" applyNumberFormat="1" applyFont="1" applyBorder="1" applyAlignment="1">
      <alignment horizontal="center" wrapText="1"/>
    </xf>
    <xf numFmtId="0" fontId="0" fillId="0" borderId="3" xfId="0" applyFont="1" applyFill="1" applyBorder="1" applyAlignment="1">
      <alignment horizontal="center" vertical="center"/>
    </xf>
    <xf numFmtId="0" fontId="5" fillId="0" borderId="3" xfId="0" applyFont="1" applyFill="1" applyBorder="1" applyAlignment="1">
      <alignment horizontal="center" vertical="center"/>
    </xf>
    <xf numFmtId="0" fontId="6" fillId="0" borderId="0" xfId="0" applyFont="1" applyFill="1" applyAlignment="1">
      <alignment horizontal="center" vertical="center" wrapText="1"/>
    </xf>
    <xf numFmtId="0" fontId="5" fillId="0" borderId="3" xfId="0" applyFont="1" applyFill="1" applyBorder="1" applyAlignment="1">
      <alignment horizontal="center"/>
    </xf>
    <xf numFmtId="0" fontId="6" fillId="6" borderId="3" xfId="0" applyFont="1" applyFill="1" applyBorder="1" applyAlignment="1">
      <alignment horizontal="center"/>
    </xf>
    <xf numFmtId="0" fontId="6" fillId="6" borderId="3" xfId="0" applyFont="1" applyFill="1" applyBorder="1" applyAlignment="1">
      <alignment horizontal="center" wrapText="1"/>
    </xf>
    <xf numFmtId="0" fontId="6" fillId="0" borderId="1" xfId="0" applyFont="1" applyFill="1" applyBorder="1" applyAlignment="1">
      <alignment horizontal="center" vertical="center" wrapText="1"/>
    </xf>
    <xf numFmtId="0" fontId="6" fillId="0" borderId="3" xfId="0" applyFont="1" applyFill="1" applyBorder="1" applyAlignment="1">
      <alignment horizontal="center" vertical="center" wrapText="1"/>
    </xf>
    <xf numFmtId="168" fontId="6" fillId="2" borderId="3" xfId="1" applyNumberFormat="1" applyFont="1" applyFill="1" applyBorder="1" applyAlignment="1">
      <alignment horizontal="center"/>
    </xf>
    <xf numFmtId="168" fontId="6" fillId="2" borderId="2" xfId="1" applyNumberFormat="1" applyFont="1" applyFill="1" applyBorder="1" applyAlignment="1">
      <alignment horizontal="center"/>
    </xf>
    <xf numFmtId="0" fontId="6" fillId="7" borderId="2" xfId="0" applyFont="1" applyFill="1" applyBorder="1" applyAlignment="1">
      <alignment horizontal="center"/>
    </xf>
    <xf numFmtId="168" fontId="6" fillId="0" borderId="1" xfId="1" applyNumberFormat="1" applyFont="1" applyFill="1" applyBorder="1" applyAlignment="1">
      <alignment horizontal="center"/>
    </xf>
    <xf numFmtId="0" fontId="6" fillId="7" borderId="12" xfId="0" applyFont="1" applyFill="1" applyBorder="1" applyAlignment="1">
      <alignment horizontal="center"/>
    </xf>
    <xf numFmtId="0" fontId="6" fillId="2" borderId="2" xfId="0" applyFont="1" applyFill="1" applyBorder="1" applyAlignment="1">
      <alignment horizontal="center"/>
    </xf>
    <xf numFmtId="0" fontId="6" fillId="2" borderId="3" xfId="0" applyFont="1" applyFill="1" applyBorder="1" applyAlignment="1">
      <alignment horizontal="center"/>
    </xf>
    <xf numFmtId="0" fontId="6" fillId="0" borderId="2" xfId="0" applyFont="1" applyBorder="1" applyAlignment="1">
      <alignment horizontal="center"/>
    </xf>
    <xf numFmtId="0" fontId="6" fillId="0" borderId="1" xfId="0" applyFont="1" applyFill="1" applyBorder="1" applyAlignment="1">
      <alignment horizontal="center"/>
    </xf>
    <xf numFmtId="0" fontId="9" fillId="7" borderId="0" xfId="0" applyFont="1" applyFill="1" applyAlignment="1">
      <alignment horizontal="center" vertical="center"/>
    </xf>
    <xf numFmtId="0" fontId="6" fillId="0" borderId="3" xfId="0" applyFont="1" applyBorder="1" applyAlignment="1">
      <alignment horizontal="center"/>
    </xf>
    <xf numFmtId="0" fontId="6" fillId="0" borderId="0" xfId="0" applyFont="1" applyAlignment="1">
      <alignment horizontal="right" wrapText="1"/>
    </xf>
    <xf numFmtId="0" fontId="9" fillId="8" borderId="0" xfId="0" applyFont="1" applyFill="1" applyAlignment="1">
      <alignment horizontal="center" vertical="center"/>
    </xf>
    <xf numFmtId="0" fontId="3" fillId="0" borderId="3" xfId="0" applyFont="1" applyBorder="1" applyAlignment="1">
      <alignment horizontal="center"/>
    </xf>
    <xf numFmtId="0" fontId="3" fillId="0" borderId="1" xfId="0" applyFont="1" applyBorder="1" applyAlignment="1">
      <alignment horizontal="center"/>
    </xf>
    <xf numFmtId="0" fontId="6" fillId="0" borderId="4" xfId="0" applyFont="1" applyBorder="1" applyAlignment="1">
      <alignment horizontal="center"/>
    </xf>
    <xf numFmtId="168" fontId="6" fillId="0" borderId="4" xfId="1" applyNumberFormat="1" applyFont="1" applyBorder="1" applyAlignment="1">
      <alignment horizontal="center"/>
    </xf>
    <xf numFmtId="0" fontId="6" fillId="0" borderId="0" xfId="0" applyFont="1" applyFill="1" applyAlignment="1">
      <alignment horizontal="center" wrapText="1"/>
    </xf>
    <xf numFmtId="0" fontId="5" fillId="0" borderId="3" xfId="0" applyFont="1" applyBorder="1" applyAlignment="1">
      <alignment horizontal="left" vertical="center"/>
    </xf>
  </cellXfs>
  <cellStyles count="2">
    <cellStyle name="Comma" xfId="1" builtinId="3"/>
    <cellStyle name="Normal" xfId="0" builtinId="0"/>
  </cellStyles>
  <dxfs count="1365">
    <dxf>
      <font>
        <strike val="0"/>
        <outline val="0"/>
        <shadow val="0"/>
        <u val="none"/>
        <vertAlign val="baseline"/>
        <sz val="12"/>
        <color rgb="FF000000"/>
        <name val="Times New Roman"/>
        <family val="1"/>
        <scheme val="none"/>
      </font>
      <alignment horizontal="left" vertical="bottom" textRotation="0" indent="0" justifyLastLine="0" shrinkToFit="0" readingOrder="0"/>
    </dxf>
    <dxf>
      <font>
        <b val="0"/>
        <i val="0"/>
        <strike val="0"/>
        <condense val="0"/>
        <extend val="0"/>
        <outline val="0"/>
        <shadow val="0"/>
        <u val="none"/>
        <vertAlign val="baseline"/>
        <sz val="12"/>
        <color rgb="FF000000"/>
        <name val="Times New Roman"/>
        <family val="1"/>
        <scheme val="none"/>
      </font>
      <alignment horizontal="left" vertical="bottom" textRotation="0" wrapText="1" indent="0" justifyLastLine="0" shrinkToFit="0" readingOrder="0"/>
    </dxf>
    <dxf>
      <font>
        <b val="0"/>
        <i val="0"/>
        <strike val="0"/>
        <condense val="0"/>
        <extend val="0"/>
        <outline val="0"/>
        <shadow val="0"/>
        <u val="none"/>
        <vertAlign val="baseline"/>
        <sz val="12"/>
        <color rgb="FF000000"/>
        <name val="Times New Roman"/>
        <family val="1"/>
        <scheme val="none"/>
      </font>
      <alignment horizontal="general" vertical="bottom" textRotation="0" wrapText="1" indent="0" justifyLastLine="0" shrinkToFit="0" readingOrder="0"/>
    </dxf>
    <dxf>
      <font>
        <b val="0"/>
        <i val="0"/>
        <strike val="0"/>
        <condense val="0"/>
        <extend val="0"/>
        <outline val="0"/>
        <shadow val="0"/>
        <u val="none"/>
        <vertAlign val="baseline"/>
        <sz val="12"/>
        <color rgb="FF000000"/>
        <name val="Times New Roman"/>
        <family val="1"/>
        <scheme val="none"/>
      </font>
      <alignment horizontal="general" vertical="bottom" textRotation="0" wrapText="0" indent="0" justifyLastLine="0" shrinkToFit="0" readingOrder="0"/>
    </dxf>
    <dxf>
      <font>
        <strike val="0"/>
        <outline val="0"/>
        <shadow val="0"/>
        <u val="none"/>
        <vertAlign val="baseline"/>
        <sz val="10"/>
        <color rgb="FF000000"/>
        <name val="Times New Roman"/>
        <family val="1"/>
        <scheme val="none"/>
      </font>
    </dxf>
    <dxf>
      <border>
        <bottom style="thin">
          <color indexed="64"/>
        </bottom>
      </border>
    </dxf>
    <dxf>
      <font>
        <b val="0"/>
        <i val="0"/>
        <strike val="0"/>
        <condense val="0"/>
        <extend val="0"/>
        <outline val="0"/>
        <shadow val="0"/>
        <u val="none"/>
        <vertAlign val="baseline"/>
        <sz val="10"/>
        <color rgb="FF000000"/>
        <name val="Times New Roman"/>
        <family val="1"/>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Times New Roman"/>
        <family val="1"/>
        <scheme val="none"/>
      </font>
      <alignment horizontal="general" vertical="bottom" textRotation="0" wrapText="0" indent="0" justifyLastLine="0" shrinkToFit="0" readingOrder="0"/>
    </dxf>
    <dxf>
      <font>
        <strike val="0"/>
        <outline val="0"/>
        <shadow val="0"/>
        <u val="none"/>
        <vertAlign val="baseline"/>
        <sz val="10"/>
        <color rgb="FF000000"/>
        <name val="Times New Roman"/>
        <family val="1"/>
        <scheme val="none"/>
      </font>
    </dxf>
    <dxf>
      <border>
        <bottom style="thin">
          <color indexed="64"/>
        </bottom>
      </border>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color theme="1"/>
        <family val="2"/>
      </font>
      <fill>
        <patternFill patternType="solid">
          <fgColor indexed="64"/>
          <bgColor theme="2"/>
        </patternFill>
      </fill>
      <alignment horizontal="general" vertical="center" textRotation="0" wrapText="1" indent="0" justifyLastLine="0" shrinkToFit="0" readingOrder="0"/>
    </dxf>
    <dxf>
      <fill>
        <patternFill patternType="solid">
          <fgColor indexed="64"/>
          <bgColor theme="2"/>
        </patternFill>
      </fill>
    </dxf>
    <dxf>
      <fill>
        <patternFill patternType="none">
          <fgColor rgb="FF000000"/>
          <bgColor auto="1"/>
        </patternFill>
      </fill>
    </dxf>
    <dxf>
      <fill>
        <patternFill patternType="solid">
          <fgColor rgb="FF000000"/>
          <bgColor rgb="FFFFFFFF"/>
        </patternFill>
      </fill>
    </dxf>
    <dxf>
      <border>
        <bottom style="thin">
          <color rgb="FF000000"/>
        </bottom>
      </border>
    </dxf>
    <dxf>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color theme="1"/>
        <family val="2"/>
      </font>
      <fill>
        <patternFill patternType="solid">
          <fgColor indexed="64"/>
          <bgColor theme="2"/>
        </patternFill>
      </fill>
      <alignment horizontal="general" vertical="center" textRotation="0" wrapText="1" indent="0" justifyLastLine="0" shrinkToFit="0" readingOrder="0"/>
    </dxf>
    <dxf>
      <fill>
        <patternFill patternType="solid">
          <fgColor indexed="64"/>
          <bgColor theme="2"/>
        </patternFill>
      </fill>
    </dxf>
    <dxf>
      <fill>
        <patternFill patternType="none">
          <fgColor rgb="FF000000"/>
          <bgColor auto="1"/>
        </patternFill>
      </fill>
    </dxf>
    <dxf>
      <fill>
        <patternFill patternType="solid">
          <fgColor rgb="FF000000"/>
          <bgColor rgb="FFFFFFFF"/>
        </patternFill>
      </fill>
    </dxf>
    <dxf>
      <border>
        <bottom style="thin">
          <color rgb="FF000000"/>
        </bottom>
      </border>
    </dxf>
    <dxf>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color theme="1"/>
        <family val="2"/>
      </font>
      <fill>
        <patternFill patternType="solid">
          <fgColor indexed="64"/>
          <bgColor theme="2"/>
        </patternFill>
      </fill>
      <alignment horizontal="general" vertical="center" textRotation="0" wrapText="1" indent="0" justifyLastLine="0" shrinkToFit="0" readingOrder="0"/>
    </dxf>
    <dxf>
      <fill>
        <patternFill patternType="solid">
          <fgColor indexed="64"/>
          <bgColor theme="2"/>
        </patternFill>
      </fill>
    </dxf>
    <dxf>
      <fill>
        <patternFill patternType="none">
          <fgColor rgb="FF000000"/>
          <bgColor auto="1"/>
        </patternFill>
      </fill>
    </dxf>
    <dxf>
      <fill>
        <patternFill patternType="solid">
          <fgColor rgb="FF000000"/>
          <bgColor rgb="FFFFFFFF"/>
        </patternFill>
      </fill>
    </dxf>
    <dxf>
      <border>
        <bottom style="thin">
          <color rgb="FF000000"/>
        </bottom>
      </border>
    </dxf>
    <dxf>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color theme="1"/>
        <family val="2"/>
      </font>
      <fill>
        <patternFill patternType="solid">
          <fgColor indexed="64"/>
          <bgColor theme="2"/>
        </patternFill>
      </fill>
      <alignment horizontal="general" vertical="center" textRotation="0" wrapText="1" indent="0" justifyLastLine="0" shrinkToFit="0" readingOrder="0"/>
    </dxf>
    <dxf>
      <fill>
        <patternFill patternType="solid">
          <fgColor indexed="64"/>
          <bgColor theme="2"/>
        </patternFill>
      </fill>
    </dxf>
    <dxf>
      <fill>
        <patternFill patternType="none">
          <fgColor rgb="FF000000"/>
          <bgColor auto="1"/>
        </patternFill>
      </fill>
    </dxf>
    <dxf>
      <fill>
        <patternFill patternType="solid">
          <fgColor rgb="FF000000"/>
          <bgColor rgb="FFFFFFFF"/>
        </patternFill>
      </fill>
    </dxf>
    <dxf>
      <border>
        <bottom style="thin">
          <color rgb="FF000000"/>
        </bottom>
      </border>
    </dxf>
    <dxf>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color theme="1"/>
        <family val="2"/>
      </font>
      <fill>
        <patternFill patternType="solid">
          <fgColor indexed="64"/>
          <bgColor theme="2"/>
        </patternFill>
      </fill>
      <alignment horizontal="general" vertical="center" textRotation="0" wrapText="1" indent="0" justifyLastLine="0" shrinkToFit="0" readingOrder="0"/>
    </dxf>
    <dxf>
      <fill>
        <patternFill patternType="solid">
          <fgColor indexed="64"/>
          <bgColor theme="2"/>
        </patternFill>
      </fill>
    </dxf>
    <dxf>
      <fill>
        <patternFill patternType="none">
          <fgColor rgb="FF000000"/>
          <bgColor auto="1"/>
        </patternFill>
      </fill>
    </dxf>
    <dxf>
      <fill>
        <patternFill patternType="solid">
          <fgColor rgb="FF000000"/>
          <bgColor rgb="FFFFFFFF"/>
        </patternFill>
      </fill>
    </dxf>
    <dxf>
      <border>
        <bottom style="thin">
          <color rgb="FF000000"/>
        </bottom>
      </border>
    </dxf>
    <dxf>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color theme="1"/>
        <family val="2"/>
      </font>
      <fill>
        <patternFill patternType="solid">
          <fgColor indexed="64"/>
          <bgColor theme="2"/>
        </patternFill>
      </fill>
      <alignment horizontal="general" vertical="center" textRotation="0" wrapText="1" indent="0" justifyLastLine="0" shrinkToFit="0" readingOrder="0"/>
    </dxf>
    <dxf>
      <fill>
        <patternFill patternType="solid">
          <fgColor indexed="64"/>
          <bgColor theme="2"/>
        </patternFill>
      </fill>
    </dxf>
    <dxf>
      <fill>
        <patternFill patternType="none">
          <fgColor rgb="FF000000"/>
          <bgColor auto="1"/>
        </patternFill>
      </fill>
    </dxf>
    <dxf>
      <fill>
        <patternFill patternType="solid">
          <fgColor rgb="FF000000"/>
          <bgColor rgb="FFFFFFFF"/>
        </patternFill>
      </fill>
    </dxf>
    <dxf>
      <border>
        <bottom style="thin">
          <color rgb="FF000000"/>
        </bottom>
      </border>
    </dxf>
    <dxf>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color theme="1"/>
        <family val="2"/>
      </font>
      <fill>
        <patternFill patternType="solid">
          <fgColor indexed="64"/>
          <bgColor theme="2"/>
        </patternFill>
      </fill>
      <alignment horizontal="general" vertical="center" textRotation="0" wrapText="1" indent="0" justifyLastLine="0" shrinkToFit="0" readingOrder="0"/>
    </dxf>
    <dxf>
      <fill>
        <patternFill patternType="solid">
          <fgColor indexed="64"/>
          <bgColor theme="2"/>
        </patternFill>
      </fill>
    </dxf>
    <dxf>
      <fill>
        <patternFill patternType="none">
          <fgColor rgb="FF000000"/>
          <bgColor auto="1"/>
        </patternFill>
      </fill>
    </dxf>
    <dxf>
      <fill>
        <patternFill patternType="solid">
          <fgColor rgb="FF000000"/>
          <bgColor rgb="FFFFFFFF"/>
        </patternFill>
      </fill>
    </dxf>
    <dxf>
      <border>
        <bottom style="thin">
          <color rgb="FF000000"/>
        </bottom>
      </border>
    </dxf>
    <dxf>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color theme="1"/>
        <family val="2"/>
      </font>
      <fill>
        <patternFill patternType="solid">
          <fgColor indexed="64"/>
          <bgColor theme="2"/>
        </patternFill>
      </fill>
      <alignment horizontal="general" vertical="center" textRotation="0" wrapText="1" indent="0" justifyLastLine="0" shrinkToFit="0" readingOrder="0"/>
    </dxf>
    <dxf>
      <fill>
        <patternFill patternType="solid">
          <fgColor indexed="64"/>
          <bgColor theme="2"/>
        </patternFill>
      </fill>
    </dxf>
    <dxf>
      <fill>
        <patternFill patternType="none">
          <fgColor rgb="FF000000"/>
          <bgColor auto="1"/>
        </patternFill>
      </fill>
    </dxf>
    <dxf>
      <fill>
        <patternFill patternType="solid">
          <fgColor rgb="FF000000"/>
          <bgColor rgb="FFFFFFFF"/>
        </patternFill>
      </fill>
    </dxf>
    <dxf>
      <border>
        <bottom style="thin">
          <color rgb="FF000000"/>
        </bottom>
      </border>
    </dxf>
    <dxf>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ill>
        <patternFill patternType="solid">
          <fgColor indexed="64"/>
          <bgColor theme="2"/>
        </patternFill>
      </fill>
    </dxf>
    <dxf>
      <fill>
        <patternFill patternType="solid">
          <fgColor indexed="64"/>
          <bgColor theme="2"/>
        </patternFill>
      </fill>
    </dxf>
    <dxf>
      <fill>
        <patternFill patternType="none">
          <fgColor rgb="FF000000"/>
          <bgColor auto="1"/>
        </patternFill>
      </fill>
    </dxf>
    <dxf>
      <fill>
        <patternFill patternType="solid">
          <fgColor rgb="FF000000"/>
          <bgColor rgb="FFFFFFFF"/>
        </patternFill>
      </fill>
    </dxf>
    <dxf>
      <border>
        <bottom style="thin">
          <color rgb="FF000000"/>
        </bottom>
      </border>
    </dxf>
    <dxf>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ill>
        <patternFill patternType="solid">
          <fgColor indexed="64"/>
          <bgColor theme="2"/>
        </patternFill>
      </fill>
    </dxf>
    <dxf>
      <fill>
        <patternFill patternType="solid">
          <fgColor indexed="64"/>
          <bgColor theme="2"/>
        </patternFill>
      </fill>
    </dxf>
    <dxf>
      <fill>
        <patternFill patternType="none">
          <fgColor rgb="FF000000"/>
          <bgColor auto="1"/>
        </patternFill>
      </fill>
    </dxf>
    <dxf>
      <fill>
        <patternFill patternType="solid">
          <fgColor rgb="FF000000"/>
          <bgColor rgb="FFFFFFFF"/>
        </patternFill>
      </fill>
    </dxf>
    <dxf>
      <border>
        <bottom style="thin">
          <color rgb="FF000000"/>
        </bottom>
      </border>
    </dxf>
    <dxf>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ill>
        <patternFill patternType="solid">
          <fgColor indexed="64"/>
          <bgColor theme="2"/>
        </patternFill>
      </fill>
    </dxf>
    <dxf>
      <fill>
        <patternFill patternType="solid">
          <fgColor indexed="64"/>
          <bgColor theme="2"/>
        </patternFill>
      </fill>
    </dxf>
    <dxf>
      <fill>
        <patternFill patternType="none">
          <fgColor rgb="FF000000"/>
          <bgColor auto="1"/>
        </patternFill>
      </fill>
    </dxf>
    <dxf>
      <fill>
        <patternFill patternType="solid">
          <fgColor rgb="FF000000"/>
          <bgColor rgb="FFFFFFFF"/>
        </patternFill>
      </fill>
    </dxf>
    <dxf>
      <border>
        <bottom style="thin">
          <color rgb="FF000000"/>
        </bottom>
      </border>
    </dxf>
    <dxf>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ill>
        <patternFill patternType="solid">
          <fgColor indexed="64"/>
          <bgColor theme="2"/>
        </patternFill>
      </fill>
    </dxf>
    <dxf>
      <fill>
        <patternFill patternType="solid">
          <fgColor indexed="64"/>
          <bgColor theme="2"/>
        </patternFill>
      </fill>
    </dxf>
    <dxf>
      <fill>
        <patternFill patternType="none">
          <fgColor rgb="FF000000"/>
          <bgColor auto="1"/>
        </patternFill>
      </fill>
    </dxf>
    <dxf>
      <fill>
        <patternFill patternType="solid">
          <fgColor rgb="FF000000"/>
          <bgColor rgb="FFFFFFFF"/>
        </patternFill>
      </fill>
    </dxf>
    <dxf>
      <border>
        <bottom style="thin">
          <color rgb="FF000000"/>
        </bottom>
      </border>
    </dxf>
    <dxf>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ill>
        <patternFill patternType="solid">
          <fgColor indexed="64"/>
          <bgColor theme="2"/>
        </patternFill>
      </fill>
    </dxf>
    <dxf>
      <fill>
        <patternFill patternType="solid">
          <fgColor indexed="64"/>
          <bgColor theme="2"/>
        </patternFill>
      </fill>
    </dxf>
    <dxf>
      <fill>
        <patternFill patternType="none">
          <fgColor rgb="FF000000"/>
          <bgColor auto="1"/>
        </patternFill>
      </fill>
    </dxf>
    <dxf>
      <fill>
        <patternFill patternType="solid">
          <fgColor rgb="FF000000"/>
          <bgColor rgb="FFFFFFFF"/>
        </patternFill>
      </fill>
    </dxf>
    <dxf>
      <border>
        <bottom style="thin">
          <color rgb="FF000000"/>
        </bottom>
      </border>
    </dxf>
    <dxf>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ill>
        <patternFill patternType="solid">
          <fgColor indexed="64"/>
          <bgColor theme="2"/>
        </patternFill>
      </fill>
    </dxf>
    <dxf>
      <fill>
        <patternFill patternType="solid">
          <fgColor indexed="64"/>
          <bgColor theme="2"/>
        </patternFill>
      </fill>
    </dxf>
    <dxf>
      <fill>
        <patternFill patternType="none">
          <fgColor rgb="FF000000"/>
          <bgColor auto="1"/>
        </patternFill>
      </fill>
    </dxf>
    <dxf>
      <fill>
        <patternFill patternType="solid">
          <fgColor rgb="FF000000"/>
          <bgColor rgb="FFFFFFFF"/>
        </patternFill>
      </fill>
    </dxf>
    <dxf>
      <border>
        <bottom style="thin">
          <color rgb="FF000000"/>
        </bottom>
      </border>
    </dxf>
    <dxf>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ill>
        <patternFill patternType="solid">
          <fgColor indexed="64"/>
          <bgColor theme="2"/>
        </patternFill>
      </fill>
    </dxf>
    <dxf>
      <fill>
        <patternFill patternType="solid">
          <fgColor indexed="64"/>
          <bgColor theme="2"/>
        </patternFill>
      </fill>
    </dxf>
    <dxf>
      <fill>
        <patternFill patternType="none">
          <fgColor rgb="FF000000"/>
          <bgColor auto="1"/>
        </patternFill>
      </fill>
    </dxf>
    <dxf>
      <fill>
        <patternFill patternType="solid">
          <fgColor rgb="FF000000"/>
          <bgColor rgb="FFFFFFFF"/>
        </patternFill>
      </fill>
    </dxf>
    <dxf>
      <border>
        <bottom style="thin">
          <color rgb="FF000000"/>
        </bottom>
      </border>
    </dxf>
    <dxf>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color theme="1"/>
        <family val="2"/>
      </font>
      <fill>
        <patternFill patternType="solid">
          <fgColor indexed="64"/>
          <bgColor theme="2"/>
        </patternFill>
      </fill>
      <alignment horizontal="general" vertical="center" textRotation="0" wrapText="1" indent="0" justifyLastLine="0" shrinkToFit="0" readingOrder="0"/>
    </dxf>
    <dxf>
      <fill>
        <patternFill patternType="solid">
          <fgColor indexed="64"/>
          <bgColor theme="2"/>
        </patternFill>
      </fill>
    </dxf>
    <dxf>
      <fill>
        <patternFill patternType="none">
          <fgColor rgb="FF000000"/>
          <bgColor auto="1"/>
        </patternFill>
      </fill>
    </dxf>
    <dxf>
      <fill>
        <patternFill patternType="solid">
          <fgColor rgb="FF000000"/>
          <bgColor rgb="FFFFFFFF"/>
        </patternFill>
      </fill>
    </dxf>
    <dxf>
      <border>
        <bottom style="thin">
          <color rgb="FF000000"/>
        </bottom>
      </border>
    </dxf>
    <dxf>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color theme="1"/>
        <family val="2"/>
      </font>
      <fill>
        <patternFill patternType="solid">
          <fgColor indexed="64"/>
          <bgColor theme="2"/>
        </patternFill>
      </fill>
      <alignment horizontal="general" vertical="center" textRotation="0" wrapText="1" indent="0" justifyLastLine="0" shrinkToFit="0" readingOrder="0"/>
    </dxf>
    <dxf>
      <fill>
        <patternFill patternType="solid">
          <fgColor indexed="64"/>
          <bgColor theme="2"/>
        </patternFill>
      </fill>
    </dxf>
    <dxf>
      <fill>
        <patternFill patternType="none">
          <fgColor rgb="FF000000"/>
          <bgColor auto="1"/>
        </patternFill>
      </fill>
    </dxf>
    <dxf>
      <fill>
        <patternFill patternType="solid">
          <fgColor rgb="FF000000"/>
          <bgColor rgb="FFFFFFFF"/>
        </patternFill>
      </fill>
    </dxf>
    <dxf>
      <border>
        <bottom style="thin">
          <color rgb="FF000000"/>
        </bottom>
      </border>
    </dxf>
    <dxf>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ill>
        <patternFill patternType="solid">
          <fgColor indexed="64"/>
          <bgColor theme="2"/>
        </patternFill>
      </fill>
    </dxf>
    <dxf>
      <fill>
        <patternFill patternType="solid">
          <fgColor indexed="64"/>
          <bgColor theme="2"/>
        </patternFill>
      </fill>
    </dxf>
    <dxf>
      <fill>
        <patternFill patternType="none">
          <fgColor rgb="FF000000"/>
          <bgColor auto="1"/>
        </patternFill>
      </fill>
    </dxf>
    <dxf>
      <fill>
        <patternFill patternType="solid">
          <fgColor rgb="FF000000"/>
          <bgColor rgb="FFFFFFFF"/>
        </patternFill>
      </fill>
    </dxf>
    <dxf>
      <border>
        <bottom style="thin">
          <color rgb="FF000000"/>
        </bottom>
      </border>
    </dxf>
    <dxf>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ill>
        <patternFill patternType="solid">
          <fgColor indexed="64"/>
          <bgColor theme="2"/>
        </patternFill>
      </fill>
    </dxf>
    <dxf>
      <fill>
        <patternFill patternType="solid">
          <fgColor indexed="64"/>
          <bgColor theme="2"/>
        </patternFill>
      </fill>
    </dxf>
    <dxf>
      <fill>
        <patternFill patternType="none">
          <fgColor rgb="FF000000"/>
          <bgColor auto="1"/>
        </patternFill>
      </fill>
    </dxf>
    <dxf>
      <fill>
        <patternFill patternType="solid">
          <fgColor rgb="FF000000"/>
          <bgColor rgb="FFFFFFFF"/>
        </patternFill>
      </fill>
    </dxf>
    <dxf>
      <border>
        <bottom style="thin">
          <color rgb="FF000000"/>
        </bottom>
      </border>
    </dxf>
    <dxf>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ill>
        <patternFill patternType="solid">
          <fgColor indexed="64"/>
          <bgColor theme="2"/>
        </patternFill>
      </fill>
    </dxf>
    <dxf>
      <fill>
        <patternFill patternType="solid">
          <fgColor indexed="64"/>
          <bgColor theme="2"/>
        </patternFill>
      </fill>
    </dxf>
    <dxf>
      <fill>
        <patternFill patternType="none">
          <fgColor rgb="FF000000"/>
          <bgColor auto="1"/>
        </patternFill>
      </fill>
    </dxf>
    <dxf>
      <fill>
        <patternFill patternType="solid">
          <fgColor rgb="FF000000"/>
          <bgColor rgb="FFFFFFFF"/>
        </patternFill>
      </fill>
    </dxf>
    <dxf>
      <border>
        <bottom style="thin">
          <color rgb="FF000000"/>
        </bottom>
      </border>
    </dxf>
    <dxf>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ill>
        <patternFill patternType="solid">
          <fgColor indexed="64"/>
          <bgColor theme="2"/>
        </patternFill>
      </fill>
    </dxf>
    <dxf>
      <fill>
        <patternFill patternType="solid">
          <fgColor indexed="64"/>
          <bgColor theme="2"/>
        </patternFill>
      </fill>
    </dxf>
    <dxf>
      <fill>
        <patternFill patternType="none">
          <fgColor rgb="FF000000"/>
          <bgColor auto="1"/>
        </patternFill>
      </fill>
    </dxf>
    <dxf>
      <fill>
        <patternFill patternType="solid">
          <fgColor rgb="FF000000"/>
          <bgColor rgb="FFFFFFFF"/>
        </patternFill>
      </fill>
    </dxf>
    <dxf>
      <border>
        <bottom style="thin">
          <color rgb="FF000000"/>
        </bottom>
      </border>
    </dxf>
    <dxf>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ill>
        <patternFill patternType="solid">
          <fgColor indexed="64"/>
          <bgColor theme="2"/>
        </patternFill>
      </fill>
    </dxf>
    <dxf>
      <fill>
        <patternFill patternType="solid">
          <fgColor indexed="64"/>
          <bgColor theme="2"/>
        </patternFill>
      </fill>
    </dxf>
    <dxf>
      <fill>
        <patternFill patternType="none">
          <fgColor rgb="FF000000"/>
          <bgColor auto="1"/>
        </patternFill>
      </fill>
    </dxf>
    <dxf>
      <fill>
        <patternFill patternType="solid">
          <fgColor rgb="FF000000"/>
          <bgColor rgb="FFFFFFFF"/>
        </patternFill>
      </fill>
    </dxf>
    <dxf>
      <border>
        <bottom style="thin">
          <color rgb="FF000000"/>
        </bottom>
      </border>
    </dxf>
    <dxf>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ill>
        <patternFill patternType="solid">
          <fgColor indexed="64"/>
          <bgColor theme="2"/>
        </patternFill>
      </fill>
    </dxf>
    <dxf>
      <fill>
        <patternFill patternType="solid">
          <fgColor indexed="64"/>
          <bgColor theme="2"/>
        </patternFill>
      </fill>
    </dxf>
    <dxf>
      <fill>
        <patternFill patternType="none">
          <fgColor rgb="FF000000"/>
          <bgColor auto="1"/>
        </patternFill>
      </fill>
    </dxf>
    <dxf>
      <fill>
        <patternFill patternType="solid">
          <fgColor rgb="FF000000"/>
          <bgColor rgb="FFFFFFFF"/>
        </patternFill>
      </fill>
    </dxf>
    <dxf>
      <border>
        <bottom style="thin">
          <color rgb="FF000000"/>
        </bottom>
      </border>
    </dxf>
    <dxf>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color theme="1"/>
        <family val="2"/>
      </font>
      <fill>
        <patternFill patternType="solid">
          <fgColor indexed="64"/>
          <bgColor theme="2"/>
        </patternFill>
      </fill>
      <alignment horizontal="general" vertical="center" textRotation="0" wrapText="1" indent="0" justifyLastLine="0" shrinkToFit="0" readingOrder="0"/>
    </dxf>
    <dxf>
      <fill>
        <patternFill patternType="solid">
          <fgColor indexed="64"/>
          <bgColor theme="2"/>
        </patternFill>
      </fill>
    </dxf>
    <dxf>
      <fill>
        <patternFill patternType="none">
          <fgColor rgb="FF000000"/>
          <bgColor auto="1"/>
        </patternFill>
      </fill>
    </dxf>
    <dxf>
      <fill>
        <patternFill patternType="solid">
          <fgColor rgb="FF000000"/>
          <bgColor rgb="FFFFFFFF"/>
        </patternFill>
      </fill>
    </dxf>
    <dxf>
      <border>
        <bottom style="thin">
          <color rgb="FF000000"/>
        </bottom>
      </border>
    </dxf>
    <dxf>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color theme="1"/>
        <family val="2"/>
      </font>
      <fill>
        <patternFill patternType="solid">
          <fgColor indexed="64"/>
          <bgColor theme="2"/>
        </patternFill>
      </fill>
      <alignment horizontal="general" vertical="center" textRotation="0" wrapText="1" indent="0" justifyLastLine="0" shrinkToFit="0" readingOrder="0"/>
    </dxf>
    <dxf>
      <fill>
        <patternFill patternType="solid">
          <fgColor indexed="64"/>
          <bgColor theme="2"/>
        </patternFill>
      </fill>
    </dxf>
    <dxf>
      <fill>
        <patternFill patternType="none">
          <fgColor rgb="FF000000"/>
          <bgColor auto="1"/>
        </patternFill>
      </fill>
    </dxf>
    <dxf>
      <fill>
        <patternFill patternType="solid">
          <fgColor rgb="FF000000"/>
          <bgColor rgb="FFFFFFFF"/>
        </patternFill>
      </fill>
    </dxf>
    <dxf>
      <border>
        <bottom style="thin">
          <color rgb="FF000000"/>
        </bottom>
      </border>
    </dxf>
    <dxf>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ill>
        <patternFill patternType="solid">
          <fgColor indexed="64"/>
          <bgColor theme="2"/>
        </patternFill>
      </fill>
    </dxf>
    <dxf>
      <fill>
        <patternFill patternType="solid">
          <fgColor indexed="64"/>
          <bgColor theme="2"/>
        </patternFill>
      </fill>
    </dxf>
    <dxf>
      <fill>
        <patternFill patternType="none">
          <fgColor rgb="FF000000"/>
          <bgColor auto="1"/>
        </patternFill>
      </fill>
    </dxf>
    <dxf>
      <fill>
        <patternFill patternType="solid">
          <fgColor rgb="FF000000"/>
          <bgColor rgb="FFFFFFFF"/>
        </patternFill>
      </fill>
    </dxf>
    <dxf>
      <border>
        <bottom style="thin">
          <color rgb="FF000000"/>
        </bottom>
      </border>
    </dxf>
    <dxf>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ill>
        <patternFill patternType="solid">
          <fgColor indexed="64"/>
          <bgColor theme="2"/>
        </patternFill>
      </fill>
    </dxf>
    <dxf>
      <fill>
        <patternFill patternType="solid">
          <fgColor indexed="64"/>
          <bgColor theme="2"/>
        </patternFill>
      </fill>
    </dxf>
    <dxf>
      <fill>
        <patternFill patternType="none">
          <fgColor rgb="FF000000"/>
          <bgColor auto="1"/>
        </patternFill>
      </fill>
    </dxf>
    <dxf>
      <fill>
        <patternFill patternType="solid">
          <fgColor rgb="FF000000"/>
          <bgColor rgb="FFFFFFFF"/>
        </patternFill>
      </fill>
    </dxf>
    <dxf>
      <border>
        <bottom style="thin">
          <color rgb="FF000000"/>
        </bottom>
      </border>
    </dxf>
    <dxf>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ill>
        <patternFill patternType="solid">
          <fgColor indexed="64"/>
          <bgColor theme="2"/>
        </patternFill>
      </fill>
    </dxf>
    <dxf>
      <fill>
        <patternFill patternType="solid">
          <fgColor indexed="64"/>
          <bgColor theme="2"/>
        </patternFill>
      </fill>
    </dxf>
    <dxf>
      <fill>
        <patternFill patternType="none">
          <fgColor rgb="FF000000"/>
          <bgColor auto="1"/>
        </patternFill>
      </fill>
    </dxf>
    <dxf>
      <fill>
        <patternFill patternType="solid">
          <fgColor rgb="FF000000"/>
          <bgColor rgb="FFFFFFFF"/>
        </patternFill>
      </fill>
    </dxf>
    <dxf>
      <border>
        <bottom style="thin">
          <color rgb="FF000000"/>
        </bottom>
      </border>
    </dxf>
    <dxf>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ill>
        <patternFill patternType="solid">
          <fgColor indexed="64"/>
          <bgColor theme="2"/>
        </patternFill>
      </fill>
    </dxf>
    <dxf>
      <fill>
        <patternFill patternType="solid">
          <fgColor indexed="64"/>
          <bgColor theme="2"/>
        </patternFill>
      </fill>
    </dxf>
    <dxf>
      <fill>
        <patternFill patternType="none">
          <fgColor rgb="FF000000"/>
          <bgColor auto="1"/>
        </patternFill>
      </fill>
    </dxf>
    <dxf>
      <fill>
        <patternFill patternType="solid">
          <fgColor rgb="FF000000"/>
          <bgColor rgb="FFFFFFFF"/>
        </patternFill>
      </fill>
    </dxf>
    <dxf>
      <border>
        <bottom style="thin">
          <color rgb="FF000000"/>
        </bottom>
      </border>
    </dxf>
    <dxf>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ill>
        <patternFill patternType="solid">
          <fgColor indexed="64"/>
          <bgColor theme="2"/>
        </patternFill>
      </fill>
    </dxf>
    <dxf>
      <fill>
        <patternFill patternType="solid">
          <fgColor indexed="64"/>
          <bgColor theme="2"/>
        </patternFill>
      </fill>
    </dxf>
    <dxf>
      <fill>
        <patternFill patternType="none">
          <fgColor rgb="FF000000"/>
          <bgColor auto="1"/>
        </patternFill>
      </fill>
    </dxf>
    <dxf>
      <fill>
        <patternFill patternType="solid">
          <fgColor rgb="FF000000"/>
          <bgColor rgb="FFFFFFFF"/>
        </patternFill>
      </fill>
    </dxf>
    <dxf>
      <border>
        <bottom style="thin">
          <color rgb="FF000000"/>
        </bottom>
      </border>
    </dxf>
    <dxf>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ill>
        <patternFill patternType="solid">
          <fgColor indexed="64"/>
          <bgColor theme="2"/>
        </patternFill>
      </fill>
    </dxf>
    <dxf>
      <fill>
        <patternFill patternType="solid">
          <fgColor indexed="64"/>
          <bgColor theme="2"/>
        </patternFill>
      </fill>
    </dxf>
    <dxf>
      <fill>
        <patternFill patternType="none">
          <fgColor rgb="FF000000"/>
          <bgColor auto="1"/>
        </patternFill>
      </fill>
    </dxf>
    <dxf>
      <fill>
        <patternFill patternType="solid">
          <fgColor rgb="FF000000"/>
          <bgColor rgb="FFFFFFFF"/>
        </patternFill>
      </fill>
    </dxf>
    <dxf>
      <border>
        <bottom style="thin">
          <color rgb="FF000000"/>
        </bottom>
      </border>
    </dxf>
    <dxf>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color theme="1"/>
        <family val="2"/>
      </font>
      <fill>
        <patternFill patternType="solid">
          <fgColor indexed="64"/>
          <bgColor theme="2"/>
        </patternFill>
      </fill>
      <alignment horizontal="general" vertical="center" textRotation="0" wrapText="1" indent="0" justifyLastLine="0" shrinkToFit="0" readingOrder="0"/>
    </dxf>
    <dxf>
      <fill>
        <patternFill patternType="solid">
          <fgColor indexed="64"/>
          <bgColor theme="2"/>
        </patternFill>
      </fill>
    </dxf>
    <dxf>
      <fill>
        <patternFill patternType="none">
          <fgColor rgb="FF000000"/>
          <bgColor auto="1"/>
        </patternFill>
      </fill>
    </dxf>
    <dxf>
      <fill>
        <patternFill patternType="solid">
          <fgColor rgb="FF000000"/>
          <bgColor rgb="FFFFFFFF"/>
        </patternFill>
      </fill>
    </dxf>
    <dxf>
      <border>
        <bottom style="thin">
          <color rgb="FF000000"/>
        </bottom>
      </border>
    </dxf>
    <dxf>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color theme="1"/>
        <family val="2"/>
      </font>
      <fill>
        <patternFill patternType="solid">
          <fgColor indexed="64"/>
          <bgColor theme="2"/>
        </patternFill>
      </fill>
      <alignment horizontal="general" vertical="center" textRotation="0" wrapText="1" indent="0" justifyLastLine="0" shrinkToFit="0" readingOrder="0"/>
    </dxf>
    <dxf>
      <fill>
        <patternFill patternType="solid">
          <fgColor indexed="64"/>
          <bgColor theme="2"/>
        </patternFill>
      </fill>
    </dxf>
    <dxf>
      <fill>
        <patternFill patternType="none">
          <fgColor rgb="FF000000"/>
          <bgColor auto="1"/>
        </patternFill>
      </fill>
    </dxf>
    <dxf>
      <fill>
        <patternFill patternType="solid">
          <fgColor rgb="FF000000"/>
          <bgColor rgb="FFFFFFFF"/>
        </patternFill>
      </fill>
    </dxf>
    <dxf>
      <border>
        <bottom style="thin">
          <color rgb="FF000000"/>
        </bottom>
      </border>
    </dxf>
    <dxf>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ill>
        <patternFill patternType="solid">
          <fgColor indexed="64"/>
          <bgColor theme="2"/>
        </patternFill>
      </fill>
    </dxf>
    <dxf>
      <fill>
        <patternFill patternType="solid">
          <fgColor indexed="64"/>
          <bgColor theme="2"/>
        </patternFill>
      </fill>
    </dxf>
    <dxf>
      <fill>
        <patternFill patternType="none">
          <fgColor rgb="FF000000"/>
          <bgColor auto="1"/>
        </patternFill>
      </fill>
    </dxf>
    <dxf>
      <fill>
        <patternFill patternType="solid">
          <fgColor rgb="FF000000"/>
          <bgColor rgb="FFFFFFFF"/>
        </patternFill>
      </fill>
    </dxf>
    <dxf>
      <border>
        <bottom style="thin">
          <color rgb="FF000000"/>
        </bottom>
      </border>
    </dxf>
    <dxf>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ill>
        <patternFill patternType="solid">
          <fgColor indexed="64"/>
          <bgColor theme="2"/>
        </patternFill>
      </fill>
    </dxf>
    <dxf>
      <fill>
        <patternFill patternType="solid">
          <fgColor indexed="64"/>
          <bgColor theme="2"/>
        </patternFill>
      </fill>
    </dxf>
    <dxf>
      <fill>
        <patternFill patternType="none">
          <fgColor rgb="FF000000"/>
          <bgColor auto="1"/>
        </patternFill>
      </fill>
    </dxf>
    <dxf>
      <fill>
        <patternFill patternType="solid">
          <fgColor rgb="FF000000"/>
          <bgColor rgb="FFFFFFFF"/>
        </patternFill>
      </fill>
    </dxf>
    <dxf>
      <border>
        <bottom style="thin">
          <color rgb="FF000000"/>
        </bottom>
      </border>
    </dxf>
    <dxf>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ill>
        <patternFill patternType="solid">
          <fgColor indexed="64"/>
          <bgColor theme="2"/>
        </patternFill>
      </fill>
    </dxf>
    <dxf>
      <fill>
        <patternFill patternType="solid">
          <fgColor indexed="64"/>
          <bgColor theme="2"/>
        </patternFill>
      </fill>
    </dxf>
    <dxf>
      <fill>
        <patternFill patternType="none">
          <fgColor rgb="FF000000"/>
          <bgColor auto="1"/>
        </patternFill>
      </fill>
    </dxf>
    <dxf>
      <fill>
        <patternFill patternType="solid">
          <fgColor rgb="FF000000"/>
          <bgColor rgb="FFFFFFFF"/>
        </patternFill>
      </fill>
    </dxf>
    <dxf>
      <border>
        <bottom style="thin">
          <color rgb="FF000000"/>
        </bottom>
      </border>
    </dxf>
    <dxf>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ill>
        <patternFill patternType="solid">
          <fgColor indexed="64"/>
          <bgColor theme="2"/>
        </patternFill>
      </fill>
    </dxf>
    <dxf>
      <fill>
        <patternFill patternType="solid">
          <fgColor indexed="64"/>
          <bgColor theme="2"/>
        </patternFill>
      </fill>
    </dxf>
    <dxf>
      <fill>
        <patternFill patternType="none">
          <fgColor rgb="FF000000"/>
          <bgColor auto="1"/>
        </patternFill>
      </fill>
    </dxf>
    <dxf>
      <fill>
        <patternFill patternType="solid">
          <fgColor rgb="FF000000"/>
          <bgColor rgb="FFFFFFFF"/>
        </patternFill>
      </fill>
    </dxf>
    <dxf>
      <border>
        <bottom style="thin">
          <color rgb="FF000000"/>
        </bottom>
      </border>
    </dxf>
    <dxf>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ill>
        <patternFill patternType="solid">
          <fgColor indexed="64"/>
          <bgColor theme="2"/>
        </patternFill>
      </fill>
    </dxf>
    <dxf>
      <fill>
        <patternFill patternType="solid">
          <fgColor indexed="64"/>
          <bgColor theme="2"/>
        </patternFill>
      </fill>
    </dxf>
    <dxf>
      <fill>
        <patternFill patternType="none">
          <fgColor rgb="FF000000"/>
          <bgColor auto="1"/>
        </patternFill>
      </fill>
    </dxf>
    <dxf>
      <fill>
        <patternFill patternType="solid">
          <fgColor rgb="FF000000"/>
          <bgColor rgb="FFFFFFFF"/>
        </patternFill>
      </fill>
    </dxf>
    <dxf>
      <border>
        <bottom style="thin">
          <color rgb="FF000000"/>
        </bottom>
      </border>
    </dxf>
    <dxf>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ill>
        <patternFill patternType="solid">
          <fgColor indexed="64"/>
          <bgColor theme="2"/>
        </patternFill>
      </fill>
    </dxf>
    <dxf>
      <fill>
        <patternFill patternType="solid">
          <fgColor indexed="64"/>
          <bgColor theme="2"/>
        </patternFill>
      </fill>
    </dxf>
    <dxf>
      <fill>
        <patternFill patternType="none">
          <fgColor rgb="FF000000"/>
          <bgColor auto="1"/>
        </patternFill>
      </fill>
    </dxf>
    <dxf>
      <fill>
        <patternFill patternType="solid">
          <fgColor rgb="FF000000"/>
          <bgColor rgb="FFFFFFFF"/>
        </patternFill>
      </fill>
    </dxf>
    <dxf>
      <border>
        <bottom style="thin">
          <color rgb="FF000000"/>
        </bottom>
      </border>
    </dxf>
    <dxf>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color theme="1"/>
        <family val="2"/>
      </font>
      <fill>
        <patternFill patternType="solid">
          <fgColor indexed="64"/>
          <bgColor theme="2"/>
        </patternFill>
      </fill>
      <alignment horizontal="general" vertical="center" textRotation="0" wrapText="1" indent="0" justifyLastLine="0" shrinkToFit="0" readingOrder="0"/>
    </dxf>
    <dxf>
      <fill>
        <patternFill patternType="solid">
          <fgColor indexed="64"/>
          <bgColor theme="2"/>
        </patternFill>
      </fill>
    </dxf>
    <dxf>
      <fill>
        <patternFill patternType="none">
          <fgColor rgb="FF000000"/>
          <bgColor auto="1"/>
        </patternFill>
      </fill>
    </dxf>
    <dxf>
      <fill>
        <patternFill patternType="solid">
          <fgColor rgb="FF000000"/>
          <bgColor rgb="FFFFFFFF"/>
        </patternFill>
      </fill>
    </dxf>
    <dxf>
      <border>
        <bottom style="thin">
          <color rgb="FF000000"/>
        </bottom>
      </border>
    </dxf>
    <dxf>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color theme="1"/>
        <family val="2"/>
      </font>
      <fill>
        <patternFill patternType="solid">
          <fgColor indexed="64"/>
          <bgColor theme="2"/>
        </patternFill>
      </fill>
      <alignment horizontal="general" vertical="center" textRotation="0" wrapText="1" indent="0" justifyLastLine="0" shrinkToFit="0" readingOrder="0"/>
    </dxf>
    <dxf>
      <fill>
        <patternFill patternType="solid">
          <fgColor indexed="64"/>
          <bgColor theme="2"/>
        </patternFill>
      </fill>
    </dxf>
    <dxf>
      <fill>
        <patternFill patternType="none">
          <fgColor rgb="FF000000"/>
          <bgColor auto="1"/>
        </patternFill>
      </fill>
    </dxf>
    <dxf>
      <fill>
        <patternFill patternType="solid">
          <fgColor rgb="FF000000"/>
          <bgColor rgb="FFFFFFFF"/>
        </patternFill>
      </fill>
    </dxf>
    <dxf>
      <border>
        <bottom style="thin">
          <color rgb="FF000000"/>
        </bottom>
      </border>
    </dxf>
    <dxf>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ill>
        <patternFill patternType="solid">
          <fgColor indexed="64"/>
          <bgColor theme="2"/>
        </patternFill>
      </fill>
    </dxf>
    <dxf>
      <fill>
        <patternFill patternType="solid">
          <fgColor indexed="64"/>
          <bgColor theme="2"/>
        </patternFill>
      </fill>
    </dxf>
    <dxf>
      <fill>
        <patternFill patternType="none">
          <fgColor rgb="FF000000"/>
          <bgColor auto="1"/>
        </patternFill>
      </fill>
    </dxf>
    <dxf>
      <fill>
        <patternFill patternType="solid">
          <fgColor rgb="FF000000"/>
          <bgColor rgb="FFFFFFFF"/>
        </patternFill>
      </fill>
    </dxf>
    <dxf>
      <border>
        <bottom style="thin">
          <color rgb="FF000000"/>
        </bottom>
      </border>
    </dxf>
    <dxf>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ill>
        <patternFill patternType="solid">
          <fgColor indexed="64"/>
          <bgColor theme="2"/>
        </patternFill>
      </fill>
    </dxf>
    <dxf>
      <fill>
        <patternFill patternType="solid">
          <fgColor indexed="64"/>
          <bgColor theme="2"/>
        </patternFill>
      </fill>
    </dxf>
    <dxf>
      <fill>
        <patternFill patternType="none">
          <fgColor rgb="FF000000"/>
          <bgColor auto="1"/>
        </patternFill>
      </fill>
    </dxf>
    <dxf>
      <fill>
        <patternFill patternType="solid">
          <fgColor rgb="FF000000"/>
          <bgColor rgb="FFFFFFFF"/>
        </patternFill>
      </fill>
    </dxf>
    <dxf>
      <border>
        <bottom style="thin">
          <color rgb="FF000000"/>
        </bottom>
      </border>
    </dxf>
    <dxf>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ill>
        <patternFill patternType="solid">
          <fgColor indexed="64"/>
          <bgColor theme="2"/>
        </patternFill>
      </fill>
    </dxf>
    <dxf>
      <fill>
        <patternFill patternType="solid">
          <fgColor indexed="64"/>
          <bgColor theme="2"/>
        </patternFill>
      </fill>
    </dxf>
    <dxf>
      <fill>
        <patternFill patternType="none">
          <fgColor rgb="FF000000"/>
          <bgColor auto="1"/>
        </patternFill>
      </fill>
    </dxf>
    <dxf>
      <fill>
        <patternFill patternType="solid">
          <fgColor rgb="FF000000"/>
          <bgColor rgb="FFFFFFFF"/>
        </patternFill>
      </fill>
    </dxf>
    <dxf>
      <border>
        <bottom style="thin">
          <color rgb="FF000000"/>
        </bottom>
      </border>
    </dxf>
    <dxf>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ill>
        <patternFill patternType="solid">
          <fgColor indexed="64"/>
          <bgColor theme="2"/>
        </patternFill>
      </fill>
    </dxf>
    <dxf>
      <fill>
        <patternFill patternType="solid">
          <fgColor indexed="64"/>
          <bgColor theme="2"/>
        </patternFill>
      </fill>
    </dxf>
    <dxf>
      <fill>
        <patternFill patternType="none">
          <fgColor rgb="FF000000"/>
          <bgColor auto="1"/>
        </patternFill>
      </fill>
    </dxf>
    <dxf>
      <fill>
        <patternFill patternType="solid">
          <fgColor rgb="FF000000"/>
          <bgColor rgb="FFFFFFFF"/>
        </patternFill>
      </fill>
    </dxf>
    <dxf>
      <border>
        <bottom style="thin">
          <color rgb="FF000000"/>
        </bottom>
      </border>
    </dxf>
    <dxf>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ill>
        <patternFill patternType="solid">
          <fgColor indexed="64"/>
          <bgColor theme="2"/>
        </patternFill>
      </fill>
    </dxf>
    <dxf>
      <fill>
        <patternFill patternType="solid">
          <fgColor indexed="64"/>
          <bgColor theme="2"/>
        </patternFill>
      </fill>
    </dxf>
    <dxf>
      <fill>
        <patternFill patternType="none">
          <fgColor rgb="FF000000"/>
          <bgColor auto="1"/>
        </patternFill>
      </fill>
    </dxf>
    <dxf>
      <fill>
        <patternFill patternType="solid">
          <fgColor rgb="FF000000"/>
          <bgColor rgb="FFFFFFFF"/>
        </patternFill>
      </fill>
    </dxf>
    <dxf>
      <border>
        <bottom style="thin">
          <color rgb="FF000000"/>
        </bottom>
      </border>
    </dxf>
    <dxf>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ill>
        <patternFill patternType="solid">
          <fgColor indexed="64"/>
          <bgColor theme="2"/>
        </patternFill>
      </fill>
    </dxf>
    <dxf>
      <fill>
        <patternFill patternType="solid">
          <fgColor indexed="64"/>
          <bgColor theme="2"/>
        </patternFill>
      </fill>
    </dxf>
    <dxf>
      <fill>
        <patternFill patternType="none">
          <fgColor rgb="FF000000"/>
          <bgColor auto="1"/>
        </patternFill>
      </fill>
    </dxf>
    <dxf>
      <fill>
        <patternFill patternType="solid">
          <fgColor rgb="FF000000"/>
          <bgColor rgb="FFFFFFFF"/>
        </patternFill>
      </fill>
    </dxf>
    <dxf>
      <border>
        <bottom style="thin">
          <color rgb="FF000000"/>
        </bottom>
      </border>
    </dxf>
    <dxf>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color theme="1"/>
        <family val="2"/>
      </font>
      <fill>
        <patternFill patternType="solid">
          <fgColor indexed="64"/>
          <bgColor theme="2"/>
        </patternFill>
      </fill>
      <alignment horizontal="general" vertical="center" textRotation="0" wrapText="1" indent="0" justifyLastLine="0" shrinkToFit="0" readingOrder="0"/>
    </dxf>
    <dxf>
      <fill>
        <patternFill patternType="solid">
          <fgColor indexed="64"/>
          <bgColor theme="2"/>
        </patternFill>
      </fill>
    </dxf>
    <dxf>
      <fill>
        <patternFill patternType="none">
          <fgColor rgb="FF000000"/>
          <bgColor auto="1"/>
        </patternFill>
      </fill>
    </dxf>
    <dxf>
      <fill>
        <patternFill patternType="solid">
          <fgColor rgb="FF000000"/>
          <bgColor rgb="FFFFFFFF"/>
        </patternFill>
      </fill>
    </dxf>
    <dxf>
      <border>
        <bottom style="thin">
          <color rgb="FF000000"/>
        </bottom>
      </border>
    </dxf>
    <dxf>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color theme="1"/>
        <family val="2"/>
      </font>
      <fill>
        <patternFill patternType="solid">
          <fgColor indexed="64"/>
          <bgColor theme="2"/>
        </patternFill>
      </fill>
      <alignment horizontal="general" vertical="center" textRotation="0" wrapText="1" indent="0" justifyLastLine="0" shrinkToFit="0" readingOrder="0"/>
    </dxf>
    <dxf>
      <fill>
        <patternFill patternType="solid">
          <fgColor indexed="64"/>
          <bgColor theme="2"/>
        </patternFill>
      </fill>
    </dxf>
    <dxf>
      <fill>
        <patternFill patternType="none">
          <fgColor rgb="FF000000"/>
          <bgColor auto="1"/>
        </patternFill>
      </fill>
    </dxf>
    <dxf>
      <fill>
        <patternFill patternType="solid">
          <fgColor rgb="FF000000"/>
          <bgColor rgb="FFFFFFFF"/>
        </patternFill>
      </fill>
    </dxf>
    <dxf>
      <border>
        <bottom style="thin">
          <color rgb="FF000000"/>
        </bottom>
      </border>
    </dxf>
    <dxf>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ill>
        <patternFill patternType="solid">
          <fgColor indexed="64"/>
          <bgColor theme="2"/>
        </patternFill>
      </fill>
    </dxf>
    <dxf>
      <fill>
        <patternFill patternType="solid">
          <fgColor indexed="64"/>
          <bgColor theme="2"/>
        </patternFill>
      </fill>
    </dxf>
    <dxf>
      <fill>
        <patternFill patternType="none">
          <fgColor rgb="FF000000"/>
          <bgColor auto="1"/>
        </patternFill>
      </fill>
    </dxf>
    <dxf>
      <fill>
        <patternFill patternType="solid">
          <fgColor rgb="FF000000"/>
          <bgColor rgb="FFFFFFFF"/>
        </patternFill>
      </fill>
    </dxf>
    <dxf>
      <border>
        <bottom style="thin">
          <color rgb="FF000000"/>
        </bottom>
      </border>
    </dxf>
    <dxf>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ill>
        <patternFill patternType="solid">
          <fgColor indexed="64"/>
          <bgColor theme="2"/>
        </patternFill>
      </fill>
    </dxf>
    <dxf>
      <fill>
        <patternFill patternType="solid">
          <fgColor indexed="64"/>
          <bgColor theme="2"/>
        </patternFill>
      </fill>
    </dxf>
    <dxf>
      <fill>
        <patternFill patternType="none">
          <fgColor rgb="FF000000"/>
          <bgColor auto="1"/>
        </patternFill>
      </fill>
    </dxf>
    <dxf>
      <fill>
        <patternFill patternType="solid">
          <fgColor rgb="FF000000"/>
          <bgColor rgb="FFFFFFFF"/>
        </patternFill>
      </fill>
    </dxf>
    <dxf>
      <border>
        <bottom style="thin">
          <color rgb="FF000000"/>
        </bottom>
      </border>
    </dxf>
    <dxf>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ill>
        <patternFill patternType="solid">
          <fgColor indexed="64"/>
          <bgColor theme="2"/>
        </patternFill>
      </fill>
    </dxf>
    <dxf>
      <fill>
        <patternFill patternType="solid">
          <fgColor indexed="64"/>
          <bgColor theme="2"/>
        </patternFill>
      </fill>
    </dxf>
    <dxf>
      <fill>
        <patternFill patternType="none">
          <fgColor rgb="FF000000"/>
          <bgColor auto="1"/>
        </patternFill>
      </fill>
    </dxf>
    <dxf>
      <fill>
        <patternFill patternType="solid">
          <fgColor rgb="FF000000"/>
          <bgColor rgb="FFFFFFFF"/>
        </patternFill>
      </fill>
    </dxf>
    <dxf>
      <border>
        <bottom style="thin">
          <color rgb="FF000000"/>
        </bottom>
      </border>
    </dxf>
    <dxf>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ill>
        <patternFill patternType="solid">
          <fgColor indexed="64"/>
          <bgColor theme="2"/>
        </patternFill>
      </fill>
    </dxf>
    <dxf>
      <fill>
        <patternFill patternType="solid">
          <fgColor indexed="64"/>
          <bgColor theme="2"/>
        </patternFill>
      </fill>
    </dxf>
    <dxf>
      <fill>
        <patternFill patternType="none">
          <fgColor rgb="FF000000"/>
          <bgColor auto="1"/>
        </patternFill>
      </fill>
    </dxf>
    <dxf>
      <fill>
        <patternFill patternType="solid">
          <fgColor rgb="FF000000"/>
          <bgColor rgb="FFFFFFFF"/>
        </patternFill>
      </fill>
    </dxf>
    <dxf>
      <border>
        <bottom style="thin">
          <color rgb="FF000000"/>
        </bottom>
      </border>
    </dxf>
    <dxf>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ill>
        <patternFill patternType="solid">
          <fgColor indexed="64"/>
          <bgColor theme="2"/>
        </patternFill>
      </fill>
    </dxf>
    <dxf>
      <fill>
        <patternFill patternType="solid">
          <fgColor indexed="64"/>
          <bgColor theme="2"/>
        </patternFill>
      </fill>
    </dxf>
    <dxf>
      <fill>
        <patternFill patternType="none">
          <fgColor rgb="FF000000"/>
          <bgColor auto="1"/>
        </patternFill>
      </fill>
    </dxf>
    <dxf>
      <fill>
        <patternFill patternType="solid">
          <fgColor rgb="FF000000"/>
          <bgColor rgb="FFFFFFFF"/>
        </patternFill>
      </fill>
    </dxf>
    <dxf>
      <border>
        <bottom style="thin">
          <color rgb="FF000000"/>
        </bottom>
      </border>
    </dxf>
    <dxf>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ill>
        <patternFill patternType="solid">
          <fgColor indexed="64"/>
          <bgColor theme="2"/>
        </patternFill>
      </fill>
    </dxf>
    <dxf>
      <fill>
        <patternFill patternType="solid">
          <fgColor indexed="64"/>
          <bgColor theme="2"/>
        </patternFill>
      </fill>
    </dxf>
    <dxf>
      <fill>
        <patternFill patternType="none">
          <fgColor rgb="FF000000"/>
          <bgColor auto="1"/>
        </patternFill>
      </fill>
    </dxf>
    <dxf>
      <fill>
        <patternFill patternType="solid">
          <fgColor rgb="FF000000"/>
          <bgColor rgb="FFFFFFFF"/>
        </patternFill>
      </fill>
    </dxf>
    <dxf>
      <border>
        <bottom style="thin">
          <color rgb="FF000000"/>
        </bottom>
      </border>
    </dxf>
    <dxf>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color theme="1"/>
        <family val="2"/>
      </font>
      <fill>
        <patternFill patternType="solid">
          <fgColor indexed="64"/>
          <bgColor theme="2"/>
        </patternFill>
      </fill>
      <alignment horizontal="general" vertical="center" textRotation="0" wrapText="1" indent="0" justifyLastLine="0" shrinkToFit="0" readingOrder="0"/>
    </dxf>
    <dxf>
      <fill>
        <patternFill patternType="solid">
          <fgColor indexed="64"/>
          <bgColor theme="2"/>
        </patternFill>
      </fill>
    </dxf>
    <dxf>
      <fill>
        <patternFill patternType="none">
          <fgColor rgb="FF000000"/>
          <bgColor auto="1"/>
        </patternFill>
      </fill>
    </dxf>
    <dxf>
      <fill>
        <patternFill patternType="solid">
          <fgColor rgb="FF000000"/>
          <bgColor rgb="FFFFFFFF"/>
        </patternFill>
      </fill>
    </dxf>
    <dxf>
      <border>
        <bottom style="thin">
          <color rgb="FF000000"/>
        </bottom>
      </border>
    </dxf>
    <dxf>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color theme="1"/>
        <family val="2"/>
      </font>
      <fill>
        <patternFill patternType="solid">
          <fgColor indexed="64"/>
          <bgColor theme="2"/>
        </patternFill>
      </fill>
      <alignment horizontal="general" vertical="center" textRotation="0" wrapText="1" indent="0" justifyLastLine="0" shrinkToFit="0" readingOrder="0"/>
    </dxf>
    <dxf>
      <fill>
        <patternFill patternType="solid">
          <fgColor indexed="64"/>
          <bgColor theme="2"/>
        </patternFill>
      </fill>
    </dxf>
    <dxf>
      <fill>
        <patternFill patternType="none">
          <fgColor rgb="FF000000"/>
          <bgColor auto="1"/>
        </patternFill>
      </fill>
    </dxf>
    <dxf>
      <fill>
        <patternFill patternType="solid">
          <fgColor rgb="FF000000"/>
          <bgColor rgb="FFFFFFFF"/>
        </patternFill>
      </fill>
    </dxf>
    <dxf>
      <border>
        <bottom style="thin">
          <color rgb="FF000000"/>
        </bottom>
      </border>
    </dxf>
    <dxf>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ill>
        <patternFill patternType="solid">
          <fgColor indexed="64"/>
          <bgColor theme="2"/>
        </patternFill>
      </fill>
    </dxf>
    <dxf>
      <fill>
        <patternFill patternType="solid">
          <fgColor indexed="64"/>
          <bgColor theme="2"/>
        </patternFill>
      </fill>
    </dxf>
    <dxf>
      <fill>
        <patternFill patternType="none">
          <fgColor rgb="FF000000"/>
          <bgColor auto="1"/>
        </patternFill>
      </fill>
    </dxf>
    <dxf>
      <fill>
        <patternFill patternType="solid">
          <fgColor rgb="FF000000"/>
          <bgColor rgb="FFFFFFFF"/>
        </patternFill>
      </fill>
    </dxf>
    <dxf>
      <border>
        <bottom style="thin">
          <color rgb="FF000000"/>
        </bottom>
      </border>
    </dxf>
    <dxf>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ill>
        <patternFill patternType="solid">
          <fgColor indexed="64"/>
          <bgColor theme="2"/>
        </patternFill>
      </fill>
    </dxf>
    <dxf>
      <fill>
        <patternFill patternType="solid">
          <fgColor indexed="64"/>
          <bgColor theme="2"/>
        </patternFill>
      </fill>
    </dxf>
    <dxf>
      <fill>
        <patternFill patternType="none">
          <fgColor rgb="FF000000"/>
          <bgColor auto="1"/>
        </patternFill>
      </fill>
    </dxf>
    <dxf>
      <fill>
        <patternFill patternType="solid">
          <fgColor rgb="FF000000"/>
          <bgColor rgb="FFFFFFFF"/>
        </patternFill>
      </fill>
    </dxf>
    <dxf>
      <border>
        <bottom style="thin">
          <color rgb="FF000000"/>
        </bottom>
      </border>
    </dxf>
    <dxf>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ill>
        <patternFill patternType="solid">
          <fgColor indexed="64"/>
          <bgColor theme="2"/>
        </patternFill>
      </fill>
    </dxf>
    <dxf>
      <fill>
        <patternFill patternType="solid">
          <fgColor indexed="64"/>
          <bgColor theme="2"/>
        </patternFill>
      </fill>
    </dxf>
    <dxf>
      <fill>
        <patternFill patternType="none">
          <fgColor rgb="FF000000"/>
          <bgColor auto="1"/>
        </patternFill>
      </fill>
    </dxf>
    <dxf>
      <fill>
        <patternFill patternType="solid">
          <fgColor rgb="FF000000"/>
          <bgColor rgb="FFFFFFFF"/>
        </patternFill>
      </fill>
    </dxf>
    <dxf>
      <border>
        <bottom style="thin">
          <color rgb="FF000000"/>
        </bottom>
      </border>
    </dxf>
    <dxf>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ill>
        <patternFill patternType="solid">
          <fgColor indexed="64"/>
          <bgColor theme="2"/>
        </patternFill>
      </fill>
    </dxf>
    <dxf>
      <fill>
        <patternFill patternType="solid">
          <fgColor indexed="64"/>
          <bgColor theme="2"/>
        </patternFill>
      </fill>
    </dxf>
    <dxf>
      <fill>
        <patternFill patternType="none">
          <fgColor rgb="FF000000"/>
          <bgColor auto="1"/>
        </patternFill>
      </fill>
    </dxf>
    <dxf>
      <fill>
        <patternFill patternType="solid">
          <fgColor rgb="FF000000"/>
          <bgColor rgb="FFFFFFFF"/>
        </patternFill>
      </fill>
    </dxf>
    <dxf>
      <border>
        <bottom style="thin">
          <color rgb="FF000000"/>
        </bottom>
      </border>
    </dxf>
    <dxf>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ill>
        <patternFill patternType="solid">
          <fgColor indexed="64"/>
          <bgColor theme="2"/>
        </patternFill>
      </fill>
    </dxf>
    <dxf>
      <fill>
        <patternFill patternType="solid">
          <fgColor indexed="64"/>
          <bgColor theme="2"/>
        </patternFill>
      </fill>
    </dxf>
    <dxf>
      <fill>
        <patternFill patternType="none">
          <fgColor rgb="FF000000"/>
          <bgColor auto="1"/>
        </patternFill>
      </fill>
    </dxf>
    <dxf>
      <fill>
        <patternFill patternType="solid">
          <fgColor rgb="FF000000"/>
          <bgColor rgb="FFFFFFFF"/>
        </patternFill>
      </fill>
    </dxf>
    <dxf>
      <border>
        <bottom style="thin">
          <color rgb="FF000000"/>
        </bottom>
      </border>
    </dxf>
    <dxf>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ill>
        <patternFill patternType="solid">
          <fgColor indexed="64"/>
          <bgColor theme="2"/>
        </patternFill>
      </fill>
    </dxf>
    <dxf>
      <fill>
        <patternFill patternType="solid">
          <fgColor indexed="64"/>
          <bgColor theme="2"/>
        </patternFill>
      </fill>
    </dxf>
    <dxf>
      <fill>
        <patternFill patternType="none">
          <fgColor rgb="FF000000"/>
          <bgColor auto="1"/>
        </patternFill>
      </fill>
    </dxf>
    <dxf>
      <fill>
        <patternFill patternType="solid">
          <fgColor rgb="FF000000"/>
          <bgColor rgb="FFFFFFFF"/>
        </patternFill>
      </fill>
    </dxf>
    <dxf>
      <border>
        <bottom style="thin">
          <color rgb="FF000000"/>
        </bottom>
      </border>
    </dxf>
    <dxf>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color theme="1"/>
        <family val="2"/>
      </font>
      <fill>
        <patternFill patternType="solid">
          <fgColor indexed="64"/>
          <bgColor theme="2"/>
        </patternFill>
      </fill>
      <alignment horizontal="general" vertical="center" textRotation="0" wrapText="1" indent="0" justifyLastLine="0" shrinkToFit="0" readingOrder="0"/>
    </dxf>
    <dxf>
      <fill>
        <patternFill patternType="solid">
          <fgColor indexed="64"/>
          <bgColor theme="2"/>
        </patternFill>
      </fill>
    </dxf>
    <dxf>
      <fill>
        <patternFill patternType="none">
          <fgColor rgb="FF000000"/>
          <bgColor auto="1"/>
        </patternFill>
      </fill>
    </dxf>
    <dxf>
      <fill>
        <patternFill patternType="solid">
          <fgColor rgb="FF000000"/>
          <bgColor rgb="FFFFFFFF"/>
        </patternFill>
      </fill>
    </dxf>
    <dxf>
      <border>
        <bottom style="thin">
          <color rgb="FF000000"/>
        </bottom>
      </border>
    </dxf>
    <dxf>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color theme="1"/>
        <family val="2"/>
      </font>
      <fill>
        <patternFill patternType="solid">
          <fgColor indexed="64"/>
          <bgColor theme="2"/>
        </patternFill>
      </fill>
      <alignment horizontal="general" vertical="center" textRotation="0" wrapText="1" indent="0" justifyLastLine="0" shrinkToFit="0" readingOrder="0"/>
    </dxf>
    <dxf>
      <fill>
        <patternFill patternType="solid">
          <fgColor indexed="64"/>
          <bgColor theme="2"/>
        </patternFill>
      </fill>
    </dxf>
    <dxf>
      <fill>
        <patternFill patternType="none">
          <fgColor rgb="FF000000"/>
          <bgColor auto="1"/>
        </patternFill>
      </fill>
    </dxf>
    <dxf>
      <fill>
        <patternFill patternType="solid">
          <fgColor rgb="FF000000"/>
          <bgColor rgb="FFFFFFFF"/>
        </patternFill>
      </fill>
    </dxf>
    <dxf>
      <border>
        <bottom style="thin">
          <color rgb="FF000000"/>
        </bottom>
      </border>
    </dxf>
    <dxf>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ill>
        <patternFill patternType="solid">
          <fgColor indexed="64"/>
          <bgColor theme="2"/>
        </patternFill>
      </fill>
    </dxf>
    <dxf>
      <fill>
        <patternFill patternType="solid">
          <fgColor indexed="64"/>
          <bgColor theme="2"/>
        </patternFill>
      </fill>
    </dxf>
    <dxf>
      <fill>
        <patternFill patternType="none">
          <fgColor rgb="FF000000"/>
          <bgColor auto="1"/>
        </patternFill>
      </fill>
    </dxf>
    <dxf>
      <fill>
        <patternFill patternType="solid">
          <fgColor rgb="FF000000"/>
          <bgColor rgb="FFFFFFFF"/>
        </patternFill>
      </fill>
    </dxf>
    <dxf>
      <border>
        <bottom style="thin">
          <color rgb="FF000000"/>
        </bottom>
      </border>
    </dxf>
    <dxf>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ill>
        <patternFill patternType="solid">
          <fgColor indexed="64"/>
          <bgColor theme="2"/>
        </patternFill>
      </fill>
    </dxf>
    <dxf>
      <fill>
        <patternFill patternType="solid">
          <fgColor indexed="64"/>
          <bgColor theme="2"/>
        </patternFill>
      </fill>
    </dxf>
    <dxf>
      <fill>
        <patternFill patternType="none">
          <fgColor rgb="FF000000"/>
          <bgColor auto="1"/>
        </patternFill>
      </fill>
    </dxf>
    <dxf>
      <fill>
        <patternFill patternType="solid">
          <fgColor rgb="FF000000"/>
          <bgColor rgb="FFFFFFFF"/>
        </patternFill>
      </fill>
    </dxf>
    <dxf>
      <border>
        <bottom style="thin">
          <color rgb="FF000000"/>
        </bottom>
      </border>
    </dxf>
    <dxf>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ill>
        <patternFill patternType="solid">
          <fgColor indexed="64"/>
          <bgColor theme="2"/>
        </patternFill>
      </fill>
    </dxf>
    <dxf>
      <fill>
        <patternFill patternType="solid">
          <fgColor indexed="64"/>
          <bgColor theme="2"/>
        </patternFill>
      </fill>
    </dxf>
    <dxf>
      <fill>
        <patternFill patternType="none">
          <fgColor rgb="FF000000"/>
          <bgColor auto="1"/>
        </patternFill>
      </fill>
    </dxf>
    <dxf>
      <fill>
        <patternFill patternType="solid">
          <fgColor rgb="FF000000"/>
          <bgColor rgb="FFFFFFFF"/>
        </patternFill>
      </fill>
    </dxf>
    <dxf>
      <border>
        <bottom style="thin">
          <color rgb="FF000000"/>
        </bottom>
      </border>
    </dxf>
    <dxf>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ill>
        <patternFill patternType="solid">
          <fgColor indexed="64"/>
          <bgColor theme="2"/>
        </patternFill>
      </fill>
    </dxf>
    <dxf>
      <fill>
        <patternFill patternType="solid">
          <fgColor indexed="64"/>
          <bgColor theme="2"/>
        </patternFill>
      </fill>
    </dxf>
    <dxf>
      <fill>
        <patternFill patternType="none">
          <fgColor rgb="FF000000"/>
          <bgColor auto="1"/>
        </patternFill>
      </fill>
    </dxf>
    <dxf>
      <fill>
        <patternFill patternType="solid">
          <fgColor rgb="FF000000"/>
          <bgColor rgb="FFFFFFFF"/>
        </patternFill>
      </fill>
    </dxf>
    <dxf>
      <border>
        <bottom style="thin">
          <color rgb="FF000000"/>
        </bottom>
      </border>
    </dxf>
    <dxf>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ill>
        <patternFill patternType="solid">
          <fgColor indexed="64"/>
          <bgColor theme="2"/>
        </patternFill>
      </fill>
    </dxf>
    <dxf>
      <fill>
        <patternFill patternType="solid">
          <fgColor indexed="64"/>
          <bgColor theme="2"/>
        </patternFill>
      </fill>
    </dxf>
    <dxf>
      <fill>
        <patternFill patternType="none">
          <fgColor rgb="FF000000"/>
          <bgColor auto="1"/>
        </patternFill>
      </fill>
    </dxf>
    <dxf>
      <fill>
        <patternFill patternType="solid">
          <fgColor rgb="FF000000"/>
          <bgColor rgb="FFFFFFFF"/>
        </patternFill>
      </fill>
    </dxf>
    <dxf>
      <border>
        <bottom style="thin">
          <color rgb="FF000000"/>
        </bottom>
      </border>
    </dxf>
    <dxf>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ill>
        <patternFill patternType="solid">
          <fgColor indexed="64"/>
          <bgColor theme="2"/>
        </patternFill>
      </fill>
    </dxf>
    <dxf>
      <fill>
        <patternFill patternType="solid">
          <fgColor indexed="64"/>
          <bgColor theme="2"/>
        </patternFill>
      </fill>
    </dxf>
    <dxf>
      <fill>
        <patternFill patternType="none">
          <fgColor rgb="FF000000"/>
          <bgColor auto="1"/>
        </patternFill>
      </fill>
    </dxf>
    <dxf>
      <fill>
        <patternFill patternType="solid">
          <fgColor rgb="FF000000"/>
          <bgColor rgb="FFFFFFFF"/>
        </patternFill>
      </fill>
    </dxf>
    <dxf>
      <border>
        <bottom style="thin">
          <color rgb="FF000000"/>
        </bottom>
      </border>
    </dxf>
    <dxf>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color theme="1"/>
        <family val="2"/>
      </font>
      <fill>
        <patternFill patternType="solid">
          <fgColor indexed="64"/>
          <bgColor theme="2"/>
        </patternFill>
      </fill>
      <alignment horizontal="general" vertical="center" textRotation="0" wrapText="1" indent="0" justifyLastLine="0" shrinkToFit="0" readingOrder="0"/>
    </dxf>
    <dxf>
      <fill>
        <patternFill patternType="solid">
          <fgColor indexed="64"/>
          <bgColor theme="2"/>
        </patternFill>
      </fill>
    </dxf>
    <dxf>
      <fill>
        <patternFill patternType="none">
          <fgColor rgb="FF000000"/>
          <bgColor auto="1"/>
        </patternFill>
      </fill>
    </dxf>
    <dxf>
      <fill>
        <patternFill patternType="solid">
          <fgColor rgb="FF000000"/>
          <bgColor rgb="FFFFFFFF"/>
        </patternFill>
      </fill>
    </dxf>
    <dxf>
      <border>
        <bottom style="thin">
          <color rgb="FF000000"/>
        </bottom>
      </border>
    </dxf>
    <dxf>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color theme="1"/>
        <family val="2"/>
      </font>
      <fill>
        <patternFill patternType="solid">
          <fgColor indexed="64"/>
          <bgColor theme="2"/>
        </patternFill>
      </fill>
      <alignment horizontal="general" vertical="center" textRotation="0" wrapText="1" indent="0" justifyLastLine="0" shrinkToFit="0" readingOrder="0"/>
    </dxf>
    <dxf>
      <fill>
        <patternFill patternType="solid">
          <fgColor indexed="64"/>
          <bgColor theme="2"/>
        </patternFill>
      </fill>
    </dxf>
    <dxf>
      <fill>
        <patternFill patternType="none">
          <fgColor rgb="FF000000"/>
          <bgColor auto="1"/>
        </patternFill>
      </fill>
    </dxf>
    <dxf>
      <fill>
        <patternFill patternType="solid">
          <fgColor rgb="FF000000"/>
          <bgColor rgb="FFFFFFFF"/>
        </patternFill>
      </fill>
    </dxf>
    <dxf>
      <border>
        <bottom style="thin">
          <color rgb="FF000000"/>
        </bottom>
      </border>
    </dxf>
    <dxf>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ill>
        <patternFill patternType="solid">
          <fgColor indexed="64"/>
          <bgColor theme="2"/>
        </patternFill>
      </fill>
    </dxf>
    <dxf>
      <fill>
        <patternFill patternType="solid">
          <fgColor indexed="64"/>
          <bgColor theme="2"/>
        </patternFill>
      </fill>
    </dxf>
    <dxf>
      <fill>
        <patternFill patternType="none">
          <fgColor rgb="FF000000"/>
          <bgColor auto="1"/>
        </patternFill>
      </fill>
    </dxf>
    <dxf>
      <fill>
        <patternFill patternType="solid">
          <fgColor rgb="FF000000"/>
          <bgColor rgb="FFFFFFFF"/>
        </patternFill>
      </fill>
    </dxf>
    <dxf>
      <border>
        <bottom style="thin">
          <color rgb="FF000000"/>
        </bottom>
      </border>
    </dxf>
    <dxf>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ill>
        <patternFill patternType="solid">
          <fgColor indexed="64"/>
          <bgColor theme="2"/>
        </patternFill>
      </fill>
    </dxf>
    <dxf>
      <fill>
        <patternFill patternType="solid">
          <fgColor indexed="64"/>
          <bgColor theme="2"/>
        </patternFill>
      </fill>
    </dxf>
    <dxf>
      <fill>
        <patternFill patternType="none">
          <fgColor rgb="FF000000"/>
          <bgColor auto="1"/>
        </patternFill>
      </fill>
    </dxf>
    <dxf>
      <fill>
        <patternFill patternType="solid">
          <fgColor rgb="FF000000"/>
          <bgColor rgb="FFFFFFFF"/>
        </patternFill>
      </fill>
    </dxf>
    <dxf>
      <border>
        <bottom style="thin">
          <color rgb="FF000000"/>
        </bottom>
      </border>
    </dxf>
    <dxf>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ill>
        <patternFill patternType="solid">
          <fgColor indexed="64"/>
          <bgColor theme="2"/>
        </patternFill>
      </fill>
    </dxf>
    <dxf>
      <fill>
        <patternFill patternType="solid">
          <fgColor indexed="64"/>
          <bgColor theme="2"/>
        </patternFill>
      </fill>
    </dxf>
    <dxf>
      <fill>
        <patternFill patternType="none">
          <fgColor rgb="FF000000"/>
          <bgColor auto="1"/>
        </patternFill>
      </fill>
    </dxf>
    <dxf>
      <fill>
        <patternFill patternType="solid">
          <fgColor rgb="FF000000"/>
          <bgColor rgb="FFFFFFFF"/>
        </patternFill>
      </fill>
    </dxf>
    <dxf>
      <border>
        <bottom style="thin">
          <color rgb="FF000000"/>
        </bottom>
      </border>
    </dxf>
    <dxf>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ill>
        <patternFill patternType="solid">
          <fgColor indexed="64"/>
          <bgColor theme="2"/>
        </patternFill>
      </fill>
    </dxf>
    <dxf>
      <fill>
        <patternFill patternType="solid">
          <fgColor indexed="64"/>
          <bgColor theme="2"/>
        </patternFill>
      </fill>
    </dxf>
    <dxf>
      <fill>
        <patternFill patternType="none">
          <fgColor rgb="FF000000"/>
          <bgColor auto="1"/>
        </patternFill>
      </fill>
    </dxf>
    <dxf>
      <fill>
        <patternFill patternType="solid">
          <fgColor rgb="FF000000"/>
          <bgColor rgb="FFFFFFFF"/>
        </patternFill>
      </fill>
    </dxf>
    <dxf>
      <border>
        <bottom style="thin">
          <color rgb="FF000000"/>
        </bottom>
      </border>
    </dxf>
    <dxf>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ill>
        <patternFill patternType="solid">
          <fgColor rgb="FFD9E2F3"/>
          <bgColor rgb="FFD9E2F3"/>
        </patternFill>
      </fill>
    </dxf>
    <dxf>
      <fill>
        <patternFill patternType="solid">
          <fgColor rgb="FFECECEC"/>
          <bgColor rgb="FFECECEC"/>
        </patternFill>
      </fill>
    </dxf>
    <dxf>
      <fill>
        <patternFill patternType="solid">
          <fgColor theme="6"/>
          <bgColor theme="6"/>
        </patternFill>
      </fill>
    </dxf>
    <dxf>
      <fill>
        <patternFill patternType="solid">
          <fgColor rgb="FFD9E2F3"/>
          <bgColor rgb="FFD9E2F3"/>
        </patternFill>
      </fill>
    </dxf>
    <dxf>
      <fill>
        <patternFill patternType="solid">
          <fgColor rgb="FFE2EFD9"/>
          <bgColor rgb="FFE2EFD9"/>
        </patternFill>
      </fill>
    </dxf>
    <dxf>
      <fill>
        <patternFill patternType="solid">
          <fgColor theme="0"/>
          <bgColor theme="0"/>
        </patternFill>
      </fill>
    </dxf>
    <dxf>
      <fill>
        <patternFill patternType="solid">
          <fgColor rgb="FFD9E2F3"/>
          <bgColor rgb="FFD9E2F3"/>
        </patternFill>
      </fill>
    </dxf>
    <dxf>
      <fill>
        <patternFill patternType="solid">
          <fgColor rgb="FFE2EFD9"/>
          <bgColor rgb="FFE2EFD9"/>
        </patternFill>
      </fill>
    </dxf>
    <dxf>
      <fill>
        <patternFill patternType="solid">
          <fgColor theme="0"/>
          <bgColor theme="0"/>
        </patternFill>
      </fill>
    </dxf>
    <dxf>
      <fill>
        <patternFill patternType="solid">
          <fgColor rgb="FFD9E2F3"/>
          <bgColor rgb="FFD9E2F3"/>
        </patternFill>
      </fill>
    </dxf>
    <dxf>
      <fill>
        <patternFill patternType="solid">
          <fgColor rgb="FFE2EFD9"/>
          <bgColor rgb="FFE2EFD9"/>
        </patternFill>
      </fill>
    </dxf>
    <dxf>
      <fill>
        <patternFill patternType="solid">
          <fgColor theme="0"/>
          <bgColor theme="0"/>
        </patternFill>
      </fill>
    </dxf>
    <dxf>
      <fill>
        <patternFill patternType="solid">
          <fgColor rgb="FFD9E2F3"/>
          <bgColor rgb="FFD9E2F3"/>
        </patternFill>
      </fill>
    </dxf>
    <dxf>
      <fill>
        <patternFill patternType="solid">
          <fgColor rgb="FFE2EFD9"/>
          <bgColor rgb="FFE2EFD9"/>
        </patternFill>
      </fill>
    </dxf>
    <dxf>
      <fill>
        <patternFill patternType="solid">
          <fgColor theme="0"/>
          <bgColor theme="0"/>
        </patternFill>
      </fill>
    </dxf>
    <dxf>
      <fill>
        <patternFill patternType="solid">
          <fgColor rgb="FFD9E2F3"/>
          <bgColor rgb="FFD9E2F3"/>
        </patternFill>
      </fill>
    </dxf>
    <dxf>
      <fill>
        <patternFill patternType="solid">
          <fgColor rgb="FFE2EFD9"/>
          <bgColor rgb="FFE2EFD9"/>
        </patternFill>
      </fill>
    </dxf>
    <dxf>
      <fill>
        <patternFill patternType="solid">
          <fgColor theme="0"/>
          <bgColor theme="0"/>
        </patternFill>
      </fill>
    </dxf>
    <dxf>
      <fill>
        <patternFill patternType="solid">
          <fgColor rgb="FFD9E2F3"/>
          <bgColor rgb="FFD9E2F3"/>
        </patternFill>
      </fill>
    </dxf>
    <dxf>
      <fill>
        <patternFill patternType="solid">
          <fgColor rgb="FFE2EFD9"/>
          <bgColor rgb="FFE2EFD9"/>
        </patternFill>
      </fill>
    </dxf>
    <dxf>
      <fill>
        <patternFill patternType="solid">
          <fgColor theme="0"/>
          <bgColor theme="0"/>
        </patternFill>
      </fill>
    </dxf>
    <dxf>
      <fill>
        <patternFill patternType="solid">
          <fgColor rgb="FFD9E2F3"/>
          <bgColor rgb="FFD9E2F3"/>
        </patternFill>
      </fill>
    </dxf>
    <dxf>
      <fill>
        <patternFill patternType="solid">
          <fgColor rgb="FFE2EFD9"/>
          <bgColor rgb="FFE2EFD9"/>
        </patternFill>
      </fill>
    </dxf>
    <dxf>
      <fill>
        <patternFill patternType="solid">
          <fgColor theme="0"/>
          <bgColor theme="0"/>
        </patternFill>
      </fill>
    </dxf>
    <dxf>
      <fill>
        <patternFill patternType="solid">
          <fgColor rgb="FFD9E2F3"/>
          <bgColor rgb="FFD9E2F3"/>
        </patternFill>
      </fill>
    </dxf>
    <dxf>
      <fill>
        <patternFill patternType="solid">
          <fgColor rgb="FFE2EFD9"/>
          <bgColor rgb="FFE2EFD9"/>
        </patternFill>
      </fill>
    </dxf>
    <dxf>
      <fill>
        <patternFill patternType="solid">
          <fgColor theme="0"/>
          <bgColor theme="0"/>
        </patternFill>
      </fill>
    </dxf>
    <dxf>
      <fill>
        <patternFill patternType="solid">
          <fgColor rgb="FFD9E2F3"/>
          <bgColor rgb="FFD9E2F3"/>
        </patternFill>
      </fill>
    </dxf>
    <dxf>
      <fill>
        <patternFill patternType="solid">
          <fgColor rgb="FFE2EFD9"/>
          <bgColor rgb="FFE2EFD9"/>
        </patternFill>
      </fill>
    </dxf>
    <dxf>
      <fill>
        <patternFill patternType="solid">
          <fgColor theme="0"/>
          <bgColor theme="0"/>
        </patternFill>
      </fill>
    </dxf>
    <dxf>
      <fill>
        <patternFill patternType="solid">
          <fgColor rgb="FFD9E2F3"/>
          <bgColor rgb="FFD9E2F3"/>
        </patternFill>
      </fill>
    </dxf>
    <dxf>
      <fill>
        <patternFill patternType="solid">
          <fgColor rgb="FFE2EFD9"/>
          <bgColor rgb="FFE2EFD9"/>
        </patternFill>
      </fill>
    </dxf>
    <dxf>
      <fill>
        <patternFill patternType="solid">
          <fgColor theme="0"/>
          <bgColor theme="0"/>
        </patternFill>
      </fill>
    </dxf>
    <dxf>
      <fill>
        <patternFill patternType="solid">
          <fgColor rgb="FFD9E2F3"/>
          <bgColor rgb="FFD9E2F3"/>
        </patternFill>
      </fill>
    </dxf>
    <dxf>
      <fill>
        <patternFill patternType="solid">
          <fgColor rgb="FFECECEC"/>
          <bgColor rgb="FFECECEC"/>
        </patternFill>
      </fill>
    </dxf>
    <dxf>
      <fill>
        <patternFill patternType="solid">
          <fgColor theme="0"/>
          <bgColor theme="0"/>
        </patternFill>
      </fill>
    </dxf>
    <dxf>
      <fill>
        <patternFill patternType="solid">
          <fgColor theme="6"/>
          <bgColor theme="6"/>
        </patternFill>
      </fill>
    </dxf>
    <dxf>
      <fill>
        <patternFill patternType="solid">
          <fgColor rgb="FFD9E2F3"/>
          <bgColor rgb="FFD9E2F3"/>
        </patternFill>
      </fill>
    </dxf>
    <dxf>
      <fill>
        <patternFill patternType="solid">
          <fgColor rgb="FFECECEC"/>
          <bgColor rgb="FFECECEC"/>
        </patternFill>
      </fill>
    </dxf>
    <dxf>
      <fill>
        <patternFill patternType="solid">
          <fgColor theme="6"/>
          <bgColor theme="6"/>
        </patternFill>
      </fill>
    </dxf>
    <dxf>
      <fill>
        <patternFill patternType="solid">
          <fgColor rgb="FFD9E2F3"/>
          <bgColor rgb="FFD9E2F3"/>
        </patternFill>
      </fill>
    </dxf>
    <dxf>
      <fill>
        <patternFill patternType="solid">
          <fgColor rgb="FFECECEC"/>
          <bgColor rgb="FFECECEC"/>
        </patternFill>
      </fill>
    </dxf>
    <dxf>
      <fill>
        <patternFill patternType="solid">
          <fgColor theme="6"/>
          <bgColor theme="6"/>
        </patternFill>
      </fill>
    </dxf>
    <dxf>
      <fill>
        <patternFill patternType="solid">
          <fgColor rgb="FFD9E2F3"/>
          <bgColor rgb="FFD9E2F3"/>
        </patternFill>
      </fill>
    </dxf>
    <dxf>
      <fill>
        <patternFill patternType="solid">
          <fgColor rgb="FFECECEC"/>
          <bgColor rgb="FFECECEC"/>
        </patternFill>
      </fill>
    </dxf>
    <dxf>
      <fill>
        <patternFill patternType="solid">
          <fgColor theme="6"/>
          <bgColor theme="6"/>
        </patternFill>
      </fill>
    </dxf>
  </dxfs>
  <tableStyles count="15">
    <tableStyle name="Countries_2-style" pivot="0" count="3" xr9:uid="{00000000-0011-0000-FFFF-FFFF00000000}">
      <tableStyleElement type="headerRow" dxfId="1364"/>
      <tableStyleElement type="firstRowStripe" dxfId="1363"/>
      <tableStyleElement type="secondRowStripe" dxfId="1362"/>
    </tableStyle>
    <tableStyle name="Countries_2-style 2" pivot="0" count="3" xr9:uid="{00000000-0011-0000-FFFF-FFFF01000000}">
      <tableStyleElement type="headerRow" dxfId="1361"/>
      <tableStyleElement type="firstRowStripe" dxfId="1360"/>
      <tableStyleElement type="secondRowStripe" dxfId="1359"/>
    </tableStyle>
    <tableStyle name="Countries_2-style 3" pivot="0" count="3" xr9:uid="{00000000-0011-0000-FFFF-FFFF02000000}">
      <tableStyleElement type="headerRow" dxfId="1358"/>
      <tableStyleElement type="firstRowStripe" dxfId="1357"/>
      <tableStyleElement type="secondRowStripe" dxfId="1356"/>
    </tableStyle>
    <tableStyle name="Countries_2-style 4" pivot="0" count="4" xr9:uid="{00000000-0011-0000-FFFF-FFFF03000000}">
      <tableStyleElement type="headerRow" dxfId="1355"/>
      <tableStyleElement type="totalRow" dxfId="1354"/>
      <tableStyleElement type="firstRowStripe" dxfId="1353"/>
      <tableStyleElement type="secondRowStripe" dxfId="1352"/>
    </tableStyle>
    <tableStyle name="Gini Pop 11-style" pivot="0" count="3" xr9:uid="{00000000-0011-0000-FFFF-FFFF04000000}">
      <tableStyleElement type="headerRow" dxfId="1351"/>
      <tableStyleElement type="firstRowStripe" dxfId="1350"/>
      <tableStyleElement type="secondRowStripe" dxfId="1349"/>
    </tableStyle>
    <tableStyle name="Gini Pop 11-style 2" pivot="0" count="3" xr9:uid="{00000000-0011-0000-FFFF-FFFF05000000}">
      <tableStyleElement type="headerRow" dxfId="1348"/>
      <tableStyleElement type="firstRowStripe" dxfId="1347"/>
      <tableStyleElement type="secondRowStripe" dxfId="1346"/>
    </tableStyle>
    <tableStyle name="Gini Pop 11-style 3" pivot="0" count="3" xr9:uid="{00000000-0011-0000-FFFF-FFFF06000000}">
      <tableStyleElement type="headerRow" dxfId="1345"/>
      <tableStyleElement type="firstRowStripe" dxfId="1344"/>
      <tableStyleElement type="secondRowStripe" dxfId="1343"/>
    </tableStyle>
    <tableStyle name="Gini Area_11-style" pivot="0" count="3" xr9:uid="{00000000-0011-0000-FFFF-FFFF07000000}">
      <tableStyleElement type="headerRow" dxfId="1342"/>
      <tableStyleElement type="firstRowStripe" dxfId="1341"/>
      <tableStyleElement type="secondRowStripe" dxfId="1340"/>
    </tableStyle>
    <tableStyle name="Gini Area_11-style 2" pivot="0" count="3" xr9:uid="{00000000-0011-0000-FFFF-FFFF08000000}">
      <tableStyleElement type="headerRow" dxfId="1339"/>
      <tableStyleElement type="firstRowStripe" dxfId="1338"/>
      <tableStyleElement type="secondRowStripe" dxfId="1337"/>
    </tableStyle>
    <tableStyle name="Gini Area_11-style 3" pivot="0" count="3" xr9:uid="{00000000-0011-0000-FFFF-FFFF09000000}">
      <tableStyleElement type="headerRow" dxfId="1336"/>
      <tableStyleElement type="firstRowStripe" dxfId="1335"/>
      <tableStyleElement type="secondRowStripe" dxfId="1334"/>
    </tableStyle>
    <tableStyle name="U_pop_11-style" pivot="0" count="3" xr9:uid="{00000000-0011-0000-FFFF-FFFF0A000000}">
      <tableStyleElement type="headerRow" dxfId="1333"/>
      <tableStyleElement type="firstRowStripe" dxfId="1332"/>
      <tableStyleElement type="secondRowStripe" dxfId="1331"/>
    </tableStyle>
    <tableStyle name="U_area_11-style" pivot="0" count="3" xr9:uid="{00000000-0011-0000-FFFF-FFFF0B000000}">
      <tableStyleElement type="headerRow" dxfId="1330"/>
      <tableStyleElement type="firstRowStripe" dxfId="1329"/>
      <tableStyleElement type="secondRowStripe" dxfId="1328"/>
    </tableStyle>
    <tableStyle name="Envy_pop_11-style" pivot="0" count="3" xr9:uid="{00000000-0011-0000-FFFF-FFFF0C000000}">
      <tableStyleElement type="headerRow" dxfId="1327"/>
      <tableStyleElement type="firstRowStripe" dxfId="1326"/>
      <tableStyleElement type="secondRowStripe" dxfId="1325"/>
    </tableStyle>
    <tableStyle name="Envy_area_11-style" pivot="0" count="3" xr9:uid="{00000000-0011-0000-FFFF-FFFF0D000000}">
      <tableStyleElement type="headerRow" dxfId="1324"/>
      <tableStyleElement type="firstRowStripe" dxfId="1323"/>
      <tableStyleElement type="secondRowStripe" dxfId="1322"/>
    </tableStyle>
    <tableStyle name="Sheet23-style" pivot="0" count="3" xr9:uid="{00000000-0011-0000-FFFF-FFFF0E000000}">
      <tableStyleElement type="headerRow" dxfId="1321"/>
      <tableStyleElement type="firstRowStripe" dxfId="1320"/>
      <tableStyleElement type="secondRowStripe" dxfId="1319"/>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54.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55.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56.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57.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58.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59.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60.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61.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62.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63.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64.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65.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66.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67.xml.rels><?xml version="1.0" encoding="UTF-8" standalone="yes"?>
<Relationships xmlns="http://schemas.openxmlformats.org/package/2006/relationships"><Relationship Id="rId2" Type="http://schemas.microsoft.com/office/2011/relationships/chartColorStyle" Target="colors67.xml"/><Relationship Id="rId1" Type="http://schemas.microsoft.com/office/2011/relationships/chartStyle" Target="style67.xml"/></Relationships>
</file>

<file path=xl/charts/_rels/chart68.xml.rels><?xml version="1.0" encoding="UTF-8" standalone="yes"?>
<Relationships xmlns="http://schemas.openxmlformats.org/package/2006/relationships"><Relationship Id="rId2" Type="http://schemas.microsoft.com/office/2011/relationships/chartColorStyle" Target="colors68.xml"/><Relationship Id="rId1" Type="http://schemas.microsoft.com/office/2011/relationships/chartStyle" Target="style68.xml"/></Relationships>
</file>

<file path=xl/charts/_rels/chart69.xml.rels><?xml version="1.0" encoding="UTF-8" standalone="yes"?>
<Relationships xmlns="http://schemas.openxmlformats.org/package/2006/relationships"><Relationship Id="rId2" Type="http://schemas.microsoft.com/office/2011/relationships/chartColorStyle" Target="colors69.xml"/><Relationship Id="rId1" Type="http://schemas.microsoft.com/office/2011/relationships/chartStyle" Target="style69.xml"/></Relationships>
</file>

<file path=xl/charts/_rels/chart70.xml.rels><?xml version="1.0" encoding="UTF-8" standalone="yes"?>
<Relationships xmlns="http://schemas.openxmlformats.org/package/2006/relationships"><Relationship Id="rId2" Type="http://schemas.microsoft.com/office/2011/relationships/chartColorStyle" Target="colors70.xml"/><Relationship Id="rId1" Type="http://schemas.microsoft.com/office/2011/relationships/chartStyle" Target="style70.xml"/></Relationships>
</file>

<file path=xl/charts/_rels/chart71.xml.rels><?xml version="1.0" encoding="UTF-8" standalone="yes"?>
<Relationships xmlns="http://schemas.openxmlformats.org/package/2006/relationships"><Relationship Id="rId2" Type="http://schemas.microsoft.com/office/2011/relationships/chartColorStyle" Target="colors71.xml"/><Relationship Id="rId1" Type="http://schemas.microsoft.com/office/2011/relationships/chartStyle" Target="style71.xml"/></Relationships>
</file>

<file path=xl/charts/_rels/chart72.xml.rels><?xml version="1.0" encoding="UTF-8" standalone="yes"?>
<Relationships xmlns="http://schemas.openxmlformats.org/package/2006/relationships"><Relationship Id="rId2" Type="http://schemas.microsoft.com/office/2011/relationships/chartColorStyle" Target="colors72.xml"/><Relationship Id="rId1" Type="http://schemas.microsoft.com/office/2011/relationships/chartStyle" Target="style72.xml"/></Relationships>
</file>

<file path=xl/charts/_rels/chart73.xml.rels><?xml version="1.0" encoding="UTF-8" standalone="yes"?>
<Relationships xmlns="http://schemas.openxmlformats.org/package/2006/relationships"><Relationship Id="rId2" Type="http://schemas.microsoft.com/office/2011/relationships/chartColorStyle" Target="colors73.xml"/><Relationship Id="rId1" Type="http://schemas.microsoft.com/office/2011/relationships/chartStyle" Target="style73.xml"/></Relationships>
</file>

<file path=xl/charts/_rels/chart74.xml.rels><?xml version="1.0" encoding="UTF-8" standalone="yes"?>
<Relationships xmlns="http://schemas.openxmlformats.org/package/2006/relationships"><Relationship Id="rId2" Type="http://schemas.microsoft.com/office/2011/relationships/chartColorStyle" Target="colors74.xml"/><Relationship Id="rId1" Type="http://schemas.microsoft.com/office/2011/relationships/chartStyle" Target="style74.xml"/></Relationships>
</file>

<file path=xl/charts/_rels/chart75.xml.rels><?xml version="1.0" encoding="UTF-8" standalone="yes"?>
<Relationships xmlns="http://schemas.openxmlformats.org/package/2006/relationships"><Relationship Id="rId2" Type="http://schemas.microsoft.com/office/2011/relationships/chartColorStyle" Target="colors75.xml"/><Relationship Id="rId1" Type="http://schemas.microsoft.com/office/2011/relationships/chartStyle" Target="style75.xml"/></Relationships>
</file>

<file path=xl/charts/_rels/chart76.xml.rels><?xml version="1.0" encoding="UTF-8" standalone="yes"?>
<Relationships xmlns="http://schemas.openxmlformats.org/package/2006/relationships"><Relationship Id="rId2" Type="http://schemas.microsoft.com/office/2011/relationships/chartColorStyle" Target="colors76.xml"/><Relationship Id="rId1" Type="http://schemas.microsoft.com/office/2011/relationships/chartStyle" Target="style76.xml"/></Relationships>
</file>

<file path=xl/charts/_rels/chart77.xml.rels><?xml version="1.0" encoding="UTF-8" standalone="yes"?>
<Relationships xmlns="http://schemas.openxmlformats.org/package/2006/relationships"><Relationship Id="rId2" Type="http://schemas.microsoft.com/office/2011/relationships/chartColorStyle" Target="colors77.xml"/><Relationship Id="rId1" Type="http://schemas.microsoft.com/office/2011/relationships/chartStyle" Target="style77.xml"/></Relationships>
</file>

<file path=xl/charts/_rels/chart78.xml.rels><?xml version="1.0" encoding="UTF-8" standalone="yes"?>
<Relationships xmlns="http://schemas.openxmlformats.org/package/2006/relationships"><Relationship Id="rId2" Type="http://schemas.microsoft.com/office/2011/relationships/chartColorStyle" Target="colors78.xml"/><Relationship Id="rId1" Type="http://schemas.microsoft.com/office/2011/relationships/chartStyle" Target="style78.xml"/></Relationships>
</file>

<file path=xl/charts/_rels/chart79.xml.rels><?xml version="1.0" encoding="UTF-8" standalone="yes"?>
<Relationships xmlns="http://schemas.openxmlformats.org/package/2006/relationships"><Relationship Id="rId2" Type="http://schemas.microsoft.com/office/2011/relationships/chartColorStyle" Target="colors79.xml"/><Relationship Id="rId1" Type="http://schemas.microsoft.com/office/2011/relationships/chartStyle" Target="style79.xml"/></Relationships>
</file>

<file path=xl/charts/_rels/chart80.xml.rels><?xml version="1.0" encoding="UTF-8" standalone="yes"?>
<Relationships xmlns="http://schemas.openxmlformats.org/package/2006/relationships"><Relationship Id="rId2" Type="http://schemas.microsoft.com/office/2011/relationships/chartColorStyle" Target="colors80.xml"/><Relationship Id="rId1" Type="http://schemas.microsoft.com/office/2011/relationships/chartStyle" Target="style80.xml"/></Relationships>
</file>

<file path=xl/charts/_rels/chart81.xml.rels><?xml version="1.0" encoding="UTF-8" standalone="yes"?>
<Relationships xmlns="http://schemas.openxmlformats.org/package/2006/relationships"><Relationship Id="rId2" Type="http://schemas.microsoft.com/office/2011/relationships/chartColorStyle" Target="colors81.xml"/><Relationship Id="rId1" Type="http://schemas.microsoft.com/office/2011/relationships/chartStyle" Target="style81.xml"/></Relationships>
</file>

<file path=xl/charts/_rels/chart82.xml.rels><?xml version="1.0" encoding="UTF-8" standalone="yes"?>
<Relationships xmlns="http://schemas.openxmlformats.org/package/2006/relationships"><Relationship Id="rId2" Type="http://schemas.microsoft.com/office/2011/relationships/chartColorStyle" Target="colors82.xml"/><Relationship Id="rId1" Type="http://schemas.microsoft.com/office/2011/relationships/chartStyle" Target="style82.xml"/></Relationships>
</file>

<file path=xl/charts/_rels/chart83.xml.rels><?xml version="1.0" encoding="UTF-8" standalone="yes"?>
<Relationships xmlns="http://schemas.openxmlformats.org/package/2006/relationships"><Relationship Id="rId2" Type="http://schemas.microsoft.com/office/2011/relationships/chartColorStyle" Target="colors83.xml"/><Relationship Id="rId1" Type="http://schemas.microsoft.com/office/2011/relationships/chartStyle" Target="style83.xml"/></Relationships>
</file>

<file path=xl/charts/_rels/chart84.xml.rels><?xml version="1.0" encoding="UTF-8" standalone="yes"?>
<Relationships xmlns="http://schemas.openxmlformats.org/package/2006/relationships"><Relationship Id="rId2" Type="http://schemas.microsoft.com/office/2011/relationships/chartColorStyle" Target="colors84.xml"/><Relationship Id="rId1" Type="http://schemas.microsoft.com/office/2011/relationships/chartStyle" Target="style84.xml"/></Relationships>
</file>

<file path=xl/charts/_rels/chart85.xml.rels><?xml version="1.0" encoding="UTF-8" standalone="yes"?>
<Relationships xmlns="http://schemas.openxmlformats.org/package/2006/relationships"><Relationship Id="rId2" Type="http://schemas.microsoft.com/office/2011/relationships/chartColorStyle" Target="colors85.xml"/><Relationship Id="rId1" Type="http://schemas.microsoft.com/office/2011/relationships/chartStyle" Target="style85.xml"/></Relationships>
</file>

<file path=xl/charts/_rels/chart86.xml.rels><?xml version="1.0" encoding="UTF-8" standalone="yes"?>
<Relationships xmlns="http://schemas.openxmlformats.org/package/2006/relationships"><Relationship Id="rId2" Type="http://schemas.microsoft.com/office/2011/relationships/chartColorStyle" Target="colors86.xml"/><Relationship Id="rId1" Type="http://schemas.microsoft.com/office/2011/relationships/chartStyle" Target="style86.xml"/></Relationships>
</file>

<file path=xl/charts/_rels/chart87.xml.rels><?xml version="1.0" encoding="UTF-8" standalone="yes"?>
<Relationships xmlns="http://schemas.openxmlformats.org/package/2006/relationships"><Relationship Id="rId2" Type="http://schemas.microsoft.com/office/2011/relationships/chartColorStyle" Target="colors87.xml"/><Relationship Id="rId1" Type="http://schemas.microsoft.com/office/2011/relationships/chartStyle" Target="style87.xml"/></Relationships>
</file>

<file path=xl/charts/_rels/chart88.xml.rels><?xml version="1.0" encoding="UTF-8" standalone="yes"?>
<Relationships xmlns="http://schemas.openxmlformats.org/package/2006/relationships"><Relationship Id="rId2" Type="http://schemas.microsoft.com/office/2011/relationships/chartColorStyle" Target="colors88.xml"/><Relationship Id="rId1" Type="http://schemas.microsoft.com/office/2011/relationships/chartStyle" Target="style88.xml"/></Relationships>
</file>

<file path=xl/charts/_rels/chart89.xml.rels><?xml version="1.0" encoding="UTF-8" standalone="yes"?>
<Relationships xmlns="http://schemas.openxmlformats.org/package/2006/relationships"><Relationship Id="rId2" Type="http://schemas.microsoft.com/office/2011/relationships/chartColorStyle" Target="colors89.xml"/><Relationship Id="rId1" Type="http://schemas.microsoft.com/office/2011/relationships/chartStyle" Target="style89.xml"/></Relationships>
</file>

<file path=xl/charts/_rels/chart90.xml.rels><?xml version="1.0" encoding="UTF-8" standalone="yes"?>
<Relationships xmlns="http://schemas.openxmlformats.org/package/2006/relationships"><Relationship Id="rId2" Type="http://schemas.microsoft.com/office/2011/relationships/chartColorStyle" Target="colors90.xml"/><Relationship Id="rId1" Type="http://schemas.microsoft.com/office/2011/relationships/chartStyle" Target="style90.xml"/></Relationships>
</file>

<file path=xl/charts/_rels/chart91.xml.rels><?xml version="1.0" encoding="UTF-8" standalone="yes"?>
<Relationships xmlns="http://schemas.openxmlformats.org/package/2006/relationships"><Relationship Id="rId2" Type="http://schemas.microsoft.com/office/2011/relationships/chartColorStyle" Target="colors91.xml"/><Relationship Id="rId1" Type="http://schemas.microsoft.com/office/2011/relationships/chartStyle" Target="style91.xml"/></Relationships>
</file>

<file path=xl/charts/_rels/chart92.xml.rels><?xml version="1.0" encoding="UTF-8" standalone="yes"?>
<Relationships xmlns="http://schemas.openxmlformats.org/package/2006/relationships"><Relationship Id="rId2" Type="http://schemas.microsoft.com/office/2011/relationships/chartColorStyle" Target="colors92.xml"/><Relationship Id="rId1" Type="http://schemas.microsoft.com/office/2011/relationships/chartStyle" Target="style92.xml"/></Relationships>
</file>

<file path=xl/charts/_rels/chart93.xml.rels><?xml version="1.0" encoding="UTF-8" standalone="yes"?>
<Relationships xmlns="http://schemas.openxmlformats.org/package/2006/relationships"><Relationship Id="rId2" Type="http://schemas.microsoft.com/office/2011/relationships/chartColorStyle" Target="colors93.xml"/><Relationship Id="rId1" Type="http://schemas.microsoft.com/office/2011/relationships/chartStyle" Target="style93.xml"/></Relationships>
</file>

<file path=xl/charts/_rels/chart94.xml.rels><?xml version="1.0" encoding="UTF-8" standalone="yes"?>
<Relationships xmlns="http://schemas.openxmlformats.org/package/2006/relationships"><Relationship Id="rId2" Type="http://schemas.microsoft.com/office/2011/relationships/chartColorStyle" Target="colors94.xml"/><Relationship Id="rId1" Type="http://schemas.microsoft.com/office/2011/relationships/chartStyle" Target="style94.xml"/></Relationships>
</file>

<file path=xl/charts/_rels/chart95.xml.rels><?xml version="1.0" encoding="UTF-8" standalone="yes"?>
<Relationships xmlns="http://schemas.openxmlformats.org/package/2006/relationships"><Relationship Id="rId2" Type="http://schemas.microsoft.com/office/2011/relationships/chartColorStyle" Target="colors95.xml"/><Relationship Id="rId1" Type="http://schemas.microsoft.com/office/2011/relationships/chartStyle" Target="style95.xml"/></Relationships>
</file>

<file path=xl/charts/_rels/chart96.xml.rels><?xml version="1.0" encoding="UTF-8" standalone="yes"?>
<Relationships xmlns="http://schemas.openxmlformats.org/package/2006/relationships"><Relationship Id="rId2" Type="http://schemas.microsoft.com/office/2011/relationships/chartColorStyle" Target="colors96.xml"/><Relationship Id="rId1" Type="http://schemas.microsoft.com/office/2011/relationships/chartStyle" Target="style96.xml"/></Relationships>
</file>

<file path=xl/charts/_rels/chart97.xml.rels><?xml version="1.0" encoding="UTF-8" standalone="yes"?>
<Relationships xmlns="http://schemas.openxmlformats.org/package/2006/relationships"><Relationship Id="rId2" Type="http://schemas.microsoft.com/office/2011/relationships/chartColorStyle" Target="colors97.xml"/><Relationship Id="rId1" Type="http://schemas.microsoft.com/office/2011/relationships/chartStyle" Target="style97.xml"/></Relationships>
</file>

<file path=xl/charts/_rels/chart98.xml.rels><?xml version="1.0" encoding="UTF-8" standalone="yes"?>
<Relationships xmlns="http://schemas.openxmlformats.org/package/2006/relationships"><Relationship Id="rId2" Type="http://schemas.microsoft.com/office/2011/relationships/chartColorStyle" Target="colors98.xml"/><Relationship Id="rId1" Type="http://schemas.microsoft.com/office/2011/relationships/chartStyle" Target="style98.xml"/></Relationships>
</file>

<file path=xl/charts/_rels/chart99.xml.rels><?xml version="1.0" encoding="UTF-8" standalone="yes"?>
<Relationships xmlns="http://schemas.openxmlformats.org/package/2006/relationships"><Relationship Id="rId2" Type="http://schemas.microsoft.com/office/2011/relationships/chartColorStyle" Target="colors99.xml"/><Relationship Id="rId1" Type="http://schemas.microsoft.com/office/2011/relationships/chartStyle" Target="style99.xml"/></Relationships>
</file>

<file path=xl/charts/_rels/chart100.xml.rels><?xml version="1.0" encoding="UTF-8" standalone="yes"?>
<Relationships xmlns="http://schemas.openxmlformats.org/package/2006/relationships"><Relationship Id="rId2" Type="http://schemas.microsoft.com/office/2011/relationships/chartColorStyle" Target="colors100.xml"/><Relationship Id="rId1" Type="http://schemas.microsoft.com/office/2011/relationships/chartStyle" Target="style100.xml"/></Relationships>
</file>

<file path=xl/charts/_rels/chart101.xml.rels><?xml version="1.0" encoding="UTF-8" standalone="yes"?>
<Relationships xmlns="http://schemas.openxmlformats.org/package/2006/relationships"><Relationship Id="rId2" Type="http://schemas.microsoft.com/office/2011/relationships/chartColorStyle" Target="colors101.xml"/><Relationship Id="rId1" Type="http://schemas.microsoft.com/office/2011/relationships/chartStyle" Target="style101.xml"/></Relationships>
</file>

<file path=xl/charts/_rels/chart102.xml.rels><?xml version="1.0" encoding="UTF-8" standalone="yes"?>
<Relationships xmlns="http://schemas.openxmlformats.org/package/2006/relationships"><Relationship Id="rId2" Type="http://schemas.microsoft.com/office/2011/relationships/chartColorStyle" Target="colors102.xml"/><Relationship Id="rId1" Type="http://schemas.microsoft.com/office/2011/relationships/chartStyle" Target="style102.xml"/></Relationships>
</file>

<file path=xl/charts/_rels/chart103.xml.rels><?xml version="1.0" encoding="UTF-8" standalone="yes"?>
<Relationships xmlns="http://schemas.openxmlformats.org/package/2006/relationships"><Relationship Id="rId2" Type="http://schemas.microsoft.com/office/2011/relationships/chartColorStyle" Target="colors103.xml"/><Relationship Id="rId1" Type="http://schemas.microsoft.com/office/2011/relationships/chartStyle" Target="style103.xml"/></Relationships>
</file>

<file path=xl/charts/_rels/chart104.xml.rels><?xml version="1.0" encoding="UTF-8" standalone="yes"?>
<Relationships xmlns="http://schemas.openxmlformats.org/package/2006/relationships"><Relationship Id="rId2" Type="http://schemas.microsoft.com/office/2011/relationships/chartColorStyle" Target="colors104.xml"/><Relationship Id="rId1" Type="http://schemas.microsoft.com/office/2011/relationships/chartStyle" Target="style104.xml"/></Relationships>
</file>

<file path=xl/charts/_rels/chart105.xml.rels><?xml version="1.0" encoding="UTF-8" standalone="yes"?>
<Relationships xmlns="http://schemas.openxmlformats.org/package/2006/relationships"><Relationship Id="rId2" Type="http://schemas.microsoft.com/office/2011/relationships/chartColorStyle" Target="colors105.xml"/><Relationship Id="rId1" Type="http://schemas.microsoft.com/office/2011/relationships/chartStyle" Target="style105.xml"/></Relationships>
</file>

<file path=xl/charts/_rels/chart106.xml.rels><?xml version="1.0" encoding="UTF-8" standalone="yes"?>
<Relationships xmlns="http://schemas.openxmlformats.org/package/2006/relationships"><Relationship Id="rId2" Type="http://schemas.microsoft.com/office/2011/relationships/chartColorStyle" Target="colors106.xml"/><Relationship Id="rId1" Type="http://schemas.microsoft.com/office/2011/relationships/chartStyle" Target="style106.xml"/></Relationships>
</file>

<file path=xl/charts/_rels/chart107.xml.rels><?xml version="1.0" encoding="UTF-8" standalone="yes"?>
<Relationships xmlns="http://schemas.openxmlformats.org/package/2006/relationships"><Relationship Id="rId2" Type="http://schemas.microsoft.com/office/2011/relationships/chartColorStyle" Target="colors107.xml"/><Relationship Id="rId1" Type="http://schemas.microsoft.com/office/2011/relationships/chartStyle" Target="style107.xml"/></Relationships>
</file>

<file path=xl/charts/_rels/chart108.xml.rels><?xml version="1.0" encoding="UTF-8" standalone="yes"?>
<Relationships xmlns="http://schemas.openxmlformats.org/package/2006/relationships"><Relationship Id="rId2" Type="http://schemas.microsoft.com/office/2011/relationships/chartColorStyle" Target="colors108.xml"/><Relationship Id="rId1" Type="http://schemas.microsoft.com/office/2011/relationships/chartStyle" Target="style108.xml"/></Relationships>
</file>

<file path=xl/charts/_rels/chart109.xml.rels><?xml version="1.0" encoding="UTF-8" standalone="yes"?>
<Relationships xmlns="http://schemas.openxmlformats.org/package/2006/relationships"><Relationship Id="rId2" Type="http://schemas.microsoft.com/office/2011/relationships/chartColorStyle" Target="colors109.xml"/><Relationship Id="rId1" Type="http://schemas.microsoft.com/office/2011/relationships/chartStyle" Target="style109.xml"/></Relationships>
</file>

<file path=xl/charts/_rels/chart110.xml.rels><?xml version="1.0" encoding="UTF-8" standalone="yes"?>
<Relationships xmlns="http://schemas.openxmlformats.org/package/2006/relationships"><Relationship Id="rId2" Type="http://schemas.microsoft.com/office/2011/relationships/chartColorStyle" Target="colors110.xml"/><Relationship Id="rId1" Type="http://schemas.microsoft.com/office/2011/relationships/chartStyle" Target="style110.xml"/></Relationships>
</file>

<file path=xl/charts/_rels/chart111.xml.rels><?xml version="1.0" encoding="UTF-8" standalone="yes"?>
<Relationships xmlns="http://schemas.openxmlformats.org/package/2006/relationships"><Relationship Id="rId2" Type="http://schemas.microsoft.com/office/2011/relationships/chartColorStyle" Target="colors111.xml"/><Relationship Id="rId1" Type="http://schemas.microsoft.com/office/2011/relationships/chartStyle" Target="style111.xml"/></Relationships>
</file>

<file path=xl/charts/_rels/chart112.xml.rels><?xml version="1.0" encoding="UTF-8" standalone="yes"?>
<Relationships xmlns="http://schemas.openxmlformats.org/package/2006/relationships"><Relationship Id="rId2" Type="http://schemas.microsoft.com/office/2011/relationships/chartColorStyle" Target="colors112.xml"/><Relationship Id="rId1" Type="http://schemas.microsoft.com/office/2011/relationships/chartStyle" Target="style112.xml"/></Relationships>
</file>

<file path=xl/charts/_rels/chart113.xml.rels><?xml version="1.0" encoding="UTF-8" standalone="yes"?>
<Relationships xmlns="http://schemas.openxmlformats.org/package/2006/relationships"><Relationship Id="rId2" Type="http://schemas.microsoft.com/office/2011/relationships/chartColorStyle" Target="colors113.xml"/><Relationship Id="rId1" Type="http://schemas.microsoft.com/office/2011/relationships/chartStyle" Target="style113.xml"/></Relationships>
</file>

<file path=xl/charts/_rels/chart114.xml.rels><?xml version="1.0" encoding="UTF-8" standalone="yes"?>
<Relationships xmlns="http://schemas.openxmlformats.org/package/2006/relationships"><Relationship Id="rId2" Type="http://schemas.microsoft.com/office/2011/relationships/chartColorStyle" Target="colors114.xml"/><Relationship Id="rId1" Type="http://schemas.microsoft.com/office/2011/relationships/chartStyle" Target="style114.xml"/></Relationships>
</file>

<file path=xl/charts/_rels/chart115.xml.rels><?xml version="1.0" encoding="UTF-8" standalone="yes"?>
<Relationships xmlns="http://schemas.openxmlformats.org/package/2006/relationships"><Relationship Id="rId2" Type="http://schemas.microsoft.com/office/2011/relationships/chartColorStyle" Target="colors115.xml"/><Relationship Id="rId1" Type="http://schemas.microsoft.com/office/2011/relationships/chartStyle" Target="style115.xml"/></Relationships>
</file>

<file path=xl/charts/_rels/chart116.xml.rels><?xml version="1.0" encoding="UTF-8" standalone="yes"?>
<Relationships xmlns="http://schemas.openxmlformats.org/package/2006/relationships"><Relationship Id="rId2" Type="http://schemas.microsoft.com/office/2011/relationships/chartColorStyle" Target="colors116.xml"/><Relationship Id="rId1" Type="http://schemas.microsoft.com/office/2011/relationships/chartStyle" Target="style116.xml"/></Relationships>
</file>

<file path=xl/charts/_rels/chart117.xml.rels><?xml version="1.0" encoding="UTF-8" standalone="yes"?>
<Relationships xmlns="http://schemas.openxmlformats.org/package/2006/relationships"><Relationship Id="rId2" Type="http://schemas.microsoft.com/office/2011/relationships/chartColorStyle" Target="colors117.xml"/><Relationship Id="rId1" Type="http://schemas.microsoft.com/office/2011/relationships/chartStyle" Target="style117.xml"/></Relationships>
</file>

<file path=xl/charts/_rels/chart118.xml.rels><?xml version="1.0" encoding="UTF-8" standalone="yes"?>
<Relationships xmlns="http://schemas.openxmlformats.org/package/2006/relationships"><Relationship Id="rId2" Type="http://schemas.microsoft.com/office/2011/relationships/chartColorStyle" Target="colors118.xml"/><Relationship Id="rId1" Type="http://schemas.microsoft.com/office/2011/relationships/chartStyle" Target="style118.xml"/></Relationships>
</file>

<file path=xl/charts/_rels/chart119.xml.rels><?xml version="1.0" encoding="UTF-8" standalone="yes"?>
<Relationships xmlns="http://schemas.openxmlformats.org/package/2006/relationships"><Relationship Id="rId2" Type="http://schemas.microsoft.com/office/2011/relationships/chartColorStyle" Target="colors119.xml"/><Relationship Id="rId1" Type="http://schemas.microsoft.com/office/2011/relationships/chartStyle" Target="style119.xml"/></Relationships>
</file>

<file path=xl/charts/_rels/chart120.xml.rels><?xml version="1.0" encoding="UTF-8" standalone="yes"?>
<Relationships xmlns="http://schemas.openxmlformats.org/package/2006/relationships"><Relationship Id="rId2" Type="http://schemas.microsoft.com/office/2011/relationships/chartColorStyle" Target="colors120.xml"/><Relationship Id="rId1" Type="http://schemas.microsoft.com/office/2011/relationships/chartStyle" Target="style120.xml"/></Relationships>
</file>

<file path=xl/charts/_rels/chart121.xml.rels><?xml version="1.0" encoding="UTF-8" standalone="yes"?>
<Relationships xmlns="http://schemas.openxmlformats.org/package/2006/relationships"><Relationship Id="rId2" Type="http://schemas.microsoft.com/office/2011/relationships/chartColorStyle" Target="colors121.xml"/><Relationship Id="rId1" Type="http://schemas.microsoft.com/office/2011/relationships/chartStyle" Target="style121.xml"/></Relationships>
</file>

<file path=xl/charts/_rels/chart122.xml.rels><?xml version="1.0" encoding="UTF-8" standalone="yes"?>
<Relationships xmlns="http://schemas.openxmlformats.org/package/2006/relationships"><Relationship Id="rId2" Type="http://schemas.microsoft.com/office/2011/relationships/chartColorStyle" Target="colors122.xml"/><Relationship Id="rId1" Type="http://schemas.microsoft.com/office/2011/relationships/chartStyle" Target="style122.xml"/></Relationships>
</file>

<file path=xl/charts/_rels/chart123.xml.rels><?xml version="1.0" encoding="UTF-8" standalone="yes"?>
<Relationships xmlns="http://schemas.openxmlformats.org/package/2006/relationships"><Relationship Id="rId2" Type="http://schemas.microsoft.com/office/2011/relationships/chartColorStyle" Target="colors123.xml"/><Relationship Id="rId1" Type="http://schemas.microsoft.com/office/2011/relationships/chartStyle" Target="style123.xml"/></Relationships>
</file>

<file path=xl/charts/_rels/chart124.xml.rels><?xml version="1.0" encoding="UTF-8" standalone="yes"?>
<Relationships xmlns="http://schemas.openxmlformats.org/package/2006/relationships"><Relationship Id="rId2" Type="http://schemas.microsoft.com/office/2011/relationships/chartColorStyle" Target="colors124.xml"/><Relationship Id="rId1" Type="http://schemas.microsoft.com/office/2011/relationships/chartStyle" Target="style124.xml"/></Relationships>
</file>

<file path=xl/charts/_rels/chart125.xml.rels><?xml version="1.0" encoding="UTF-8" standalone="yes"?>
<Relationships xmlns="http://schemas.openxmlformats.org/package/2006/relationships"><Relationship Id="rId2" Type="http://schemas.microsoft.com/office/2011/relationships/chartColorStyle" Target="colors125.xml"/><Relationship Id="rId1" Type="http://schemas.microsoft.com/office/2011/relationships/chartStyle" Target="style125.xml"/></Relationships>
</file>

<file path=xl/charts/_rels/chart126.xml.rels><?xml version="1.0" encoding="UTF-8" standalone="yes"?>
<Relationships xmlns="http://schemas.openxmlformats.org/package/2006/relationships"><Relationship Id="rId2" Type="http://schemas.microsoft.com/office/2011/relationships/chartColorStyle" Target="colors126.xml"/><Relationship Id="rId1" Type="http://schemas.microsoft.com/office/2011/relationships/chartStyle" Target="style126.xml"/></Relationships>
</file>

<file path=xl/charts/_rels/chart127.xml.rels><?xml version="1.0" encoding="UTF-8" standalone="yes"?>
<Relationships xmlns="http://schemas.openxmlformats.org/package/2006/relationships"><Relationship Id="rId2" Type="http://schemas.microsoft.com/office/2011/relationships/chartColorStyle" Target="colors127.xml"/><Relationship Id="rId1" Type="http://schemas.microsoft.com/office/2011/relationships/chartStyle" Target="style127.xml"/></Relationships>
</file>

<file path=xl/charts/_rels/chart128.xml.rels><?xml version="1.0" encoding="UTF-8" standalone="yes"?>
<Relationships xmlns="http://schemas.openxmlformats.org/package/2006/relationships"><Relationship Id="rId2" Type="http://schemas.microsoft.com/office/2011/relationships/chartColorStyle" Target="colors128.xml"/><Relationship Id="rId1" Type="http://schemas.microsoft.com/office/2011/relationships/chartStyle" Target="style128.xml"/></Relationships>
</file>

<file path=xl/charts/_rels/chart129.xml.rels><?xml version="1.0" encoding="UTF-8" standalone="yes"?>
<Relationships xmlns="http://schemas.openxmlformats.org/package/2006/relationships"><Relationship Id="rId2" Type="http://schemas.microsoft.com/office/2011/relationships/chartColorStyle" Target="colors129.xml"/><Relationship Id="rId1" Type="http://schemas.microsoft.com/office/2011/relationships/chartStyle" Target="style129.xml"/></Relationships>
</file>

<file path=xl/charts/_rels/chart130.xml.rels><?xml version="1.0" encoding="UTF-8" standalone="yes"?>
<Relationships xmlns="http://schemas.openxmlformats.org/package/2006/relationships"><Relationship Id="rId2" Type="http://schemas.microsoft.com/office/2011/relationships/chartColorStyle" Target="colors130.xml"/><Relationship Id="rId1" Type="http://schemas.microsoft.com/office/2011/relationships/chartStyle" Target="style130.xml"/></Relationships>
</file>

<file path=xl/charts/_rels/chart131.xml.rels><?xml version="1.0" encoding="UTF-8" standalone="yes"?>
<Relationships xmlns="http://schemas.openxmlformats.org/package/2006/relationships"><Relationship Id="rId2" Type="http://schemas.microsoft.com/office/2011/relationships/chartColorStyle" Target="colors131.xml"/><Relationship Id="rId1" Type="http://schemas.microsoft.com/office/2011/relationships/chartStyle" Target="style131.xml"/></Relationships>
</file>

<file path=xl/charts/_rels/chart132.xml.rels><?xml version="1.0" encoding="UTF-8" standalone="yes"?>
<Relationships xmlns="http://schemas.openxmlformats.org/package/2006/relationships"><Relationship Id="rId2" Type="http://schemas.microsoft.com/office/2011/relationships/chartColorStyle" Target="colors132.xml"/><Relationship Id="rId1" Type="http://schemas.microsoft.com/office/2011/relationships/chartStyle" Target="style132.xml"/></Relationships>
</file>

<file path=xl/charts/_rels/chart133.xml.rels><?xml version="1.0" encoding="UTF-8" standalone="yes"?>
<Relationships xmlns="http://schemas.openxmlformats.org/package/2006/relationships"><Relationship Id="rId2" Type="http://schemas.microsoft.com/office/2011/relationships/chartColorStyle" Target="colors133.xml"/><Relationship Id="rId1" Type="http://schemas.microsoft.com/office/2011/relationships/chartStyle" Target="style133.xml"/></Relationships>
</file>

<file path=xl/charts/_rels/chart134.xml.rels><?xml version="1.0" encoding="UTF-8" standalone="yes"?>
<Relationships xmlns="http://schemas.openxmlformats.org/package/2006/relationships"><Relationship Id="rId2" Type="http://schemas.microsoft.com/office/2011/relationships/chartColorStyle" Target="colors134.xml"/><Relationship Id="rId1" Type="http://schemas.microsoft.com/office/2011/relationships/chartStyle" Target="style134.xml"/></Relationships>
</file>

<file path=xl/charts/_rels/chart135.xml.rels><?xml version="1.0" encoding="UTF-8" standalone="yes"?>
<Relationships xmlns="http://schemas.openxmlformats.org/package/2006/relationships"><Relationship Id="rId2" Type="http://schemas.microsoft.com/office/2011/relationships/chartColorStyle" Target="colors135.xml"/><Relationship Id="rId1" Type="http://schemas.microsoft.com/office/2011/relationships/chartStyle" Target="style135.xml"/></Relationships>
</file>

<file path=xl/charts/_rels/chart136.xml.rels><?xml version="1.0" encoding="UTF-8" standalone="yes"?>
<Relationships xmlns="http://schemas.openxmlformats.org/package/2006/relationships"><Relationship Id="rId2" Type="http://schemas.microsoft.com/office/2011/relationships/chartColorStyle" Target="colors136.xml"/><Relationship Id="rId1" Type="http://schemas.microsoft.com/office/2011/relationships/chartStyle" Target="style136.xml"/></Relationships>
</file>

<file path=xl/charts/_rels/chart137.xml.rels><?xml version="1.0" encoding="UTF-8" standalone="yes"?>
<Relationships xmlns="http://schemas.openxmlformats.org/package/2006/relationships"><Relationship Id="rId2" Type="http://schemas.microsoft.com/office/2011/relationships/chartColorStyle" Target="colors137.xml"/><Relationship Id="rId1" Type="http://schemas.microsoft.com/office/2011/relationships/chartStyle" Target="style137.xml"/></Relationships>
</file>

<file path=xl/charts/_rels/chart138.xml.rels><?xml version="1.0" encoding="UTF-8" standalone="yes"?>
<Relationships xmlns="http://schemas.openxmlformats.org/package/2006/relationships"><Relationship Id="rId2" Type="http://schemas.microsoft.com/office/2011/relationships/chartColorStyle" Target="colors138.xml"/><Relationship Id="rId1" Type="http://schemas.microsoft.com/office/2011/relationships/chartStyle" Target="style138.xml"/></Relationships>
</file>

<file path=xl/charts/_rels/chart139.xml.rels><?xml version="1.0" encoding="UTF-8" standalone="yes"?>
<Relationships xmlns="http://schemas.openxmlformats.org/package/2006/relationships"><Relationship Id="rId2" Type="http://schemas.microsoft.com/office/2011/relationships/chartColorStyle" Target="colors139.xml"/><Relationship Id="rId1" Type="http://schemas.microsoft.com/office/2011/relationships/chartStyle" Target="style139.xml"/></Relationships>
</file>

<file path=xl/charts/_rels/chart140.xml.rels><?xml version="1.0" encoding="UTF-8" standalone="yes"?>
<Relationships xmlns="http://schemas.openxmlformats.org/package/2006/relationships"><Relationship Id="rId2" Type="http://schemas.microsoft.com/office/2011/relationships/chartColorStyle" Target="colors140.xml"/><Relationship Id="rId1" Type="http://schemas.microsoft.com/office/2011/relationships/chartStyle" Target="style140.xml"/></Relationships>
</file>

<file path=xl/charts/_rels/chart141.xml.rels><?xml version="1.0" encoding="UTF-8" standalone="yes"?>
<Relationships xmlns="http://schemas.openxmlformats.org/package/2006/relationships"><Relationship Id="rId2" Type="http://schemas.microsoft.com/office/2011/relationships/chartColorStyle" Target="colors141.xml"/><Relationship Id="rId1" Type="http://schemas.microsoft.com/office/2011/relationships/chartStyle" Target="style141.xml"/></Relationships>
</file>

<file path=xl/charts/_rels/chart142.xml.rels><?xml version="1.0" encoding="UTF-8" standalone="yes"?>
<Relationships xmlns="http://schemas.openxmlformats.org/package/2006/relationships"><Relationship Id="rId2" Type="http://schemas.microsoft.com/office/2011/relationships/chartColorStyle" Target="colors142.xml"/><Relationship Id="rId1" Type="http://schemas.microsoft.com/office/2011/relationships/chartStyle" Target="style142.xml"/></Relationships>
</file>

<file path=xl/charts/_rels/chart143.xml.rels><?xml version="1.0" encoding="UTF-8" standalone="yes"?>
<Relationships xmlns="http://schemas.openxmlformats.org/package/2006/relationships"><Relationship Id="rId2" Type="http://schemas.microsoft.com/office/2011/relationships/chartColorStyle" Target="colors143.xml"/><Relationship Id="rId1" Type="http://schemas.microsoft.com/office/2011/relationships/chartStyle" Target="style143.xml"/></Relationships>
</file>

<file path=xl/charts/_rels/chart144.xml.rels><?xml version="1.0" encoding="UTF-8" standalone="yes"?>
<Relationships xmlns="http://schemas.openxmlformats.org/package/2006/relationships"><Relationship Id="rId2" Type="http://schemas.microsoft.com/office/2011/relationships/chartColorStyle" Target="colors144.xml"/><Relationship Id="rId1" Type="http://schemas.microsoft.com/office/2011/relationships/chartStyle" Target="style144.xml"/></Relationships>
</file>

<file path=xl/charts/_rels/chart145.xml.rels><?xml version="1.0" encoding="UTF-8" standalone="yes"?>
<Relationships xmlns="http://schemas.openxmlformats.org/package/2006/relationships"><Relationship Id="rId2" Type="http://schemas.microsoft.com/office/2011/relationships/chartColorStyle" Target="colors145.xml"/><Relationship Id="rId1" Type="http://schemas.microsoft.com/office/2011/relationships/chartStyle" Target="style145.xml"/></Relationships>
</file>

<file path=xl/charts/_rels/chart146.xml.rels><?xml version="1.0" encoding="UTF-8" standalone="yes"?>
<Relationships xmlns="http://schemas.openxmlformats.org/package/2006/relationships"><Relationship Id="rId2" Type="http://schemas.microsoft.com/office/2011/relationships/chartColorStyle" Target="colors146.xml"/><Relationship Id="rId1" Type="http://schemas.microsoft.com/office/2011/relationships/chartStyle" Target="style146.xml"/></Relationships>
</file>

<file path=xl/charts/_rels/chart147.xml.rels><?xml version="1.0" encoding="UTF-8" standalone="yes"?>
<Relationships xmlns="http://schemas.openxmlformats.org/package/2006/relationships"><Relationship Id="rId2" Type="http://schemas.microsoft.com/office/2011/relationships/chartColorStyle" Target="colors147.xml"/><Relationship Id="rId1" Type="http://schemas.microsoft.com/office/2011/relationships/chartStyle" Target="style147.xml"/></Relationships>
</file>

<file path=xl/charts/_rels/chart148.xml.rels><?xml version="1.0" encoding="UTF-8" standalone="yes"?>
<Relationships xmlns="http://schemas.openxmlformats.org/package/2006/relationships"><Relationship Id="rId2" Type="http://schemas.microsoft.com/office/2011/relationships/chartColorStyle" Target="colors148.xml"/><Relationship Id="rId1" Type="http://schemas.microsoft.com/office/2011/relationships/chartStyle" Target="style148.xml"/></Relationships>
</file>

<file path=xl/charts/_rels/chart149.xml.rels><?xml version="1.0" encoding="UTF-8" standalone="yes"?>
<Relationships xmlns="http://schemas.openxmlformats.org/package/2006/relationships"><Relationship Id="rId2" Type="http://schemas.microsoft.com/office/2011/relationships/chartColorStyle" Target="colors149.xml"/><Relationship Id="rId1" Type="http://schemas.microsoft.com/office/2011/relationships/chartStyle" Target="style149.xml"/></Relationships>
</file>

<file path=xl/charts/_rels/chart150.xml.rels><?xml version="1.0" encoding="UTF-8" standalone="yes"?>
<Relationships xmlns="http://schemas.openxmlformats.org/package/2006/relationships"><Relationship Id="rId2" Type="http://schemas.microsoft.com/office/2011/relationships/chartColorStyle" Target="colors150.xml"/><Relationship Id="rId1" Type="http://schemas.microsoft.com/office/2011/relationships/chartStyle" Target="style150.xml"/></Relationships>
</file>

<file path=xl/charts/_rels/chart151.xml.rels><?xml version="1.0" encoding="UTF-8" standalone="yes"?>
<Relationships xmlns="http://schemas.openxmlformats.org/package/2006/relationships"><Relationship Id="rId2" Type="http://schemas.microsoft.com/office/2011/relationships/chartColorStyle" Target="colors151.xml"/><Relationship Id="rId1" Type="http://schemas.microsoft.com/office/2011/relationships/chartStyle" Target="style151.xml"/></Relationships>
</file>

<file path=xl/charts/_rels/chart152.xml.rels><?xml version="1.0" encoding="UTF-8" standalone="yes"?>
<Relationships xmlns="http://schemas.openxmlformats.org/package/2006/relationships"><Relationship Id="rId2" Type="http://schemas.microsoft.com/office/2011/relationships/chartColorStyle" Target="colors152.xml"/><Relationship Id="rId1" Type="http://schemas.microsoft.com/office/2011/relationships/chartStyle" Target="style152.xml"/></Relationships>
</file>

<file path=xl/charts/_rels/chart153.xml.rels><?xml version="1.0" encoding="UTF-8" standalone="yes"?>
<Relationships xmlns="http://schemas.openxmlformats.org/package/2006/relationships"><Relationship Id="rId2" Type="http://schemas.microsoft.com/office/2011/relationships/chartColorStyle" Target="colors153.xml"/><Relationship Id="rId1" Type="http://schemas.microsoft.com/office/2011/relationships/chartStyle" Target="style153.xml"/></Relationships>
</file>

<file path=xl/charts/_rels/chart154.xml.rels><?xml version="1.0" encoding="UTF-8" standalone="yes"?>
<Relationships xmlns="http://schemas.openxmlformats.org/package/2006/relationships"><Relationship Id="rId2" Type="http://schemas.microsoft.com/office/2011/relationships/chartColorStyle" Target="colors154.xml"/><Relationship Id="rId1" Type="http://schemas.microsoft.com/office/2011/relationships/chartStyle" Target="style154.xml"/></Relationships>
</file>

<file path=xl/charts/_rels/chart155.xml.rels><?xml version="1.0" encoding="UTF-8" standalone="yes"?>
<Relationships xmlns="http://schemas.openxmlformats.org/package/2006/relationships"><Relationship Id="rId2" Type="http://schemas.microsoft.com/office/2011/relationships/chartColorStyle" Target="colors155.xml"/><Relationship Id="rId1" Type="http://schemas.microsoft.com/office/2011/relationships/chartStyle" Target="style155.xml"/></Relationships>
</file>

<file path=xl/charts/_rels/chart156.xml.rels><?xml version="1.0" encoding="UTF-8" standalone="yes"?>
<Relationships xmlns="http://schemas.openxmlformats.org/package/2006/relationships"><Relationship Id="rId2" Type="http://schemas.microsoft.com/office/2011/relationships/chartColorStyle" Target="colors156.xml"/><Relationship Id="rId1" Type="http://schemas.microsoft.com/office/2011/relationships/chartStyle" Target="style156.xml"/></Relationships>
</file>

<file path=xl/charts/_rels/chart157.xml.rels><?xml version="1.0" encoding="UTF-8" standalone="yes"?>
<Relationships xmlns="http://schemas.openxmlformats.org/package/2006/relationships"><Relationship Id="rId2" Type="http://schemas.microsoft.com/office/2011/relationships/chartColorStyle" Target="colors157.xml"/><Relationship Id="rId1" Type="http://schemas.microsoft.com/office/2011/relationships/chartStyle" Target="style157.xml"/></Relationships>
</file>

<file path=xl/charts/_rels/chart158.xml.rels><?xml version="1.0" encoding="UTF-8" standalone="yes"?>
<Relationships xmlns="http://schemas.openxmlformats.org/package/2006/relationships"><Relationship Id="rId2" Type="http://schemas.microsoft.com/office/2011/relationships/chartColorStyle" Target="colors158.xml"/><Relationship Id="rId1" Type="http://schemas.microsoft.com/office/2011/relationships/chartStyle" Target="style158.xml"/></Relationships>
</file>

<file path=xl/charts/_rels/chart159.xml.rels><?xml version="1.0" encoding="UTF-8" standalone="yes"?>
<Relationships xmlns="http://schemas.openxmlformats.org/package/2006/relationships"><Relationship Id="rId2" Type="http://schemas.microsoft.com/office/2011/relationships/chartColorStyle" Target="colors159.xml"/><Relationship Id="rId1" Type="http://schemas.microsoft.com/office/2011/relationships/chartStyle" Target="style159.xml"/></Relationships>
</file>

<file path=xl/charts/_rels/chart160.xml.rels><?xml version="1.0" encoding="UTF-8" standalone="yes"?>
<Relationships xmlns="http://schemas.openxmlformats.org/package/2006/relationships"><Relationship Id="rId2" Type="http://schemas.microsoft.com/office/2011/relationships/chartColorStyle" Target="colors160.xml"/><Relationship Id="rId1" Type="http://schemas.microsoft.com/office/2011/relationships/chartStyle" Target="style160.xml"/></Relationships>
</file>

<file path=xl/charts/_rels/chart161.xml.rels><?xml version="1.0" encoding="UTF-8" standalone="yes"?>
<Relationships xmlns="http://schemas.openxmlformats.org/package/2006/relationships"><Relationship Id="rId2" Type="http://schemas.microsoft.com/office/2011/relationships/chartColorStyle" Target="colors161.xml"/><Relationship Id="rId1" Type="http://schemas.microsoft.com/office/2011/relationships/chartStyle" Target="style161.xml"/></Relationships>
</file>

<file path=xl/charts/_rels/chart162.xml.rels><?xml version="1.0" encoding="UTF-8" standalone="yes"?>
<Relationships xmlns="http://schemas.openxmlformats.org/package/2006/relationships"><Relationship Id="rId2" Type="http://schemas.microsoft.com/office/2011/relationships/chartColorStyle" Target="colors162.xml"/><Relationship Id="rId1" Type="http://schemas.microsoft.com/office/2011/relationships/chartStyle" Target="style162.xml"/></Relationships>
</file>

<file path=xl/charts/_rels/chart163.xml.rels><?xml version="1.0" encoding="UTF-8" standalone="yes"?>
<Relationships xmlns="http://schemas.openxmlformats.org/package/2006/relationships"><Relationship Id="rId2" Type="http://schemas.microsoft.com/office/2011/relationships/chartColorStyle" Target="colors163.xml"/><Relationship Id="rId1" Type="http://schemas.microsoft.com/office/2011/relationships/chartStyle" Target="style163.xml"/></Relationships>
</file>

<file path=xl/charts/_rels/chart164.xml.rels><?xml version="1.0" encoding="UTF-8" standalone="yes"?>
<Relationships xmlns="http://schemas.openxmlformats.org/package/2006/relationships"><Relationship Id="rId2" Type="http://schemas.microsoft.com/office/2011/relationships/chartColorStyle" Target="colors164.xml"/><Relationship Id="rId1" Type="http://schemas.microsoft.com/office/2011/relationships/chartStyle" Target="style164.xml"/></Relationships>
</file>

<file path=xl/charts/_rels/chart165.xml.rels><?xml version="1.0" encoding="UTF-8" standalone="yes"?>
<Relationships xmlns="http://schemas.openxmlformats.org/package/2006/relationships"><Relationship Id="rId2" Type="http://schemas.microsoft.com/office/2011/relationships/chartColorStyle" Target="colors165.xml"/><Relationship Id="rId1" Type="http://schemas.microsoft.com/office/2011/relationships/chartStyle" Target="style165.xml"/></Relationships>
</file>

<file path=xl/charts/_rels/chart166.xml.rels><?xml version="1.0" encoding="UTF-8" standalone="yes"?>
<Relationships xmlns="http://schemas.openxmlformats.org/package/2006/relationships"><Relationship Id="rId2" Type="http://schemas.microsoft.com/office/2011/relationships/chartColorStyle" Target="colors166.xml"/><Relationship Id="rId1" Type="http://schemas.microsoft.com/office/2011/relationships/chartStyle" Target="style16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Gini_2010!$H$94:$H$105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xVal>
          <c:yVal>
            <c:numRef>
              <c:f>Gini_2010!$H$94:$H$105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yVal>
          <c:smooth val="1"/>
          <c:extLst>
            <c:ext xmlns:c16="http://schemas.microsoft.com/office/drawing/2014/chart" uri="{C3380CC4-5D6E-409C-BE32-E72D297353CC}">
              <c16:uniqueId val="{00000000-F67C-4BC2-A296-D48DB80E338C}"/>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F67C-4BC2-A296-D48DB80E338C}"/>
              </c:ext>
            </c:extLst>
          </c:dPt>
          <c:xVal>
            <c:numRef>
              <c:f>Gini_2010!$H$94:$H$105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xVal>
          <c:yVal>
            <c:numRef>
              <c:f>Gini_2010!$G$94:$G$105</c:f>
              <c:numCache>
                <c:formatCode>0.00</c:formatCode>
                <c:ptCount val="12"/>
                <c:pt idx="0">
                  <c:v>0</c:v>
                </c:pt>
                <c:pt idx="1">
                  <c:v>1.0017090868103106E-3</c:v>
                </c:pt>
                <c:pt idx="2">
                  <c:v>8.2470804072172152E-3</c:v>
                </c:pt>
                <c:pt idx="3">
                  <c:v>1.5760094130145938E-2</c:v>
                </c:pt>
                <c:pt idx="4">
                  <c:v>2.7804808298560139E-2</c:v>
                </c:pt>
                <c:pt idx="5">
                  <c:v>4.184886209984176E-2</c:v>
                </c:pt>
                <c:pt idx="6">
                  <c:v>7.9891776506692158E-2</c:v>
                </c:pt>
                <c:pt idx="7">
                  <c:v>0.14717682123810072</c:v>
                </c:pt>
                <c:pt idx="8">
                  <c:v>0.29604930745691221</c:v>
                </c:pt>
                <c:pt idx="9">
                  <c:v>0.47662860013943331</c:v>
                </c:pt>
                <c:pt idx="10">
                  <c:v>0.69238531203438969</c:v>
                </c:pt>
                <c:pt idx="11">
                  <c:v>1</c:v>
                </c:pt>
              </c:numCache>
            </c:numRef>
          </c:yVal>
          <c:smooth val="0"/>
          <c:extLst>
            <c:ext xmlns:c16="http://schemas.microsoft.com/office/drawing/2014/chart" uri="{C3380CC4-5D6E-409C-BE32-E72D297353CC}">
              <c16:uniqueId val="{00000002-F67C-4BC2-A296-D48DB80E338C}"/>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Precipitation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301861863580613"/>
          <c:y val="0.1566342980154827"/>
          <c:w val="0.54960252622417904"/>
          <c:h val="0.65904922055244786"/>
        </c:manualLayout>
      </c:layout>
      <c:scatterChart>
        <c:scatterStyle val="smoothMarker"/>
        <c:varyColors val="0"/>
        <c:ser>
          <c:idx val="1"/>
          <c:order val="1"/>
          <c:tx>
            <c:v>Equality Line</c:v>
          </c:tx>
          <c:spPr>
            <a:ln w="19050" cap="rnd">
              <a:solidFill>
                <a:schemeClr val="accent2"/>
              </a:solidFill>
              <a:round/>
            </a:ln>
            <a:effectLst/>
          </c:spPr>
          <c:marker>
            <c:symbol val="none"/>
          </c:marker>
          <c:xVal>
            <c:numRef>
              <c:f>Gini_2010!$H$115:$H$126</c:f>
              <c:numCache>
                <c:formatCode>0.00</c:formatCode>
                <c:ptCount val="12"/>
                <c:pt idx="0">
                  <c:v>0</c:v>
                </c:pt>
                <c:pt idx="1">
                  <c:v>8.6508040877704764E-3</c:v>
                </c:pt>
                <c:pt idx="2">
                  <c:v>2.233691110888162E-2</c:v>
                </c:pt>
                <c:pt idx="3">
                  <c:v>4.5534073596056365E-2</c:v>
                </c:pt>
                <c:pt idx="4">
                  <c:v>5.3837159897602418E-2</c:v>
                </c:pt>
                <c:pt idx="5">
                  <c:v>0.11688690634392547</c:v>
                </c:pt>
                <c:pt idx="6">
                  <c:v>0.17846731707242672</c:v>
                </c:pt>
                <c:pt idx="7">
                  <c:v>0.25736713399590871</c:v>
                </c:pt>
                <c:pt idx="8">
                  <c:v>0.38405950424456814</c:v>
                </c:pt>
                <c:pt idx="9">
                  <c:v>0.65743534284662219</c:v>
                </c:pt>
                <c:pt idx="10">
                  <c:v>0.98464491670321019</c:v>
                </c:pt>
                <c:pt idx="11">
                  <c:v>1.0000000000000002</c:v>
                </c:pt>
              </c:numCache>
            </c:numRef>
          </c:xVal>
          <c:yVal>
            <c:numRef>
              <c:f>Gini_2010!$H$115:$H$126</c:f>
              <c:numCache>
                <c:formatCode>0.00</c:formatCode>
                <c:ptCount val="12"/>
                <c:pt idx="0">
                  <c:v>0</c:v>
                </c:pt>
                <c:pt idx="1">
                  <c:v>8.6508040877704764E-3</c:v>
                </c:pt>
                <c:pt idx="2">
                  <c:v>2.233691110888162E-2</c:v>
                </c:pt>
                <c:pt idx="3">
                  <c:v>4.5534073596056365E-2</c:v>
                </c:pt>
                <c:pt idx="4">
                  <c:v>5.3837159897602418E-2</c:v>
                </c:pt>
                <c:pt idx="5">
                  <c:v>0.11688690634392547</c:v>
                </c:pt>
                <c:pt idx="6">
                  <c:v>0.17846731707242672</c:v>
                </c:pt>
                <c:pt idx="7">
                  <c:v>0.25736713399590871</c:v>
                </c:pt>
                <c:pt idx="8">
                  <c:v>0.38405950424456814</c:v>
                </c:pt>
                <c:pt idx="9">
                  <c:v>0.65743534284662219</c:v>
                </c:pt>
                <c:pt idx="10">
                  <c:v>0.98464491670321019</c:v>
                </c:pt>
                <c:pt idx="11">
                  <c:v>1.0000000000000002</c:v>
                </c:pt>
              </c:numCache>
            </c:numRef>
          </c:yVal>
          <c:smooth val="1"/>
          <c:extLst>
            <c:ext xmlns:c16="http://schemas.microsoft.com/office/drawing/2014/chart" uri="{C3380CC4-5D6E-409C-BE32-E72D297353CC}">
              <c16:uniqueId val="{00000000-4AE6-486D-9890-944F3F010831}"/>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4AE6-486D-9890-944F3F010831}"/>
              </c:ext>
            </c:extLst>
          </c:dPt>
          <c:xVal>
            <c:numRef>
              <c:f>Gini_2010!$H$115:$H$126</c:f>
              <c:numCache>
                <c:formatCode>0.00</c:formatCode>
                <c:ptCount val="12"/>
                <c:pt idx="0">
                  <c:v>0</c:v>
                </c:pt>
                <c:pt idx="1">
                  <c:v>8.6508040877704764E-3</c:v>
                </c:pt>
                <c:pt idx="2">
                  <c:v>2.233691110888162E-2</c:v>
                </c:pt>
                <c:pt idx="3">
                  <c:v>4.5534073596056365E-2</c:v>
                </c:pt>
                <c:pt idx="4">
                  <c:v>5.3837159897602418E-2</c:v>
                </c:pt>
                <c:pt idx="5">
                  <c:v>0.11688690634392547</c:v>
                </c:pt>
                <c:pt idx="6">
                  <c:v>0.17846731707242672</c:v>
                </c:pt>
                <c:pt idx="7">
                  <c:v>0.25736713399590871</c:v>
                </c:pt>
                <c:pt idx="8">
                  <c:v>0.38405950424456814</c:v>
                </c:pt>
                <c:pt idx="9">
                  <c:v>0.65743534284662219</c:v>
                </c:pt>
                <c:pt idx="10">
                  <c:v>0.98464491670321019</c:v>
                </c:pt>
                <c:pt idx="11">
                  <c:v>1.0000000000000002</c:v>
                </c:pt>
              </c:numCache>
            </c:numRef>
          </c:xVal>
          <c:yVal>
            <c:numRef>
              <c:f>Gini_2010!$G$115:$G$126</c:f>
              <c:numCache>
                <c:formatCode>0.00</c:formatCode>
                <c:ptCount val="12"/>
                <c:pt idx="0">
                  <c:v>0</c:v>
                </c:pt>
                <c:pt idx="1">
                  <c:v>5.365070841658535E-3</c:v>
                </c:pt>
                <c:pt idx="2">
                  <c:v>1.2036997614611612E-2</c:v>
                </c:pt>
                <c:pt idx="3">
                  <c:v>2.1999508457457191E-2</c:v>
                </c:pt>
                <c:pt idx="4">
                  <c:v>3.4507367623612187E-2</c:v>
                </c:pt>
                <c:pt idx="5">
                  <c:v>6.3397802360369654E-2</c:v>
                </c:pt>
                <c:pt idx="6">
                  <c:v>9.2440744555686155E-2</c:v>
                </c:pt>
                <c:pt idx="7">
                  <c:v>0.15135011504593057</c:v>
                </c:pt>
                <c:pt idx="8">
                  <c:v>0.29949892367379261</c:v>
                </c:pt>
                <c:pt idx="9">
                  <c:v>0.45906284552330068</c:v>
                </c:pt>
                <c:pt idx="10">
                  <c:v>0.65990098038478129</c:v>
                </c:pt>
                <c:pt idx="11">
                  <c:v>1</c:v>
                </c:pt>
              </c:numCache>
            </c:numRef>
          </c:yVal>
          <c:smooth val="0"/>
          <c:extLst>
            <c:ext xmlns:c16="http://schemas.microsoft.com/office/drawing/2014/chart" uri="{C3380CC4-5D6E-409C-BE32-E72D297353CC}">
              <c16:uniqueId val="{00000002-4AE6-486D-9890-944F3F010831}"/>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ETa</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Gini_2010!$H$136:$H$147</c:f>
              <c:numCache>
                <c:formatCode>0.00</c:formatCode>
                <c:ptCount val="12"/>
                <c:pt idx="0">
                  <c:v>0</c:v>
                </c:pt>
                <c:pt idx="1">
                  <c:v>6.1580410728501248E-2</c:v>
                </c:pt>
                <c:pt idx="2">
                  <c:v>0.38878998458508923</c:v>
                </c:pt>
                <c:pt idx="3">
                  <c:v>0.40414506788187921</c:v>
                </c:pt>
                <c:pt idx="4">
                  <c:v>0.53083743813053863</c:v>
                </c:pt>
                <c:pt idx="5">
                  <c:v>0.5445235451516498</c:v>
                </c:pt>
                <c:pt idx="6">
                  <c:v>0.55282663145319588</c:v>
                </c:pt>
                <c:pt idx="7">
                  <c:v>0.56147743554096641</c:v>
                </c:pt>
                <c:pt idx="8">
                  <c:v>0.58467459802814115</c:v>
                </c:pt>
                <c:pt idx="9">
                  <c:v>0.64772434447446425</c:v>
                </c:pt>
                <c:pt idx="10">
                  <c:v>0.72662416139794628</c:v>
                </c:pt>
                <c:pt idx="11">
                  <c:v>1.0000000000000002</c:v>
                </c:pt>
              </c:numCache>
            </c:numRef>
          </c:xVal>
          <c:yVal>
            <c:numRef>
              <c:f>Gini_2010!$H$136:$H$147</c:f>
              <c:numCache>
                <c:formatCode>0.00</c:formatCode>
                <c:ptCount val="12"/>
                <c:pt idx="0">
                  <c:v>0</c:v>
                </c:pt>
                <c:pt idx="1">
                  <c:v>6.1580410728501248E-2</c:v>
                </c:pt>
                <c:pt idx="2">
                  <c:v>0.38878998458508923</c:v>
                </c:pt>
                <c:pt idx="3">
                  <c:v>0.40414506788187921</c:v>
                </c:pt>
                <c:pt idx="4">
                  <c:v>0.53083743813053863</c:v>
                </c:pt>
                <c:pt idx="5">
                  <c:v>0.5445235451516498</c:v>
                </c:pt>
                <c:pt idx="6">
                  <c:v>0.55282663145319588</c:v>
                </c:pt>
                <c:pt idx="7">
                  <c:v>0.56147743554096641</c:v>
                </c:pt>
                <c:pt idx="8">
                  <c:v>0.58467459802814115</c:v>
                </c:pt>
                <c:pt idx="9">
                  <c:v>0.64772434447446425</c:v>
                </c:pt>
                <c:pt idx="10">
                  <c:v>0.72662416139794628</c:v>
                </c:pt>
                <c:pt idx="11">
                  <c:v>1.0000000000000002</c:v>
                </c:pt>
              </c:numCache>
            </c:numRef>
          </c:yVal>
          <c:smooth val="1"/>
          <c:extLst>
            <c:ext xmlns:c16="http://schemas.microsoft.com/office/drawing/2014/chart" uri="{C3380CC4-5D6E-409C-BE32-E72D297353CC}">
              <c16:uniqueId val="{00000000-759A-4D0B-BD8C-FDBA8F612060}"/>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759A-4D0B-BD8C-FDBA8F612060}"/>
              </c:ext>
            </c:extLst>
          </c:dPt>
          <c:xVal>
            <c:numRef>
              <c:f>Gini_2010!$H$136:$H$147</c:f>
              <c:numCache>
                <c:formatCode>0.00</c:formatCode>
                <c:ptCount val="12"/>
                <c:pt idx="0">
                  <c:v>0</c:v>
                </c:pt>
                <c:pt idx="1">
                  <c:v>6.1580410728501248E-2</c:v>
                </c:pt>
                <c:pt idx="2">
                  <c:v>0.38878998458508923</c:v>
                </c:pt>
                <c:pt idx="3">
                  <c:v>0.40414506788187921</c:v>
                </c:pt>
                <c:pt idx="4">
                  <c:v>0.53083743813053863</c:v>
                </c:pt>
                <c:pt idx="5">
                  <c:v>0.5445235451516498</c:v>
                </c:pt>
                <c:pt idx="6">
                  <c:v>0.55282663145319588</c:v>
                </c:pt>
                <c:pt idx="7">
                  <c:v>0.56147743554096641</c:v>
                </c:pt>
                <c:pt idx="8">
                  <c:v>0.58467459802814115</c:v>
                </c:pt>
                <c:pt idx="9">
                  <c:v>0.64772434447446425</c:v>
                </c:pt>
                <c:pt idx="10">
                  <c:v>0.72662416139794628</c:v>
                </c:pt>
                <c:pt idx="11">
                  <c:v>1.0000000000000002</c:v>
                </c:pt>
              </c:numCache>
            </c:numRef>
          </c:xVal>
          <c:yVal>
            <c:numRef>
              <c:f>Gini_2010!$G$136:$G$147</c:f>
              <c:numCache>
                <c:formatCode>0.00</c:formatCode>
                <c:ptCount val="12"/>
                <c:pt idx="0">
                  <c:v>0</c:v>
                </c:pt>
                <c:pt idx="1">
                  <c:v>0</c:v>
                </c:pt>
                <c:pt idx="2">
                  <c:v>0</c:v>
                </c:pt>
                <c:pt idx="3">
                  <c:v>0</c:v>
                </c:pt>
                <c:pt idx="4">
                  <c:v>0</c:v>
                </c:pt>
                <c:pt idx="5">
                  <c:v>7.9080986475198595E-3</c:v>
                </c:pt>
                <c:pt idx="6">
                  <c:v>2.3417865566434042E-2</c:v>
                </c:pt>
                <c:pt idx="7">
                  <c:v>4.5877312464558895E-2</c:v>
                </c:pt>
                <c:pt idx="8">
                  <c:v>6.8695589350788552E-2</c:v>
                </c:pt>
                <c:pt idx="9">
                  <c:v>0.18104192875176706</c:v>
                </c:pt>
                <c:pt idx="10">
                  <c:v>0.33328865924034001</c:v>
                </c:pt>
                <c:pt idx="11">
                  <c:v>0.99999999999999989</c:v>
                </c:pt>
              </c:numCache>
            </c:numRef>
          </c:yVal>
          <c:smooth val="0"/>
          <c:extLst>
            <c:ext xmlns:c16="http://schemas.microsoft.com/office/drawing/2014/chart" uri="{C3380CC4-5D6E-409C-BE32-E72D297353CC}">
              <c16:uniqueId val="{00000002-759A-4D0B-BD8C-FDBA8F612060}"/>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Available Water</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Gini_2010!$H$157:$H$168</c:f>
              <c:numCache>
                <c:formatCode>0.00</c:formatCode>
                <c:ptCount val="12"/>
                <c:pt idx="0">
                  <c:v>0</c:v>
                </c:pt>
                <c:pt idx="1">
                  <c:v>1.3686107021111144E-2</c:v>
                </c:pt>
                <c:pt idx="2">
                  <c:v>2.19891933226572E-2</c:v>
                </c:pt>
                <c:pt idx="3">
                  <c:v>3.0639997410427677E-2</c:v>
                </c:pt>
                <c:pt idx="4">
                  <c:v>5.3837159897602418E-2</c:v>
                </c:pt>
                <c:pt idx="5">
                  <c:v>0.11688690634392547</c:v>
                </c:pt>
                <c:pt idx="6">
                  <c:v>0.24357927659258494</c:v>
                </c:pt>
                <c:pt idx="7">
                  <c:v>0.25893435988937491</c:v>
                </c:pt>
                <c:pt idx="8">
                  <c:v>0.33783417681285688</c:v>
                </c:pt>
                <c:pt idx="9">
                  <c:v>0.66504375066944488</c:v>
                </c:pt>
                <c:pt idx="10">
                  <c:v>0.72662416139794617</c:v>
                </c:pt>
                <c:pt idx="11">
                  <c:v>1.0000000000000002</c:v>
                </c:pt>
              </c:numCache>
            </c:numRef>
          </c:xVal>
          <c:yVal>
            <c:numRef>
              <c:f>Gini_2010!$H$157:$H$168</c:f>
              <c:numCache>
                <c:formatCode>0.00</c:formatCode>
                <c:ptCount val="12"/>
                <c:pt idx="0">
                  <c:v>0</c:v>
                </c:pt>
                <c:pt idx="1">
                  <c:v>1.3686107021111144E-2</c:v>
                </c:pt>
                <c:pt idx="2">
                  <c:v>2.19891933226572E-2</c:v>
                </c:pt>
                <c:pt idx="3">
                  <c:v>3.0639997410427677E-2</c:v>
                </c:pt>
                <c:pt idx="4">
                  <c:v>5.3837159897602418E-2</c:v>
                </c:pt>
                <c:pt idx="5">
                  <c:v>0.11688690634392547</c:v>
                </c:pt>
                <c:pt idx="6">
                  <c:v>0.24357927659258494</c:v>
                </c:pt>
                <c:pt idx="7">
                  <c:v>0.25893435988937491</c:v>
                </c:pt>
                <c:pt idx="8">
                  <c:v>0.33783417681285688</c:v>
                </c:pt>
                <c:pt idx="9">
                  <c:v>0.66504375066944488</c:v>
                </c:pt>
                <c:pt idx="10">
                  <c:v>0.72662416139794617</c:v>
                </c:pt>
                <c:pt idx="11">
                  <c:v>1.0000000000000002</c:v>
                </c:pt>
              </c:numCache>
            </c:numRef>
          </c:yVal>
          <c:smooth val="1"/>
          <c:extLst>
            <c:ext xmlns:c16="http://schemas.microsoft.com/office/drawing/2014/chart" uri="{C3380CC4-5D6E-409C-BE32-E72D297353CC}">
              <c16:uniqueId val="{00000000-8835-4789-B6E1-B7A970F51D7B}"/>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8835-4789-B6E1-B7A970F51D7B}"/>
              </c:ext>
            </c:extLst>
          </c:dPt>
          <c:xVal>
            <c:numRef>
              <c:f>Gini_2010!$H$157:$H$168</c:f>
              <c:numCache>
                <c:formatCode>0.00</c:formatCode>
                <c:ptCount val="12"/>
                <c:pt idx="0">
                  <c:v>0</c:v>
                </c:pt>
                <c:pt idx="1">
                  <c:v>1.3686107021111144E-2</c:v>
                </c:pt>
                <c:pt idx="2">
                  <c:v>2.19891933226572E-2</c:v>
                </c:pt>
                <c:pt idx="3">
                  <c:v>3.0639997410427677E-2</c:v>
                </c:pt>
                <c:pt idx="4">
                  <c:v>5.3837159897602418E-2</c:v>
                </c:pt>
                <c:pt idx="5">
                  <c:v>0.11688690634392547</c:v>
                </c:pt>
                <c:pt idx="6">
                  <c:v>0.24357927659258494</c:v>
                </c:pt>
                <c:pt idx="7">
                  <c:v>0.25893435988937491</c:v>
                </c:pt>
                <c:pt idx="8">
                  <c:v>0.33783417681285688</c:v>
                </c:pt>
                <c:pt idx="9">
                  <c:v>0.66504375066944488</c:v>
                </c:pt>
                <c:pt idx="10">
                  <c:v>0.72662416139794617</c:v>
                </c:pt>
                <c:pt idx="11">
                  <c:v>1.0000000000000002</c:v>
                </c:pt>
              </c:numCache>
            </c:numRef>
          </c:xVal>
          <c:yVal>
            <c:numRef>
              <c:f>Gini_2010!$G$157:$G$168</c:f>
              <c:numCache>
                <c:formatCode>0.00</c:formatCode>
                <c:ptCount val="12"/>
                <c:pt idx="0">
                  <c:v>0</c:v>
                </c:pt>
                <c:pt idx="1">
                  <c:v>4.1855150022580721E-3</c:v>
                </c:pt>
                <c:pt idx="2">
                  <c:v>1.2394360770893034E-2</c:v>
                </c:pt>
                <c:pt idx="3">
                  <c:v>2.4281459822698838E-2</c:v>
                </c:pt>
                <c:pt idx="4">
                  <c:v>4.9255204088749713E-2</c:v>
                </c:pt>
                <c:pt idx="5">
                  <c:v>0.10871668907655338</c:v>
                </c:pt>
                <c:pt idx="6">
                  <c:v>0.18032746526201532</c:v>
                </c:pt>
                <c:pt idx="7">
                  <c:v>0.26008354300411751</c:v>
                </c:pt>
                <c:pt idx="8">
                  <c:v>0.34066308593944905</c:v>
                </c:pt>
                <c:pt idx="9">
                  <c:v>0.45537608286213216</c:v>
                </c:pt>
                <c:pt idx="10">
                  <c:v>0.64713005700803738</c:v>
                </c:pt>
                <c:pt idx="11">
                  <c:v>1</c:v>
                </c:pt>
              </c:numCache>
            </c:numRef>
          </c:yVal>
          <c:smooth val="0"/>
          <c:extLst>
            <c:ext xmlns:c16="http://schemas.microsoft.com/office/drawing/2014/chart" uri="{C3380CC4-5D6E-409C-BE32-E72D297353CC}">
              <c16:uniqueId val="{00000002-8835-4789-B6E1-B7A970F51D7B}"/>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 total</a:t>
                </a:r>
                <a:r>
                  <a:rPr lang="en-US" baseline="0"/>
                  <a:t> available water</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0-663E-4B06-AD97-48FB418770DC}"/>
              </c:ext>
            </c:extLst>
          </c:dPt>
          <c:xVal>
            <c:numRef>
              <c:f>Gini_2010!$H$6:$H$17</c:f>
              <c:numCache>
                <c:formatCode>0.00</c:formatCode>
                <c:ptCount val="12"/>
                <c:pt idx="0">
                  <c:v>0</c:v>
                </c:pt>
                <c:pt idx="1">
                  <c:v>0.32943230119860767</c:v>
                </c:pt>
                <c:pt idx="2">
                  <c:v>0.33476600064656559</c:v>
                </c:pt>
                <c:pt idx="3">
                  <c:v>0.35634542434857852</c:v>
                </c:pt>
                <c:pt idx="4">
                  <c:v>0.39846593070658254</c:v>
                </c:pt>
                <c:pt idx="5">
                  <c:v>0.41192885803413581</c:v>
                </c:pt>
                <c:pt idx="6">
                  <c:v>0.48686808312700136</c:v>
                </c:pt>
                <c:pt idx="7">
                  <c:v>0.52940105365367107</c:v>
                </c:pt>
                <c:pt idx="8">
                  <c:v>0.673205421730659</c:v>
                </c:pt>
                <c:pt idx="9">
                  <c:v>0.81167743060789033</c:v>
                </c:pt>
                <c:pt idx="10">
                  <c:v>0.95392235636557376</c:v>
                </c:pt>
                <c:pt idx="11">
                  <c:v>1</c:v>
                </c:pt>
              </c:numCache>
            </c:numRef>
          </c:xVal>
          <c:yVal>
            <c:numRef>
              <c:f>Gini_2010!$G$6:$G$17</c:f>
              <c:numCache>
                <c:formatCode>0.00</c:formatCode>
                <c:ptCount val="12"/>
                <c:pt idx="0">
                  <c:v>0</c:v>
                </c:pt>
                <c:pt idx="1">
                  <c:v>1.0017090868103106E-3</c:v>
                </c:pt>
                <c:pt idx="2">
                  <c:v>8.2470804072172152E-3</c:v>
                </c:pt>
                <c:pt idx="3">
                  <c:v>1.5760094130145938E-2</c:v>
                </c:pt>
                <c:pt idx="4">
                  <c:v>2.7804808298560139E-2</c:v>
                </c:pt>
                <c:pt idx="5">
                  <c:v>4.184886209984176E-2</c:v>
                </c:pt>
                <c:pt idx="6">
                  <c:v>7.9891776506692158E-2</c:v>
                </c:pt>
                <c:pt idx="7">
                  <c:v>0.14717682123810072</c:v>
                </c:pt>
                <c:pt idx="8">
                  <c:v>0.29604930745691221</c:v>
                </c:pt>
                <c:pt idx="9">
                  <c:v>0.47662860013943331</c:v>
                </c:pt>
                <c:pt idx="10">
                  <c:v>0.69238531203438969</c:v>
                </c:pt>
                <c:pt idx="11">
                  <c:v>1</c:v>
                </c:pt>
              </c:numCache>
            </c:numRef>
          </c:yVal>
          <c:smooth val="1"/>
          <c:extLst>
            <c:ext xmlns:c16="http://schemas.microsoft.com/office/drawing/2014/chart" uri="{C3380CC4-5D6E-409C-BE32-E72D297353CC}">
              <c16:uniqueId val="{00000001-663E-4B06-AD97-48FB418770DC}"/>
            </c:ext>
          </c:extLst>
        </c:ser>
        <c:ser>
          <c:idx val="1"/>
          <c:order val="1"/>
          <c:tx>
            <c:v>Equality Line</c:v>
          </c:tx>
          <c:spPr>
            <a:ln w="19050" cap="rnd">
              <a:solidFill>
                <a:schemeClr val="accent2"/>
              </a:solidFill>
              <a:round/>
            </a:ln>
            <a:effectLst/>
          </c:spPr>
          <c:marker>
            <c:symbol val="none"/>
          </c:marker>
          <c:xVal>
            <c:numRef>
              <c:f>Gini_2010!$H$6:$H$17</c:f>
              <c:numCache>
                <c:formatCode>0.00</c:formatCode>
                <c:ptCount val="12"/>
                <c:pt idx="0">
                  <c:v>0</c:v>
                </c:pt>
                <c:pt idx="1">
                  <c:v>0.32943230119860767</c:v>
                </c:pt>
                <c:pt idx="2">
                  <c:v>0.33476600064656559</c:v>
                </c:pt>
                <c:pt idx="3">
                  <c:v>0.35634542434857852</c:v>
                </c:pt>
                <c:pt idx="4">
                  <c:v>0.39846593070658254</c:v>
                </c:pt>
                <c:pt idx="5">
                  <c:v>0.41192885803413581</c:v>
                </c:pt>
                <c:pt idx="6">
                  <c:v>0.48686808312700136</c:v>
                </c:pt>
                <c:pt idx="7">
                  <c:v>0.52940105365367107</c:v>
                </c:pt>
                <c:pt idx="8">
                  <c:v>0.673205421730659</c:v>
                </c:pt>
                <c:pt idx="9">
                  <c:v>0.81167743060789033</c:v>
                </c:pt>
                <c:pt idx="10">
                  <c:v>0.95392235636557376</c:v>
                </c:pt>
                <c:pt idx="11">
                  <c:v>1</c:v>
                </c:pt>
              </c:numCache>
            </c:numRef>
          </c:xVal>
          <c:yVal>
            <c:numRef>
              <c:f>Gini_2010!$H$6:$H$17</c:f>
              <c:numCache>
                <c:formatCode>0.00</c:formatCode>
                <c:ptCount val="12"/>
                <c:pt idx="0">
                  <c:v>0</c:v>
                </c:pt>
                <c:pt idx="1">
                  <c:v>0.32943230119860767</c:v>
                </c:pt>
                <c:pt idx="2">
                  <c:v>0.33476600064656559</c:v>
                </c:pt>
                <c:pt idx="3">
                  <c:v>0.35634542434857852</c:v>
                </c:pt>
                <c:pt idx="4">
                  <c:v>0.39846593070658254</c:v>
                </c:pt>
                <c:pt idx="5">
                  <c:v>0.41192885803413581</c:v>
                </c:pt>
                <c:pt idx="6">
                  <c:v>0.48686808312700136</c:v>
                </c:pt>
                <c:pt idx="7">
                  <c:v>0.52940105365367107</c:v>
                </c:pt>
                <c:pt idx="8">
                  <c:v>0.673205421730659</c:v>
                </c:pt>
                <c:pt idx="9">
                  <c:v>0.81167743060789033</c:v>
                </c:pt>
                <c:pt idx="10">
                  <c:v>0.95392235636557376</c:v>
                </c:pt>
                <c:pt idx="11">
                  <c:v>1</c:v>
                </c:pt>
              </c:numCache>
            </c:numRef>
          </c:yVal>
          <c:smooth val="1"/>
          <c:extLst>
            <c:ext xmlns:c16="http://schemas.microsoft.com/office/drawing/2014/chart" uri="{C3380CC4-5D6E-409C-BE32-E72D297353CC}">
              <c16:uniqueId val="{00000002-663E-4B06-AD97-48FB418770DC}"/>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Population</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Precipitation</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0-FAC0-4A37-8518-E0F381F736AC}"/>
              </c:ext>
            </c:extLst>
          </c:dPt>
          <c:xVal>
            <c:numRef>
              <c:f>Gini_2010!$H$27:$H$38</c:f>
              <c:numCache>
                <c:formatCode>0.00</c:formatCode>
                <c:ptCount val="12"/>
                <c:pt idx="0">
                  <c:v>0</c:v>
                </c:pt>
                <c:pt idx="1">
                  <c:v>5.3336994479579163E-3</c:v>
                </c:pt>
                <c:pt idx="2">
                  <c:v>2.6913123149970838E-2</c:v>
                </c:pt>
                <c:pt idx="3">
                  <c:v>6.9033629507974842E-2</c:v>
                </c:pt>
                <c:pt idx="4">
                  <c:v>8.2496556835528118E-2</c:v>
                </c:pt>
                <c:pt idx="5">
                  <c:v>0.15743578192839366</c:v>
                </c:pt>
                <c:pt idx="6">
                  <c:v>0.48686808312700136</c:v>
                </c:pt>
                <c:pt idx="7">
                  <c:v>0.52940105365367107</c:v>
                </c:pt>
                <c:pt idx="8">
                  <c:v>0.673205421730659</c:v>
                </c:pt>
                <c:pt idx="9">
                  <c:v>0.81545034748834244</c:v>
                </c:pt>
                <c:pt idx="10">
                  <c:v>0.95392235636557376</c:v>
                </c:pt>
                <c:pt idx="11">
                  <c:v>1</c:v>
                </c:pt>
              </c:numCache>
            </c:numRef>
          </c:xVal>
          <c:yVal>
            <c:numRef>
              <c:f>Gini_2010!$G$27:$G$38</c:f>
              <c:numCache>
                <c:formatCode>0.00</c:formatCode>
                <c:ptCount val="12"/>
                <c:pt idx="0">
                  <c:v>0</c:v>
                </c:pt>
                <c:pt idx="1">
                  <c:v>5.365070841658535E-3</c:v>
                </c:pt>
                <c:pt idx="2">
                  <c:v>1.2036997614611612E-2</c:v>
                </c:pt>
                <c:pt idx="3">
                  <c:v>2.1999508457457191E-2</c:v>
                </c:pt>
                <c:pt idx="4">
                  <c:v>3.4507367623612187E-2</c:v>
                </c:pt>
                <c:pt idx="5">
                  <c:v>6.3397802360369654E-2</c:v>
                </c:pt>
                <c:pt idx="6">
                  <c:v>9.2440744555686155E-2</c:v>
                </c:pt>
                <c:pt idx="7">
                  <c:v>0.15135011504593057</c:v>
                </c:pt>
                <c:pt idx="8">
                  <c:v>0.29949892367379261</c:v>
                </c:pt>
                <c:pt idx="9">
                  <c:v>0.45906284552330068</c:v>
                </c:pt>
                <c:pt idx="10">
                  <c:v>0.65990098038478129</c:v>
                </c:pt>
                <c:pt idx="11">
                  <c:v>1</c:v>
                </c:pt>
              </c:numCache>
            </c:numRef>
          </c:yVal>
          <c:smooth val="1"/>
          <c:extLst>
            <c:ext xmlns:c16="http://schemas.microsoft.com/office/drawing/2014/chart" uri="{C3380CC4-5D6E-409C-BE32-E72D297353CC}">
              <c16:uniqueId val="{00000001-FAC0-4A37-8518-E0F381F736AC}"/>
            </c:ext>
          </c:extLst>
        </c:ser>
        <c:ser>
          <c:idx val="2"/>
          <c:order val="1"/>
          <c:tx>
            <c:v>Equality Line</c:v>
          </c:tx>
          <c:spPr>
            <a:ln w="19050" cap="rnd">
              <a:solidFill>
                <a:schemeClr val="accent2"/>
              </a:solidFill>
              <a:round/>
            </a:ln>
            <a:effectLst/>
          </c:spPr>
          <c:marker>
            <c:symbol val="none"/>
          </c:marker>
          <c:xVal>
            <c:numRef>
              <c:f>Gini_2010!$H$27:$H$38</c:f>
              <c:numCache>
                <c:formatCode>0.00</c:formatCode>
                <c:ptCount val="12"/>
                <c:pt idx="0">
                  <c:v>0</c:v>
                </c:pt>
                <c:pt idx="1">
                  <c:v>5.3336994479579163E-3</c:v>
                </c:pt>
                <c:pt idx="2">
                  <c:v>2.6913123149970838E-2</c:v>
                </c:pt>
                <c:pt idx="3">
                  <c:v>6.9033629507974842E-2</c:v>
                </c:pt>
                <c:pt idx="4">
                  <c:v>8.2496556835528118E-2</c:v>
                </c:pt>
                <c:pt idx="5">
                  <c:v>0.15743578192839366</c:v>
                </c:pt>
                <c:pt idx="6">
                  <c:v>0.48686808312700136</c:v>
                </c:pt>
                <c:pt idx="7">
                  <c:v>0.52940105365367107</c:v>
                </c:pt>
                <c:pt idx="8">
                  <c:v>0.673205421730659</c:v>
                </c:pt>
                <c:pt idx="9">
                  <c:v>0.81545034748834244</c:v>
                </c:pt>
                <c:pt idx="10">
                  <c:v>0.95392235636557376</c:v>
                </c:pt>
                <c:pt idx="11">
                  <c:v>1</c:v>
                </c:pt>
              </c:numCache>
            </c:numRef>
          </c:xVal>
          <c:yVal>
            <c:numRef>
              <c:f>Gini_2010!$H$27:$H$38</c:f>
              <c:numCache>
                <c:formatCode>0.00</c:formatCode>
                <c:ptCount val="12"/>
                <c:pt idx="0">
                  <c:v>0</c:v>
                </c:pt>
                <c:pt idx="1">
                  <c:v>5.3336994479579163E-3</c:v>
                </c:pt>
                <c:pt idx="2">
                  <c:v>2.6913123149970838E-2</c:v>
                </c:pt>
                <c:pt idx="3">
                  <c:v>6.9033629507974842E-2</c:v>
                </c:pt>
                <c:pt idx="4">
                  <c:v>8.2496556835528118E-2</c:v>
                </c:pt>
                <c:pt idx="5">
                  <c:v>0.15743578192839366</c:v>
                </c:pt>
                <c:pt idx="6">
                  <c:v>0.48686808312700136</c:v>
                </c:pt>
                <c:pt idx="7">
                  <c:v>0.52940105365367107</c:v>
                </c:pt>
                <c:pt idx="8">
                  <c:v>0.673205421730659</c:v>
                </c:pt>
                <c:pt idx="9">
                  <c:v>0.81545034748834244</c:v>
                </c:pt>
                <c:pt idx="10">
                  <c:v>0.95392235636557376</c:v>
                </c:pt>
                <c:pt idx="11">
                  <c:v>1</c:v>
                </c:pt>
              </c:numCache>
            </c:numRef>
          </c:yVal>
          <c:smooth val="1"/>
          <c:extLst>
            <c:ext xmlns:c16="http://schemas.microsoft.com/office/drawing/2014/chart" uri="{C3380CC4-5D6E-409C-BE32-E72D297353CC}">
              <c16:uniqueId val="{00000002-FAC0-4A37-8518-E0F381F736AC}"/>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Population</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ETa</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Gini_2010!$H$49:$H$60</c:f>
              <c:numCache>
                <c:formatCode>0.00</c:formatCode>
                <c:ptCount val="12"/>
                <c:pt idx="0">
                  <c:v>0</c:v>
                </c:pt>
                <c:pt idx="1">
                  <c:v>0.32943230119860772</c:v>
                </c:pt>
                <c:pt idx="2">
                  <c:v>0.4679043100758391</c:v>
                </c:pt>
                <c:pt idx="3">
                  <c:v>0.51398195371026534</c:v>
                </c:pt>
                <c:pt idx="4">
                  <c:v>0.65778632178725327</c:v>
                </c:pt>
                <c:pt idx="5">
                  <c:v>0.6793657454892662</c:v>
                </c:pt>
                <c:pt idx="6">
                  <c:v>0.69282867281681948</c:v>
                </c:pt>
                <c:pt idx="7">
                  <c:v>0.6981623722647774</c:v>
                </c:pt>
                <c:pt idx="8">
                  <c:v>0.74028287862278142</c:v>
                </c:pt>
                <c:pt idx="9">
                  <c:v>0.81522210371564696</c:v>
                </c:pt>
                <c:pt idx="10">
                  <c:v>0.85775507424231667</c:v>
                </c:pt>
                <c:pt idx="11">
                  <c:v>1</c:v>
                </c:pt>
              </c:numCache>
            </c:numRef>
          </c:xVal>
          <c:yVal>
            <c:numRef>
              <c:f>Gini_2010!$H$49:$H$60</c:f>
              <c:numCache>
                <c:formatCode>0.00</c:formatCode>
                <c:ptCount val="12"/>
                <c:pt idx="0">
                  <c:v>0</c:v>
                </c:pt>
                <c:pt idx="1">
                  <c:v>0.32943230119860772</c:v>
                </c:pt>
                <c:pt idx="2">
                  <c:v>0.4679043100758391</c:v>
                </c:pt>
                <c:pt idx="3">
                  <c:v>0.51398195371026534</c:v>
                </c:pt>
                <c:pt idx="4">
                  <c:v>0.65778632178725327</c:v>
                </c:pt>
                <c:pt idx="5">
                  <c:v>0.6793657454892662</c:v>
                </c:pt>
                <c:pt idx="6">
                  <c:v>0.69282867281681948</c:v>
                </c:pt>
                <c:pt idx="7">
                  <c:v>0.6981623722647774</c:v>
                </c:pt>
                <c:pt idx="8">
                  <c:v>0.74028287862278142</c:v>
                </c:pt>
                <c:pt idx="9">
                  <c:v>0.81522210371564696</c:v>
                </c:pt>
                <c:pt idx="10">
                  <c:v>0.85775507424231667</c:v>
                </c:pt>
                <c:pt idx="11">
                  <c:v>1</c:v>
                </c:pt>
              </c:numCache>
            </c:numRef>
          </c:yVal>
          <c:smooth val="1"/>
          <c:extLst>
            <c:ext xmlns:c16="http://schemas.microsoft.com/office/drawing/2014/chart" uri="{C3380CC4-5D6E-409C-BE32-E72D297353CC}">
              <c16:uniqueId val="{00000000-6292-4EC0-86DC-6AE4C2AC0D16}"/>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6292-4EC0-86DC-6AE4C2AC0D16}"/>
              </c:ext>
            </c:extLst>
          </c:dPt>
          <c:xVal>
            <c:numRef>
              <c:f>Gini_2010!$H$49:$H$60</c:f>
              <c:numCache>
                <c:formatCode>0.00</c:formatCode>
                <c:ptCount val="12"/>
                <c:pt idx="0">
                  <c:v>0</c:v>
                </c:pt>
                <c:pt idx="1">
                  <c:v>0.32943230119860772</c:v>
                </c:pt>
                <c:pt idx="2">
                  <c:v>0.4679043100758391</c:v>
                </c:pt>
                <c:pt idx="3">
                  <c:v>0.51398195371026534</c:v>
                </c:pt>
                <c:pt idx="4">
                  <c:v>0.65778632178725327</c:v>
                </c:pt>
                <c:pt idx="5">
                  <c:v>0.6793657454892662</c:v>
                </c:pt>
                <c:pt idx="6">
                  <c:v>0.69282867281681948</c:v>
                </c:pt>
                <c:pt idx="7">
                  <c:v>0.6981623722647774</c:v>
                </c:pt>
                <c:pt idx="8">
                  <c:v>0.74028287862278142</c:v>
                </c:pt>
                <c:pt idx="9">
                  <c:v>0.81522210371564696</c:v>
                </c:pt>
                <c:pt idx="10">
                  <c:v>0.85775507424231667</c:v>
                </c:pt>
                <c:pt idx="11">
                  <c:v>1</c:v>
                </c:pt>
              </c:numCache>
            </c:numRef>
          </c:xVal>
          <c:yVal>
            <c:numRef>
              <c:f>Gini_2010!$G$49:$G$60</c:f>
              <c:numCache>
                <c:formatCode>0.00</c:formatCode>
                <c:ptCount val="12"/>
                <c:pt idx="0">
                  <c:v>0</c:v>
                </c:pt>
                <c:pt idx="1">
                  <c:v>0</c:v>
                </c:pt>
                <c:pt idx="2">
                  <c:v>0</c:v>
                </c:pt>
                <c:pt idx="3">
                  <c:v>0</c:v>
                </c:pt>
                <c:pt idx="4">
                  <c:v>0</c:v>
                </c:pt>
                <c:pt idx="5">
                  <c:v>7.9080986475198595E-3</c:v>
                </c:pt>
                <c:pt idx="6">
                  <c:v>2.3417865566434042E-2</c:v>
                </c:pt>
                <c:pt idx="7">
                  <c:v>4.5877312464558895E-2</c:v>
                </c:pt>
                <c:pt idx="8">
                  <c:v>6.8695589350788552E-2</c:v>
                </c:pt>
                <c:pt idx="9">
                  <c:v>0.18104192875176706</c:v>
                </c:pt>
                <c:pt idx="10">
                  <c:v>0.33328865924034001</c:v>
                </c:pt>
                <c:pt idx="11">
                  <c:v>0.99999999999999989</c:v>
                </c:pt>
              </c:numCache>
            </c:numRef>
          </c:yVal>
          <c:smooth val="0"/>
          <c:extLst>
            <c:ext xmlns:c16="http://schemas.microsoft.com/office/drawing/2014/chart" uri="{C3380CC4-5D6E-409C-BE32-E72D297353CC}">
              <c16:uniqueId val="{00000002-6292-4EC0-86DC-6AE4C2AC0D16}"/>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Population</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Available Water</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Gini_2010!$H$70:$H$81</c:f>
              <c:numCache>
                <c:formatCode>0.00</c:formatCode>
                <c:ptCount val="12"/>
                <c:pt idx="0">
                  <c:v>0</c:v>
                </c:pt>
                <c:pt idx="1">
                  <c:v>2.1579423702012924E-2</c:v>
                </c:pt>
                <c:pt idx="2">
                  <c:v>3.504235102956621E-2</c:v>
                </c:pt>
                <c:pt idx="3">
                  <c:v>4.0376050477524128E-2</c:v>
                </c:pt>
                <c:pt idx="4">
                  <c:v>8.2496556835528145E-2</c:v>
                </c:pt>
                <c:pt idx="5">
                  <c:v>0.15743578192839369</c:v>
                </c:pt>
                <c:pt idx="6">
                  <c:v>0.30124015000538162</c:v>
                </c:pt>
                <c:pt idx="7">
                  <c:v>0.34731779363980786</c:v>
                </c:pt>
                <c:pt idx="8">
                  <c:v>0.38985076416647763</c:v>
                </c:pt>
                <c:pt idx="9">
                  <c:v>0.528322773043709</c:v>
                </c:pt>
                <c:pt idx="10">
                  <c:v>0.85775507424231678</c:v>
                </c:pt>
                <c:pt idx="11">
                  <c:v>1.0000000000000002</c:v>
                </c:pt>
              </c:numCache>
            </c:numRef>
          </c:xVal>
          <c:yVal>
            <c:numRef>
              <c:f>Gini_2010!$H$70:$H$81</c:f>
              <c:numCache>
                <c:formatCode>0.00</c:formatCode>
                <c:ptCount val="12"/>
                <c:pt idx="0">
                  <c:v>0</c:v>
                </c:pt>
                <c:pt idx="1">
                  <c:v>2.1579423702012924E-2</c:v>
                </c:pt>
                <c:pt idx="2">
                  <c:v>3.504235102956621E-2</c:v>
                </c:pt>
                <c:pt idx="3">
                  <c:v>4.0376050477524128E-2</c:v>
                </c:pt>
                <c:pt idx="4">
                  <c:v>8.2496556835528145E-2</c:v>
                </c:pt>
                <c:pt idx="5">
                  <c:v>0.15743578192839369</c:v>
                </c:pt>
                <c:pt idx="6">
                  <c:v>0.30124015000538162</c:v>
                </c:pt>
                <c:pt idx="7">
                  <c:v>0.34731779363980786</c:v>
                </c:pt>
                <c:pt idx="8">
                  <c:v>0.38985076416647763</c:v>
                </c:pt>
                <c:pt idx="9">
                  <c:v>0.528322773043709</c:v>
                </c:pt>
                <c:pt idx="10">
                  <c:v>0.85775507424231678</c:v>
                </c:pt>
                <c:pt idx="11">
                  <c:v>1.0000000000000002</c:v>
                </c:pt>
              </c:numCache>
            </c:numRef>
          </c:yVal>
          <c:smooth val="1"/>
          <c:extLst>
            <c:ext xmlns:c16="http://schemas.microsoft.com/office/drawing/2014/chart" uri="{C3380CC4-5D6E-409C-BE32-E72D297353CC}">
              <c16:uniqueId val="{00000000-4822-49D0-A05D-294D7A1F837A}"/>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4822-49D0-A05D-294D7A1F837A}"/>
              </c:ext>
            </c:extLst>
          </c:dPt>
          <c:xVal>
            <c:numRef>
              <c:f>Gini_2010!$H$70:$H$81</c:f>
              <c:numCache>
                <c:formatCode>0.00</c:formatCode>
                <c:ptCount val="12"/>
                <c:pt idx="0">
                  <c:v>0</c:v>
                </c:pt>
                <c:pt idx="1">
                  <c:v>2.1579423702012924E-2</c:v>
                </c:pt>
                <c:pt idx="2">
                  <c:v>3.504235102956621E-2</c:v>
                </c:pt>
                <c:pt idx="3">
                  <c:v>4.0376050477524128E-2</c:v>
                </c:pt>
                <c:pt idx="4">
                  <c:v>8.2496556835528145E-2</c:v>
                </c:pt>
                <c:pt idx="5">
                  <c:v>0.15743578192839369</c:v>
                </c:pt>
                <c:pt idx="6">
                  <c:v>0.30124015000538162</c:v>
                </c:pt>
                <c:pt idx="7">
                  <c:v>0.34731779363980786</c:v>
                </c:pt>
                <c:pt idx="8">
                  <c:v>0.38985076416647763</c:v>
                </c:pt>
                <c:pt idx="9">
                  <c:v>0.528322773043709</c:v>
                </c:pt>
                <c:pt idx="10">
                  <c:v>0.85775507424231678</c:v>
                </c:pt>
                <c:pt idx="11">
                  <c:v>1.0000000000000002</c:v>
                </c:pt>
              </c:numCache>
            </c:numRef>
          </c:xVal>
          <c:yVal>
            <c:numRef>
              <c:f>Gini_2010!$G$70:$G$81</c:f>
              <c:numCache>
                <c:formatCode>0.00</c:formatCode>
                <c:ptCount val="12"/>
                <c:pt idx="0">
                  <c:v>0</c:v>
                </c:pt>
                <c:pt idx="1">
                  <c:v>4.1855150022580721E-3</c:v>
                </c:pt>
                <c:pt idx="2">
                  <c:v>1.2394360770893034E-2</c:v>
                </c:pt>
                <c:pt idx="3">
                  <c:v>2.4281459822698838E-2</c:v>
                </c:pt>
                <c:pt idx="4">
                  <c:v>4.9255204088749713E-2</c:v>
                </c:pt>
                <c:pt idx="5">
                  <c:v>0.10871668907655338</c:v>
                </c:pt>
                <c:pt idx="6">
                  <c:v>0.18032746526201532</c:v>
                </c:pt>
                <c:pt idx="7">
                  <c:v>0.26008354300411751</c:v>
                </c:pt>
                <c:pt idx="8">
                  <c:v>0.34066308593944905</c:v>
                </c:pt>
                <c:pt idx="9">
                  <c:v>0.45537608286213216</c:v>
                </c:pt>
                <c:pt idx="10">
                  <c:v>0.64713005700803738</c:v>
                </c:pt>
                <c:pt idx="11">
                  <c:v>1</c:v>
                </c:pt>
              </c:numCache>
            </c:numRef>
          </c:yVal>
          <c:smooth val="0"/>
          <c:extLst>
            <c:ext xmlns:c16="http://schemas.microsoft.com/office/drawing/2014/chart" uri="{C3380CC4-5D6E-409C-BE32-E72D297353CC}">
              <c16:uniqueId val="{00000002-4822-49D0-A05D-294D7A1F837A}"/>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Population</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total available water</a:t>
                </a:r>
                <a:endParaRPr lang="en-US"/>
              </a:p>
            </c:rich>
          </c:tx>
          <c:layout>
            <c:manualLayout>
              <c:xMode val="edge"/>
              <c:yMode val="edge"/>
              <c:x val="1.6122160326311905E-2"/>
              <c:y val="0.14339278018953905"/>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Gini_2010!$H$94:$H$105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xVal>
          <c:yVal>
            <c:numRef>
              <c:f>Gini_2010!$H$94:$H$105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yVal>
          <c:smooth val="1"/>
          <c:extLst>
            <c:ext xmlns:c16="http://schemas.microsoft.com/office/drawing/2014/chart" uri="{C3380CC4-5D6E-409C-BE32-E72D297353CC}">
              <c16:uniqueId val="{00000000-FD9A-42BB-812E-9F53D5D6C528}"/>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FD9A-42BB-812E-9F53D5D6C528}"/>
              </c:ext>
            </c:extLst>
          </c:dPt>
          <c:xVal>
            <c:numRef>
              <c:f>Gini_2010!$H$178:$H$189</c:f>
              <c:numCache>
                <c:formatCode>0.00</c:formatCode>
                <c:ptCount val="12"/>
                <c:pt idx="0">
                  <c:v>0</c:v>
                </c:pt>
                <c:pt idx="1">
                  <c:v>8.2249727275718124E-2</c:v>
                </c:pt>
                <c:pt idx="2">
                  <c:v>9.0263247322775519E-2</c:v>
                </c:pt>
                <c:pt idx="3">
                  <c:v>9.4581027823807909E-2</c:v>
                </c:pt>
                <c:pt idx="4">
                  <c:v>0.1013971131412383</c:v>
                </c:pt>
                <c:pt idx="5">
                  <c:v>0.10808687676914244</c:v>
                </c:pt>
                <c:pt idx="6">
                  <c:v>0.12427174144854033</c:v>
                </c:pt>
                <c:pt idx="7">
                  <c:v>0.16345651867644251</c:v>
                </c:pt>
                <c:pt idx="8">
                  <c:v>0.24099269172425059</c:v>
                </c:pt>
                <c:pt idx="9">
                  <c:v>0.67926609315684749</c:v>
                </c:pt>
                <c:pt idx="10">
                  <c:v>0.79811612788873898</c:v>
                </c:pt>
                <c:pt idx="11">
                  <c:v>1</c:v>
                </c:pt>
              </c:numCache>
            </c:numRef>
          </c:xVal>
          <c:yVal>
            <c:numRef>
              <c:f>Gini_2010!$G$178:$G$189</c:f>
              <c:numCache>
                <c:formatCode>0.00</c:formatCode>
                <c:ptCount val="12"/>
                <c:pt idx="0">
                  <c:v>0</c:v>
                </c:pt>
                <c:pt idx="1">
                  <c:v>1.0017090868103106E-3</c:v>
                </c:pt>
                <c:pt idx="2">
                  <c:v>8.2470804072172152E-3</c:v>
                </c:pt>
                <c:pt idx="3">
                  <c:v>1.5760094130145938E-2</c:v>
                </c:pt>
                <c:pt idx="4">
                  <c:v>2.7804808298560139E-2</c:v>
                </c:pt>
                <c:pt idx="5">
                  <c:v>4.184886209984176E-2</c:v>
                </c:pt>
                <c:pt idx="6">
                  <c:v>7.9891776506692158E-2</c:v>
                </c:pt>
                <c:pt idx="7">
                  <c:v>0.14717682123810072</c:v>
                </c:pt>
                <c:pt idx="8">
                  <c:v>0.29604930745691221</c:v>
                </c:pt>
                <c:pt idx="9">
                  <c:v>0.47662860013943331</c:v>
                </c:pt>
                <c:pt idx="10">
                  <c:v>0.69238531203438969</c:v>
                </c:pt>
                <c:pt idx="11">
                  <c:v>1</c:v>
                </c:pt>
              </c:numCache>
            </c:numRef>
          </c:yVal>
          <c:smooth val="0"/>
          <c:extLst>
            <c:ext xmlns:c16="http://schemas.microsoft.com/office/drawing/2014/chart" uri="{C3380CC4-5D6E-409C-BE32-E72D297353CC}">
              <c16:uniqueId val="{00000002-FD9A-42BB-812E-9F53D5D6C528}"/>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Precipitation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301861863580613"/>
          <c:y val="0.1566342980154827"/>
          <c:w val="0.54960252622417904"/>
          <c:h val="0.65904922055244786"/>
        </c:manualLayout>
      </c:layout>
      <c:scatterChart>
        <c:scatterStyle val="smoothMarker"/>
        <c:varyColors val="0"/>
        <c:ser>
          <c:idx val="1"/>
          <c:order val="1"/>
          <c:tx>
            <c:v>Equality Line</c:v>
          </c:tx>
          <c:spPr>
            <a:ln w="19050" cap="rnd">
              <a:solidFill>
                <a:schemeClr val="accent2"/>
              </a:solidFill>
              <a:round/>
            </a:ln>
            <a:effectLst/>
          </c:spPr>
          <c:marker>
            <c:symbol val="none"/>
          </c:marker>
          <c:xVal>
            <c:numRef>
              <c:f>Gini_2010!$H$115:$H$126</c:f>
              <c:numCache>
                <c:formatCode>0.00</c:formatCode>
                <c:ptCount val="12"/>
                <c:pt idx="0">
                  <c:v>0</c:v>
                </c:pt>
                <c:pt idx="1">
                  <c:v>8.6508040877704764E-3</c:v>
                </c:pt>
                <c:pt idx="2">
                  <c:v>2.233691110888162E-2</c:v>
                </c:pt>
                <c:pt idx="3">
                  <c:v>4.5534073596056365E-2</c:v>
                </c:pt>
                <c:pt idx="4">
                  <c:v>5.3837159897602418E-2</c:v>
                </c:pt>
                <c:pt idx="5">
                  <c:v>0.11688690634392547</c:v>
                </c:pt>
                <c:pt idx="6">
                  <c:v>0.17846731707242672</c:v>
                </c:pt>
                <c:pt idx="7">
                  <c:v>0.25736713399590871</c:v>
                </c:pt>
                <c:pt idx="8">
                  <c:v>0.38405950424456814</c:v>
                </c:pt>
                <c:pt idx="9">
                  <c:v>0.65743534284662219</c:v>
                </c:pt>
                <c:pt idx="10">
                  <c:v>0.98464491670321019</c:v>
                </c:pt>
                <c:pt idx="11">
                  <c:v>1.0000000000000002</c:v>
                </c:pt>
              </c:numCache>
            </c:numRef>
          </c:xVal>
          <c:yVal>
            <c:numRef>
              <c:f>Gini_2010!$H$115:$H$126</c:f>
              <c:numCache>
                <c:formatCode>0.00</c:formatCode>
                <c:ptCount val="12"/>
                <c:pt idx="0">
                  <c:v>0</c:v>
                </c:pt>
                <c:pt idx="1">
                  <c:v>8.6508040877704764E-3</c:v>
                </c:pt>
                <c:pt idx="2">
                  <c:v>2.233691110888162E-2</c:v>
                </c:pt>
                <c:pt idx="3">
                  <c:v>4.5534073596056365E-2</c:v>
                </c:pt>
                <c:pt idx="4">
                  <c:v>5.3837159897602418E-2</c:v>
                </c:pt>
                <c:pt idx="5">
                  <c:v>0.11688690634392547</c:v>
                </c:pt>
                <c:pt idx="6">
                  <c:v>0.17846731707242672</c:v>
                </c:pt>
                <c:pt idx="7">
                  <c:v>0.25736713399590871</c:v>
                </c:pt>
                <c:pt idx="8">
                  <c:v>0.38405950424456814</c:v>
                </c:pt>
                <c:pt idx="9">
                  <c:v>0.65743534284662219</c:v>
                </c:pt>
                <c:pt idx="10">
                  <c:v>0.98464491670321019</c:v>
                </c:pt>
                <c:pt idx="11">
                  <c:v>1.0000000000000002</c:v>
                </c:pt>
              </c:numCache>
            </c:numRef>
          </c:yVal>
          <c:smooth val="1"/>
          <c:extLst>
            <c:ext xmlns:c16="http://schemas.microsoft.com/office/drawing/2014/chart" uri="{C3380CC4-5D6E-409C-BE32-E72D297353CC}">
              <c16:uniqueId val="{00000000-0A32-4E7B-82AE-E1809447447F}"/>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0A32-4E7B-82AE-E1809447447F}"/>
              </c:ext>
            </c:extLst>
          </c:dPt>
          <c:xVal>
            <c:numRef>
              <c:f>Gini_2010!$H$199:$H$210</c:f>
              <c:numCache>
                <c:formatCode>0.00</c:formatCode>
                <c:ptCount val="12"/>
                <c:pt idx="0">
                  <c:v>0</c:v>
                </c:pt>
                <c:pt idx="1">
                  <c:v>8.0135200470573958E-3</c:v>
                </c:pt>
                <c:pt idx="2">
                  <c:v>1.2331300548089792E-2</c:v>
                </c:pt>
                <c:pt idx="3">
                  <c:v>1.9147385865520176E-2</c:v>
                </c:pt>
                <c:pt idx="4">
                  <c:v>2.5837149493424316E-2</c:v>
                </c:pt>
                <c:pt idx="5">
                  <c:v>4.2022014172822211E-2</c:v>
                </c:pt>
                <c:pt idx="6">
                  <c:v>0.12427174144854033</c:v>
                </c:pt>
                <c:pt idx="7">
                  <c:v>0.16345651867644251</c:v>
                </c:pt>
                <c:pt idx="8">
                  <c:v>0.24099269172425059</c:v>
                </c:pt>
                <c:pt idx="9">
                  <c:v>0.35984272645614207</c:v>
                </c:pt>
                <c:pt idx="10">
                  <c:v>0.79811612788873898</c:v>
                </c:pt>
                <c:pt idx="11">
                  <c:v>1</c:v>
                </c:pt>
              </c:numCache>
            </c:numRef>
          </c:xVal>
          <c:yVal>
            <c:numRef>
              <c:f>Gini_2010!$G$199:$G$210</c:f>
              <c:numCache>
                <c:formatCode>0.00</c:formatCode>
                <c:ptCount val="12"/>
                <c:pt idx="0">
                  <c:v>0</c:v>
                </c:pt>
                <c:pt idx="1">
                  <c:v>5.365070841658535E-3</c:v>
                </c:pt>
                <c:pt idx="2">
                  <c:v>1.2036997614611612E-2</c:v>
                </c:pt>
                <c:pt idx="3">
                  <c:v>2.1999508457457191E-2</c:v>
                </c:pt>
                <c:pt idx="4">
                  <c:v>3.4507367623612187E-2</c:v>
                </c:pt>
                <c:pt idx="5">
                  <c:v>6.3397802360369654E-2</c:v>
                </c:pt>
                <c:pt idx="6">
                  <c:v>9.2440744555686155E-2</c:v>
                </c:pt>
                <c:pt idx="7">
                  <c:v>0.15135011504593057</c:v>
                </c:pt>
                <c:pt idx="8">
                  <c:v>0.29949892367379261</c:v>
                </c:pt>
                <c:pt idx="9">
                  <c:v>0.45906284552330068</c:v>
                </c:pt>
                <c:pt idx="10">
                  <c:v>0.65990098038478129</c:v>
                </c:pt>
                <c:pt idx="11">
                  <c:v>1</c:v>
                </c:pt>
              </c:numCache>
            </c:numRef>
          </c:yVal>
          <c:smooth val="0"/>
          <c:extLst>
            <c:ext xmlns:c16="http://schemas.microsoft.com/office/drawing/2014/chart" uri="{C3380CC4-5D6E-409C-BE32-E72D297353CC}">
              <c16:uniqueId val="{00000002-0A32-4E7B-82AE-E1809447447F}"/>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ETa</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Gini_2010!$H$136:$H$147</c:f>
              <c:numCache>
                <c:formatCode>0.00</c:formatCode>
                <c:ptCount val="12"/>
                <c:pt idx="0">
                  <c:v>0</c:v>
                </c:pt>
                <c:pt idx="1">
                  <c:v>6.1580410728501248E-2</c:v>
                </c:pt>
                <c:pt idx="2">
                  <c:v>0.38878998458508923</c:v>
                </c:pt>
                <c:pt idx="3">
                  <c:v>0.40414506788187921</c:v>
                </c:pt>
                <c:pt idx="4">
                  <c:v>0.53083743813053863</c:v>
                </c:pt>
                <c:pt idx="5">
                  <c:v>0.5445235451516498</c:v>
                </c:pt>
                <c:pt idx="6">
                  <c:v>0.55282663145319588</c:v>
                </c:pt>
                <c:pt idx="7">
                  <c:v>0.56147743554096641</c:v>
                </c:pt>
                <c:pt idx="8">
                  <c:v>0.58467459802814115</c:v>
                </c:pt>
                <c:pt idx="9">
                  <c:v>0.64772434447446425</c:v>
                </c:pt>
                <c:pt idx="10">
                  <c:v>0.72662416139794628</c:v>
                </c:pt>
                <c:pt idx="11">
                  <c:v>1.0000000000000002</c:v>
                </c:pt>
              </c:numCache>
            </c:numRef>
          </c:xVal>
          <c:yVal>
            <c:numRef>
              <c:f>Gini_2010!$H$136:$H$147</c:f>
              <c:numCache>
                <c:formatCode>0.00</c:formatCode>
                <c:ptCount val="12"/>
                <c:pt idx="0">
                  <c:v>0</c:v>
                </c:pt>
                <c:pt idx="1">
                  <c:v>6.1580410728501248E-2</c:v>
                </c:pt>
                <c:pt idx="2">
                  <c:v>0.38878998458508923</c:v>
                </c:pt>
                <c:pt idx="3">
                  <c:v>0.40414506788187921</c:v>
                </c:pt>
                <c:pt idx="4">
                  <c:v>0.53083743813053863</c:v>
                </c:pt>
                <c:pt idx="5">
                  <c:v>0.5445235451516498</c:v>
                </c:pt>
                <c:pt idx="6">
                  <c:v>0.55282663145319588</c:v>
                </c:pt>
                <c:pt idx="7">
                  <c:v>0.56147743554096641</c:v>
                </c:pt>
                <c:pt idx="8">
                  <c:v>0.58467459802814115</c:v>
                </c:pt>
                <c:pt idx="9">
                  <c:v>0.64772434447446425</c:v>
                </c:pt>
                <c:pt idx="10">
                  <c:v>0.72662416139794628</c:v>
                </c:pt>
                <c:pt idx="11">
                  <c:v>1.0000000000000002</c:v>
                </c:pt>
              </c:numCache>
            </c:numRef>
          </c:yVal>
          <c:smooth val="1"/>
          <c:extLst>
            <c:ext xmlns:c16="http://schemas.microsoft.com/office/drawing/2014/chart" uri="{C3380CC4-5D6E-409C-BE32-E72D297353CC}">
              <c16:uniqueId val="{00000000-421B-42AA-B79F-91A44E3A6E54}"/>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421B-42AA-B79F-91A44E3A6E54}"/>
              </c:ext>
            </c:extLst>
          </c:dPt>
          <c:xVal>
            <c:numRef>
              <c:f>Gini_2010!$H$220:$H$231</c:f>
              <c:numCache>
                <c:formatCode>0.00</c:formatCode>
                <c:ptCount val="12"/>
                <c:pt idx="0">
                  <c:v>0</c:v>
                </c:pt>
                <c:pt idx="1">
                  <c:v>8.2249727275718124E-2</c:v>
                </c:pt>
                <c:pt idx="2">
                  <c:v>0.52052312870831507</c:v>
                </c:pt>
                <c:pt idx="3">
                  <c:v>0.7224070008195761</c:v>
                </c:pt>
                <c:pt idx="4">
                  <c:v>0.79994317386738423</c:v>
                </c:pt>
                <c:pt idx="5">
                  <c:v>0.8042609543684166</c:v>
                </c:pt>
                <c:pt idx="6">
                  <c:v>0.81095071799632079</c:v>
                </c:pt>
                <c:pt idx="7">
                  <c:v>0.81896423804337815</c:v>
                </c:pt>
                <c:pt idx="8">
                  <c:v>0.82578032336080853</c:v>
                </c:pt>
                <c:pt idx="9">
                  <c:v>0.84196518804020648</c:v>
                </c:pt>
                <c:pt idx="10">
                  <c:v>0.88114996526810863</c:v>
                </c:pt>
                <c:pt idx="11">
                  <c:v>1.0000000000000002</c:v>
                </c:pt>
              </c:numCache>
            </c:numRef>
          </c:xVal>
          <c:yVal>
            <c:numRef>
              <c:f>Gini_2010!$G$220:$G$231</c:f>
              <c:numCache>
                <c:formatCode>0.00</c:formatCode>
                <c:ptCount val="12"/>
                <c:pt idx="0">
                  <c:v>0</c:v>
                </c:pt>
                <c:pt idx="1">
                  <c:v>0</c:v>
                </c:pt>
                <c:pt idx="2">
                  <c:v>0</c:v>
                </c:pt>
                <c:pt idx="3">
                  <c:v>0</c:v>
                </c:pt>
                <c:pt idx="4">
                  <c:v>0</c:v>
                </c:pt>
                <c:pt idx="5">
                  <c:v>7.9080986475198595E-3</c:v>
                </c:pt>
                <c:pt idx="6">
                  <c:v>2.3417865566434042E-2</c:v>
                </c:pt>
                <c:pt idx="7">
                  <c:v>4.5877312464558895E-2</c:v>
                </c:pt>
                <c:pt idx="8">
                  <c:v>6.8695589350788552E-2</c:v>
                </c:pt>
                <c:pt idx="9">
                  <c:v>0.18104192875176706</c:v>
                </c:pt>
                <c:pt idx="10">
                  <c:v>0.33328865924034001</c:v>
                </c:pt>
                <c:pt idx="11">
                  <c:v>0.99999999999999989</c:v>
                </c:pt>
              </c:numCache>
            </c:numRef>
          </c:yVal>
          <c:smooth val="0"/>
          <c:extLst>
            <c:ext xmlns:c16="http://schemas.microsoft.com/office/drawing/2014/chart" uri="{C3380CC4-5D6E-409C-BE32-E72D297353CC}">
              <c16:uniqueId val="{00000002-421B-42AA-B79F-91A44E3A6E54}"/>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Available Water</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Gini_2010!$H$157:$H$168</c:f>
              <c:numCache>
                <c:formatCode>0.00</c:formatCode>
                <c:ptCount val="12"/>
                <c:pt idx="0">
                  <c:v>0</c:v>
                </c:pt>
                <c:pt idx="1">
                  <c:v>1.3686107021111144E-2</c:v>
                </c:pt>
                <c:pt idx="2">
                  <c:v>2.19891933226572E-2</c:v>
                </c:pt>
                <c:pt idx="3">
                  <c:v>3.0639997410427677E-2</c:v>
                </c:pt>
                <c:pt idx="4">
                  <c:v>5.3837159897602418E-2</c:v>
                </c:pt>
                <c:pt idx="5">
                  <c:v>0.11688690634392547</c:v>
                </c:pt>
                <c:pt idx="6">
                  <c:v>0.24357927659258494</c:v>
                </c:pt>
                <c:pt idx="7">
                  <c:v>0.25893435988937491</c:v>
                </c:pt>
                <c:pt idx="8">
                  <c:v>0.33783417681285688</c:v>
                </c:pt>
                <c:pt idx="9">
                  <c:v>0.66504375066944488</c:v>
                </c:pt>
                <c:pt idx="10">
                  <c:v>0.72662416139794617</c:v>
                </c:pt>
                <c:pt idx="11">
                  <c:v>1.0000000000000002</c:v>
                </c:pt>
              </c:numCache>
            </c:numRef>
          </c:xVal>
          <c:yVal>
            <c:numRef>
              <c:f>Gini_2010!$H$157:$H$168</c:f>
              <c:numCache>
                <c:formatCode>0.00</c:formatCode>
                <c:ptCount val="12"/>
                <c:pt idx="0">
                  <c:v>0</c:v>
                </c:pt>
                <c:pt idx="1">
                  <c:v>1.3686107021111144E-2</c:v>
                </c:pt>
                <c:pt idx="2">
                  <c:v>2.19891933226572E-2</c:v>
                </c:pt>
                <c:pt idx="3">
                  <c:v>3.0639997410427677E-2</c:v>
                </c:pt>
                <c:pt idx="4">
                  <c:v>5.3837159897602418E-2</c:v>
                </c:pt>
                <c:pt idx="5">
                  <c:v>0.11688690634392547</c:v>
                </c:pt>
                <c:pt idx="6">
                  <c:v>0.24357927659258494</c:v>
                </c:pt>
                <c:pt idx="7">
                  <c:v>0.25893435988937491</c:v>
                </c:pt>
                <c:pt idx="8">
                  <c:v>0.33783417681285688</c:v>
                </c:pt>
                <c:pt idx="9">
                  <c:v>0.66504375066944488</c:v>
                </c:pt>
                <c:pt idx="10">
                  <c:v>0.72662416139794617</c:v>
                </c:pt>
                <c:pt idx="11">
                  <c:v>1.0000000000000002</c:v>
                </c:pt>
              </c:numCache>
            </c:numRef>
          </c:yVal>
          <c:smooth val="1"/>
          <c:extLst>
            <c:ext xmlns:c16="http://schemas.microsoft.com/office/drawing/2014/chart" uri="{C3380CC4-5D6E-409C-BE32-E72D297353CC}">
              <c16:uniqueId val="{00000000-8DF2-4B55-8041-F7E4B7483295}"/>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8DF2-4B55-8041-F7E4B7483295}"/>
              </c:ext>
            </c:extLst>
          </c:dPt>
          <c:xVal>
            <c:numRef>
              <c:f>Gini_2010!$H$241:$H$252</c:f>
              <c:numCache>
                <c:formatCode>0.00</c:formatCode>
                <c:ptCount val="12"/>
                <c:pt idx="0">
                  <c:v>0</c:v>
                </c:pt>
                <c:pt idx="1">
                  <c:v>4.3177805010323946E-3</c:v>
                </c:pt>
                <c:pt idx="2">
                  <c:v>1.1007544128936533E-2</c:v>
                </c:pt>
                <c:pt idx="3">
                  <c:v>1.9021064175993925E-2</c:v>
                </c:pt>
                <c:pt idx="4">
                  <c:v>2.5837149493424309E-2</c:v>
                </c:pt>
                <c:pt idx="5">
                  <c:v>4.2022014172822197E-2</c:v>
                </c:pt>
                <c:pt idx="6">
                  <c:v>0.11955818722063027</c:v>
                </c:pt>
                <c:pt idx="7">
                  <c:v>0.32144205933189129</c:v>
                </c:pt>
                <c:pt idx="8">
                  <c:v>0.36062683655979344</c:v>
                </c:pt>
                <c:pt idx="9">
                  <c:v>0.79890023799239029</c:v>
                </c:pt>
                <c:pt idx="10">
                  <c:v>0.8811499652681084</c:v>
                </c:pt>
                <c:pt idx="11">
                  <c:v>0.99999999999999989</c:v>
                </c:pt>
              </c:numCache>
            </c:numRef>
          </c:xVal>
          <c:yVal>
            <c:numRef>
              <c:f>Gini_2010!$G$241:$G$252</c:f>
              <c:numCache>
                <c:formatCode>0.00</c:formatCode>
                <c:ptCount val="12"/>
                <c:pt idx="0">
                  <c:v>0</c:v>
                </c:pt>
                <c:pt idx="1">
                  <c:v>4.1855150022580721E-3</c:v>
                </c:pt>
                <c:pt idx="2">
                  <c:v>1.2394360770893034E-2</c:v>
                </c:pt>
                <c:pt idx="3">
                  <c:v>2.4281459822698838E-2</c:v>
                </c:pt>
                <c:pt idx="4">
                  <c:v>4.9255204088749713E-2</c:v>
                </c:pt>
                <c:pt idx="5">
                  <c:v>0.10871668907655338</c:v>
                </c:pt>
                <c:pt idx="6">
                  <c:v>0.18032746526201532</c:v>
                </c:pt>
                <c:pt idx="7">
                  <c:v>0.26008354300411751</c:v>
                </c:pt>
                <c:pt idx="8">
                  <c:v>0.34066308593944905</c:v>
                </c:pt>
                <c:pt idx="9">
                  <c:v>0.45537608286213216</c:v>
                </c:pt>
                <c:pt idx="10">
                  <c:v>0.64713005700803738</c:v>
                </c:pt>
                <c:pt idx="11">
                  <c:v>1</c:v>
                </c:pt>
              </c:numCache>
            </c:numRef>
          </c:yVal>
          <c:smooth val="0"/>
          <c:extLst>
            <c:ext xmlns:c16="http://schemas.microsoft.com/office/drawing/2014/chart" uri="{C3380CC4-5D6E-409C-BE32-E72D297353CC}">
              <c16:uniqueId val="{00000002-8DF2-4B55-8041-F7E4B7483295}"/>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 total</a:t>
                </a:r>
                <a:r>
                  <a:rPr lang="en-US" baseline="0"/>
                  <a:t> available water</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 based on population of each country in the basin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Gini_2010!$H$6:$H$17</c:f>
              <c:numCache>
                <c:formatCode>0.00</c:formatCode>
                <c:ptCount val="12"/>
                <c:pt idx="0">
                  <c:v>0</c:v>
                </c:pt>
                <c:pt idx="1">
                  <c:v>0.32943230119860767</c:v>
                </c:pt>
                <c:pt idx="2">
                  <c:v>0.33476600064656559</c:v>
                </c:pt>
                <c:pt idx="3">
                  <c:v>0.35634542434857852</c:v>
                </c:pt>
                <c:pt idx="4">
                  <c:v>0.39846593070658254</c:v>
                </c:pt>
                <c:pt idx="5">
                  <c:v>0.41192885803413581</c:v>
                </c:pt>
                <c:pt idx="6">
                  <c:v>0.48686808312700136</c:v>
                </c:pt>
                <c:pt idx="7">
                  <c:v>0.52940105365367107</c:v>
                </c:pt>
                <c:pt idx="8">
                  <c:v>0.673205421730659</c:v>
                </c:pt>
                <c:pt idx="9">
                  <c:v>0.81167743060789033</c:v>
                </c:pt>
                <c:pt idx="10">
                  <c:v>0.95392235636557376</c:v>
                </c:pt>
                <c:pt idx="11">
                  <c:v>1</c:v>
                </c:pt>
              </c:numCache>
            </c:numRef>
          </c:xVal>
          <c:yVal>
            <c:numRef>
              <c:f>Gini_2010!$H$6:$H$17</c:f>
              <c:numCache>
                <c:formatCode>0.00</c:formatCode>
                <c:ptCount val="12"/>
                <c:pt idx="0">
                  <c:v>0</c:v>
                </c:pt>
                <c:pt idx="1">
                  <c:v>0.32943230119860767</c:v>
                </c:pt>
                <c:pt idx="2">
                  <c:v>0.33476600064656559</c:v>
                </c:pt>
                <c:pt idx="3">
                  <c:v>0.35634542434857852</c:v>
                </c:pt>
                <c:pt idx="4">
                  <c:v>0.39846593070658254</c:v>
                </c:pt>
                <c:pt idx="5">
                  <c:v>0.41192885803413581</c:v>
                </c:pt>
                <c:pt idx="6">
                  <c:v>0.48686808312700136</c:v>
                </c:pt>
                <c:pt idx="7">
                  <c:v>0.52940105365367107</c:v>
                </c:pt>
                <c:pt idx="8">
                  <c:v>0.673205421730659</c:v>
                </c:pt>
                <c:pt idx="9">
                  <c:v>0.81167743060789033</c:v>
                </c:pt>
                <c:pt idx="10">
                  <c:v>0.95392235636557376</c:v>
                </c:pt>
                <c:pt idx="11">
                  <c:v>1</c:v>
                </c:pt>
              </c:numCache>
            </c:numRef>
          </c:yVal>
          <c:smooth val="1"/>
          <c:extLst>
            <c:ext xmlns:c16="http://schemas.microsoft.com/office/drawing/2014/chart" uri="{C3380CC4-5D6E-409C-BE32-E72D297353CC}">
              <c16:uniqueId val="{00000000-D2E4-4216-8AB2-80A5359189CF}"/>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Precipitation</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D2E4-4216-8AB2-80A5359189CF}"/>
              </c:ext>
            </c:extLst>
          </c:dPt>
          <c:xVal>
            <c:numRef>
              <c:f>Gini_2010!$H$6:$H$17</c:f>
              <c:numCache>
                <c:formatCode>0.00</c:formatCode>
                <c:ptCount val="12"/>
                <c:pt idx="0">
                  <c:v>0</c:v>
                </c:pt>
                <c:pt idx="1">
                  <c:v>0.32943230119860767</c:v>
                </c:pt>
                <c:pt idx="2">
                  <c:v>0.33476600064656559</c:v>
                </c:pt>
                <c:pt idx="3">
                  <c:v>0.35634542434857852</c:v>
                </c:pt>
                <c:pt idx="4">
                  <c:v>0.39846593070658254</c:v>
                </c:pt>
                <c:pt idx="5">
                  <c:v>0.41192885803413581</c:v>
                </c:pt>
                <c:pt idx="6">
                  <c:v>0.48686808312700136</c:v>
                </c:pt>
                <c:pt idx="7">
                  <c:v>0.52940105365367107</c:v>
                </c:pt>
                <c:pt idx="8">
                  <c:v>0.673205421730659</c:v>
                </c:pt>
                <c:pt idx="9">
                  <c:v>0.81167743060789033</c:v>
                </c:pt>
                <c:pt idx="10">
                  <c:v>0.95392235636557376</c:v>
                </c:pt>
                <c:pt idx="11">
                  <c:v>1</c:v>
                </c:pt>
              </c:numCache>
            </c:numRef>
          </c:xVal>
          <c:yVal>
            <c:numRef>
              <c:f>Gini_2010!$G$6:$G$17</c:f>
              <c:numCache>
                <c:formatCode>0.00</c:formatCode>
                <c:ptCount val="12"/>
                <c:pt idx="0">
                  <c:v>0</c:v>
                </c:pt>
                <c:pt idx="1">
                  <c:v>1.0017090868103106E-3</c:v>
                </c:pt>
                <c:pt idx="2">
                  <c:v>8.2470804072172152E-3</c:v>
                </c:pt>
                <c:pt idx="3">
                  <c:v>1.5760094130145938E-2</c:v>
                </c:pt>
                <c:pt idx="4">
                  <c:v>2.7804808298560139E-2</c:v>
                </c:pt>
                <c:pt idx="5">
                  <c:v>4.184886209984176E-2</c:v>
                </c:pt>
                <c:pt idx="6">
                  <c:v>7.9891776506692158E-2</c:v>
                </c:pt>
                <c:pt idx="7">
                  <c:v>0.14717682123810072</c:v>
                </c:pt>
                <c:pt idx="8">
                  <c:v>0.29604930745691221</c:v>
                </c:pt>
                <c:pt idx="9">
                  <c:v>0.47662860013943331</c:v>
                </c:pt>
                <c:pt idx="10">
                  <c:v>0.69238531203438969</c:v>
                </c:pt>
                <c:pt idx="11">
                  <c:v>1</c:v>
                </c:pt>
              </c:numCache>
            </c:numRef>
          </c:yVal>
          <c:smooth val="0"/>
          <c:extLst>
            <c:ext xmlns:c16="http://schemas.microsoft.com/office/drawing/2014/chart" uri="{C3380CC4-5D6E-409C-BE32-E72D297353CC}">
              <c16:uniqueId val="{00000002-D2E4-4216-8AB2-80A5359189CF}"/>
            </c:ext>
          </c:extLst>
        </c:ser>
        <c:ser>
          <c:idx val="2"/>
          <c:order val="2"/>
          <c:tx>
            <c:v>ETa</c:v>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Gini_2010!$H$27:$H$38</c:f>
              <c:numCache>
                <c:formatCode>0.00</c:formatCode>
                <c:ptCount val="12"/>
                <c:pt idx="0">
                  <c:v>0</c:v>
                </c:pt>
                <c:pt idx="1">
                  <c:v>5.3336994479579163E-3</c:v>
                </c:pt>
                <c:pt idx="2">
                  <c:v>2.6913123149970838E-2</c:v>
                </c:pt>
                <c:pt idx="3">
                  <c:v>6.9033629507974842E-2</c:v>
                </c:pt>
                <c:pt idx="4">
                  <c:v>8.2496556835528118E-2</c:v>
                </c:pt>
                <c:pt idx="5">
                  <c:v>0.15743578192839366</c:v>
                </c:pt>
                <c:pt idx="6">
                  <c:v>0.48686808312700136</c:v>
                </c:pt>
                <c:pt idx="7">
                  <c:v>0.52940105365367107</c:v>
                </c:pt>
                <c:pt idx="8">
                  <c:v>0.673205421730659</c:v>
                </c:pt>
                <c:pt idx="9">
                  <c:v>0.81545034748834244</c:v>
                </c:pt>
                <c:pt idx="10">
                  <c:v>0.95392235636557376</c:v>
                </c:pt>
                <c:pt idx="11">
                  <c:v>1</c:v>
                </c:pt>
              </c:numCache>
            </c:numRef>
          </c:xVal>
          <c:yVal>
            <c:numRef>
              <c:f>Gini_2010!$G$27:$G$38</c:f>
              <c:numCache>
                <c:formatCode>0.00</c:formatCode>
                <c:ptCount val="12"/>
                <c:pt idx="0">
                  <c:v>0</c:v>
                </c:pt>
                <c:pt idx="1">
                  <c:v>5.365070841658535E-3</c:v>
                </c:pt>
                <c:pt idx="2">
                  <c:v>1.2036997614611612E-2</c:v>
                </c:pt>
                <c:pt idx="3">
                  <c:v>2.1999508457457191E-2</c:v>
                </c:pt>
                <c:pt idx="4">
                  <c:v>3.4507367623612187E-2</c:v>
                </c:pt>
                <c:pt idx="5">
                  <c:v>6.3397802360369654E-2</c:v>
                </c:pt>
                <c:pt idx="6">
                  <c:v>9.2440744555686155E-2</c:v>
                </c:pt>
                <c:pt idx="7">
                  <c:v>0.15135011504593057</c:v>
                </c:pt>
                <c:pt idx="8">
                  <c:v>0.29949892367379261</c:v>
                </c:pt>
                <c:pt idx="9">
                  <c:v>0.45906284552330068</c:v>
                </c:pt>
                <c:pt idx="10">
                  <c:v>0.65990098038478129</c:v>
                </c:pt>
                <c:pt idx="11">
                  <c:v>1</c:v>
                </c:pt>
              </c:numCache>
            </c:numRef>
          </c:yVal>
          <c:smooth val="0"/>
          <c:extLst>
            <c:ext xmlns:c16="http://schemas.microsoft.com/office/drawing/2014/chart" uri="{C3380CC4-5D6E-409C-BE32-E72D297353CC}">
              <c16:uniqueId val="{00000003-D2E4-4216-8AB2-80A5359189CF}"/>
            </c:ext>
          </c:extLst>
        </c:ser>
        <c:ser>
          <c:idx val="3"/>
          <c:order val="3"/>
          <c:tx>
            <c:v>Internal AW</c:v>
          </c:tx>
          <c:spPr>
            <a:ln w="19050" cap="rnd">
              <a:solidFill>
                <a:schemeClr val="accent4"/>
              </a:solidFill>
              <a:round/>
            </a:ln>
            <a:effectLst/>
          </c:spPr>
          <c:marker>
            <c:symbol val="circle"/>
            <c:size val="5"/>
            <c:spPr>
              <a:solidFill>
                <a:schemeClr val="accent4"/>
              </a:solidFill>
              <a:ln w="9525">
                <a:solidFill>
                  <a:schemeClr val="accent4"/>
                </a:solidFill>
              </a:ln>
              <a:effectLst/>
            </c:spPr>
          </c:marker>
          <c:xVal>
            <c:numRef>
              <c:f>Gini_2010!$H$49:$H$60</c:f>
              <c:numCache>
                <c:formatCode>0.00</c:formatCode>
                <c:ptCount val="12"/>
                <c:pt idx="0">
                  <c:v>0</c:v>
                </c:pt>
                <c:pt idx="1">
                  <c:v>0.32943230119860772</c:v>
                </c:pt>
                <c:pt idx="2">
                  <c:v>0.4679043100758391</c:v>
                </c:pt>
                <c:pt idx="3">
                  <c:v>0.51398195371026534</c:v>
                </c:pt>
                <c:pt idx="4">
                  <c:v>0.65778632178725327</c:v>
                </c:pt>
                <c:pt idx="5">
                  <c:v>0.6793657454892662</c:v>
                </c:pt>
                <c:pt idx="6">
                  <c:v>0.69282867281681948</c:v>
                </c:pt>
                <c:pt idx="7">
                  <c:v>0.6981623722647774</c:v>
                </c:pt>
                <c:pt idx="8">
                  <c:v>0.74028287862278142</c:v>
                </c:pt>
                <c:pt idx="9">
                  <c:v>0.81522210371564696</c:v>
                </c:pt>
                <c:pt idx="10">
                  <c:v>0.85775507424231667</c:v>
                </c:pt>
                <c:pt idx="11">
                  <c:v>1</c:v>
                </c:pt>
              </c:numCache>
            </c:numRef>
          </c:xVal>
          <c:yVal>
            <c:numRef>
              <c:f>Gini_2010!$G$49:$G$60</c:f>
              <c:numCache>
                <c:formatCode>0.00</c:formatCode>
                <c:ptCount val="12"/>
                <c:pt idx="0">
                  <c:v>0</c:v>
                </c:pt>
                <c:pt idx="1">
                  <c:v>0</c:v>
                </c:pt>
                <c:pt idx="2">
                  <c:v>0</c:v>
                </c:pt>
                <c:pt idx="3">
                  <c:v>0</c:v>
                </c:pt>
                <c:pt idx="4">
                  <c:v>0</c:v>
                </c:pt>
                <c:pt idx="5">
                  <c:v>7.9080986475198595E-3</c:v>
                </c:pt>
                <c:pt idx="6">
                  <c:v>2.3417865566434042E-2</c:v>
                </c:pt>
                <c:pt idx="7">
                  <c:v>4.5877312464558895E-2</c:v>
                </c:pt>
                <c:pt idx="8">
                  <c:v>6.8695589350788552E-2</c:v>
                </c:pt>
                <c:pt idx="9">
                  <c:v>0.18104192875176706</c:v>
                </c:pt>
                <c:pt idx="10">
                  <c:v>0.33328865924034001</c:v>
                </c:pt>
                <c:pt idx="11">
                  <c:v>0.99999999999999989</c:v>
                </c:pt>
              </c:numCache>
            </c:numRef>
          </c:yVal>
          <c:smooth val="0"/>
          <c:extLst>
            <c:ext xmlns:c16="http://schemas.microsoft.com/office/drawing/2014/chart" uri="{C3380CC4-5D6E-409C-BE32-E72D297353CC}">
              <c16:uniqueId val="{00000004-D2E4-4216-8AB2-80A5359189CF}"/>
            </c:ext>
          </c:extLst>
        </c:ser>
        <c:ser>
          <c:idx val="4"/>
          <c:order val="4"/>
          <c:tx>
            <c:v>Total AW</c:v>
          </c:tx>
          <c:spPr>
            <a:ln w="19050" cap="rnd">
              <a:solidFill>
                <a:schemeClr val="accent5"/>
              </a:solidFill>
              <a:round/>
            </a:ln>
            <a:effectLst/>
          </c:spPr>
          <c:marker>
            <c:symbol val="circle"/>
            <c:size val="5"/>
            <c:spPr>
              <a:solidFill>
                <a:schemeClr val="accent5"/>
              </a:solidFill>
              <a:ln w="9525">
                <a:solidFill>
                  <a:schemeClr val="accent5"/>
                </a:solidFill>
              </a:ln>
              <a:effectLst/>
            </c:spPr>
          </c:marker>
          <c:xVal>
            <c:numRef>
              <c:f>Gini_2010!$H$70:$H$81</c:f>
              <c:numCache>
                <c:formatCode>0.00</c:formatCode>
                <c:ptCount val="12"/>
                <c:pt idx="0">
                  <c:v>0</c:v>
                </c:pt>
                <c:pt idx="1">
                  <c:v>2.1579423702012924E-2</c:v>
                </c:pt>
                <c:pt idx="2">
                  <c:v>3.504235102956621E-2</c:v>
                </c:pt>
                <c:pt idx="3">
                  <c:v>4.0376050477524128E-2</c:v>
                </c:pt>
                <c:pt idx="4">
                  <c:v>8.2496556835528145E-2</c:v>
                </c:pt>
                <c:pt idx="5">
                  <c:v>0.15743578192839369</c:v>
                </c:pt>
                <c:pt idx="6">
                  <c:v>0.30124015000538162</c:v>
                </c:pt>
                <c:pt idx="7">
                  <c:v>0.34731779363980786</c:v>
                </c:pt>
                <c:pt idx="8">
                  <c:v>0.38985076416647763</c:v>
                </c:pt>
                <c:pt idx="9">
                  <c:v>0.528322773043709</c:v>
                </c:pt>
                <c:pt idx="10">
                  <c:v>0.85775507424231678</c:v>
                </c:pt>
                <c:pt idx="11">
                  <c:v>1.0000000000000002</c:v>
                </c:pt>
              </c:numCache>
            </c:numRef>
          </c:xVal>
          <c:yVal>
            <c:numRef>
              <c:f>Gini_2010!$G$70:$G$81</c:f>
              <c:numCache>
                <c:formatCode>0.00</c:formatCode>
                <c:ptCount val="12"/>
                <c:pt idx="0">
                  <c:v>0</c:v>
                </c:pt>
                <c:pt idx="1">
                  <c:v>4.1855150022580721E-3</c:v>
                </c:pt>
                <c:pt idx="2">
                  <c:v>1.2394360770893034E-2</c:v>
                </c:pt>
                <c:pt idx="3">
                  <c:v>2.4281459822698838E-2</c:v>
                </c:pt>
                <c:pt idx="4">
                  <c:v>4.9255204088749713E-2</c:v>
                </c:pt>
                <c:pt idx="5">
                  <c:v>0.10871668907655338</c:v>
                </c:pt>
                <c:pt idx="6">
                  <c:v>0.18032746526201532</c:v>
                </c:pt>
                <c:pt idx="7">
                  <c:v>0.26008354300411751</c:v>
                </c:pt>
                <c:pt idx="8">
                  <c:v>0.34066308593944905</c:v>
                </c:pt>
                <c:pt idx="9">
                  <c:v>0.45537608286213216</c:v>
                </c:pt>
                <c:pt idx="10">
                  <c:v>0.64713005700803738</c:v>
                </c:pt>
                <c:pt idx="11">
                  <c:v>1</c:v>
                </c:pt>
              </c:numCache>
            </c:numRef>
          </c:yVal>
          <c:smooth val="0"/>
          <c:extLst>
            <c:ext xmlns:c16="http://schemas.microsoft.com/office/drawing/2014/chart" uri="{C3380CC4-5D6E-409C-BE32-E72D297353CC}">
              <c16:uniqueId val="{00000005-D2E4-4216-8AB2-80A5359189CF}"/>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Criteria </a:t>
                </a:r>
                <a:endParaRPr lang="en-US"/>
              </a:p>
            </c:rich>
          </c:tx>
          <c:layout>
            <c:manualLayout>
              <c:xMode val="edge"/>
              <c:yMode val="edge"/>
              <c:x val="0.30931893106762737"/>
              <c:y val="0.8987774266708676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variables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 based on cropland area in each country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650902999652733"/>
          <c:y val="0.18478675798830643"/>
          <c:w val="0.64746825356505833"/>
          <c:h val="0.67073597635553017"/>
        </c:manualLayout>
      </c:layout>
      <c:scatterChart>
        <c:scatterStyle val="smoothMarker"/>
        <c:varyColors val="0"/>
        <c:ser>
          <c:idx val="1"/>
          <c:order val="1"/>
          <c:tx>
            <c:v>Equality Line</c:v>
          </c:tx>
          <c:spPr>
            <a:ln w="19050" cap="rnd">
              <a:solidFill>
                <a:schemeClr val="accent2"/>
              </a:solidFill>
              <a:round/>
            </a:ln>
            <a:effectLst/>
          </c:spPr>
          <c:marker>
            <c:symbol val="none"/>
          </c:marker>
          <c:xVal>
            <c:numRef>
              <c:f>Gini_2010!$H$94:$H$105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xVal>
          <c:yVal>
            <c:numRef>
              <c:f>Gini_2010!$H$94:$H$105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yVal>
          <c:smooth val="1"/>
          <c:extLst>
            <c:ext xmlns:c16="http://schemas.microsoft.com/office/drawing/2014/chart" uri="{C3380CC4-5D6E-409C-BE32-E72D297353CC}">
              <c16:uniqueId val="{00000000-34E2-4154-A074-D05CB4A6C16F}"/>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Precipitation</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34E2-4154-A074-D05CB4A6C16F}"/>
              </c:ext>
            </c:extLst>
          </c:dPt>
          <c:xVal>
            <c:numRef>
              <c:f>Gini_2010!$H$94:$H$105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xVal>
          <c:yVal>
            <c:numRef>
              <c:f>Gini_2010!$G$94:$G$105</c:f>
              <c:numCache>
                <c:formatCode>0.00</c:formatCode>
                <c:ptCount val="12"/>
                <c:pt idx="0">
                  <c:v>0</c:v>
                </c:pt>
                <c:pt idx="1">
                  <c:v>1.0017090868103106E-3</c:v>
                </c:pt>
                <c:pt idx="2">
                  <c:v>8.2470804072172152E-3</c:v>
                </c:pt>
                <c:pt idx="3">
                  <c:v>1.5760094130145938E-2</c:v>
                </c:pt>
                <c:pt idx="4">
                  <c:v>2.7804808298560139E-2</c:v>
                </c:pt>
                <c:pt idx="5">
                  <c:v>4.184886209984176E-2</c:v>
                </c:pt>
                <c:pt idx="6">
                  <c:v>7.9891776506692158E-2</c:v>
                </c:pt>
                <c:pt idx="7">
                  <c:v>0.14717682123810072</c:v>
                </c:pt>
                <c:pt idx="8">
                  <c:v>0.29604930745691221</c:v>
                </c:pt>
                <c:pt idx="9">
                  <c:v>0.47662860013943331</c:v>
                </c:pt>
                <c:pt idx="10">
                  <c:v>0.69238531203438969</c:v>
                </c:pt>
                <c:pt idx="11">
                  <c:v>1</c:v>
                </c:pt>
              </c:numCache>
            </c:numRef>
          </c:yVal>
          <c:smooth val="0"/>
          <c:extLst>
            <c:ext xmlns:c16="http://schemas.microsoft.com/office/drawing/2014/chart" uri="{C3380CC4-5D6E-409C-BE32-E72D297353CC}">
              <c16:uniqueId val="{00000002-34E2-4154-A074-D05CB4A6C16F}"/>
            </c:ext>
          </c:extLst>
        </c:ser>
        <c:ser>
          <c:idx val="2"/>
          <c:order val="2"/>
          <c:tx>
            <c:v>ETa</c:v>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Gini_2010!$H$115:$H$126</c:f>
              <c:numCache>
                <c:formatCode>0.00</c:formatCode>
                <c:ptCount val="12"/>
                <c:pt idx="0">
                  <c:v>0</c:v>
                </c:pt>
                <c:pt idx="1">
                  <c:v>8.6508040877704764E-3</c:v>
                </c:pt>
                <c:pt idx="2">
                  <c:v>2.233691110888162E-2</c:v>
                </c:pt>
                <c:pt idx="3">
                  <c:v>4.5534073596056365E-2</c:v>
                </c:pt>
                <c:pt idx="4">
                  <c:v>5.3837159897602418E-2</c:v>
                </c:pt>
                <c:pt idx="5">
                  <c:v>0.11688690634392547</c:v>
                </c:pt>
                <c:pt idx="6">
                  <c:v>0.17846731707242672</c:v>
                </c:pt>
                <c:pt idx="7">
                  <c:v>0.25736713399590871</c:v>
                </c:pt>
                <c:pt idx="8">
                  <c:v>0.38405950424456814</c:v>
                </c:pt>
                <c:pt idx="9">
                  <c:v>0.65743534284662219</c:v>
                </c:pt>
                <c:pt idx="10">
                  <c:v>0.98464491670321019</c:v>
                </c:pt>
                <c:pt idx="11">
                  <c:v>1.0000000000000002</c:v>
                </c:pt>
              </c:numCache>
            </c:numRef>
          </c:xVal>
          <c:yVal>
            <c:numRef>
              <c:f>Gini_2010!$G$115:$G$126</c:f>
              <c:numCache>
                <c:formatCode>0.00</c:formatCode>
                <c:ptCount val="12"/>
                <c:pt idx="0">
                  <c:v>0</c:v>
                </c:pt>
                <c:pt idx="1">
                  <c:v>5.365070841658535E-3</c:v>
                </c:pt>
                <c:pt idx="2">
                  <c:v>1.2036997614611612E-2</c:v>
                </c:pt>
                <c:pt idx="3">
                  <c:v>2.1999508457457191E-2</c:v>
                </c:pt>
                <c:pt idx="4">
                  <c:v>3.4507367623612187E-2</c:v>
                </c:pt>
                <c:pt idx="5">
                  <c:v>6.3397802360369654E-2</c:v>
                </c:pt>
                <c:pt idx="6">
                  <c:v>9.2440744555686155E-2</c:v>
                </c:pt>
                <c:pt idx="7">
                  <c:v>0.15135011504593057</c:v>
                </c:pt>
                <c:pt idx="8">
                  <c:v>0.29949892367379261</c:v>
                </c:pt>
                <c:pt idx="9">
                  <c:v>0.45906284552330068</c:v>
                </c:pt>
                <c:pt idx="10">
                  <c:v>0.65990098038478129</c:v>
                </c:pt>
                <c:pt idx="11">
                  <c:v>1</c:v>
                </c:pt>
              </c:numCache>
            </c:numRef>
          </c:yVal>
          <c:smooth val="0"/>
          <c:extLst>
            <c:ext xmlns:c16="http://schemas.microsoft.com/office/drawing/2014/chart" uri="{C3380CC4-5D6E-409C-BE32-E72D297353CC}">
              <c16:uniqueId val="{00000003-34E2-4154-A074-D05CB4A6C16F}"/>
            </c:ext>
          </c:extLst>
        </c:ser>
        <c:ser>
          <c:idx val="3"/>
          <c:order val="3"/>
          <c:tx>
            <c:v>Internal AW</c:v>
          </c:tx>
          <c:spPr>
            <a:ln w="19050" cap="rnd">
              <a:solidFill>
                <a:schemeClr val="accent4"/>
              </a:solidFill>
              <a:round/>
            </a:ln>
            <a:effectLst/>
          </c:spPr>
          <c:marker>
            <c:symbol val="circle"/>
            <c:size val="5"/>
            <c:spPr>
              <a:solidFill>
                <a:schemeClr val="accent4"/>
              </a:solidFill>
              <a:ln w="9525">
                <a:solidFill>
                  <a:schemeClr val="accent4"/>
                </a:solidFill>
              </a:ln>
              <a:effectLst/>
            </c:spPr>
          </c:marker>
          <c:xVal>
            <c:numRef>
              <c:f>Gini_2010!$H$136:$H$147</c:f>
              <c:numCache>
                <c:formatCode>0.00</c:formatCode>
                <c:ptCount val="12"/>
                <c:pt idx="0">
                  <c:v>0</c:v>
                </c:pt>
                <c:pt idx="1">
                  <c:v>6.1580410728501248E-2</c:v>
                </c:pt>
                <c:pt idx="2">
                  <c:v>0.38878998458508923</c:v>
                </c:pt>
                <c:pt idx="3">
                  <c:v>0.40414506788187921</c:v>
                </c:pt>
                <c:pt idx="4">
                  <c:v>0.53083743813053863</c:v>
                </c:pt>
                <c:pt idx="5">
                  <c:v>0.5445235451516498</c:v>
                </c:pt>
                <c:pt idx="6">
                  <c:v>0.55282663145319588</c:v>
                </c:pt>
                <c:pt idx="7">
                  <c:v>0.56147743554096641</c:v>
                </c:pt>
                <c:pt idx="8">
                  <c:v>0.58467459802814115</c:v>
                </c:pt>
                <c:pt idx="9">
                  <c:v>0.64772434447446425</c:v>
                </c:pt>
                <c:pt idx="10">
                  <c:v>0.72662416139794628</c:v>
                </c:pt>
                <c:pt idx="11">
                  <c:v>1.0000000000000002</c:v>
                </c:pt>
              </c:numCache>
            </c:numRef>
          </c:xVal>
          <c:yVal>
            <c:numRef>
              <c:f>Gini_2010!$G$136:$G$147</c:f>
              <c:numCache>
                <c:formatCode>0.00</c:formatCode>
                <c:ptCount val="12"/>
                <c:pt idx="0">
                  <c:v>0</c:v>
                </c:pt>
                <c:pt idx="1">
                  <c:v>0</c:v>
                </c:pt>
                <c:pt idx="2">
                  <c:v>0</c:v>
                </c:pt>
                <c:pt idx="3">
                  <c:v>0</c:v>
                </c:pt>
                <c:pt idx="4">
                  <c:v>0</c:v>
                </c:pt>
                <c:pt idx="5">
                  <c:v>7.9080986475198595E-3</c:v>
                </c:pt>
                <c:pt idx="6">
                  <c:v>2.3417865566434042E-2</c:v>
                </c:pt>
                <c:pt idx="7">
                  <c:v>4.5877312464558895E-2</c:v>
                </c:pt>
                <c:pt idx="8">
                  <c:v>6.8695589350788552E-2</c:v>
                </c:pt>
                <c:pt idx="9">
                  <c:v>0.18104192875176706</c:v>
                </c:pt>
                <c:pt idx="10">
                  <c:v>0.33328865924034001</c:v>
                </c:pt>
                <c:pt idx="11">
                  <c:v>0.99999999999999989</c:v>
                </c:pt>
              </c:numCache>
            </c:numRef>
          </c:yVal>
          <c:smooth val="0"/>
          <c:extLst>
            <c:ext xmlns:c16="http://schemas.microsoft.com/office/drawing/2014/chart" uri="{C3380CC4-5D6E-409C-BE32-E72D297353CC}">
              <c16:uniqueId val="{00000004-34E2-4154-A074-D05CB4A6C16F}"/>
            </c:ext>
          </c:extLst>
        </c:ser>
        <c:ser>
          <c:idx val="4"/>
          <c:order val="4"/>
          <c:tx>
            <c:v>Total AW</c:v>
          </c:tx>
          <c:spPr>
            <a:ln w="19050" cap="rnd">
              <a:solidFill>
                <a:schemeClr val="accent5"/>
              </a:solidFill>
              <a:round/>
            </a:ln>
            <a:effectLst/>
          </c:spPr>
          <c:marker>
            <c:symbol val="circle"/>
            <c:size val="5"/>
            <c:spPr>
              <a:solidFill>
                <a:schemeClr val="accent5"/>
              </a:solidFill>
              <a:ln w="9525">
                <a:solidFill>
                  <a:schemeClr val="accent5"/>
                </a:solidFill>
              </a:ln>
              <a:effectLst/>
            </c:spPr>
          </c:marker>
          <c:xVal>
            <c:numRef>
              <c:f>Gini_2010!$H$157:$H$168</c:f>
              <c:numCache>
                <c:formatCode>0.00</c:formatCode>
                <c:ptCount val="12"/>
                <c:pt idx="0">
                  <c:v>0</c:v>
                </c:pt>
                <c:pt idx="1">
                  <c:v>1.3686107021111144E-2</c:v>
                </c:pt>
                <c:pt idx="2">
                  <c:v>2.19891933226572E-2</c:v>
                </c:pt>
                <c:pt idx="3">
                  <c:v>3.0639997410427677E-2</c:v>
                </c:pt>
                <c:pt idx="4">
                  <c:v>5.3837159897602418E-2</c:v>
                </c:pt>
                <c:pt idx="5">
                  <c:v>0.11688690634392547</c:v>
                </c:pt>
                <c:pt idx="6">
                  <c:v>0.24357927659258494</c:v>
                </c:pt>
                <c:pt idx="7">
                  <c:v>0.25893435988937491</c:v>
                </c:pt>
                <c:pt idx="8">
                  <c:v>0.33783417681285688</c:v>
                </c:pt>
                <c:pt idx="9">
                  <c:v>0.66504375066944488</c:v>
                </c:pt>
                <c:pt idx="10">
                  <c:v>0.72662416139794617</c:v>
                </c:pt>
                <c:pt idx="11">
                  <c:v>1.0000000000000002</c:v>
                </c:pt>
              </c:numCache>
            </c:numRef>
          </c:xVal>
          <c:yVal>
            <c:numRef>
              <c:f>Gini_2010!$G$157:$G$168</c:f>
              <c:numCache>
                <c:formatCode>0.00</c:formatCode>
                <c:ptCount val="12"/>
                <c:pt idx="0">
                  <c:v>0</c:v>
                </c:pt>
                <c:pt idx="1">
                  <c:v>4.1855150022580721E-3</c:v>
                </c:pt>
                <c:pt idx="2">
                  <c:v>1.2394360770893034E-2</c:v>
                </c:pt>
                <c:pt idx="3">
                  <c:v>2.4281459822698838E-2</c:v>
                </c:pt>
                <c:pt idx="4">
                  <c:v>4.9255204088749713E-2</c:v>
                </c:pt>
                <c:pt idx="5">
                  <c:v>0.10871668907655338</c:v>
                </c:pt>
                <c:pt idx="6">
                  <c:v>0.18032746526201532</c:v>
                </c:pt>
                <c:pt idx="7">
                  <c:v>0.26008354300411751</c:v>
                </c:pt>
                <c:pt idx="8">
                  <c:v>0.34066308593944905</c:v>
                </c:pt>
                <c:pt idx="9">
                  <c:v>0.45537608286213216</c:v>
                </c:pt>
                <c:pt idx="10">
                  <c:v>0.64713005700803738</c:v>
                </c:pt>
                <c:pt idx="11">
                  <c:v>1</c:v>
                </c:pt>
              </c:numCache>
            </c:numRef>
          </c:yVal>
          <c:smooth val="0"/>
          <c:extLst>
            <c:ext xmlns:c16="http://schemas.microsoft.com/office/drawing/2014/chart" uri="{C3380CC4-5D6E-409C-BE32-E72D297353CC}">
              <c16:uniqueId val="{00000005-34E2-4154-A074-D05CB4A6C16F}"/>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t>
                </a:r>
                <a:r>
                  <a:rPr lang="en-US" sz="1000" b="0" i="0" u="none" strike="noStrike" baseline="0">
                    <a:effectLst/>
                  </a:rPr>
                  <a:t>Criteria</a:t>
                </a:r>
                <a:endParaRPr lang="en-US" baseline="0"/>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variables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 based on area of each country in the basin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457098300252266"/>
          <c:y val="0.16423456145227788"/>
          <c:w val="0.69762923864608828"/>
          <c:h val="0.66127160527769036"/>
        </c:manualLayout>
      </c:layout>
      <c:scatterChart>
        <c:scatterStyle val="smoothMarker"/>
        <c:varyColors val="0"/>
        <c:ser>
          <c:idx val="1"/>
          <c:order val="1"/>
          <c:tx>
            <c:v>Equality Line</c:v>
          </c:tx>
          <c:spPr>
            <a:ln w="19050" cap="rnd">
              <a:solidFill>
                <a:schemeClr val="accent2"/>
              </a:solidFill>
              <a:round/>
            </a:ln>
            <a:effectLst/>
          </c:spPr>
          <c:marker>
            <c:symbol val="none"/>
          </c:marker>
          <c:xVal>
            <c:numRef>
              <c:f>Gini_2010!$H$94:$H$105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xVal>
          <c:yVal>
            <c:numRef>
              <c:f>Gini_2010!$H$94:$H$105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yVal>
          <c:smooth val="1"/>
          <c:extLst>
            <c:ext xmlns:c16="http://schemas.microsoft.com/office/drawing/2014/chart" uri="{C3380CC4-5D6E-409C-BE32-E72D297353CC}">
              <c16:uniqueId val="{00000000-8575-4AE1-B0E4-D17C578EE971}"/>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Precipitation</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8575-4AE1-B0E4-D17C578EE971}"/>
              </c:ext>
            </c:extLst>
          </c:dPt>
          <c:xVal>
            <c:numRef>
              <c:f>Gini_2010!$H$178:$H$189</c:f>
              <c:numCache>
                <c:formatCode>0.00</c:formatCode>
                <c:ptCount val="12"/>
                <c:pt idx="0">
                  <c:v>0</c:v>
                </c:pt>
                <c:pt idx="1">
                  <c:v>8.2249727275718124E-2</c:v>
                </c:pt>
                <c:pt idx="2">
                  <c:v>9.0263247322775519E-2</c:v>
                </c:pt>
                <c:pt idx="3">
                  <c:v>9.4581027823807909E-2</c:v>
                </c:pt>
                <c:pt idx="4">
                  <c:v>0.1013971131412383</c:v>
                </c:pt>
                <c:pt idx="5">
                  <c:v>0.10808687676914244</c:v>
                </c:pt>
                <c:pt idx="6">
                  <c:v>0.12427174144854033</c:v>
                </c:pt>
                <c:pt idx="7">
                  <c:v>0.16345651867644251</c:v>
                </c:pt>
                <c:pt idx="8">
                  <c:v>0.24099269172425059</c:v>
                </c:pt>
                <c:pt idx="9">
                  <c:v>0.67926609315684749</c:v>
                </c:pt>
                <c:pt idx="10">
                  <c:v>0.79811612788873898</c:v>
                </c:pt>
                <c:pt idx="11">
                  <c:v>1</c:v>
                </c:pt>
              </c:numCache>
            </c:numRef>
          </c:xVal>
          <c:yVal>
            <c:numRef>
              <c:f>Gini_2010!$G$178:$G$189</c:f>
              <c:numCache>
                <c:formatCode>0.00</c:formatCode>
                <c:ptCount val="12"/>
                <c:pt idx="0">
                  <c:v>0</c:v>
                </c:pt>
                <c:pt idx="1">
                  <c:v>1.0017090868103106E-3</c:v>
                </c:pt>
                <c:pt idx="2">
                  <c:v>8.2470804072172152E-3</c:v>
                </c:pt>
                <c:pt idx="3">
                  <c:v>1.5760094130145938E-2</c:v>
                </c:pt>
                <c:pt idx="4">
                  <c:v>2.7804808298560139E-2</c:v>
                </c:pt>
                <c:pt idx="5">
                  <c:v>4.184886209984176E-2</c:v>
                </c:pt>
                <c:pt idx="6">
                  <c:v>7.9891776506692158E-2</c:v>
                </c:pt>
                <c:pt idx="7">
                  <c:v>0.14717682123810072</c:v>
                </c:pt>
                <c:pt idx="8">
                  <c:v>0.29604930745691221</c:v>
                </c:pt>
                <c:pt idx="9">
                  <c:v>0.47662860013943331</c:v>
                </c:pt>
                <c:pt idx="10">
                  <c:v>0.69238531203438969</c:v>
                </c:pt>
                <c:pt idx="11">
                  <c:v>1</c:v>
                </c:pt>
              </c:numCache>
            </c:numRef>
          </c:yVal>
          <c:smooth val="0"/>
          <c:extLst>
            <c:ext xmlns:c16="http://schemas.microsoft.com/office/drawing/2014/chart" uri="{C3380CC4-5D6E-409C-BE32-E72D297353CC}">
              <c16:uniqueId val="{00000002-8575-4AE1-B0E4-D17C578EE971}"/>
            </c:ext>
          </c:extLst>
        </c:ser>
        <c:ser>
          <c:idx val="2"/>
          <c:order val="2"/>
          <c:tx>
            <c:v>ETa</c:v>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Gini_2010!$H$199:$H$210</c:f>
              <c:numCache>
                <c:formatCode>0.00</c:formatCode>
                <c:ptCount val="12"/>
                <c:pt idx="0">
                  <c:v>0</c:v>
                </c:pt>
                <c:pt idx="1">
                  <c:v>8.0135200470573958E-3</c:v>
                </c:pt>
                <c:pt idx="2">
                  <c:v>1.2331300548089792E-2</c:v>
                </c:pt>
                <c:pt idx="3">
                  <c:v>1.9147385865520176E-2</c:v>
                </c:pt>
                <c:pt idx="4">
                  <c:v>2.5837149493424316E-2</c:v>
                </c:pt>
                <c:pt idx="5">
                  <c:v>4.2022014172822211E-2</c:v>
                </c:pt>
                <c:pt idx="6">
                  <c:v>0.12427174144854033</c:v>
                </c:pt>
                <c:pt idx="7">
                  <c:v>0.16345651867644251</c:v>
                </c:pt>
                <c:pt idx="8">
                  <c:v>0.24099269172425059</c:v>
                </c:pt>
                <c:pt idx="9">
                  <c:v>0.35984272645614207</c:v>
                </c:pt>
                <c:pt idx="10">
                  <c:v>0.79811612788873898</c:v>
                </c:pt>
                <c:pt idx="11">
                  <c:v>1</c:v>
                </c:pt>
              </c:numCache>
            </c:numRef>
          </c:xVal>
          <c:yVal>
            <c:numRef>
              <c:f>Gini_2010!$G$199:$G$210</c:f>
              <c:numCache>
                <c:formatCode>0.00</c:formatCode>
                <c:ptCount val="12"/>
                <c:pt idx="0">
                  <c:v>0</c:v>
                </c:pt>
                <c:pt idx="1">
                  <c:v>5.365070841658535E-3</c:v>
                </c:pt>
                <c:pt idx="2">
                  <c:v>1.2036997614611612E-2</c:v>
                </c:pt>
                <c:pt idx="3">
                  <c:v>2.1999508457457191E-2</c:v>
                </c:pt>
                <c:pt idx="4">
                  <c:v>3.4507367623612187E-2</c:v>
                </c:pt>
                <c:pt idx="5">
                  <c:v>6.3397802360369654E-2</c:v>
                </c:pt>
                <c:pt idx="6">
                  <c:v>9.2440744555686155E-2</c:v>
                </c:pt>
                <c:pt idx="7">
                  <c:v>0.15135011504593057</c:v>
                </c:pt>
                <c:pt idx="8">
                  <c:v>0.29949892367379261</c:v>
                </c:pt>
                <c:pt idx="9">
                  <c:v>0.45906284552330068</c:v>
                </c:pt>
                <c:pt idx="10">
                  <c:v>0.65990098038478129</c:v>
                </c:pt>
                <c:pt idx="11">
                  <c:v>1</c:v>
                </c:pt>
              </c:numCache>
            </c:numRef>
          </c:yVal>
          <c:smooth val="0"/>
          <c:extLst>
            <c:ext xmlns:c16="http://schemas.microsoft.com/office/drawing/2014/chart" uri="{C3380CC4-5D6E-409C-BE32-E72D297353CC}">
              <c16:uniqueId val="{00000003-8575-4AE1-B0E4-D17C578EE971}"/>
            </c:ext>
          </c:extLst>
        </c:ser>
        <c:ser>
          <c:idx val="3"/>
          <c:order val="3"/>
          <c:tx>
            <c:v>Internal AW</c:v>
          </c:tx>
          <c:spPr>
            <a:ln w="19050" cap="rnd">
              <a:solidFill>
                <a:schemeClr val="accent4"/>
              </a:solidFill>
              <a:round/>
            </a:ln>
            <a:effectLst/>
          </c:spPr>
          <c:marker>
            <c:symbol val="circle"/>
            <c:size val="5"/>
            <c:spPr>
              <a:solidFill>
                <a:schemeClr val="accent4"/>
              </a:solidFill>
              <a:ln w="9525">
                <a:solidFill>
                  <a:schemeClr val="accent4"/>
                </a:solidFill>
              </a:ln>
              <a:effectLst/>
            </c:spPr>
          </c:marker>
          <c:xVal>
            <c:numRef>
              <c:f>Gini_2010!$H$220:$H$231</c:f>
              <c:numCache>
                <c:formatCode>0.00</c:formatCode>
                <c:ptCount val="12"/>
                <c:pt idx="0">
                  <c:v>0</c:v>
                </c:pt>
                <c:pt idx="1">
                  <c:v>8.2249727275718124E-2</c:v>
                </c:pt>
                <c:pt idx="2">
                  <c:v>0.52052312870831507</c:v>
                </c:pt>
                <c:pt idx="3">
                  <c:v>0.7224070008195761</c:v>
                </c:pt>
                <c:pt idx="4">
                  <c:v>0.79994317386738423</c:v>
                </c:pt>
                <c:pt idx="5">
                  <c:v>0.8042609543684166</c:v>
                </c:pt>
                <c:pt idx="6">
                  <c:v>0.81095071799632079</c:v>
                </c:pt>
                <c:pt idx="7">
                  <c:v>0.81896423804337815</c:v>
                </c:pt>
                <c:pt idx="8">
                  <c:v>0.82578032336080853</c:v>
                </c:pt>
                <c:pt idx="9">
                  <c:v>0.84196518804020648</c:v>
                </c:pt>
                <c:pt idx="10">
                  <c:v>0.88114996526810863</c:v>
                </c:pt>
                <c:pt idx="11">
                  <c:v>1.0000000000000002</c:v>
                </c:pt>
              </c:numCache>
            </c:numRef>
          </c:xVal>
          <c:yVal>
            <c:numRef>
              <c:f>Gini_2010!$G$220:$G$231</c:f>
              <c:numCache>
                <c:formatCode>0.00</c:formatCode>
                <c:ptCount val="12"/>
                <c:pt idx="0">
                  <c:v>0</c:v>
                </c:pt>
                <c:pt idx="1">
                  <c:v>0</c:v>
                </c:pt>
                <c:pt idx="2">
                  <c:v>0</c:v>
                </c:pt>
                <c:pt idx="3">
                  <c:v>0</c:v>
                </c:pt>
                <c:pt idx="4">
                  <c:v>0</c:v>
                </c:pt>
                <c:pt idx="5">
                  <c:v>7.9080986475198595E-3</c:v>
                </c:pt>
                <c:pt idx="6">
                  <c:v>2.3417865566434042E-2</c:v>
                </c:pt>
                <c:pt idx="7">
                  <c:v>4.5877312464558895E-2</c:v>
                </c:pt>
                <c:pt idx="8">
                  <c:v>6.8695589350788552E-2</c:v>
                </c:pt>
                <c:pt idx="9">
                  <c:v>0.18104192875176706</c:v>
                </c:pt>
                <c:pt idx="10">
                  <c:v>0.33328865924034001</c:v>
                </c:pt>
                <c:pt idx="11">
                  <c:v>0.99999999999999989</c:v>
                </c:pt>
              </c:numCache>
            </c:numRef>
          </c:yVal>
          <c:smooth val="0"/>
          <c:extLst>
            <c:ext xmlns:c16="http://schemas.microsoft.com/office/drawing/2014/chart" uri="{C3380CC4-5D6E-409C-BE32-E72D297353CC}">
              <c16:uniqueId val="{00000004-8575-4AE1-B0E4-D17C578EE971}"/>
            </c:ext>
          </c:extLst>
        </c:ser>
        <c:ser>
          <c:idx val="4"/>
          <c:order val="4"/>
          <c:tx>
            <c:v>Total AW</c:v>
          </c:tx>
          <c:spPr>
            <a:ln w="19050" cap="rnd">
              <a:solidFill>
                <a:schemeClr val="accent5"/>
              </a:solidFill>
              <a:round/>
            </a:ln>
            <a:effectLst/>
          </c:spPr>
          <c:marker>
            <c:symbol val="circle"/>
            <c:size val="5"/>
            <c:spPr>
              <a:solidFill>
                <a:schemeClr val="accent5"/>
              </a:solidFill>
              <a:ln w="9525">
                <a:solidFill>
                  <a:schemeClr val="accent5"/>
                </a:solidFill>
              </a:ln>
              <a:effectLst/>
            </c:spPr>
          </c:marker>
          <c:xVal>
            <c:numRef>
              <c:f>Gini_2010!$H$241:$H$252</c:f>
              <c:numCache>
                <c:formatCode>0.00</c:formatCode>
                <c:ptCount val="12"/>
                <c:pt idx="0">
                  <c:v>0</c:v>
                </c:pt>
                <c:pt idx="1">
                  <c:v>4.3177805010323946E-3</c:v>
                </c:pt>
                <c:pt idx="2">
                  <c:v>1.1007544128936533E-2</c:v>
                </c:pt>
                <c:pt idx="3">
                  <c:v>1.9021064175993925E-2</c:v>
                </c:pt>
                <c:pt idx="4">
                  <c:v>2.5837149493424309E-2</c:v>
                </c:pt>
                <c:pt idx="5">
                  <c:v>4.2022014172822197E-2</c:v>
                </c:pt>
                <c:pt idx="6">
                  <c:v>0.11955818722063027</c:v>
                </c:pt>
                <c:pt idx="7">
                  <c:v>0.32144205933189129</c:v>
                </c:pt>
                <c:pt idx="8">
                  <c:v>0.36062683655979344</c:v>
                </c:pt>
                <c:pt idx="9">
                  <c:v>0.79890023799239029</c:v>
                </c:pt>
                <c:pt idx="10">
                  <c:v>0.8811499652681084</c:v>
                </c:pt>
                <c:pt idx="11">
                  <c:v>0.99999999999999989</c:v>
                </c:pt>
              </c:numCache>
            </c:numRef>
          </c:xVal>
          <c:yVal>
            <c:numRef>
              <c:f>Gini_2010!$G$241:$G$252</c:f>
              <c:numCache>
                <c:formatCode>0.00</c:formatCode>
                <c:ptCount val="12"/>
                <c:pt idx="0">
                  <c:v>0</c:v>
                </c:pt>
                <c:pt idx="1">
                  <c:v>4.1855150022580721E-3</c:v>
                </c:pt>
                <c:pt idx="2">
                  <c:v>1.2394360770893034E-2</c:v>
                </c:pt>
                <c:pt idx="3">
                  <c:v>2.4281459822698838E-2</c:v>
                </c:pt>
                <c:pt idx="4">
                  <c:v>4.9255204088749713E-2</c:v>
                </c:pt>
                <c:pt idx="5">
                  <c:v>0.10871668907655338</c:v>
                </c:pt>
                <c:pt idx="6">
                  <c:v>0.18032746526201532</c:v>
                </c:pt>
                <c:pt idx="7">
                  <c:v>0.26008354300411751</c:v>
                </c:pt>
                <c:pt idx="8">
                  <c:v>0.34066308593944905</c:v>
                </c:pt>
                <c:pt idx="9">
                  <c:v>0.45537608286213216</c:v>
                </c:pt>
                <c:pt idx="10">
                  <c:v>0.64713005700803738</c:v>
                </c:pt>
                <c:pt idx="11">
                  <c:v>1</c:v>
                </c:pt>
              </c:numCache>
            </c:numRef>
          </c:yVal>
          <c:smooth val="0"/>
          <c:extLst>
            <c:ext xmlns:c16="http://schemas.microsoft.com/office/drawing/2014/chart" uri="{C3380CC4-5D6E-409C-BE32-E72D297353CC}">
              <c16:uniqueId val="{00000005-8575-4AE1-B0E4-D17C578EE971}"/>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t>
                </a:r>
                <a:r>
                  <a:rPr lang="en-US" sz="1000" b="0" i="0" u="none" strike="noStrike" baseline="0">
                    <a:effectLst/>
                  </a:rPr>
                  <a:t>Criteria</a:t>
                </a:r>
                <a:endParaRPr lang="en-US" baseline="0"/>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variables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layout>
        <c:manualLayout>
          <c:xMode val="edge"/>
          <c:yMode val="edge"/>
          <c:x val="0.81944879380053437"/>
          <c:y val="0.38221744320590534"/>
          <c:w val="0.18021896777407129"/>
          <c:h val="0.349143219407329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Gini_2011!$H$94:$H$105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xVal>
          <c:yVal>
            <c:numRef>
              <c:f>Gini_2011!$H$94:$H$105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yVal>
          <c:smooth val="1"/>
          <c:extLst>
            <c:ext xmlns:c16="http://schemas.microsoft.com/office/drawing/2014/chart" uri="{C3380CC4-5D6E-409C-BE32-E72D297353CC}">
              <c16:uniqueId val="{00000000-7853-4037-A9C5-ED5593005665}"/>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7853-4037-A9C5-ED5593005665}"/>
              </c:ext>
            </c:extLst>
          </c:dPt>
          <c:xVal>
            <c:numRef>
              <c:f>Gini_2011!$H$94:$H$105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xVal>
          <c:yVal>
            <c:numRef>
              <c:f>Gini_2011!$G$94:$G$105</c:f>
              <c:numCache>
                <c:formatCode>0.00</c:formatCode>
                <c:ptCount val="12"/>
                <c:pt idx="0">
                  <c:v>0</c:v>
                </c:pt>
                <c:pt idx="1">
                  <c:v>1.2244961028881811E-3</c:v>
                </c:pt>
                <c:pt idx="2">
                  <c:v>7.162210638806862E-3</c:v>
                </c:pt>
                <c:pt idx="3">
                  <c:v>1.5000139281256559E-2</c:v>
                </c:pt>
                <c:pt idx="4">
                  <c:v>2.7432715295327655E-2</c:v>
                </c:pt>
                <c:pt idx="5">
                  <c:v>4.0198287889458242E-2</c:v>
                </c:pt>
                <c:pt idx="6">
                  <c:v>7.7633290340691247E-2</c:v>
                </c:pt>
                <c:pt idx="7">
                  <c:v>0.15421787649788976</c:v>
                </c:pt>
                <c:pt idx="8">
                  <c:v>0.31028696922465582</c:v>
                </c:pt>
                <c:pt idx="9">
                  <c:v>0.47471471598799708</c:v>
                </c:pt>
                <c:pt idx="10">
                  <c:v>0.68914792715790996</c:v>
                </c:pt>
                <c:pt idx="11">
                  <c:v>1</c:v>
                </c:pt>
              </c:numCache>
            </c:numRef>
          </c:yVal>
          <c:smooth val="0"/>
          <c:extLst>
            <c:ext xmlns:c16="http://schemas.microsoft.com/office/drawing/2014/chart" uri="{C3380CC4-5D6E-409C-BE32-E72D297353CC}">
              <c16:uniqueId val="{00000002-7853-4037-A9C5-ED5593005665}"/>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Precipitation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301861863580613"/>
          <c:y val="0.1566342980154827"/>
          <c:w val="0.54960252622417904"/>
          <c:h val="0.65904922055244786"/>
        </c:manualLayout>
      </c:layout>
      <c:scatterChart>
        <c:scatterStyle val="smoothMarker"/>
        <c:varyColors val="0"/>
        <c:ser>
          <c:idx val="1"/>
          <c:order val="1"/>
          <c:tx>
            <c:v>Equality Line</c:v>
          </c:tx>
          <c:spPr>
            <a:ln w="19050" cap="rnd">
              <a:solidFill>
                <a:schemeClr val="accent2"/>
              </a:solidFill>
              <a:round/>
            </a:ln>
            <a:effectLst/>
          </c:spPr>
          <c:marker>
            <c:symbol val="none"/>
          </c:marker>
          <c:xVal>
            <c:numRef>
              <c:f>Gini_2011!$H$115:$H$126</c:f>
              <c:numCache>
                <c:formatCode>0.00</c:formatCode>
                <c:ptCount val="12"/>
                <c:pt idx="0">
                  <c:v>0</c:v>
                </c:pt>
                <c:pt idx="1">
                  <c:v>8.6508040877704764E-3</c:v>
                </c:pt>
                <c:pt idx="2">
                  <c:v>2.233691110888162E-2</c:v>
                </c:pt>
                <c:pt idx="3">
                  <c:v>4.5534073596056365E-2</c:v>
                </c:pt>
                <c:pt idx="4">
                  <c:v>5.3837159897602418E-2</c:v>
                </c:pt>
                <c:pt idx="5">
                  <c:v>0.11541757062610367</c:v>
                </c:pt>
                <c:pt idx="6">
                  <c:v>0.17846731707242672</c:v>
                </c:pt>
                <c:pt idx="7">
                  <c:v>0.25736713399590871</c:v>
                </c:pt>
                <c:pt idx="8">
                  <c:v>0.38405950424456814</c:v>
                </c:pt>
                <c:pt idx="9">
                  <c:v>0.65743534284662219</c:v>
                </c:pt>
                <c:pt idx="10">
                  <c:v>0.98464491670321019</c:v>
                </c:pt>
                <c:pt idx="11">
                  <c:v>1.0000000000000002</c:v>
                </c:pt>
              </c:numCache>
            </c:numRef>
          </c:xVal>
          <c:yVal>
            <c:numRef>
              <c:f>Gini_2011!$H$115:$H$126</c:f>
              <c:numCache>
                <c:formatCode>0.00</c:formatCode>
                <c:ptCount val="12"/>
                <c:pt idx="0">
                  <c:v>0</c:v>
                </c:pt>
                <c:pt idx="1">
                  <c:v>8.6508040877704764E-3</c:v>
                </c:pt>
                <c:pt idx="2">
                  <c:v>2.233691110888162E-2</c:v>
                </c:pt>
                <c:pt idx="3">
                  <c:v>4.5534073596056365E-2</c:v>
                </c:pt>
                <c:pt idx="4">
                  <c:v>5.3837159897602418E-2</c:v>
                </c:pt>
                <c:pt idx="5">
                  <c:v>0.11541757062610367</c:v>
                </c:pt>
                <c:pt idx="6">
                  <c:v>0.17846731707242672</c:v>
                </c:pt>
                <c:pt idx="7">
                  <c:v>0.25736713399590871</c:v>
                </c:pt>
                <c:pt idx="8">
                  <c:v>0.38405950424456814</c:v>
                </c:pt>
                <c:pt idx="9">
                  <c:v>0.65743534284662219</c:v>
                </c:pt>
                <c:pt idx="10">
                  <c:v>0.98464491670321019</c:v>
                </c:pt>
                <c:pt idx="11">
                  <c:v>1.0000000000000002</c:v>
                </c:pt>
              </c:numCache>
            </c:numRef>
          </c:yVal>
          <c:smooth val="1"/>
          <c:extLst>
            <c:ext xmlns:c16="http://schemas.microsoft.com/office/drawing/2014/chart" uri="{C3380CC4-5D6E-409C-BE32-E72D297353CC}">
              <c16:uniqueId val="{00000000-C81D-411B-9679-243AB1842DF1}"/>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C81D-411B-9679-243AB1842DF1}"/>
              </c:ext>
            </c:extLst>
          </c:dPt>
          <c:xVal>
            <c:numRef>
              <c:f>Gini_2011!$H$115:$H$126</c:f>
              <c:numCache>
                <c:formatCode>0.00</c:formatCode>
                <c:ptCount val="12"/>
                <c:pt idx="0">
                  <c:v>0</c:v>
                </c:pt>
                <c:pt idx="1">
                  <c:v>8.6508040877704764E-3</c:v>
                </c:pt>
                <c:pt idx="2">
                  <c:v>2.233691110888162E-2</c:v>
                </c:pt>
                <c:pt idx="3">
                  <c:v>4.5534073596056365E-2</c:v>
                </c:pt>
                <c:pt idx="4">
                  <c:v>5.3837159897602418E-2</c:v>
                </c:pt>
                <c:pt idx="5">
                  <c:v>0.11541757062610367</c:v>
                </c:pt>
                <c:pt idx="6">
                  <c:v>0.17846731707242672</c:v>
                </c:pt>
                <c:pt idx="7">
                  <c:v>0.25736713399590871</c:v>
                </c:pt>
                <c:pt idx="8">
                  <c:v>0.38405950424456814</c:v>
                </c:pt>
                <c:pt idx="9">
                  <c:v>0.65743534284662219</c:v>
                </c:pt>
                <c:pt idx="10">
                  <c:v>0.98464491670321019</c:v>
                </c:pt>
                <c:pt idx="11">
                  <c:v>1.0000000000000002</c:v>
                </c:pt>
              </c:numCache>
            </c:numRef>
          </c:xVal>
          <c:yVal>
            <c:numRef>
              <c:f>Gini_2011!$G$115:$G$126</c:f>
              <c:numCache>
                <c:formatCode>0.00</c:formatCode>
                <c:ptCount val="12"/>
                <c:pt idx="0">
                  <c:v>0</c:v>
                </c:pt>
                <c:pt idx="1">
                  <c:v>5.765430583763765E-3</c:v>
                </c:pt>
                <c:pt idx="2">
                  <c:v>1.266689965154995E-2</c:v>
                </c:pt>
                <c:pt idx="3">
                  <c:v>2.2768359741336425E-2</c:v>
                </c:pt>
                <c:pt idx="4">
                  <c:v>3.5053618109373005E-2</c:v>
                </c:pt>
                <c:pt idx="5">
                  <c:v>6.167976936304144E-2</c:v>
                </c:pt>
                <c:pt idx="6">
                  <c:v>9.0013600302880081E-2</c:v>
                </c:pt>
                <c:pt idx="7">
                  <c:v>0.14671850150839402</c:v>
                </c:pt>
                <c:pt idx="8">
                  <c:v>0.28717962917713746</c:v>
                </c:pt>
                <c:pt idx="9">
                  <c:v>0.46226923498550432</c:v>
                </c:pt>
                <c:pt idx="10">
                  <c:v>0.64811249664964443</c:v>
                </c:pt>
                <c:pt idx="11">
                  <c:v>1</c:v>
                </c:pt>
              </c:numCache>
            </c:numRef>
          </c:yVal>
          <c:smooth val="0"/>
          <c:extLst>
            <c:ext xmlns:c16="http://schemas.microsoft.com/office/drawing/2014/chart" uri="{C3380CC4-5D6E-409C-BE32-E72D297353CC}">
              <c16:uniqueId val="{00000002-C81D-411B-9679-243AB1842DF1}"/>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ETa</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Gini_2011!$H$136:$H$147</c:f>
              <c:numCache>
                <c:formatCode>0.00</c:formatCode>
                <c:ptCount val="12"/>
                <c:pt idx="0">
                  <c:v>0</c:v>
                </c:pt>
                <c:pt idx="1">
                  <c:v>6.1580410728501248E-2</c:v>
                </c:pt>
                <c:pt idx="2">
                  <c:v>7.0231214816271731E-2</c:v>
                </c:pt>
                <c:pt idx="3">
                  <c:v>0.3974407886728597</c:v>
                </c:pt>
                <c:pt idx="4">
                  <c:v>0.41279587196964967</c:v>
                </c:pt>
                <c:pt idx="5">
                  <c:v>0.42109895827119576</c:v>
                </c:pt>
                <c:pt idx="6">
                  <c:v>0.43478506529230687</c:v>
                </c:pt>
                <c:pt idx="7">
                  <c:v>0.45798222777948161</c:v>
                </c:pt>
                <c:pt idx="8">
                  <c:v>0.52103197422580472</c:v>
                </c:pt>
                <c:pt idx="9">
                  <c:v>0.64772434447446414</c:v>
                </c:pt>
                <c:pt idx="10">
                  <c:v>0.72662416139794606</c:v>
                </c:pt>
                <c:pt idx="11">
                  <c:v>1</c:v>
                </c:pt>
              </c:numCache>
            </c:numRef>
          </c:xVal>
          <c:yVal>
            <c:numRef>
              <c:f>Gini_2011!$H$136:$H$147</c:f>
              <c:numCache>
                <c:formatCode>0.00</c:formatCode>
                <c:ptCount val="12"/>
                <c:pt idx="0">
                  <c:v>0</c:v>
                </c:pt>
                <c:pt idx="1">
                  <c:v>6.1580410728501248E-2</c:v>
                </c:pt>
                <c:pt idx="2">
                  <c:v>7.0231214816271731E-2</c:v>
                </c:pt>
                <c:pt idx="3">
                  <c:v>0.3974407886728597</c:v>
                </c:pt>
                <c:pt idx="4">
                  <c:v>0.41279587196964967</c:v>
                </c:pt>
                <c:pt idx="5">
                  <c:v>0.42109895827119576</c:v>
                </c:pt>
                <c:pt idx="6">
                  <c:v>0.43478506529230687</c:v>
                </c:pt>
                <c:pt idx="7">
                  <c:v>0.45798222777948161</c:v>
                </c:pt>
                <c:pt idx="8">
                  <c:v>0.52103197422580472</c:v>
                </c:pt>
                <c:pt idx="9">
                  <c:v>0.64772434447446414</c:v>
                </c:pt>
                <c:pt idx="10">
                  <c:v>0.72662416139794606</c:v>
                </c:pt>
                <c:pt idx="11">
                  <c:v>1</c:v>
                </c:pt>
              </c:numCache>
            </c:numRef>
          </c:yVal>
          <c:smooth val="1"/>
          <c:extLst>
            <c:ext xmlns:c16="http://schemas.microsoft.com/office/drawing/2014/chart" uri="{C3380CC4-5D6E-409C-BE32-E72D297353CC}">
              <c16:uniqueId val="{00000000-0D40-4D42-B4DA-26F49766D99D}"/>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0D40-4D42-B4DA-26F49766D99D}"/>
              </c:ext>
            </c:extLst>
          </c:dPt>
          <c:xVal>
            <c:numRef>
              <c:f>Gini_2011!$H$136:$H$147</c:f>
              <c:numCache>
                <c:formatCode>0.00</c:formatCode>
                <c:ptCount val="12"/>
                <c:pt idx="0">
                  <c:v>0</c:v>
                </c:pt>
                <c:pt idx="1">
                  <c:v>6.1580410728501248E-2</c:v>
                </c:pt>
                <c:pt idx="2">
                  <c:v>7.0231214816271731E-2</c:v>
                </c:pt>
                <c:pt idx="3">
                  <c:v>0.3974407886728597</c:v>
                </c:pt>
                <c:pt idx="4">
                  <c:v>0.41279587196964967</c:v>
                </c:pt>
                <c:pt idx="5">
                  <c:v>0.42109895827119576</c:v>
                </c:pt>
                <c:pt idx="6">
                  <c:v>0.43478506529230687</c:v>
                </c:pt>
                <c:pt idx="7">
                  <c:v>0.45798222777948161</c:v>
                </c:pt>
                <c:pt idx="8">
                  <c:v>0.52103197422580472</c:v>
                </c:pt>
                <c:pt idx="9">
                  <c:v>0.64772434447446414</c:v>
                </c:pt>
                <c:pt idx="10">
                  <c:v>0.72662416139794606</c:v>
                </c:pt>
                <c:pt idx="11">
                  <c:v>1</c:v>
                </c:pt>
              </c:numCache>
            </c:numRef>
          </c:xVal>
          <c:yVal>
            <c:numRef>
              <c:f>Gini_2011!$G$136:$G$147</c:f>
              <c:numCache>
                <c:formatCode>0.00</c:formatCode>
                <c:ptCount val="12"/>
                <c:pt idx="0">
                  <c:v>0</c:v>
                </c:pt>
                <c:pt idx="1">
                  <c:v>0</c:v>
                </c:pt>
                <c:pt idx="2">
                  <c:v>0</c:v>
                </c:pt>
                <c:pt idx="3">
                  <c:v>0</c:v>
                </c:pt>
                <c:pt idx="4">
                  <c:v>0</c:v>
                </c:pt>
                <c:pt idx="5">
                  <c:v>2.5380223793664534E-4</c:v>
                </c:pt>
                <c:pt idx="6">
                  <c:v>8.6171341387232259E-3</c:v>
                </c:pt>
                <c:pt idx="7">
                  <c:v>3.4011139382524341E-2</c:v>
                </c:pt>
                <c:pt idx="8">
                  <c:v>0.14515478455769626</c:v>
                </c:pt>
                <c:pt idx="9">
                  <c:v>0.30245134598104084</c:v>
                </c:pt>
                <c:pt idx="10">
                  <c:v>0.57658240801181226</c:v>
                </c:pt>
                <c:pt idx="11">
                  <c:v>1</c:v>
                </c:pt>
              </c:numCache>
            </c:numRef>
          </c:yVal>
          <c:smooth val="0"/>
          <c:extLst>
            <c:ext xmlns:c16="http://schemas.microsoft.com/office/drawing/2014/chart" uri="{C3380CC4-5D6E-409C-BE32-E72D297353CC}">
              <c16:uniqueId val="{00000002-0D40-4D42-B4DA-26F49766D99D}"/>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Available Water</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Gini_2011!$H$157:$H$168</c:f>
              <c:numCache>
                <c:formatCode>0.00</c:formatCode>
                <c:ptCount val="12"/>
                <c:pt idx="0">
                  <c:v>0</c:v>
                </c:pt>
                <c:pt idx="1">
                  <c:v>8.6508040877704764E-3</c:v>
                </c:pt>
                <c:pt idx="2">
                  <c:v>1.6953890389316533E-2</c:v>
                </c:pt>
                <c:pt idx="3">
                  <c:v>3.0639997410427677E-2</c:v>
                </c:pt>
                <c:pt idx="4">
                  <c:v>5.3837159897602418E-2</c:v>
                </c:pt>
                <c:pt idx="5">
                  <c:v>0.11688690634392547</c:v>
                </c:pt>
                <c:pt idx="6">
                  <c:v>0.13224198964071543</c:v>
                </c:pt>
                <c:pt idx="7">
                  <c:v>0.45945156349730343</c:v>
                </c:pt>
                <c:pt idx="8">
                  <c:v>0.53835138042078534</c:v>
                </c:pt>
                <c:pt idx="9">
                  <c:v>0.66504375066944477</c:v>
                </c:pt>
                <c:pt idx="10">
                  <c:v>0.72662416139794606</c:v>
                </c:pt>
                <c:pt idx="11">
                  <c:v>1</c:v>
                </c:pt>
              </c:numCache>
            </c:numRef>
          </c:xVal>
          <c:yVal>
            <c:numRef>
              <c:f>Gini_2011!$H$157:$H$168</c:f>
              <c:numCache>
                <c:formatCode>0.00</c:formatCode>
                <c:ptCount val="12"/>
                <c:pt idx="0">
                  <c:v>0</c:v>
                </c:pt>
                <c:pt idx="1">
                  <c:v>8.6508040877704764E-3</c:v>
                </c:pt>
                <c:pt idx="2">
                  <c:v>1.6953890389316533E-2</c:v>
                </c:pt>
                <c:pt idx="3">
                  <c:v>3.0639997410427677E-2</c:v>
                </c:pt>
                <c:pt idx="4">
                  <c:v>5.3837159897602418E-2</c:v>
                </c:pt>
                <c:pt idx="5">
                  <c:v>0.11688690634392547</c:v>
                </c:pt>
                <c:pt idx="6">
                  <c:v>0.13224198964071543</c:v>
                </c:pt>
                <c:pt idx="7">
                  <c:v>0.45945156349730343</c:v>
                </c:pt>
                <c:pt idx="8">
                  <c:v>0.53835138042078534</c:v>
                </c:pt>
                <c:pt idx="9">
                  <c:v>0.66504375066944477</c:v>
                </c:pt>
                <c:pt idx="10">
                  <c:v>0.72662416139794606</c:v>
                </c:pt>
                <c:pt idx="11">
                  <c:v>1</c:v>
                </c:pt>
              </c:numCache>
            </c:numRef>
          </c:yVal>
          <c:smooth val="1"/>
          <c:extLst>
            <c:ext xmlns:c16="http://schemas.microsoft.com/office/drawing/2014/chart" uri="{C3380CC4-5D6E-409C-BE32-E72D297353CC}">
              <c16:uniqueId val="{00000000-8D3D-419E-ADD7-4ACEC9FDFFFF}"/>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8D3D-419E-ADD7-4ACEC9FDFFFF}"/>
              </c:ext>
            </c:extLst>
          </c:dPt>
          <c:xVal>
            <c:numRef>
              <c:f>Gini_2011!$H$157:$H$168</c:f>
              <c:numCache>
                <c:formatCode>0.00</c:formatCode>
                <c:ptCount val="12"/>
                <c:pt idx="0">
                  <c:v>0</c:v>
                </c:pt>
                <c:pt idx="1">
                  <c:v>8.6508040877704764E-3</c:v>
                </c:pt>
                <c:pt idx="2">
                  <c:v>1.6953890389316533E-2</c:v>
                </c:pt>
                <c:pt idx="3">
                  <c:v>3.0639997410427677E-2</c:v>
                </c:pt>
                <c:pt idx="4">
                  <c:v>5.3837159897602418E-2</c:v>
                </c:pt>
                <c:pt idx="5">
                  <c:v>0.11688690634392547</c:v>
                </c:pt>
                <c:pt idx="6">
                  <c:v>0.13224198964071543</c:v>
                </c:pt>
                <c:pt idx="7">
                  <c:v>0.45945156349730343</c:v>
                </c:pt>
                <c:pt idx="8">
                  <c:v>0.53835138042078534</c:v>
                </c:pt>
                <c:pt idx="9">
                  <c:v>0.66504375066944477</c:v>
                </c:pt>
                <c:pt idx="10">
                  <c:v>0.72662416139794606</c:v>
                </c:pt>
                <c:pt idx="11">
                  <c:v>1</c:v>
                </c:pt>
              </c:numCache>
            </c:numRef>
          </c:xVal>
          <c:yVal>
            <c:numRef>
              <c:f>Gini_2011!$G$157:$G$168</c:f>
              <c:numCache>
                <c:formatCode>0.00</c:formatCode>
                <c:ptCount val="12"/>
                <c:pt idx="0">
                  <c:v>0</c:v>
                </c:pt>
                <c:pt idx="1">
                  <c:v>0</c:v>
                </c:pt>
                <c:pt idx="2">
                  <c:v>1.3244489135736634E-4</c:v>
                </c:pt>
                <c:pt idx="3">
                  <c:v>4.4967901153808694E-3</c:v>
                </c:pt>
                <c:pt idx="4">
                  <c:v>3.0848666010597957E-2</c:v>
                </c:pt>
                <c:pt idx="5">
                  <c:v>8.8848186148642816E-2</c:v>
                </c:pt>
                <c:pt idx="6">
                  <c:v>0.16986255001279332</c:v>
                </c:pt>
                <c:pt idx="7">
                  <c:v>0.28638533718761405</c:v>
                </c:pt>
                <c:pt idx="8">
                  <c:v>0.42943868070229207</c:v>
                </c:pt>
                <c:pt idx="9">
                  <c:v>0.58426332816868132</c:v>
                </c:pt>
                <c:pt idx="10">
                  <c:v>0.77904254341653256</c:v>
                </c:pt>
                <c:pt idx="11">
                  <c:v>1</c:v>
                </c:pt>
              </c:numCache>
            </c:numRef>
          </c:yVal>
          <c:smooth val="0"/>
          <c:extLst>
            <c:ext xmlns:c16="http://schemas.microsoft.com/office/drawing/2014/chart" uri="{C3380CC4-5D6E-409C-BE32-E72D297353CC}">
              <c16:uniqueId val="{00000002-8D3D-419E-ADD7-4ACEC9FDFFFF}"/>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 total</a:t>
                </a:r>
                <a:r>
                  <a:rPr lang="en-US" baseline="0"/>
                  <a:t> available water</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0-A951-4439-8579-2415FCDDDBD9}"/>
              </c:ext>
            </c:extLst>
          </c:dPt>
          <c:xVal>
            <c:numRef>
              <c:f>Gini_2011!$H$6:$H$17</c:f>
              <c:numCache>
                <c:formatCode>0.00</c:formatCode>
                <c:ptCount val="12"/>
                <c:pt idx="0">
                  <c:v>0</c:v>
                </c:pt>
                <c:pt idx="1">
                  <c:v>0.32788290485219612</c:v>
                </c:pt>
                <c:pt idx="2">
                  <c:v>0.33316391846816507</c:v>
                </c:pt>
                <c:pt idx="3">
                  <c:v>0.35489046557021076</c:v>
                </c:pt>
                <c:pt idx="4">
                  <c:v>0.39707606679577095</c:v>
                </c:pt>
                <c:pt idx="5">
                  <c:v>0.41063998239528793</c:v>
                </c:pt>
                <c:pt idx="6">
                  <c:v>0.48547551986743165</c:v>
                </c:pt>
                <c:pt idx="7">
                  <c:v>0.5282403318959018</c:v>
                </c:pt>
                <c:pt idx="8">
                  <c:v>0.67330593245996084</c:v>
                </c:pt>
                <c:pt idx="9">
                  <c:v>0.81177562537315373</c:v>
                </c:pt>
                <c:pt idx="10">
                  <c:v>0.9544764813827985</c:v>
                </c:pt>
                <c:pt idx="11">
                  <c:v>1.0000000000000002</c:v>
                </c:pt>
              </c:numCache>
            </c:numRef>
          </c:xVal>
          <c:yVal>
            <c:numRef>
              <c:f>Gini_2011!$G$6:$G$17</c:f>
              <c:numCache>
                <c:formatCode>0.00</c:formatCode>
                <c:ptCount val="12"/>
                <c:pt idx="0">
                  <c:v>0</c:v>
                </c:pt>
                <c:pt idx="1">
                  <c:v>1.2244961028881811E-3</c:v>
                </c:pt>
                <c:pt idx="2">
                  <c:v>7.162210638806862E-3</c:v>
                </c:pt>
                <c:pt idx="3">
                  <c:v>1.5000139281256559E-2</c:v>
                </c:pt>
                <c:pt idx="4">
                  <c:v>2.7432715295327655E-2</c:v>
                </c:pt>
                <c:pt idx="5">
                  <c:v>4.0198287889458242E-2</c:v>
                </c:pt>
                <c:pt idx="6">
                  <c:v>7.7633290340691247E-2</c:v>
                </c:pt>
                <c:pt idx="7">
                  <c:v>0.15421787649788976</c:v>
                </c:pt>
                <c:pt idx="8">
                  <c:v>0.31028696922465582</c:v>
                </c:pt>
                <c:pt idx="9">
                  <c:v>0.47471471598799708</c:v>
                </c:pt>
                <c:pt idx="10">
                  <c:v>0.68914792715790996</c:v>
                </c:pt>
                <c:pt idx="11">
                  <c:v>1</c:v>
                </c:pt>
              </c:numCache>
            </c:numRef>
          </c:yVal>
          <c:smooth val="1"/>
          <c:extLst>
            <c:ext xmlns:c16="http://schemas.microsoft.com/office/drawing/2014/chart" uri="{C3380CC4-5D6E-409C-BE32-E72D297353CC}">
              <c16:uniqueId val="{00000001-A951-4439-8579-2415FCDDDBD9}"/>
            </c:ext>
          </c:extLst>
        </c:ser>
        <c:ser>
          <c:idx val="1"/>
          <c:order val="1"/>
          <c:tx>
            <c:v>Equality Line</c:v>
          </c:tx>
          <c:spPr>
            <a:ln w="19050" cap="rnd">
              <a:solidFill>
                <a:schemeClr val="accent2"/>
              </a:solidFill>
              <a:round/>
            </a:ln>
            <a:effectLst/>
          </c:spPr>
          <c:marker>
            <c:symbol val="none"/>
          </c:marker>
          <c:xVal>
            <c:numRef>
              <c:f>Gini_2011!$H$6:$H$17</c:f>
              <c:numCache>
                <c:formatCode>0.00</c:formatCode>
                <c:ptCount val="12"/>
                <c:pt idx="0">
                  <c:v>0</c:v>
                </c:pt>
                <c:pt idx="1">
                  <c:v>0.32788290485219612</c:v>
                </c:pt>
                <c:pt idx="2">
                  <c:v>0.33316391846816507</c:v>
                </c:pt>
                <c:pt idx="3">
                  <c:v>0.35489046557021076</c:v>
                </c:pt>
                <c:pt idx="4">
                  <c:v>0.39707606679577095</c:v>
                </c:pt>
                <c:pt idx="5">
                  <c:v>0.41063998239528793</c:v>
                </c:pt>
                <c:pt idx="6">
                  <c:v>0.48547551986743165</c:v>
                </c:pt>
                <c:pt idx="7">
                  <c:v>0.5282403318959018</c:v>
                </c:pt>
                <c:pt idx="8">
                  <c:v>0.67330593245996084</c:v>
                </c:pt>
                <c:pt idx="9">
                  <c:v>0.81177562537315373</c:v>
                </c:pt>
                <c:pt idx="10">
                  <c:v>0.9544764813827985</c:v>
                </c:pt>
                <c:pt idx="11">
                  <c:v>1.0000000000000002</c:v>
                </c:pt>
              </c:numCache>
            </c:numRef>
          </c:xVal>
          <c:yVal>
            <c:numRef>
              <c:f>Gini_2011!$H$6:$H$17</c:f>
              <c:numCache>
                <c:formatCode>0.00</c:formatCode>
                <c:ptCount val="12"/>
                <c:pt idx="0">
                  <c:v>0</c:v>
                </c:pt>
                <c:pt idx="1">
                  <c:v>0.32788290485219612</c:v>
                </c:pt>
                <c:pt idx="2">
                  <c:v>0.33316391846816507</c:v>
                </c:pt>
                <c:pt idx="3">
                  <c:v>0.35489046557021076</c:v>
                </c:pt>
                <c:pt idx="4">
                  <c:v>0.39707606679577095</c:v>
                </c:pt>
                <c:pt idx="5">
                  <c:v>0.41063998239528793</c:v>
                </c:pt>
                <c:pt idx="6">
                  <c:v>0.48547551986743165</c:v>
                </c:pt>
                <c:pt idx="7">
                  <c:v>0.5282403318959018</c:v>
                </c:pt>
                <c:pt idx="8">
                  <c:v>0.67330593245996084</c:v>
                </c:pt>
                <c:pt idx="9">
                  <c:v>0.81177562537315373</c:v>
                </c:pt>
                <c:pt idx="10">
                  <c:v>0.9544764813827985</c:v>
                </c:pt>
                <c:pt idx="11">
                  <c:v>1.0000000000000002</c:v>
                </c:pt>
              </c:numCache>
            </c:numRef>
          </c:yVal>
          <c:smooth val="1"/>
          <c:extLst>
            <c:ext xmlns:c16="http://schemas.microsoft.com/office/drawing/2014/chart" uri="{C3380CC4-5D6E-409C-BE32-E72D297353CC}">
              <c16:uniqueId val="{00000002-A951-4439-8579-2415FCDDDBD9}"/>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Population</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Precipitation</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0-9CEA-4BD7-99A8-16EEF082E052}"/>
              </c:ext>
            </c:extLst>
          </c:dPt>
          <c:xVal>
            <c:numRef>
              <c:f>Gini_2011!$H$27:$H$38</c:f>
              <c:numCache>
                <c:formatCode>0.00</c:formatCode>
                <c:ptCount val="12"/>
                <c:pt idx="0">
                  <c:v>0</c:v>
                </c:pt>
                <c:pt idx="1">
                  <c:v>5.2810136159689505E-3</c:v>
                </c:pt>
                <c:pt idx="2">
                  <c:v>2.7007560718014655E-2</c:v>
                </c:pt>
                <c:pt idx="3">
                  <c:v>6.9193161943574832E-2</c:v>
                </c:pt>
                <c:pt idx="4">
                  <c:v>8.2757077543091806E-2</c:v>
                </c:pt>
                <c:pt idx="5">
                  <c:v>0.41063998239528782</c:v>
                </c:pt>
                <c:pt idx="6">
                  <c:v>0.48547551986743148</c:v>
                </c:pt>
                <c:pt idx="7">
                  <c:v>0.52824033189590158</c:v>
                </c:pt>
                <c:pt idx="8">
                  <c:v>0.67330593245996062</c:v>
                </c:pt>
                <c:pt idx="9">
                  <c:v>0.81600678846960539</c:v>
                </c:pt>
                <c:pt idx="10">
                  <c:v>0.95447648138279817</c:v>
                </c:pt>
                <c:pt idx="11">
                  <c:v>0.99999999999999989</c:v>
                </c:pt>
              </c:numCache>
            </c:numRef>
          </c:xVal>
          <c:yVal>
            <c:numRef>
              <c:f>Gini_2011!$G$27:$G$38</c:f>
              <c:numCache>
                <c:formatCode>0.00</c:formatCode>
                <c:ptCount val="12"/>
                <c:pt idx="0">
                  <c:v>0</c:v>
                </c:pt>
                <c:pt idx="1">
                  <c:v>5.765430583763765E-3</c:v>
                </c:pt>
                <c:pt idx="2">
                  <c:v>1.266689965154995E-2</c:v>
                </c:pt>
                <c:pt idx="3">
                  <c:v>2.2768359741336425E-2</c:v>
                </c:pt>
                <c:pt idx="4">
                  <c:v>3.5053618109373005E-2</c:v>
                </c:pt>
                <c:pt idx="5">
                  <c:v>6.167976936304144E-2</c:v>
                </c:pt>
                <c:pt idx="6">
                  <c:v>9.0013600302880081E-2</c:v>
                </c:pt>
                <c:pt idx="7">
                  <c:v>0.14671850150839402</c:v>
                </c:pt>
                <c:pt idx="8">
                  <c:v>0.28717962917713746</c:v>
                </c:pt>
                <c:pt idx="9">
                  <c:v>0.46226923498550432</c:v>
                </c:pt>
                <c:pt idx="10">
                  <c:v>0.64811249664964443</c:v>
                </c:pt>
                <c:pt idx="11">
                  <c:v>1</c:v>
                </c:pt>
              </c:numCache>
            </c:numRef>
          </c:yVal>
          <c:smooth val="1"/>
          <c:extLst>
            <c:ext xmlns:c16="http://schemas.microsoft.com/office/drawing/2014/chart" uri="{C3380CC4-5D6E-409C-BE32-E72D297353CC}">
              <c16:uniqueId val="{00000001-9CEA-4BD7-99A8-16EEF082E052}"/>
            </c:ext>
          </c:extLst>
        </c:ser>
        <c:ser>
          <c:idx val="2"/>
          <c:order val="1"/>
          <c:tx>
            <c:v>Equality Line</c:v>
          </c:tx>
          <c:spPr>
            <a:ln w="19050" cap="rnd">
              <a:solidFill>
                <a:schemeClr val="accent2"/>
              </a:solidFill>
              <a:round/>
            </a:ln>
            <a:effectLst/>
          </c:spPr>
          <c:marker>
            <c:symbol val="none"/>
          </c:marker>
          <c:xVal>
            <c:numRef>
              <c:f>Gini_2011!$H$27:$H$38</c:f>
              <c:numCache>
                <c:formatCode>0.00</c:formatCode>
                <c:ptCount val="12"/>
                <c:pt idx="0">
                  <c:v>0</c:v>
                </c:pt>
                <c:pt idx="1">
                  <c:v>5.2810136159689505E-3</c:v>
                </c:pt>
                <c:pt idx="2">
                  <c:v>2.7007560718014655E-2</c:v>
                </c:pt>
                <c:pt idx="3">
                  <c:v>6.9193161943574832E-2</c:v>
                </c:pt>
                <c:pt idx="4">
                  <c:v>8.2757077543091806E-2</c:v>
                </c:pt>
                <c:pt idx="5">
                  <c:v>0.41063998239528782</c:v>
                </c:pt>
                <c:pt idx="6">
                  <c:v>0.48547551986743148</c:v>
                </c:pt>
                <c:pt idx="7">
                  <c:v>0.52824033189590158</c:v>
                </c:pt>
                <c:pt idx="8">
                  <c:v>0.67330593245996062</c:v>
                </c:pt>
                <c:pt idx="9">
                  <c:v>0.81600678846960539</c:v>
                </c:pt>
                <c:pt idx="10">
                  <c:v>0.95447648138279817</c:v>
                </c:pt>
                <c:pt idx="11">
                  <c:v>0.99999999999999989</c:v>
                </c:pt>
              </c:numCache>
            </c:numRef>
          </c:xVal>
          <c:yVal>
            <c:numRef>
              <c:f>Gini_2011!$H$27:$H$38</c:f>
              <c:numCache>
                <c:formatCode>0.00</c:formatCode>
                <c:ptCount val="12"/>
                <c:pt idx="0">
                  <c:v>0</c:v>
                </c:pt>
                <c:pt idx="1">
                  <c:v>5.2810136159689505E-3</c:v>
                </c:pt>
                <c:pt idx="2">
                  <c:v>2.7007560718014655E-2</c:v>
                </c:pt>
                <c:pt idx="3">
                  <c:v>6.9193161943574832E-2</c:v>
                </c:pt>
                <c:pt idx="4">
                  <c:v>8.2757077543091806E-2</c:v>
                </c:pt>
                <c:pt idx="5">
                  <c:v>0.41063998239528782</c:v>
                </c:pt>
                <c:pt idx="6">
                  <c:v>0.48547551986743148</c:v>
                </c:pt>
                <c:pt idx="7">
                  <c:v>0.52824033189590158</c:v>
                </c:pt>
                <c:pt idx="8">
                  <c:v>0.67330593245996062</c:v>
                </c:pt>
                <c:pt idx="9">
                  <c:v>0.81600678846960539</c:v>
                </c:pt>
                <c:pt idx="10">
                  <c:v>0.95447648138279817</c:v>
                </c:pt>
                <c:pt idx="11">
                  <c:v>0.99999999999999989</c:v>
                </c:pt>
              </c:numCache>
            </c:numRef>
          </c:yVal>
          <c:smooth val="1"/>
          <c:extLst>
            <c:ext xmlns:c16="http://schemas.microsoft.com/office/drawing/2014/chart" uri="{C3380CC4-5D6E-409C-BE32-E72D297353CC}">
              <c16:uniqueId val="{00000002-9CEA-4BD7-99A8-16EEF082E052}"/>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Population</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ETa</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Gini_2011!$H$49:$H$60</c:f>
              <c:numCache>
                <c:formatCode>0.00</c:formatCode>
                <c:ptCount val="12"/>
                <c:pt idx="0">
                  <c:v>0</c:v>
                </c:pt>
                <c:pt idx="1">
                  <c:v>0.32788290485219607</c:v>
                </c:pt>
                <c:pt idx="2">
                  <c:v>0.33316391846816501</c:v>
                </c:pt>
                <c:pt idx="3">
                  <c:v>0.47163361138135784</c:v>
                </c:pt>
                <c:pt idx="4">
                  <c:v>0.51715712999855956</c:v>
                </c:pt>
                <c:pt idx="5">
                  <c:v>0.53072104559807654</c:v>
                </c:pt>
                <c:pt idx="6">
                  <c:v>0.55244759270012223</c:v>
                </c:pt>
                <c:pt idx="7">
                  <c:v>0.59463319392568237</c:v>
                </c:pt>
                <c:pt idx="8">
                  <c:v>0.66946873139782603</c:v>
                </c:pt>
                <c:pt idx="9">
                  <c:v>0.81453433196188507</c:v>
                </c:pt>
                <c:pt idx="10">
                  <c:v>0.85729914399035523</c:v>
                </c:pt>
                <c:pt idx="11">
                  <c:v>1</c:v>
                </c:pt>
              </c:numCache>
            </c:numRef>
          </c:xVal>
          <c:yVal>
            <c:numRef>
              <c:f>Gini_2011!$H$49:$H$60</c:f>
              <c:numCache>
                <c:formatCode>0.00</c:formatCode>
                <c:ptCount val="12"/>
                <c:pt idx="0">
                  <c:v>0</c:v>
                </c:pt>
                <c:pt idx="1">
                  <c:v>0.32788290485219607</c:v>
                </c:pt>
                <c:pt idx="2">
                  <c:v>0.33316391846816501</c:v>
                </c:pt>
                <c:pt idx="3">
                  <c:v>0.47163361138135784</c:v>
                </c:pt>
                <c:pt idx="4">
                  <c:v>0.51715712999855956</c:v>
                </c:pt>
                <c:pt idx="5">
                  <c:v>0.53072104559807654</c:v>
                </c:pt>
                <c:pt idx="6">
                  <c:v>0.55244759270012223</c:v>
                </c:pt>
                <c:pt idx="7">
                  <c:v>0.59463319392568237</c:v>
                </c:pt>
                <c:pt idx="8">
                  <c:v>0.66946873139782603</c:v>
                </c:pt>
                <c:pt idx="9">
                  <c:v>0.81453433196188507</c:v>
                </c:pt>
                <c:pt idx="10">
                  <c:v>0.85729914399035523</c:v>
                </c:pt>
                <c:pt idx="11">
                  <c:v>1</c:v>
                </c:pt>
              </c:numCache>
            </c:numRef>
          </c:yVal>
          <c:smooth val="1"/>
          <c:extLst>
            <c:ext xmlns:c16="http://schemas.microsoft.com/office/drawing/2014/chart" uri="{C3380CC4-5D6E-409C-BE32-E72D297353CC}">
              <c16:uniqueId val="{00000000-BECC-46CB-B0C6-D9331010D085}"/>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BECC-46CB-B0C6-D9331010D085}"/>
              </c:ext>
            </c:extLst>
          </c:dPt>
          <c:xVal>
            <c:numRef>
              <c:f>Gini_2011!$H$49:$H$60</c:f>
              <c:numCache>
                <c:formatCode>0.00</c:formatCode>
                <c:ptCount val="12"/>
                <c:pt idx="0">
                  <c:v>0</c:v>
                </c:pt>
                <c:pt idx="1">
                  <c:v>0.32788290485219607</c:v>
                </c:pt>
                <c:pt idx="2">
                  <c:v>0.33316391846816501</c:v>
                </c:pt>
                <c:pt idx="3">
                  <c:v>0.47163361138135784</c:v>
                </c:pt>
                <c:pt idx="4">
                  <c:v>0.51715712999855956</c:v>
                </c:pt>
                <c:pt idx="5">
                  <c:v>0.53072104559807654</c:v>
                </c:pt>
                <c:pt idx="6">
                  <c:v>0.55244759270012223</c:v>
                </c:pt>
                <c:pt idx="7">
                  <c:v>0.59463319392568237</c:v>
                </c:pt>
                <c:pt idx="8">
                  <c:v>0.66946873139782603</c:v>
                </c:pt>
                <c:pt idx="9">
                  <c:v>0.81453433196188507</c:v>
                </c:pt>
                <c:pt idx="10">
                  <c:v>0.85729914399035523</c:v>
                </c:pt>
                <c:pt idx="11">
                  <c:v>1</c:v>
                </c:pt>
              </c:numCache>
            </c:numRef>
          </c:xVal>
          <c:yVal>
            <c:numRef>
              <c:f>Gini_2011!$G$49:$G$60</c:f>
              <c:numCache>
                <c:formatCode>0.00</c:formatCode>
                <c:ptCount val="12"/>
                <c:pt idx="0">
                  <c:v>0</c:v>
                </c:pt>
                <c:pt idx="1">
                  <c:v>0</c:v>
                </c:pt>
                <c:pt idx="2">
                  <c:v>0</c:v>
                </c:pt>
                <c:pt idx="3">
                  <c:v>0</c:v>
                </c:pt>
                <c:pt idx="4">
                  <c:v>0</c:v>
                </c:pt>
                <c:pt idx="5">
                  <c:v>2.5380223793664534E-4</c:v>
                </c:pt>
                <c:pt idx="6">
                  <c:v>8.6171341387232259E-3</c:v>
                </c:pt>
                <c:pt idx="7">
                  <c:v>3.4011139382524341E-2</c:v>
                </c:pt>
                <c:pt idx="8">
                  <c:v>0.14515478455769626</c:v>
                </c:pt>
                <c:pt idx="9">
                  <c:v>0.30245134598104084</c:v>
                </c:pt>
                <c:pt idx="10">
                  <c:v>0.57658240801181226</c:v>
                </c:pt>
                <c:pt idx="11">
                  <c:v>1</c:v>
                </c:pt>
              </c:numCache>
            </c:numRef>
          </c:yVal>
          <c:smooth val="0"/>
          <c:extLst>
            <c:ext xmlns:c16="http://schemas.microsoft.com/office/drawing/2014/chart" uri="{C3380CC4-5D6E-409C-BE32-E72D297353CC}">
              <c16:uniqueId val="{00000002-BECC-46CB-B0C6-D9331010D085}"/>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Population</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Available Water</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Gini_2011!$H$70:$H$81</c:f>
              <c:numCache>
                <c:formatCode>0.00</c:formatCode>
                <c:ptCount val="12"/>
                <c:pt idx="0">
                  <c:v>0</c:v>
                </c:pt>
                <c:pt idx="1">
                  <c:v>5.2810136159689514E-3</c:v>
                </c:pt>
                <c:pt idx="2">
                  <c:v>1.8844929215485934E-2</c:v>
                </c:pt>
                <c:pt idx="3">
                  <c:v>4.0571476317531642E-2</c:v>
                </c:pt>
                <c:pt idx="4">
                  <c:v>8.275707754309182E-2</c:v>
                </c:pt>
                <c:pt idx="5">
                  <c:v>0.15759261501523553</c:v>
                </c:pt>
                <c:pt idx="6">
                  <c:v>0.20311613363243719</c:v>
                </c:pt>
                <c:pt idx="7">
                  <c:v>0.34158582654563008</c:v>
                </c:pt>
                <c:pt idx="8">
                  <c:v>0.38435063857410018</c:v>
                </c:pt>
                <c:pt idx="9">
                  <c:v>0.52941623913815916</c:v>
                </c:pt>
                <c:pt idx="10">
                  <c:v>0.85729914399035523</c:v>
                </c:pt>
                <c:pt idx="11">
                  <c:v>1</c:v>
                </c:pt>
              </c:numCache>
            </c:numRef>
          </c:xVal>
          <c:yVal>
            <c:numRef>
              <c:f>Gini_2011!$H$70:$H$81</c:f>
              <c:numCache>
                <c:formatCode>0.00</c:formatCode>
                <c:ptCount val="12"/>
                <c:pt idx="0">
                  <c:v>0</c:v>
                </c:pt>
                <c:pt idx="1">
                  <c:v>5.2810136159689514E-3</c:v>
                </c:pt>
                <c:pt idx="2">
                  <c:v>1.8844929215485934E-2</c:v>
                </c:pt>
                <c:pt idx="3">
                  <c:v>4.0571476317531642E-2</c:v>
                </c:pt>
                <c:pt idx="4">
                  <c:v>8.275707754309182E-2</c:v>
                </c:pt>
                <c:pt idx="5">
                  <c:v>0.15759261501523553</c:v>
                </c:pt>
                <c:pt idx="6">
                  <c:v>0.20311613363243719</c:v>
                </c:pt>
                <c:pt idx="7">
                  <c:v>0.34158582654563008</c:v>
                </c:pt>
                <c:pt idx="8">
                  <c:v>0.38435063857410018</c:v>
                </c:pt>
                <c:pt idx="9">
                  <c:v>0.52941623913815916</c:v>
                </c:pt>
                <c:pt idx="10">
                  <c:v>0.85729914399035523</c:v>
                </c:pt>
                <c:pt idx="11">
                  <c:v>1</c:v>
                </c:pt>
              </c:numCache>
            </c:numRef>
          </c:yVal>
          <c:smooth val="1"/>
          <c:extLst>
            <c:ext xmlns:c16="http://schemas.microsoft.com/office/drawing/2014/chart" uri="{C3380CC4-5D6E-409C-BE32-E72D297353CC}">
              <c16:uniqueId val="{00000000-C86B-4EBB-834C-9ACACD05A07E}"/>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C86B-4EBB-834C-9ACACD05A07E}"/>
              </c:ext>
            </c:extLst>
          </c:dPt>
          <c:xVal>
            <c:numRef>
              <c:f>Gini_2011!$H$70:$H$81</c:f>
              <c:numCache>
                <c:formatCode>0.00</c:formatCode>
                <c:ptCount val="12"/>
                <c:pt idx="0">
                  <c:v>0</c:v>
                </c:pt>
                <c:pt idx="1">
                  <c:v>5.2810136159689514E-3</c:v>
                </c:pt>
                <c:pt idx="2">
                  <c:v>1.8844929215485934E-2</c:v>
                </c:pt>
                <c:pt idx="3">
                  <c:v>4.0571476317531642E-2</c:v>
                </c:pt>
                <c:pt idx="4">
                  <c:v>8.275707754309182E-2</c:v>
                </c:pt>
                <c:pt idx="5">
                  <c:v>0.15759261501523553</c:v>
                </c:pt>
                <c:pt idx="6">
                  <c:v>0.20311613363243719</c:v>
                </c:pt>
                <c:pt idx="7">
                  <c:v>0.34158582654563008</c:v>
                </c:pt>
                <c:pt idx="8">
                  <c:v>0.38435063857410018</c:v>
                </c:pt>
                <c:pt idx="9">
                  <c:v>0.52941623913815916</c:v>
                </c:pt>
                <c:pt idx="10">
                  <c:v>0.85729914399035523</c:v>
                </c:pt>
                <c:pt idx="11">
                  <c:v>1</c:v>
                </c:pt>
              </c:numCache>
            </c:numRef>
          </c:xVal>
          <c:yVal>
            <c:numRef>
              <c:f>Gini_2011!$G$70:$G$81</c:f>
              <c:numCache>
                <c:formatCode>0.00</c:formatCode>
                <c:ptCount val="12"/>
                <c:pt idx="0">
                  <c:v>0</c:v>
                </c:pt>
                <c:pt idx="1">
                  <c:v>0</c:v>
                </c:pt>
                <c:pt idx="2">
                  <c:v>1.3244489135736634E-4</c:v>
                </c:pt>
                <c:pt idx="3">
                  <c:v>4.4967901153808694E-3</c:v>
                </c:pt>
                <c:pt idx="4">
                  <c:v>3.0848666010597957E-2</c:v>
                </c:pt>
                <c:pt idx="5">
                  <c:v>8.8848186148642816E-2</c:v>
                </c:pt>
                <c:pt idx="6">
                  <c:v>0.16986255001279332</c:v>
                </c:pt>
                <c:pt idx="7">
                  <c:v>0.28638533718761405</c:v>
                </c:pt>
                <c:pt idx="8">
                  <c:v>0.42943868070229207</c:v>
                </c:pt>
                <c:pt idx="9">
                  <c:v>0.58426332816868132</c:v>
                </c:pt>
                <c:pt idx="10">
                  <c:v>0.77904254341653256</c:v>
                </c:pt>
                <c:pt idx="11">
                  <c:v>1</c:v>
                </c:pt>
              </c:numCache>
            </c:numRef>
          </c:yVal>
          <c:smooth val="0"/>
          <c:extLst>
            <c:ext xmlns:c16="http://schemas.microsoft.com/office/drawing/2014/chart" uri="{C3380CC4-5D6E-409C-BE32-E72D297353CC}">
              <c16:uniqueId val="{00000002-C86B-4EBB-834C-9ACACD05A07E}"/>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Population</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total available water</a:t>
                </a:r>
                <a:endParaRPr lang="en-US"/>
              </a:p>
            </c:rich>
          </c:tx>
          <c:layout>
            <c:manualLayout>
              <c:xMode val="edge"/>
              <c:yMode val="edge"/>
              <c:x val="1.6122160326311905E-2"/>
              <c:y val="0.14339278018953905"/>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Gini_2011!$H$94:$H$105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xVal>
          <c:yVal>
            <c:numRef>
              <c:f>Gini_2011!$H$94:$H$105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yVal>
          <c:smooth val="1"/>
          <c:extLst>
            <c:ext xmlns:c16="http://schemas.microsoft.com/office/drawing/2014/chart" uri="{C3380CC4-5D6E-409C-BE32-E72D297353CC}">
              <c16:uniqueId val="{00000000-875E-4273-BDC3-1BD1D9591DF7}"/>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875E-4273-BDC3-1BD1D9591DF7}"/>
              </c:ext>
            </c:extLst>
          </c:dPt>
          <c:xVal>
            <c:numRef>
              <c:f>Gini_2011!$H$178:$H$189</c:f>
              <c:numCache>
                <c:formatCode>0.00</c:formatCode>
                <c:ptCount val="12"/>
                <c:pt idx="0">
                  <c:v>0</c:v>
                </c:pt>
                <c:pt idx="1">
                  <c:v>8.2249727275718124E-2</c:v>
                </c:pt>
                <c:pt idx="2">
                  <c:v>9.0263247322775519E-2</c:v>
                </c:pt>
                <c:pt idx="3">
                  <c:v>9.4581027823807909E-2</c:v>
                </c:pt>
                <c:pt idx="4">
                  <c:v>0.1013971131412383</c:v>
                </c:pt>
                <c:pt idx="5">
                  <c:v>0.10808687676914244</c:v>
                </c:pt>
                <c:pt idx="6">
                  <c:v>0.12427174144854033</c:v>
                </c:pt>
                <c:pt idx="7">
                  <c:v>0.16345651867644251</c:v>
                </c:pt>
                <c:pt idx="8">
                  <c:v>0.24099269172425059</c:v>
                </c:pt>
                <c:pt idx="9">
                  <c:v>0.67926609315684749</c:v>
                </c:pt>
                <c:pt idx="10">
                  <c:v>0.79811612788873898</c:v>
                </c:pt>
                <c:pt idx="11">
                  <c:v>1</c:v>
                </c:pt>
              </c:numCache>
            </c:numRef>
          </c:xVal>
          <c:yVal>
            <c:numRef>
              <c:f>Gini_2011!$G$178:$G$189</c:f>
              <c:numCache>
                <c:formatCode>0.00</c:formatCode>
                <c:ptCount val="12"/>
                <c:pt idx="0">
                  <c:v>0</c:v>
                </c:pt>
                <c:pt idx="1">
                  <c:v>1.2244961028881811E-3</c:v>
                </c:pt>
                <c:pt idx="2">
                  <c:v>7.162210638806862E-3</c:v>
                </c:pt>
                <c:pt idx="3">
                  <c:v>1.5000139281256559E-2</c:v>
                </c:pt>
                <c:pt idx="4">
                  <c:v>2.7432715295327655E-2</c:v>
                </c:pt>
                <c:pt idx="5">
                  <c:v>4.0198287889458242E-2</c:v>
                </c:pt>
                <c:pt idx="6">
                  <c:v>7.7633290340691247E-2</c:v>
                </c:pt>
                <c:pt idx="7">
                  <c:v>0.15421787649788976</c:v>
                </c:pt>
                <c:pt idx="8">
                  <c:v>0.31028696922465582</c:v>
                </c:pt>
                <c:pt idx="9">
                  <c:v>0.47471471598799708</c:v>
                </c:pt>
                <c:pt idx="10">
                  <c:v>0.68914792715790996</c:v>
                </c:pt>
                <c:pt idx="11">
                  <c:v>1</c:v>
                </c:pt>
              </c:numCache>
            </c:numRef>
          </c:yVal>
          <c:smooth val="0"/>
          <c:extLst>
            <c:ext xmlns:c16="http://schemas.microsoft.com/office/drawing/2014/chart" uri="{C3380CC4-5D6E-409C-BE32-E72D297353CC}">
              <c16:uniqueId val="{00000002-875E-4273-BDC3-1BD1D9591DF7}"/>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Precipitation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301861863580613"/>
          <c:y val="0.1566342980154827"/>
          <c:w val="0.54960252622417904"/>
          <c:h val="0.65904922055244786"/>
        </c:manualLayout>
      </c:layout>
      <c:scatterChart>
        <c:scatterStyle val="smoothMarker"/>
        <c:varyColors val="0"/>
        <c:ser>
          <c:idx val="1"/>
          <c:order val="1"/>
          <c:tx>
            <c:v>Equality Line</c:v>
          </c:tx>
          <c:spPr>
            <a:ln w="19050" cap="rnd">
              <a:solidFill>
                <a:schemeClr val="accent2"/>
              </a:solidFill>
              <a:round/>
            </a:ln>
            <a:effectLst/>
          </c:spPr>
          <c:marker>
            <c:symbol val="none"/>
          </c:marker>
          <c:xVal>
            <c:numRef>
              <c:f>Gini_2011!$H$115:$H$126</c:f>
              <c:numCache>
                <c:formatCode>0.00</c:formatCode>
                <c:ptCount val="12"/>
                <c:pt idx="0">
                  <c:v>0</c:v>
                </c:pt>
                <c:pt idx="1">
                  <c:v>8.6508040877704764E-3</c:v>
                </c:pt>
                <c:pt idx="2">
                  <c:v>2.233691110888162E-2</c:v>
                </c:pt>
                <c:pt idx="3">
                  <c:v>4.5534073596056365E-2</c:v>
                </c:pt>
                <c:pt idx="4">
                  <c:v>5.3837159897602418E-2</c:v>
                </c:pt>
                <c:pt idx="5">
                  <c:v>0.11541757062610367</c:v>
                </c:pt>
                <c:pt idx="6">
                  <c:v>0.17846731707242672</c:v>
                </c:pt>
                <c:pt idx="7">
                  <c:v>0.25736713399590871</c:v>
                </c:pt>
                <c:pt idx="8">
                  <c:v>0.38405950424456814</c:v>
                </c:pt>
                <c:pt idx="9">
                  <c:v>0.65743534284662219</c:v>
                </c:pt>
                <c:pt idx="10">
                  <c:v>0.98464491670321019</c:v>
                </c:pt>
                <c:pt idx="11">
                  <c:v>1.0000000000000002</c:v>
                </c:pt>
              </c:numCache>
            </c:numRef>
          </c:xVal>
          <c:yVal>
            <c:numRef>
              <c:f>Gini_2011!$H$115:$H$126</c:f>
              <c:numCache>
                <c:formatCode>0.00</c:formatCode>
                <c:ptCount val="12"/>
                <c:pt idx="0">
                  <c:v>0</c:v>
                </c:pt>
                <c:pt idx="1">
                  <c:v>8.6508040877704764E-3</c:v>
                </c:pt>
                <c:pt idx="2">
                  <c:v>2.233691110888162E-2</c:v>
                </c:pt>
                <c:pt idx="3">
                  <c:v>4.5534073596056365E-2</c:v>
                </c:pt>
                <c:pt idx="4">
                  <c:v>5.3837159897602418E-2</c:v>
                </c:pt>
                <c:pt idx="5">
                  <c:v>0.11541757062610367</c:v>
                </c:pt>
                <c:pt idx="6">
                  <c:v>0.17846731707242672</c:v>
                </c:pt>
                <c:pt idx="7">
                  <c:v>0.25736713399590871</c:v>
                </c:pt>
                <c:pt idx="8">
                  <c:v>0.38405950424456814</c:v>
                </c:pt>
                <c:pt idx="9">
                  <c:v>0.65743534284662219</c:v>
                </c:pt>
                <c:pt idx="10">
                  <c:v>0.98464491670321019</c:v>
                </c:pt>
                <c:pt idx="11">
                  <c:v>1.0000000000000002</c:v>
                </c:pt>
              </c:numCache>
            </c:numRef>
          </c:yVal>
          <c:smooth val="1"/>
          <c:extLst>
            <c:ext xmlns:c16="http://schemas.microsoft.com/office/drawing/2014/chart" uri="{C3380CC4-5D6E-409C-BE32-E72D297353CC}">
              <c16:uniqueId val="{00000000-010D-4564-913D-4B0EA33FE245}"/>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010D-4564-913D-4B0EA33FE245}"/>
              </c:ext>
            </c:extLst>
          </c:dPt>
          <c:xVal>
            <c:numRef>
              <c:f>Gini_2011!$H$199:$H$210</c:f>
              <c:numCache>
                <c:formatCode>0.00</c:formatCode>
                <c:ptCount val="12"/>
                <c:pt idx="0">
                  <c:v>0</c:v>
                </c:pt>
                <c:pt idx="1">
                  <c:v>8.0135200470573958E-3</c:v>
                </c:pt>
                <c:pt idx="2">
                  <c:v>1.2331300548089792E-2</c:v>
                </c:pt>
                <c:pt idx="3">
                  <c:v>1.9147385865520176E-2</c:v>
                </c:pt>
                <c:pt idx="4">
                  <c:v>2.5837149493424316E-2</c:v>
                </c:pt>
                <c:pt idx="5">
                  <c:v>0.10808687676914244</c:v>
                </c:pt>
                <c:pt idx="6">
                  <c:v>0.12427174144854033</c:v>
                </c:pt>
                <c:pt idx="7">
                  <c:v>0.16345651867644251</c:v>
                </c:pt>
                <c:pt idx="8">
                  <c:v>0.24099269172425059</c:v>
                </c:pt>
                <c:pt idx="9">
                  <c:v>0.35984272645614207</c:v>
                </c:pt>
                <c:pt idx="10">
                  <c:v>0.79811612788873898</c:v>
                </c:pt>
                <c:pt idx="11">
                  <c:v>1</c:v>
                </c:pt>
              </c:numCache>
            </c:numRef>
          </c:xVal>
          <c:yVal>
            <c:numRef>
              <c:f>Gini_2011!$G$199:$G$210</c:f>
              <c:numCache>
                <c:formatCode>0.00</c:formatCode>
                <c:ptCount val="12"/>
                <c:pt idx="0">
                  <c:v>0</c:v>
                </c:pt>
                <c:pt idx="1">
                  <c:v>5.765430583763765E-3</c:v>
                </c:pt>
                <c:pt idx="2">
                  <c:v>1.266689965154995E-2</c:v>
                </c:pt>
                <c:pt idx="3">
                  <c:v>2.2768359741336425E-2</c:v>
                </c:pt>
                <c:pt idx="4">
                  <c:v>3.5053618109373005E-2</c:v>
                </c:pt>
                <c:pt idx="5">
                  <c:v>6.167976936304144E-2</c:v>
                </c:pt>
                <c:pt idx="6">
                  <c:v>9.0013600302880081E-2</c:v>
                </c:pt>
                <c:pt idx="7">
                  <c:v>0.14671850150839402</c:v>
                </c:pt>
                <c:pt idx="8">
                  <c:v>0.28717962917713746</c:v>
                </c:pt>
                <c:pt idx="9">
                  <c:v>0.46226923498550432</c:v>
                </c:pt>
                <c:pt idx="10">
                  <c:v>0.64811249664964443</c:v>
                </c:pt>
                <c:pt idx="11">
                  <c:v>1</c:v>
                </c:pt>
              </c:numCache>
            </c:numRef>
          </c:yVal>
          <c:smooth val="0"/>
          <c:extLst>
            <c:ext xmlns:c16="http://schemas.microsoft.com/office/drawing/2014/chart" uri="{C3380CC4-5D6E-409C-BE32-E72D297353CC}">
              <c16:uniqueId val="{00000002-010D-4564-913D-4B0EA33FE245}"/>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ETa</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Gini_2011!$H$136:$H$147</c:f>
              <c:numCache>
                <c:formatCode>0.00</c:formatCode>
                <c:ptCount val="12"/>
                <c:pt idx="0">
                  <c:v>0</c:v>
                </c:pt>
                <c:pt idx="1">
                  <c:v>6.1580410728501248E-2</c:v>
                </c:pt>
                <c:pt idx="2">
                  <c:v>7.0231214816271731E-2</c:v>
                </c:pt>
                <c:pt idx="3">
                  <c:v>0.3974407886728597</c:v>
                </c:pt>
                <c:pt idx="4">
                  <c:v>0.41279587196964967</c:v>
                </c:pt>
                <c:pt idx="5">
                  <c:v>0.42109895827119576</c:v>
                </c:pt>
                <c:pt idx="6">
                  <c:v>0.43478506529230687</c:v>
                </c:pt>
                <c:pt idx="7">
                  <c:v>0.45798222777948161</c:v>
                </c:pt>
                <c:pt idx="8">
                  <c:v>0.52103197422580472</c:v>
                </c:pt>
                <c:pt idx="9">
                  <c:v>0.64772434447446414</c:v>
                </c:pt>
                <c:pt idx="10">
                  <c:v>0.72662416139794606</c:v>
                </c:pt>
                <c:pt idx="11">
                  <c:v>1</c:v>
                </c:pt>
              </c:numCache>
            </c:numRef>
          </c:xVal>
          <c:yVal>
            <c:numRef>
              <c:f>Gini_2011!$H$136:$H$147</c:f>
              <c:numCache>
                <c:formatCode>0.00</c:formatCode>
                <c:ptCount val="12"/>
                <c:pt idx="0">
                  <c:v>0</c:v>
                </c:pt>
                <c:pt idx="1">
                  <c:v>6.1580410728501248E-2</c:v>
                </c:pt>
                <c:pt idx="2">
                  <c:v>7.0231214816271731E-2</c:v>
                </c:pt>
                <c:pt idx="3">
                  <c:v>0.3974407886728597</c:v>
                </c:pt>
                <c:pt idx="4">
                  <c:v>0.41279587196964967</c:v>
                </c:pt>
                <c:pt idx="5">
                  <c:v>0.42109895827119576</c:v>
                </c:pt>
                <c:pt idx="6">
                  <c:v>0.43478506529230687</c:v>
                </c:pt>
                <c:pt idx="7">
                  <c:v>0.45798222777948161</c:v>
                </c:pt>
                <c:pt idx="8">
                  <c:v>0.52103197422580472</c:v>
                </c:pt>
                <c:pt idx="9">
                  <c:v>0.64772434447446414</c:v>
                </c:pt>
                <c:pt idx="10">
                  <c:v>0.72662416139794606</c:v>
                </c:pt>
                <c:pt idx="11">
                  <c:v>1</c:v>
                </c:pt>
              </c:numCache>
            </c:numRef>
          </c:yVal>
          <c:smooth val="1"/>
          <c:extLst>
            <c:ext xmlns:c16="http://schemas.microsoft.com/office/drawing/2014/chart" uri="{C3380CC4-5D6E-409C-BE32-E72D297353CC}">
              <c16:uniqueId val="{00000000-3F30-4255-9218-12679AC68A64}"/>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3F30-4255-9218-12679AC68A64}"/>
              </c:ext>
            </c:extLst>
          </c:dPt>
          <c:xVal>
            <c:numRef>
              <c:f>Gini_2011!$H$220:$H$231</c:f>
              <c:numCache>
                <c:formatCode>0.00</c:formatCode>
                <c:ptCount val="12"/>
                <c:pt idx="0">
                  <c:v>0</c:v>
                </c:pt>
                <c:pt idx="1">
                  <c:v>8.2249727275718124E-2</c:v>
                </c:pt>
                <c:pt idx="2">
                  <c:v>9.0263247322775519E-2</c:v>
                </c:pt>
                <c:pt idx="3">
                  <c:v>0.52853664875537243</c:v>
                </c:pt>
                <c:pt idx="4">
                  <c:v>0.73042052086663345</c:v>
                </c:pt>
                <c:pt idx="5">
                  <c:v>0.73711028449453764</c:v>
                </c:pt>
                <c:pt idx="6">
                  <c:v>0.74142806499557001</c:v>
                </c:pt>
                <c:pt idx="7">
                  <c:v>0.7482441503130004</c:v>
                </c:pt>
                <c:pt idx="8">
                  <c:v>0.76442901499239835</c:v>
                </c:pt>
                <c:pt idx="9">
                  <c:v>0.84196518804020648</c:v>
                </c:pt>
                <c:pt idx="10">
                  <c:v>0.88114996526810863</c:v>
                </c:pt>
                <c:pt idx="11">
                  <c:v>1.0000000000000002</c:v>
                </c:pt>
              </c:numCache>
            </c:numRef>
          </c:xVal>
          <c:yVal>
            <c:numRef>
              <c:f>Gini_2011!$G$220:$G$231</c:f>
              <c:numCache>
                <c:formatCode>0.00</c:formatCode>
                <c:ptCount val="12"/>
                <c:pt idx="0">
                  <c:v>0</c:v>
                </c:pt>
                <c:pt idx="1">
                  <c:v>0</c:v>
                </c:pt>
                <c:pt idx="2">
                  <c:v>0</c:v>
                </c:pt>
                <c:pt idx="3">
                  <c:v>0</c:v>
                </c:pt>
                <c:pt idx="4">
                  <c:v>0</c:v>
                </c:pt>
                <c:pt idx="5">
                  <c:v>2.5380223793664534E-4</c:v>
                </c:pt>
                <c:pt idx="6">
                  <c:v>8.6171341387232259E-3</c:v>
                </c:pt>
                <c:pt idx="7">
                  <c:v>3.4011139382524341E-2</c:v>
                </c:pt>
                <c:pt idx="8">
                  <c:v>0.14515478455769626</c:v>
                </c:pt>
                <c:pt idx="9">
                  <c:v>0.30245134598104084</c:v>
                </c:pt>
                <c:pt idx="10">
                  <c:v>0.57658240801181226</c:v>
                </c:pt>
                <c:pt idx="11">
                  <c:v>1</c:v>
                </c:pt>
              </c:numCache>
            </c:numRef>
          </c:yVal>
          <c:smooth val="0"/>
          <c:extLst>
            <c:ext xmlns:c16="http://schemas.microsoft.com/office/drawing/2014/chart" uri="{C3380CC4-5D6E-409C-BE32-E72D297353CC}">
              <c16:uniqueId val="{00000002-3F30-4255-9218-12679AC68A64}"/>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Available Water</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Gini_2011!$H$157:$H$168</c:f>
              <c:numCache>
                <c:formatCode>0.00</c:formatCode>
                <c:ptCount val="12"/>
                <c:pt idx="0">
                  <c:v>0</c:v>
                </c:pt>
                <c:pt idx="1">
                  <c:v>8.6508040877704764E-3</c:v>
                </c:pt>
                <c:pt idx="2">
                  <c:v>1.6953890389316533E-2</c:v>
                </c:pt>
                <c:pt idx="3">
                  <c:v>3.0639997410427677E-2</c:v>
                </c:pt>
                <c:pt idx="4">
                  <c:v>5.3837159897602418E-2</c:v>
                </c:pt>
                <c:pt idx="5">
                  <c:v>0.11688690634392547</c:v>
                </c:pt>
                <c:pt idx="6">
                  <c:v>0.13224198964071543</c:v>
                </c:pt>
                <c:pt idx="7">
                  <c:v>0.45945156349730343</c:v>
                </c:pt>
                <c:pt idx="8">
                  <c:v>0.53835138042078534</c:v>
                </c:pt>
                <c:pt idx="9">
                  <c:v>0.66504375066944477</c:v>
                </c:pt>
                <c:pt idx="10">
                  <c:v>0.72662416139794606</c:v>
                </c:pt>
                <c:pt idx="11">
                  <c:v>1</c:v>
                </c:pt>
              </c:numCache>
            </c:numRef>
          </c:xVal>
          <c:yVal>
            <c:numRef>
              <c:f>Gini_2011!$H$157:$H$168</c:f>
              <c:numCache>
                <c:formatCode>0.00</c:formatCode>
                <c:ptCount val="12"/>
                <c:pt idx="0">
                  <c:v>0</c:v>
                </c:pt>
                <c:pt idx="1">
                  <c:v>8.6508040877704764E-3</c:v>
                </c:pt>
                <c:pt idx="2">
                  <c:v>1.6953890389316533E-2</c:v>
                </c:pt>
                <c:pt idx="3">
                  <c:v>3.0639997410427677E-2</c:v>
                </c:pt>
                <c:pt idx="4">
                  <c:v>5.3837159897602418E-2</c:v>
                </c:pt>
                <c:pt idx="5">
                  <c:v>0.11688690634392547</c:v>
                </c:pt>
                <c:pt idx="6">
                  <c:v>0.13224198964071543</c:v>
                </c:pt>
                <c:pt idx="7">
                  <c:v>0.45945156349730343</c:v>
                </c:pt>
                <c:pt idx="8">
                  <c:v>0.53835138042078534</c:v>
                </c:pt>
                <c:pt idx="9">
                  <c:v>0.66504375066944477</c:v>
                </c:pt>
                <c:pt idx="10">
                  <c:v>0.72662416139794606</c:v>
                </c:pt>
                <c:pt idx="11">
                  <c:v>1</c:v>
                </c:pt>
              </c:numCache>
            </c:numRef>
          </c:yVal>
          <c:smooth val="1"/>
          <c:extLst>
            <c:ext xmlns:c16="http://schemas.microsoft.com/office/drawing/2014/chart" uri="{C3380CC4-5D6E-409C-BE32-E72D297353CC}">
              <c16:uniqueId val="{00000000-292F-4414-AF86-EF8D28E571AF}"/>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292F-4414-AF86-EF8D28E571AF}"/>
              </c:ext>
            </c:extLst>
          </c:dPt>
          <c:xVal>
            <c:numRef>
              <c:f>Gini_2011!$H$241:$H$252</c:f>
              <c:numCache>
                <c:formatCode>0.00</c:formatCode>
                <c:ptCount val="12"/>
                <c:pt idx="0">
                  <c:v>0</c:v>
                </c:pt>
                <c:pt idx="1">
                  <c:v>8.0135200470573958E-3</c:v>
                </c:pt>
                <c:pt idx="2">
                  <c:v>1.4703283674961536E-2</c:v>
                </c:pt>
                <c:pt idx="3">
                  <c:v>1.9021064175993932E-2</c:v>
                </c:pt>
                <c:pt idx="4">
                  <c:v>2.5837149493424316E-2</c:v>
                </c:pt>
                <c:pt idx="5">
                  <c:v>4.2022014172822211E-2</c:v>
                </c:pt>
                <c:pt idx="6">
                  <c:v>0.24390588628408322</c:v>
                </c:pt>
                <c:pt idx="7">
                  <c:v>0.68217928771668013</c:v>
                </c:pt>
                <c:pt idx="8">
                  <c:v>0.72136406494458227</c:v>
                </c:pt>
                <c:pt idx="9">
                  <c:v>0.79890023799239041</c:v>
                </c:pt>
                <c:pt idx="10">
                  <c:v>0.88114996526810851</c:v>
                </c:pt>
                <c:pt idx="11">
                  <c:v>1</c:v>
                </c:pt>
              </c:numCache>
            </c:numRef>
          </c:xVal>
          <c:yVal>
            <c:numRef>
              <c:f>Gini_2011!$G$241:$G$252</c:f>
              <c:numCache>
                <c:formatCode>0.00</c:formatCode>
                <c:ptCount val="12"/>
                <c:pt idx="0">
                  <c:v>0</c:v>
                </c:pt>
                <c:pt idx="1">
                  <c:v>0</c:v>
                </c:pt>
                <c:pt idx="2">
                  <c:v>1.3244489135736634E-4</c:v>
                </c:pt>
                <c:pt idx="3">
                  <c:v>4.4967901153808694E-3</c:v>
                </c:pt>
                <c:pt idx="4">
                  <c:v>3.0848666010597957E-2</c:v>
                </c:pt>
                <c:pt idx="5">
                  <c:v>8.8848186148642816E-2</c:v>
                </c:pt>
                <c:pt idx="6">
                  <c:v>0.16986255001279332</c:v>
                </c:pt>
                <c:pt idx="7">
                  <c:v>0.28638533718761405</c:v>
                </c:pt>
                <c:pt idx="8">
                  <c:v>0.42943868070229207</c:v>
                </c:pt>
                <c:pt idx="9">
                  <c:v>0.58426332816868132</c:v>
                </c:pt>
                <c:pt idx="10">
                  <c:v>0.77904254341653256</c:v>
                </c:pt>
                <c:pt idx="11">
                  <c:v>1</c:v>
                </c:pt>
              </c:numCache>
            </c:numRef>
          </c:yVal>
          <c:smooth val="0"/>
          <c:extLst>
            <c:ext xmlns:c16="http://schemas.microsoft.com/office/drawing/2014/chart" uri="{C3380CC4-5D6E-409C-BE32-E72D297353CC}">
              <c16:uniqueId val="{00000002-292F-4414-AF86-EF8D28E571AF}"/>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 total</a:t>
                </a:r>
                <a:r>
                  <a:rPr lang="en-US" baseline="0"/>
                  <a:t> available water</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 based on population of each country in the basin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Gini_2011!$H$6:$H$17</c:f>
              <c:numCache>
                <c:formatCode>0.00</c:formatCode>
                <c:ptCount val="12"/>
                <c:pt idx="0">
                  <c:v>0</c:v>
                </c:pt>
                <c:pt idx="1">
                  <c:v>0.32788290485219612</c:v>
                </c:pt>
                <c:pt idx="2">
                  <c:v>0.33316391846816507</c:v>
                </c:pt>
                <c:pt idx="3">
                  <c:v>0.35489046557021076</c:v>
                </c:pt>
                <c:pt idx="4">
                  <c:v>0.39707606679577095</c:v>
                </c:pt>
                <c:pt idx="5">
                  <c:v>0.41063998239528793</c:v>
                </c:pt>
                <c:pt idx="6">
                  <c:v>0.48547551986743165</c:v>
                </c:pt>
                <c:pt idx="7">
                  <c:v>0.5282403318959018</c:v>
                </c:pt>
                <c:pt idx="8">
                  <c:v>0.67330593245996084</c:v>
                </c:pt>
                <c:pt idx="9">
                  <c:v>0.81177562537315373</c:v>
                </c:pt>
                <c:pt idx="10">
                  <c:v>0.9544764813827985</c:v>
                </c:pt>
                <c:pt idx="11">
                  <c:v>1.0000000000000002</c:v>
                </c:pt>
              </c:numCache>
            </c:numRef>
          </c:xVal>
          <c:yVal>
            <c:numRef>
              <c:f>Gini_2011!$H$6:$H$17</c:f>
              <c:numCache>
                <c:formatCode>0.00</c:formatCode>
                <c:ptCount val="12"/>
                <c:pt idx="0">
                  <c:v>0</c:v>
                </c:pt>
                <c:pt idx="1">
                  <c:v>0.32788290485219612</c:v>
                </c:pt>
                <c:pt idx="2">
                  <c:v>0.33316391846816507</c:v>
                </c:pt>
                <c:pt idx="3">
                  <c:v>0.35489046557021076</c:v>
                </c:pt>
                <c:pt idx="4">
                  <c:v>0.39707606679577095</c:v>
                </c:pt>
                <c:pt idx="5">
                  <c:v>0.41063998239528793</c:v>
                </c:pt>
                <c:pt idx="6">
                  <c:v>0.48547551986743165</c:v>
                </c:pt>
                <c:pt idx="7">
                  <c:v>0.5282403318959018</c:v>
                </c:pt>
                <c:pt idx="8">
                  <c:v>0.67330593245996084</c:v>
                </c:pt>
                <c:pt idx="9">
                  <c:v>0.81177562537315373</c:v>
                </c:pt>
                <c:pt idx="10">
                  <c:v>0.9544764813827985</c:v>
                </c:pt>
                <c:pt idx="11">
                  <c:v>1.0000000000000002</c:v>
                </c:pt>
              </c:numCache>
            </c:numRef>
          </c:yVal>
          <c:smooth val="1"/>
          <c:extLst>
            <c:ext xmlns:c16="http://schemas.microsoft.com/office/drawing/2014/chart" uri="{C3380CC4-5D6E-409C-BE32-E72D297353CC}">
              <c16:uniqueId val="{00000000-6EE5-4691-83A7-73C087924D29}"/>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Precipitation</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6EE5-4691-83A7-73C087924D29}"/>
              </c:ext>
            </c:extLst>
          </c:dPt>
          <c:xVal>
            <c:numRef>
              <c:f>Gini_2011!$H$6:$H$17</c:f>
              <c:numCache>
                <c:formatCode>0.00</c:formatCode>
                <c:ptCount val="12"/>
                <c:pt idx="0">
                  <c:v>0</c:v>
                </c:pt>
                <c:pt idx="1">
                  <c:v>0.32788290485219612</c:v>
                </c:pt>
                <c:pt idx="2">
                  <c:v>0.33316391846816507</c:v>
                </c:pt>
                <c:pt idx="3">
                  <c:v>0.35489046557021076</c:v>
                </c:pt>
                <c:pt idx="4">
                  <c:v>0.39707606679577095</c:v>
                </c:pt>
                <c:pt idx="5">
                  <c:v>0.41063998239528793</c:v>
                </c:pt>
                <c:pt idx="6">
                  <c:v>0.48547551986743165</c:v>
                </c:pt>
                <c:pt idx="7">
                  <c:v>0.5282403318959018</c:v>
                </c:pt>
                <c:pt idx="8">
                  <c:v>0.67330593245996084</c:v>
                </c:pt>
                <c:pt idx="9">
                  <c:v>0.81177562537315373</c:v>
                </c:pt>
                <c:pt idx="10">
                  <c:v>0.9544764813827985</c:v>
                </c:pt>
                <c:pt idx="11">
                  <c:v>1.0000000000000002</c:v>
                </c:pt>
              </c:numCache>
            </c:numRef>
          </c:xVal>
          <c:yVal>
            <c:numRef>
              <c:f>Gini_2011!$G$6:$G$17</c:f>
              <c:numCache>
                <c:formatCode>0.00</c:formatCode>
                <c:ptCount val="12"/>
                <c:pt idx="0">
                  <c:v>0</c:v>
                </c:pt>
                <c:pt idx="1">
                  <c:v>1.2244961028881811E-3</c:v>
                </c:pt>
                <c:pt idx="2">
                  <c:v>7.162210638806862E-3</c:v>
                </c:pt>
                <c:pt idx="3">
                  <c:v>1.5000139281256559E-2</c:v>
                </c:pt>
                <c:pt idx="4">
                  <c:v>2.7432715295327655E-2</c:v>
                </c:pt>
                <c:pt idx="5">
                  <c:v>4.0198287889458242E-2</c:v>
                </c:pt>
                <c:pt idx="6">
                  <c:v>7.7633290340691247E-2</c:v>
                </c:pt>
                <c:pt idx="7">
                  <c:v>0.15421787649788976</c:v>
                </c:pt>
                <c:pt idx="8">
                  <c:v>0.31028696922465582</c:v>
                </c:pt>
                <c:pt idx="9">
                  <c:v>0.47471471598799708</c:v>
                </c:pt>
                <c:pt idx="10">
                  <c:v>0.68914792715790996</c:v>
                </c:pt>
                <c:pt idx="11">
                  <c:v>1</c:v>
                </c:pt>
              </c:numCache>
            </c:numRef>
          </c:yVal>
          <c:smooth val="0"/>
          <c:extLst>
            <c:ext xmlns:c16="http://schemas.microsoft.com/office/drawing/2014/chart" uri="{C3380CC4-5D6E-409C-BE32-E72D297353CC}">
              <c16:uniqueId val="{00000002-6EE5-4691-83A7-73C087924D29}"/>
            </c:ext>
          </c:extLst>
        </c:ser>
        <c:ser>
          <c:idx val="2"/>
          <c:order val="2"/>
          <c:tx>
            <c:v>ETa</c:v>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Gini_2011!$H$27:$H$38</c:f>
              <c:numCache>
                <c:formatCode>0.00</c:formatCode>
                <c:ptCount val="12"/>
                <c:pt idx="0">
                  <c:v>0</c:v>
                </c:pt>
                <c:pt idx="1">
                  <c:v>5.2810136159689505E-3</c:v>
                </c:pt>
                <c:pt idx="2">
                  <c:v>2.7007560718014655E-2</c:v>
                </c:pt>
                <c:pt idx="3">
                  <c:v>6.9193161943574832E-2</c:v>
                </c:pt>
                <c:pt idx="4">
                  <c:v>8.2757077543091806E-2</c:v>
                </c:pt>
                <c:pt idx="5">
                  <c:v>0.41063998239528782</c:v>
                </c:pt>
                <c:pt idx="6">
                  <c:v>0.48547551986743148</c:v>
                </c:pt>
                <c:pt idx="7">
                  <c:v>0.52824033189590158</c:v>
                </c:pt>
                <c:pt idx="8">
                  <c:v>0.67330593245996062</c:v>
                </c:pt>
                <c:pt idx="9">
                  <c:v>0.81600678846960539</c:v>
                </c:pt>
                <c:pt idx="10">
                  <c:v>0.95447648138279817</c:v>
                </c:pt>
                <c:pt idx="11">
                  <c:v>0.99999999999999989</c:v>
                </c:pt>
              </c:numCache>
            </c:numRef>
          </c:xVal>
          <c:yVal>
            <c:numRef>
              <c:f>Gini_2011!$G$27:$G$38</c:f>
              <c:numCache>
                <c:formatCode>0.00</c:formatCode>
                <c:ptCount val="12"/>
                <c:pt idx="0">
                  <c:v>0</c:v>
                </c:pt>
                <c:pt idx="1">
                  <c:v>5.765430583763765E-3</c:v>
                </c:pt>
                <c:pt idx="2">
                  <c:v>1.266689965154995E-2</c:v>
                </c:pt>
                <c:pt idx="3">
                  <c:v>2.2768359741336425E-2</c:v>
                </c:pt>
                <c:pt idx="4">
                  <c:v>3.5053618109373005E-2</c:v>
                </c:pt>
                <c:pt idx="5">
                  <c:v>6.167976936304144E-2</c:v>
                </c:pt>
                <c:pt idx="6">
                  <c:v>9.0013600302880081E-2</c:v>
                </c:pt>
                <c:pt idx="7">
                  <c:v>0.14671850150839402</c:v>
                </c:pt>
                <c:pt idx="8">
                  <c:v>0.28717962917713746</c:v>
                </c:pt>
                <c:pt idx="9">
                  <c:v>0.46226923498550432</c:v>
                </c:pt>
                <c:pt idx="10">
                  <c:v>0.64811249664964443</c:v>
                </c:pt>
                <c:pt idx="11">
                  <c:v>1</c:v>
                </c:pt>
              </c:numCache>
            </c:numRef>
          </c:yVal>
          <c:smooth val="0"/>
          <c:extLst>
            <c:ext xmlns:c16="http://schemas.microsoft.com/office/drawing/2014/chart" uri="{C3380CC4-5D6E-409C-BE32-E72D297353CC}">
              <c16:uniqueId val="{00000003-6EE5-4691-83A7-73C087924D29}"/>
            </c:ext>
          </c:extLst>
        </c:ser>
        <c:ser>
          <c:idx val="3"/>
          <c:order val="3"/>
          <c:tx>
            <c:v>Internal AW</c:v>
          </c:tx>
          <c:spPr>
            <a:ln w="19050" cap="rnd">
              <a:solidFill>
                <a:schemeClr val="accent4"/>
              </a:solidFill>
              <a:round/>
            </a:ln>
            <a:effectLst/>
          </c:spPr>
          <c:marker>
            <c:symbol val="circle"/>
            <c:size val="5"/>
            <c:spPr>
              <a:solidFill>
                <a:schemeClr val="accent4"/>
              </a:solidFill>
              <a:ln w="9525">
                <a:solidFill>
                  <a:schemeClr val="accent4"/>
                </a:solidFill>
              </a:ln>
              <a:effectLst/>
            </c:spPr>
          </c:marker>
          <c:xVal>
            <c:numRef>
              <c:f>Gini_2011!$H$49:$H$60</c:f>
              <c:numCache>
                <c:formatCode>0.00</c:formatCode>
                <c:ptCount val="12"/>
                <c:pt idx="0">
                  <c:v>0</c:v>
                </c:pt>
                <c:pt idx="1">
                  <c:v>0.32788290485219607</c:v>
                </c:pt>
                <c:pt idx="2">
                  <c:v>0.33316391846816501</c:v>
                </c:pt>
                <c:pt idx="3">
                  <c:v>0.47163361138135784</c:v>
                </c:pt>
                <c:pt idx="4">
                  <c:v>0.51715712999855956</c:v>
                </c:pt>
                <c:pt idx="5">
                  <c:v>0.53072104559807654</c:v>
                </c:pt>
                <c:pt idx="6">
                  <c:v>0.55244759270012223</c:v>
                </c:pt>
                <c:pt idx="7">
                  <c:v>0.59463319392568237</c:v>
                </c:pt>
                <c:pt idx="8">
                  <c:v>0.66946873139782603</c:v>
                </c:pt>
                <c:pt idx="9">
                  <c:v>0.81453433196188507</c:v>
                </c:pt>
                <c:pt idx="10">
                  <c:v>0.85729914399035523</c:v>
                </c:pt>
                <c:pt idx="11">
                  <c:v>1</c:v>
                </c:pt>
              </c:numCache>
            </c:numRef>
          </c:xVal>
          <c:yVal>
            <c:numRef>
              <c:f>Gini_2011!$G$49:$G$60</c:f>
              <c:numCache>
                <c:formatCode>0.00</c:formatCode>
                <c:ptCount val="12"/>
                <c:pt idx="0">
                  <c:v>0</c:v>
                </c:pt>
                <c:pt idx="1">
                  <c:v>0</c:v>
                </c:pt>
                <c:pt idx="2">
                  <c:v>0</c:v>
                </c:pt>
                <c:pt idx="3">
                  <c:v>0</c:v>
                </c:pt>
                <c:pt idx="4">
                  <c:v>0</c:v>
                </c:pt>
                <c:pt idx="5">
                  <c:v>2.5380223793664534E-4</c:v>
                </c:pt>
                <c:pt idx="6">
                  <c:v>8.6171341387232259E-3</c:v>
                </c:pt>
                <c:pt idx="7">
                  <c:v>3.4011139382524341E-2</c:v>
                </c:pt>
                <c:pt idx="8">
                  <c:v>0.14515478455769626</c:v>
                </c:pt>
                <c:pt idx="9">
                  <c:v>0.30245134598104084</c:v>
                </c:pt>
                <c:pt idx="10">
                  <c:v>0.57658240801181226</c:v>
                </c:pt>
                <c:pt idx="11">
                  <c:v>1</c:v>
                </c:pt>
              </c:numCache>
            </c:numRef>
          </c:yVal>
          <c:smooth val="0"/>
          <c:extLst>
            <c:ext xmlns:c16="http://schemas.microsoft.com/office/drawing/2014/chart" uri="{C3380CC4-5D6E-409C-BE32-E72D297353CC}">
              <c16:uniqueId val="{00000004-6EE5-4691-83A7-73C087924D29}"/>
            </c:ext>
          </c:extLst>
        </c:ser>
        <c:ser>
          <c:idx val="4"/>
          <c:order val="4"/>
          <c:tx>
            <c:v>Total AW</c:v>
          </c:tx>
          <c:spPr>
            <a:ln w="19050" cap="rnd">
              <a:solidFill>
                <a:schemeClr val="accent5"/>
              </a:solidFill>
              <a:round/>
            </a:ln>
            <a:effectLst/>
          </c:spPr>
          <c:marker>
            <c:symbol val="circle"/>
            <c:size val="5"/>
            <c:spPr>
              <a:solidFill>
                <a:schemeClr val="accent5"/>
              </a:solidFill>
              <a:ln w="9525">
                <a:solidFill>
                  <a:schemeClr val="accent5"/>
                </a:solidFill>
              </a:ln>
              <a:effectLst/>
            </c:spPr>
          </c:marker>
          <c:xVal>
            <c:numRef>
              <c:f>Gini_2011!$H$70:$H$81</c:f>
              <c:numCache>
                <c:formatCode>0.00</c:formatCode>
                <c:ptCount val="12"/>
                <c:pt idx="0">
                  <c:v>0</c:v>
                </c:pt>
                <c:pt idx="1">
                  <c:v>5.2810136159689514E-3</c:v>
                </c:pt>
                <c:pt idx="2">
                  <c:v>1.8844929215485934E-2</c:v>
                </c:pt>
                <c:pt idx="3">
                  <c:v>4.0571476317531642E-2</c:v>
                </c:pt>
                <c:pt idx="4">
                  <c:v>8.275707754309182E-2</c:v>
                </c:pt>
                <c:pt idx="5">
                  <c:v>0.15759261501523553</c:v>
                </c:pt>
                <c:pt idx="6">
                  <c:v>0.20311613363243719</c:v>
                </c:pt>
                <c:pt idx="7">
                  <c:v>0.34158582654563008</c:v>
                </c:pt>
                <c:pt idx="8">
                  <c:v>0.38435063857410018</c:v>
                </c:pt>
                <c:pt idx="9">
                  <c:v>0.52941623913815916</c:v>
                </c:pt>
                <c:pt idx="10">
                  <c:v>0.85729914399035523</c:v>
                </c:pt>
                <c:pt idx="11">
                  <c:v>1</c:v>
                </c:pt>
              </c:numCache>
            </c:numRef>
          </c:xVal>
          <c:yVal>
            <c:numRef>
              <c:f>Gini_2011!$G$70:$G$81</c:f>
              <c:numCache>
                <c:formatCode>0.00</c:formatCode>
                <c:ptCount val="12"/>
                <c:pt idx="0">
                  <c:v>0</c:v>
                </c:pt>
                <c:pt idx="1">
                  <c:v>0</c:v>
                </c:pt>
                <c:pt idx="2">
                  <c:v>1.3244489135736634E-4</c:v>
                </c:pt>
                <c:pt idx="3">
                  <c:v>4.4967901153808694E-3</c:v>
                </c:pt>
                <c:pt idx="4">
                  <c:v>3.0848666010597957E-2</c:v>
                </c:pt>
                <c:pt idx="5">
                  <c:v>8.8848186148642816E-2</c:v>
                </c:pt>
                <c:pt idx="6">
                  <c:v>0.16986255001279332</c:v>
                </c:pt>
                <c:pt idx="7">
                  <c:v>0.28638533718761405</c:v>
                </c:pt>
                <c:pt idx="8">
                  <c:v>0.42943868070229207</c:v>
                </c:pt>
                <c:pt idx="9">
                  <c:v>0.58426332816868132</c:v>
                </c:pt>
                <c:pt idx="10">
                  <c:v>0.77904254341653256</c:v>
                </c:pt>
                <c:pt idx="11">
                  <c:v>1</c:v>
                </c:pt>
              </c:numCache>
            </c:numRef>
          </c:yVal>
          <c:smooth val="0"/>
          <c:extLst>
            <c:ext xmlns:c16="http://schemas.microsoft.com/office/drawing/2014/chart" uri="{C3380CC4-5D6E-409C-BE32-E72D297353CC}">
              <c16:uniqueId val="{00000005-6EE5-4691-83A7-73C087924D29}"/>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Criteria </a:t>
                </a:r>
                <a:endParaRPr lang="en-US"/>
              </a:p>
            </c:rich>
          </c:tx>
          <c:layout>
            <c:manualLayout>
              <c:xMode val="edge"/>
              <c:yMode val="edge"/>
              <c:x val="0.30931893106762737"/>
              <c:y val="0.8987774266708676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variables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 based on cropland area in each country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650902999652733"/>
          <c:y val="0.18478675798830643"/>
          <c:w val="0.64746825356505833"/>
          <c:h val="0.67073597635553017"/>
        </c:manualLayout>
      </c:layout>
      <c:scatterChart>
        <c:scatterStyle val="smoothMarker"/>
        <c:varyColors val="0"/>
        <c:ser>
          <c:idx val="1"/>
          <c:order val="1"/>
          <c:tx>
            <c:v>Equality Line</c:v>
          </c:tx>
          <c:spPr>
            <a:ln w="19050" cap="rnd">
              <a:solidFill>
                <a:schemeClr val="accent2"/>
              </a:solidFill>
              <a:round/>
            </a:ln>
            <a:effectLst/>
          </c:spPr>
          <c:marker>
            <c:symbol val="none"/>
          </c:marker>
          <c:xVal>
            <c:numRef>
              <c:f>Gini_2011!$H$94:$H$105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xVal>
          <c:yVal>
            <c:numRef>
              <c:f>Gini_2011!$H$94:$H$105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yVal>
          <c:smooth val="1"/>
          <c:extLst>
            <c:ext xmlns:c16="http://schemas.microsoft.com/office/drawing/2014/chart" uri="{C3380CC4-5D6E-409C-BE32-E72D297353CC}">
              <c16:uniqueId val="{00000000-FBB9-4928-931C-212CF8E2ED40}"/>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Precipitation</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FBB9-4928-931C-212CF8E2ED40}"/>
              </c:ext>
            </c:extLst>
          </c:dPt>
          <c:xVal>
            <c:numRef>
              <c:f>Gini_2011!$H$94:$H$105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xVal>
          <c:yVal>
            <c:numRef>
              <c:f>Gini_2011!$G$94:$G$105</c:f>
              <c:numCache>
                <c:formatCode>0.00</c:formatCode>
                <c:ptCount val="12"/>
                <c:pt idx="0">
                  <c:v>0</c:v>
                </c:pt>
                <c:pt idx="1">
                  <c:v>1.2244961028881811E-3</c:v>
                </c:pt>
                <c:pt idx="2">
                  <c:v>7.162210638806862E-3</c:v>
                </c:pt>
                <c:pt idx="3">
                  <c:v>1.5000139281256559E-2</c:v>
                </c:pt>
                <c:pt idx="4">
                  <c:v>2.7432715295327655E-2</c:v>
                </c:pt>
                <c:pt idx="5">
                  <c:v>4.0198287889458242E-2</c:v>
                </c:pt>
                <c:pt idx="6">
                  <c:v>7.7633290340691247E-2</c:v>
                </c:pt>
                <c:pt idx="7">
                  <c:v>0.15421787649788976</c:v>
                </c:pt>
                <c:pt idx="8">
                  <c:v>0.31028696922465582</c:v>
                </c:pt>
                <c:pt idx="9">
                  <c:v>0.47471471598799708</c:v>
                </c:pt>
                <c:pt idx="10">
                  <c:v>0.68914792715790996</c:v>
                </c:pt>
                <c:pt idx="11">
                  <c:v>1</c:v>
                </c:pt>
              </c:numCache>
            </c:numRef>
          </c:yVal>
          <c:smooth val="0"/>
          <c:extLst>
            <c:ext xmlns:c16="http://schemas.microsoft.com/office/drawing/2014/chart" uri="{C3380CC4-5D6E-409C-BE32-E72D297353CC}">
              <c16:uniqueId val="{00000002-FBB9-4928-931C-212CF8E2ED40}"/>
            </c:ext>
          </c:extLst>
        </c:ser>
        <c:ser>
          <c:idx val="2"/>
          <c:order val="2"/>
          <c:tx>
            <c:v>ETa</c:v>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Gini_2011!$H$115:$H$126</c:f>
              <c:numCache>
                <c:formatCode>0.00</c:formatCode>
                <c:ptCount val="12"/>
                <c:pt idx="0">
                  <c:v>0</c:v>
                </c:pt>
                <c:pt idx="1">
                  <c:v>8.6508040877704764E-3</c:v>
                </c:pt>
                <c:pt idx="2">
                  <c:v>2.233691110888162E-2</c:v>
                </c:pt>
                <c:pt idx="3">
                  <c:v>4.5534073596056365E-2</c:v>
                </c:pt>
                <c:pt idx="4">
                  <c:v>5.3837159897602418E-2</c:v>
                </c:pt>
                <c:pt idx="5">
                  <c:v>0.11541757062610367</c:v>
                </c:pt>
                <c:pt idx="6">
                  <c:v>0.17846731707242672</c:v>
                </c:pt>
                <c:pt idx="7">
                  <c:v>0.25736713399590871</c:v>
                </c:pt>
                <c:pt idx="8">
                  <c:v>0.38405950424456814</c:v>
                </c:pt>
                <c:pt idx="9">
                  <c:v>0.65743534284662219</c:v>
                </c:pt>
                <c:pt idx="10">
                  <c:v>0.98464491670321019</c:v>
                </c:pt>
                <c:pt idx="11">
                  <c:v>1.0000000000000002</c:v>
                </c:pt>
              </c:numCache>
            </c:numRef>
          </c:xVal>
          <c:yVal>
            <c:numRef>
              <c:f>Gini_2011!$G$115:$G$126</c:f>
              <c:numCache>
                <c:formatCode>0.00</c:formatCode>
                <c:ptCount val="12"/>
                <c:pt idx="0">
                  <c:v>0</c:v>
                </c:pt>
                <c:pt idx="1">
                  <c:v>5.765430583763765E-3</c:v>
                </c:pt>
                <c:pt idx="2">
                  <c:v>1.266689965154995E-2</c:v>
                </c:pt>
                <c:pt idx="3">
                  <c:v>2.2768359741336425E-2</c:v>
                </c:pt>
                <c:pt idx="4">
                  <c:v>3.5053618109373005E-2</c:v>
                </c:pt>
                <c:pt idx="5">
                  <c:v>6.167976936304144E-2</c:v>
                </c:pt>
                <c:pt idx="6">
                  <c:v>9.0013600302880081E-2</c:v>
                </c:pt>
                <c:pt idx="7">
                  <c:v>0.14671850150839402</c:v>
                </c:pt>
                <c:pt idx="8">
                  <c:v>0.28717962917713746</c:v>
                </c:pt>
                <c:pt idx="9">
                  <c:v>0.46226923498550432</c:v>
                </c:pt>
                <c:pt idx="10">
                  <c:v>0.64811249664964443</c:v>
                </c:pt>
                <c:pt idx="11">
                  <c:v>1</c:v>
                </c:pt>
              </c:numCache>
            </c:numRef>
          </c:yVal>
          <c:smooth val="0"/>
          <c:extLst>
            <c:ext xmlns:c16="http://schemas.microsoft.com/office/drawing/2014/chart" uri="{C3380CC4-5D6E-409C-BE32-E72D297353CC}">
              <c16:uniqueId val="{00000003-FBB9-4928-931C-212CF8E2ED40}"/>
            </c:ext>
          </c:extLst>
        </c:ser>
        <c:ser>
          <c:idx val="3"/>
          <c:order val="3"/>
          <c:tx>
            <c:v>Internal AW</c:v>
          </c:tx>
          <c:spPr>
            <a:ln w="19050" cap="rnd">
              <a:solidFill>
                <a:schemeClr val="accent4"/>
              </a:solidFill>
              <a:round/>
            </a:ln>
            <a:effectLst/>
          </c:spPr>
          <c:marker>
            <c:symbol val="circle"/>
            <c:size val="5"/>
            <c:spPr>
              <a:solidFill>
                <a:schemeClr val="accent4"/>
              </a:solidFill>
              <a:ln w="9525">
                <a:solidFill>
                  <a:schemeClr val="accent4"/>
                </a:solidFill>
              </a:ln>
              <a:effectLst/>
            </c:spPr>
          </c:marker>
          <c:xVal>
            <c:numRef>
              <c:f>Gini_2011!$H$136:$H$147</c:f>
              <c:numCache>
                <c:formatCode>0.00</c:formatCode>
                <c:ptCount val="12"/>
                <c:pt idx="0">
                  <c:v>0</c:v>
                </c:pt>
                <c:pt idx="1">
                  <c:v>6.1580410728501248E-2</c:v>
                </c:pt>
                <c:pt idx="2">
                  <c:v>7.0231214816271731E-2</c:v>
                </c:pt>
                <c:pt idx="3">
                  <c:v>0.3974407886728597</c:v>
                </c:pt>
                <c:pt idx="4">
                  <c:v>0.41279587196964967</c:v>
                </c:pt>
                <c:pt idx="5">
                  <c:v>0.42109895827119576</c:v>
                </c:pt>
                <c:pt idx="6">
                  <c:v>0.43478506529230687</c:v>
                </c:pt>
                <c:pt idx="7">
                  <c:v>0.45798222777948161</c:v>
                </c:pt>
                <c:pt idx="8">
                  <c:v>0.52103197422580472</c:v>
                </c:pt>
                <c:pt idx="9">
                  <c:v>0.64772434447446414</c:v>
                </c:pt>
                <c:pt idx="10">
                  <c:v>0.72662416139794606</c:v>
                </c:pt>
                <c:pt idx="11">
                  <c:v>1</c:v>
                </c:pt>
              </c:numCache>
            </c:numRef>
          </c:xVal>
          <c:yVal>
            <c:numRef>
              <c:f>Gini_2011!$G$136:$G$147</c:f>
              <c:numCache>
                <c:formatCode>0.00</c:formatCode>
                <c:ptCount val="12"/>
                <c:pt idx="0">
                  <c:v>0</c:v>
                </c:pt>
                <c:pt idx="1">
                  <c:v>0</c:v>
                </c:pt>
                <c:pt idx="2">
                  <c:v>0</c:v>
                </c:pt>
                <c:pt idx="3">
                  <c:v>0</c:v>
                </c:pt>
                <c:pt idx="4">
                  <c:v>0</c:v>
                </c:pt>
                <c:pt idx="5">
                  <c:v>2.5380223793664534E-4</c:v>
                </c:pt>
                <c:pt idx="6">
                  <c:v>8.6171341387232259E-3</c:v>
                </c:pt>
                <c:pt idx="7">
                  <c:v>3.4011139382524341E-2</c:v>
                </c:pt>
                <c:pt idx="8">
                  <c:v>0.14515478455769626</c:v>
                </c:pt>
                <c:pt idx="9">
                  <c:v>0.30245134598104084</c:v>
                </c:pt>
                <c:pt idx="10">
                  <c:v>0.57658240801181226</c:v>
                </c:pt>
                <c:pt idx="11">
                  <c:v>1</c:v>
                </c:pt>
              </c:numCache>
            </c:numRef>
          </c:yVal>
          <c:smooth val="0"/>
          <c:extLst>
            <c:ext xmlns:c16="http://schemas.microsoft.com/office/drawing/2014/chart" uri="{C3380CC4-5D6E-409C-BE32-E72D297353CC}">
              <c16:uniqueId val="{00000004-FBB9-4928-931C-212CF8E2ED40}"/>
            </c:ext>
          </c:extLst>
        </c:ser>
        <c:ser>
          <c:idx val="4"/>
          <c:order val="4"/>
          <c:tx>
            <c:v>Total AW</c:v>
          </c:tx>
          <c:spPr>
            <a:ln w="19050" cap="rnd">
              <a:solidFill>
                <a:schemeClr val="accent5"/>
              </a:solidFill>
              <a:round/>
            </a:ln>
            <a:effectLst/>
          </c:spPr>
          <c:marker>
            <c:symbol val="circle"/>
            <c:size val="5"/>
            <c:spPr>
              <a:solidFill>
                <a:schemeClr val="accent5"/>
              </a:solidFill>
              <a:ln w="9525">
                <a:solidFill>
                  <a:schemeClr val="accent5"/>
                </a:solidFill>
              </a:ln>
              <a:effectLst/>
            </c:spPr>
          </c:marker>
          <c:xVal>
            <c:numRef>
              <c:f>Gini_2011!$H$157:$H$168</c:f>
              <c:numCache>
                <c:formatCode>0.00</c:formatCode>
                <c:ptCount val="12"/>
                <c:pt idx="0">
                  <c:v>0</c:v>
                </c:pt>
                <c:pt idx="1">
                  <c:v>8.6508040877704764E-3</c:v>
                </c:pt>
                <c:pt idx="2">
                  <c:v>1.6953890389316533E-2</c:v>
                </c:pt>
                <c:pt idx="3">
                  <c:v>3.0639997410427677E-2</c:v>
                </c:pt>
                <c:pt idx="4">
                  <c:v>5.3837159897602418E-2</c:v>
                </c:pt>
                <c:pt idx="5">
                  <c:v>0.11688690634392547</c:v>
                </c:pt>
                <c:pt idx="6">
                  <c:v>0.13224198964071543</c:v>
                </c:pt>
                <c:pt idx="7">
                  <c:v>0.45945156349730343</c:v>
                </c:pt>
                <c:pt idx="8">
                  <c:v>0.53835138042078534</c:v>
                </c:pt>
                <c:pt idx="9">
                  <c:v>0.66504375066944477</c:v>
                </c:pt>
                <c:pt idx="10">
                  <c:v>0.72662416139794606</c:v>
                </c:pt>
                <c:pt idx="11">
                  <c:v>1</c:v>
                </c:pt>
              </c:numCache>
            </c:numRef>
          </c:xVal>
          <c:yVal>
            <c:numRef>
              <c:f>Gini_2011!$G$157:$G$168</c:f>
              <c:numCache>
                <c:formatCode>0.00</c:formatCode>
                <c:ptCount val="12"/>
                <c:pt idx="0">
                  <c:v>0</c:v>
                </c:pt>
                <c:pt idx="1">
                  <c:v>0</c:v>
                </c:pt>
                <c:pt idx="2">
                  <c:v>1.3244489135736634E-4</c:v>
                </c:pt>
                <c:pt idx="3">
                  <c:v>4.4967901153808694E-3</c:v>
                </c:pt>
                <c:pt idx="4">
                  <c:v>3.0848666010597957E-2</c:v>
                </c:pt>
                <c:pt idx="5">
                  <c:v>8.8848186148642816E-2</c:v>
                </c:pt>
                <c:pt idx="6">
                  <c:v>0.16986255001279332</c:v>
                </c:pt>
                <c:pt idx="7">
                  <c:v>0.28638533718761405</c:v>
                </c:pt>
                <c:pt idx="8">
                  <c:v>0.42943868070229207</c:v>
                </c:pt>
                <c:pt idx="9">
                  <c:v>0.58426332816868132</c:v>
                </c:pt>
                <c:pt idx="10">
                  <c:v>0.77904254341653256</c:v>
                </c:pt>
                <c:pt idx="11">
                  <c:v>1</c:v>
                </c:pt>
              </c:numCache>
            </c:numRef>
          </c:yVal>
          <c:smooth val="0"/>
          <c:extLst>
            <c:ext xmlns:c16="http://schemas.microsoft.com/office/drawing/2014/chart" uri="{C3380CC4-5D6E-409C-BE32-E72D297353CC}">
              <c16:uniqueId val="{00000005-FBB9-4928-931C-212CF8E2ED40}"/>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t>
                </a:r>
                <a:r>
                  <a:rPr lang="en-US" sz="1000" b="0" i="0" u="none" strike="noStrike" baseline="0">
                    <a:effectLst/>
                  </a:rPr>
                  <a:t>Criteria</a:t>
                </a:r>
                <a:endParaRPr lang="en-US" baseline="0"/>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variables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 based on area of each country in the basin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457098300252266"/>
          <c:y val="0.16423456145227788"/>
          <c:w val="0.69762923864608828"/>
          <c:h val="0.66127160527769036"/>
        </c:manualLayout>
      </c:layout>
      <c:scatterChart>
        <c:scatterStyle val="smoothMarker"/>
        <c:varyColors val="0"/>
        <c:ser>
          <c:idx val="1"/>
          <c:order val="1"/>
          <c:tx>
            <c:v>Equality Line</c:v>
          </c:tx>
          <c:spPr>
            <a:ln w="19050" cap="rnd">
              <a:solidFill>
                <a:schemeClr val="accent2"/>
              </a:solidFill>
              <a:round/>
            </a:ln>
            <a:effectLst/>
          </c:spPr>
          <c:marker>
            <c:symbol val="none"/>
          </c:marker>
          <c:xVal>
            <c:numRef>
              <c:f>Gini_2011!$H$94:$H$105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xVal>
          <c:yVal>
            <c:numRef>
              <c:f>Gini_2011!$H$94:$H$105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yVal>
          <c:smooth val="1"/>
          <c:extLst>
            <c:ext xmlns:c16="http://schemas.microsoft.com/office/drawing/2014/chart" uri="{C3380CC4-5D6E-409C-BE32-E72D297353CC}">
              <c16:uniqueId val="{00000000-51F1-44B1-A48C-0E529077FA8D}"/>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Precipitation</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51F1-44B1-A48C-0E529077FA8D}"/>
              </c:ext>
            </c:extLst>
          </c:dPt>
          <c:xVal>
            <c:numRef>
              <c:f>Gini_2011!$H$178:$H$189</c:f>
              <c:numCache>
                <c:formatCode>0.00</c:formatCode>
                <c:ptCount val="12"/>
                <c:pt idx="0">
                  <c:v>0</c:v>
                </c:pt>
                <c:pt idx="1">
                  <c:v>8.2249727275718124E-2</c:v>
                </c:pt>
                <c:pt idx="2">
                  <c:v>9.0263247322775519E-2</c:v>
                </c:pt>
                <c:pt idx="3">
                  <c:v>9.4581027823807909E-2</c:v>
                </c:pt>
                <c:pt idx="4">
                  <c:v>0.1013971131412383</c:v>
                </c:pt>
                <c:pt idx="5">
                  <c:v>0.10808687676914244</c:v>
                </c:pt>
                <c:pt idx="6">
                  <c:v>0.12427174144854033</c:v>
                </c:pt>
                <c:pt idx="7">
                  <c:v>0.16345651867644251</c:v>
                </c:pt>
                <c:pt idx="8">
                  <c:v>0.24099269172425059</c:v>
                </c:pt>
                <c:pt idx="9">
                  <c:v>0.67926609315684749</c:v>
                </c:pt>
                <c:pt idx="10">
                  <c:v>0.79811612788873898</c:v>
                </c:pt>
                <c:pt idx="11">
                  <c:v>1</c:v>
                </c:pt>
              </c:numCache>
            </c:numRef>
          </c:xVal>
          <c:yVal>
            <c:numRef>
              <c:f>Gini_2011!$G$178:$G$189</c:f>
              <c:numCache>
                <c:formatCode>0.00</c:formatCode>
                <c:ptCount val="12"/>
                <c:pt idx="0">
                  <c:v>0</c:v>
                </c:pt>
                <c:pt idx="1">
                  <c:v>1.2244961028881811E-3</c:v>
                </c:pt>
                <c:pt idx="2">
                  <c:v>7.162210638806862E-3</c:v>
                </c:pt>
                <c:pt idx="3">
                  <c:v>1.5000139281256559E-2</c:v>
                </c:pt>
                <c:pt idx="4">
                  <c:v>2.7432715295327655E-2</c:v>
                </c:pt>
                <c:pt idx="5">
                  <c:v>4.0198287889458242E-2</c:v>
                </c:pt>
                <c:pt idx="6">
                  <c:v>7.7633290340691247E-2</c:v>
                </c:pt>
                <c:pt idx="7">
                  <c:v>0.15421787649788976</c:v>
                </c:pt>
                <c:pt idx="8">
                  <c:v>0.31028696922465582</c:v>
                </c:pt>
                <c:pt idx="9">
                  <c:v>0.47471471598799708</c:v>
                </c:pt>
                <c:pt idx="10">
                  <c:v>0.68914792715790996</c:v>
                </c:pt>
                <c:pt idx="11">
                  <c:v>1</c:v>
                </c:pt>
              </c:numCache>
            </c:numRef>
          </c:yVal>
          <c:smooth val="0"/>
          <c:extLst>
            <c:ext xmlns:c16="http://schemas.microsoft.com/office/drawing/2014/chart" uri="{C3380CC4-5D6E-409C-BE32-E72D297353CC}">
              <c16:uniqueId val="{00000002-51F1-44B1-A48C-0E529077FA8D}"/>
            </c:ext>
          </c:extLst>
        </c:ser>
        <c:ser>
          <c:idx val="2"/>
          <c:order val="2"/>
          <c:tx>
            <c:v>ETa</c:v>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Gini_2011!$H$199:$H$210</c:f>
              <c:numCache>
                <c:formatCode>0.00</c:formatCode>
                <c:ptCount val="12"/>
                <c:pt idx="0">
                  <c:v>0</c:v>
                </c:pt>
                <c:pt idx="1">
                  <c:v>8.0135200470573958E-3</c:v>
                </c:pt>
                <c:pt idx="2">
                  <c:v>1.2331300548089792E-2</c:v>
                </c:pt>
                <c:pt idx="3">
                  <c:v>1.9147385865520176E-2</c:v>
                </c:pt>
                <c:pt idx="4">
                  <c:v>2.5837149493424316E-2</c:v>
                </c:pt>
                <c:pt idx="5">
                  <c:v>0.10808687676914244</c:v>
                </c:pt>
                <c:pt idx="6">
                  <c:v>0.12427174144854033</c:v>
                </c:pt>
                <c:pt idx="7">
                  <c:v>0.16345651867644251</c:v>
                </c:pt>
                <c:pt idx="8">
                  <c:v>0.24099269172425059</c:v>
                </c:pt>
                <c:pt idx="9">
                  <c:v>0.35984272645614207</c:v>
                </c:pt>
                <c:pt idx="10">
                  <c:v>0.79811612788873898</c:v>
                </c:pt>
                <c:pt idx="11">
                  <c:v>1</c:v>
                </c:pt>
              </c:numCache>
            </c:numRef>
          </c:xVal>
          <c:yVal>
            <c:numRef>
              <c:f>Gini_2011!$G$199:$G$210</c:f>
              <c:numCache>
                <c:formatCode>0.00</c:formatCode>
                <c:ptCount val="12"/>
                <c:pt idx="0">
                  <c:v>0</c:v>
                </c:pt>
                <c:pt idx="1">
                  <c:v>5.765430583763765E-3</c:v>
                </c:pt>
                <c:pt idx="2">
                  <c:v>1.266689965154995E-2</c:v>
                </c:pt>
                <c:pt idx="3">
                  <c:v>2.2768359741336425E-2</c:v>
                </c:pt>
                <c:pt idx="4">
                  <c:v>3.5053618109373005E-2</c:v>
                </c:pt>
                <c:pt idx="5">
                  <c:v>6.167976936304144E-2</c:v>
                </c:pt>
                <c:pt idx="6">
                  <c:v>9.0013600302880081E-2</c:v>
                </c:pt>
                <c:pt idx="7">
                  <c:v>0.14671850150839402</c:v>
                </c:pt>
                <c:pt idx="8">
                  <c:v>0.28717962917713746</c:v>
                </c:pt>
                <c:pt idx="9">
                  <c:v>0.46226923498550432</c:v>
                </c:pt>
                <c:pt idx="10">
                  <c:v>0.64811249664964443</c:v>
                </c:pt>
                <c:pt idx="11">
                  <c:v>1</c:v>
                </c:pt>
              </c:numCache>
            </c:numRef>
          </c:yVal>
          <c:smooth val="0"/>
          <c:extLst>
            <c:ext xmlns:c16="http://schemas.microsoft.com/office/drawing/2014/chart" uri="{C3380CC4-5D6E-409C-BE32-E72D297353CC}">
              <c16:uniqueId val="{00000003-51F1-44B1-A48C-0E529077FA8D}"/>
            </c:ext>
          </c:extLst>
        </c:ser>
        <c:ser>
          <c:idx val="3"/>
          <c:order val="3"/>
          <c:tx>
            <c:v>Internal AW</c:v>
          </c:tx>
          <c:spPr>
            <a:ln w="19050" cap="rnd">
              <a:solidFill>
                <a:schemeClr val="accent4"/>
              </a:solidFill>
              <a:round/>
            </a:ln>
            <a:effectLst/>
          </c:spPr>
          <c:marker>
            <c:symbol val="circle"/>
            <c:size val="5"/>
            <c:spPr>
              <a:solidFill>
                <a:schemeClr val="accent4"/>
              </a:solidFill>
              <a:ln w="9525">
                <a:solidFill>
                  <a:schemeClr val="accent4"/>
                </a:solidFill>
              </a:ln>
              <a:effectLst/>
            </c:spPr>
          </c:marker>
          <c:xVal>
            <c:numRef>
              <c:f>Gini_2011!$H$220:$H$231</c:f>
              <c:numCache>
                <c:formatCode>0.00</c:formatCode>
                <c:ptCount val="12"/>
                <c:pt idx="0">
                  <c:v>0</c:v>
                </c:pt>
                <c:pt idx="1">
                  <c:v>8.2249727275718124E-2</c:v>
                </c:pt>
                <c:pt idx="2">
                  <c:v>9.0263247322775519E-2</c:v>
                </c:pt>
                <c:pt idx="3">
                  <c:v>0.52853664875537243</c:v>
                </c:pt>
                <c:pt idx="4">
                  <c:v>0.73042052086663345</c:v>
                </c:pt>
                <c:pt idx="5">
                  <c:v>0.73711028449453764</c:v>
                </c:pt>
                <c:pt idx="6">
                  <c:v>0.74142806499557001</c:v>
                </c:pt>
                <c:pt idx="7">
                  <c:v>0.7482441503130004</c:v>
                </c:pt>
                <c:pt idx="8">
                  <c:v>0.76442901499239835</c:v>
                </c:pt>
                <c:pt idx="9">
                  <c:v>0.84196518804020648</c:v>
                </c:pt>
                <c:pt idx="10">
                  <c:v>0.88114996526810863</c:v>
                </c:pt>
                <c:pt idx="11">
                  <c:v>1.0000000000000002</c:v>
                </c:pt>
              </c:numCache>
            </c:numRef>
          </c:xVal>
          <c:yVal>
            <c:numRef>
              <c:f>Gini_2011!$G$220:$G$231</c:f>
              <c:numCache>
                <c:formatCode>0.00</c:formatCode>
                <c:ptCount val="12"/>
                <c:pt idx="0">
                  <c:v>0</c:v>
                </c:pt>
                <c:pt idx="1">
                  <c:v>0</c:v>
                </c:pt>
                <c:pt idx="2">
                  <c:v>0</c:v>
                </c:pt>
                <c:pt idx="3">
                  <c:v>0</c:v>
                </c:pt>
                <c:pt idx="4">
                  <c:v>0</c:v>
                </c:pt>
                <c:pt idx="5">
                  <c:v>2.5380223793664534E-4</c:v>
                </c:pt>
                <c:pt idx="6">
                  <c:v>8.6171341387232259E-3</c:v>
                </c:pt>
                <c:pt idx="7">
                  <c:v>3.4011139382524341E-2</c:v>
                </c:pt>
                <c:pt idx="8">
                  <c:v>0.14515478455769626</c:v>
                </c:pt>
                <c:pt idx="9">
                  <c:v>0.30245134598104084</c:v>
                </c:pt>
                <c:pt idx="10">
                  <c:v>0.57658240801181226</c:v>
                </c:pt>
                <c:pt idx="11">
                  <c:v>1</c:v>
                </c:pt>
              </c:numCache>
            </c:numRef>
          </c:yVal>
          <c:smooth val="0"/>
          <c:extLst>
            <c:ext xmlns:c16="http://schemas.microsoft.com/office/drawing/2014/chart" uri="{C3380CC4-5D6E-409C-BE32-E72D297353CC}">
              <c16:uniqueId val="{00000004-51F1-44B1-A48C-0E529077FA8D}"/>
            </c:ext>
          </c:extLst>
        </c:ser>
        <c:ser>
          <c:idx val="4"/>
          <c:order val="4"/>
          <c:tx>
            <c:v>Total AW</c:v>
          </c:tx>
          <c:spPr>
            <a:ln w="19050" cap="rnd">
              <a:solidFill>
                <a:schemeClr val="accent5"/>
              </a:solidFill>
              <a:round/>
            </a:ln>
            <a:effectLst/>
          </c:spPr>
          <c:marker>
            <c:symbol val="circle"/>
            <c:size val="5"/>
            <c:spPr>
              <a:solidFill>
                <a:schemeClr val="accent5"/>
              </a:solidFill>
              <a:ln w="9525">
                <a:solidFill>
                  <a:schemeClr val="accent5"/>
                </a:solidFill>
              </a:ln>
              <a:effectLst/>
            </c:spPr>
          </c:marker>
          <c:xVal>
            <c:numRef>
              <c:f>Gini_2011!$H$241:$H$252</c:f>
              <c:numCache>
                <c:formatCode>0.00</c:formatCode>
                <c:ptCount val="12"/>
                <c:pt idx="0">
                  <c:v>0</c:v>
                </c:pt>
                <c:pt idx="1">
                  <c:v>8.0135200470573958E-3</c:v>
                </c:pt>
                <c:pt idx="2">
                  <c:v>1.4703283674961536E-2</c:v>
                </c:pt>
                <c:pt idx="3">
                  <c:v>1.9021064175993932E-2</c:v>
                </c:pt>
                <c:pt idx="4">
                  <c:v>2.5837149493424316E-2</c:v>
                </c:pt>
                <c:pt idx="5">
                  <c:v>4.2022014172822211E-2</c:v>
                </c:pt>
                <c:pt idx="6">
                  <c:v>0.24390588628408322</c:v>
                </c:pt>
                <c:pt idx="7">
                  <c:v>0.68217928771668013</c:v>
                </c:pt>
                <c:pt idx="8">
                  <c:v>0.72136406494458227</c:v>
                </c:pt>
                <c:pt idx="9">
                  <c:v>0.79890023799239041</c:v>
                </c:pt>
                <c:pt idx="10">
                  <c:v>0.88114996526810851</c:v>
                </c:pt>
                <c:pt idx="11">
                  <c:v>1</c:v>
                </c:pt>
              </c:numCache>
            </c:numRef>
          </c:xVal>
          <c:yVal>
            <c:numRef>
              <c:f>Gini_2011!$G$241:$G$252</c:f>
              <c:numCache>
                <c:formatCode>0.00</c:formatCode>
                <c:ptCount val="12"/>
                <c:pt idx="0">
                  <c:v>0</c:v>
                </c:pt>
                <c:pt idx="1">
                  <c:v>0</c:v>
                </c:pt>
                <c:pt idx="2">
                  <c:v>1.3244489135736634E-4</c:v>
                </c:pt>
                <c:pt idx="3">
                  <c:v>4.4967901153808694E-3</c:v>
                </c:pt>
                <c:pt idx="4">
                  <c:v>3.0848666010597957E-2</c:v>
                </c:pt>
                <c:pt idx="5">
                  <c:v>8.8848186148642816E-2</c:v>
                </c:pt>
                <c:pt idx="6">
                  <c:v>0.16986255001279332</c:v>
                </c:pt>
                <c:pt idx="7">
                  <c:v>0.28638533718761405</c:v>
                </c:pt>
                <c:pt idx="8">
                  <c:v>0.42943868070229207</c:v>
                </c:pt>
                <c:pt idx="9">
                  <c:v>0.58426332816868132</c:v>
                </c:pt>
                <c:pt idx="10">
                  <c:v>0.77904254341653256</c:v>
                </c:pt>
                <c:pt idx="11">
                  <c:v>1</c:v>
                </c:pt>
              </c:numCache>
            </c:numRef>
          </c:yVal>
          <c:smooth val="0"/>
          <c:extLst>
            <c:ext xmlns:c16="http://schemas.microsoft.com/office/drawing/2014/chart" uri="{C3380CC4-5D6E-409C-BE32-E72D297353CC}">
              <c16:uniqueId val="{00000005-51F1-44B1-A48C-0E529077FA8D}"/>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t>
                </a:r>
                <a:r>
                  <a:rPr lang="en-US" sz="1000" b="0" i="0" u="none" strike="noStrike" baseline="0">
                    <a:effectLst/>
                  </a:rPr>
                  <a:t>Criteria</a:t>
                </a:r>
                <a:endParaRPr lang="en-US" baseline="0"/>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variables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layout>
        <c:manualLayout>
          <c:xMode val="edge"/>
          <c:yMode val="edge"/>
          <c:x val="0.81944879380053437"/>
          <c:y val="0.38221744320590534"/>
          <c:w val="0.18021896777407129"/>
          <c:h val="0.349143219407329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Gini_2012!$H$94:$H$105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xVal>
          <c:yVal>
            <c:numRef>
              <c:f>Gini_2012!$H$94:$H$105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yVal>
          <c:smooth val="1"/>
          <c:extLst>
            <c:ext xmlns:c16="http://schemas.microsoft.com/office/drawing/2014/chart" uri="{C3380CC4-5D6E-409C-BE32-E72D297353CC}">
              <c16:uniqueId val="{00000000-1DDF-4B92-AFE4-C988D934ECEB}"/>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1DDF-4B92-AFE4-C988D934ECEB}"/>
              </c:ext>
            </c:extLst>
          </c:dPt>
          <c:xVal>
            <c:numRef>
              <c:f>Gini_2012!$H$94:$H$105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xVal>
          <c:yVal>
            <c:numRef>
              <c:f>Gini_2012!$G$94:$G$105</c:f>
              <c:numCache>
                <c:formatCode>0.00</c:formatCode>
                <c:ptCount val="12"/>
                <c:pt idx="0">
                  <c:v>0</c:v>
                </c:pt>
                <c:pt idx="1">
                  <c:v>1.572820191697484E-3</c:v>
                </c:pt>
                <c:pt idx="2">
                  <c:v>8.3873591718614405E-3</c:v>
                </c:pt>
                <c:pt idx="3">
                  <c:v>1.5400122084722613E-2</c:v>
                </c:pt>
                <c:pt idx="4">
                  <c:v>2.6810084302786922E-2</c:v>
                </c:pt>
                <c:pt idx="5">
                  <c:v>3.9388369521971375E-2</c:v>
                </c:pt>
                <c:pt idx="6">
                  <c:v>7.8082680469362412E-2</c:v>
                </c:pt>
                <c:pt idx="7">
                  <c:v>0.1447225848463507</c:v>
                </c:pt>
                <c:pt idx="8">
                  <c:v>0.29844815548383041</c:v>
                </c:pt>
                <c:pt idx="9">
                  <c:v>0.47600148283679844</c:v>
                </c:pt>
                <c:pt idx="10">
                  <c:v>0.68635997830721429</c:v>
                </c:pt>
                <c:pt idx="11">
                  <c:v>1</c:v>
                </c:pt>
              </c:numCache>
            </c:numRef>
          </c:yVal>
          <c:smooth val="0"/>
          <c:extLst>
            <c:ext xmlns:c16="http://schemas.microsoft.com/office/drawing/2014/chart" uri="{C3380CC4-5D6E-409C-BE32-E72D297353CC}">
              <c16:uniqueId val="{00000002-1DDF-4B92-AFE4-C988D934ECEB}"/>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Precipitation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301861863580613"/>
          <c:y val="0.1566342980154827"/>
          <c:w val="0.54960252622417904"/>
          <c:h val="0.65904922055244786"/>
        </c:manualLayout>
      </c:layout>
      <c:scatterChart>
        <c:scatterStyle val="smoothMarker"/>
        <c:varyColors val="0"/>
        <c:ser>
          <c:idx val="1"/>
          <c:order val="1"/>
          <c:tx>
            <c:v>Equality Line</c:v>
          </c:tx>
          <c:spPr>
            <a:ln w="19050" cap="rnd">
              <a:solidFill>
                <a:schemeClr val="accent2"/>
              </a:solidFill>
              <a:round/>
            </a:ln>
            <a:effectLst/>
          </c:spPr>
          <c:marker>
            <c:symbol val="none"/>
          </c:marker>
          <c:xVal>
            <c:numRef>
              <c:f>Gini_2012!$H$115:$H$126</c:f>
              <c:numCache>
                <c:formatCode>0.00</c:formatCode>
                <c:ptCount val="12"/>
                <c:pt idx="0">
                  <c:v>0</c:v>
                </c:pt>
                <c:pt idx="1">
                  <c:v>8.6508040877704764E-3</c:v>
                </c:pt>
                <c:pt idx="2">
                  <c:v>2.233691110888162E-2</c:v>
                </c:pt>
                <c:pt idx="3">
                  <c:v>4.5534073596056365E-2</c:v>
                </c:pt>
                <c:pt idx="4">
                  <c:v>5.3837159897602418E-2</c:v>
                </c:pt>
                <c:pt idx="5">
                  <c:v>0.11541757062610367</c:v>
                </c:pt>
                <c:pt idx="6">
                  <c:v>0.17846731707242672</c:v>
                </c:pt>
                <c:pt idx="7">
                  <c:v>0.25736713399590871</c:v>
                </c:pt>
                <c:pt idx="8">
                  <c:v>0.38405950424456814</c:v>
                </c:pt>
                <c:pt idx="9">
                  <c:v>0.65743534284662219</c:v>
                </c:pt>
                <c:pt idx="10">
                  <c:v>0.98464491670321019</c:v>
                </c:pt>
                <c:pt idx="11">
                  <c:v>1.0000000000000002</c:v>
                </c:pt>
              </c:numCache>
            </c:numRef>
          </c:xVal>
          <c:yVal>
            <c:numRef>
              <c:f>Gini_2012!$H$115:$H$126</c:f>
              <c:numCache>
                <c:formatCode>0.00</c:formatCode>
                <c:ptCount val="12"/>
                <c:pt idx="0">
                  <c:v>0</c:v>
                </c:pt>
                <c:pt idx="1">
                  <c:v>8.6508040877704764E-3</c:v>
                </c:pt>
                <c:pt idx="2">
                  <c:v>2.233691110888162E-2</c:v>
                </c:pt>
                <c:pt idx="3">
                  <c:v>4.5534073596056365E-2</c:v>
                </c:pt>
                <c:pt idx="4">
                  <c:v>5.3837159897602418E-2</c:v>
                </c:pt>
                <c:pt idx="5">
                  <c:v>0.11541757062610367</c:v>
                </c:pt>
                <c:pt idx="6">
                  <c:v>0.17846731707242672</c:v>
                </c:pt>
                <c:pt idx="7">
                  <c:v>0.25736713399590871</c:v>
                </c:pt>
                <c:pt idx="8">
                  <c:v>0.38405950424456814</c:v>
                </c:pt>
                <c:pt idx="9">
                  <c:v>0.65743534284662219</c:v>
                </c:pt>
                <c:pt idx="10">
                  <c:v>0.98464491670321019</c:v>
                </c:pt>
                <c:pt idx="11">
                  <c:v>1.0000000000000002</c:v>
                </c:pt>
              </c:numCache>
            </c:numRef>
          </c:yVal>
          <c:smooth val="1"/>
          <c:extLst>
            <c:ext xmlns:c16="http://schemas.microsoft.com/office/drawing/2014/chart" uri="{C3380CC4-5D6E-409C-BE32-E72D297353CC}">
              <c16:uniqueId val="{00000000-7E9B-4108-8BAC-3063F442AD60}"/>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7E9B-4108-8BAC-3063F442AD60}"/>
              </c:ext>
            </c:extLst>
          </c:dPt>
          <c:xVal>
            <c:numRef>
              <c:f>Gini_2012!$H$115:$H$126</c:f>
              <c:numCache>
                <c:formatCode>0.00</c:formatCode>
                <c:ptCount val="12"/>
                <c:pt idx="0">
                  <c:v>0</c:v>
                </c:pt>
                <c:pt idx="1">
                  <c:v>8.6508040877704764E-3</c:v>
                </c:pt>
                <c:pt idx="2">
                  <c:v>2.233691110888162E-2</c:v>
                </c:pt>
                <c:pt idx="3">
                  <c:v>4.5534073596056365E-2</c:v>
                </c:pt>
                <c:pt idx="4">
                  <c:v>5.3837159897602418E-2</c:v>
                </c:pt>
                <c:pt idx="5">
                  <c:v>0.11541757062610367</c:v>
                </c:pt>
                <c:pt idx="6">
                  <c:v>0.17846731707242672</c:v>
                </c:pt>
                <c:pt idx="7">
                  <c:v>0.25736713399590871</c:v>
                </c:pt>
                <c:pt idx="8">
                  <c:v>0.38405950424456814</c:v>
                </c:pt>
                <c:pt idx="9">
                  <c:v>0.65743534284662219</c:v>
                </c:pt>
                <c:pt idx="10">
                  <c:v>0.98464491670321019</c:v>
                </c:pt>
                <c:pt idx="11">
                  <c:v>1.0000000000000002</c:v>
                </c:pt>
              </c:numCache>
            </c:numRef>
          </c:xVal>
          <c:yVal>
            <c:numRef>
              <c:f>Gini_2012!$G$115:$G$126</c:f>
              <c:numCache>
                <c:formatCode>0.00</c:formatCode>
                <c:ptCount val="12"/>
                <c:pt idx="0">
                  <c:v>0</c:v>
                </c:pt>
                <c:pt idx="1">
                  <c:v>5.6800071776456134E-3</c:v>
                </c:pt>
                <c:pt idx="2">
                  <c:v>1.2595735549511414E-2</c:v>
                </c:pt>
                <c:pt idx="3">
                  <c:v>2.2793120968952023E-2</c:v>
                </c:pt>
                <c:pt idx="4">
                  <c:v>3.472654852212495E-2</c:v>
                </c:pt>
                <c:pt idx="5">
                  <c:v>6.3405083875974017E-2</c:v>
                </c:pt>
                <c:pt idx="6">
                  <c:v>9.2173668085728147E-2</c:v>
                </c:pt>
                <c:pt idx="7">
                  <c:v>0.15429923339549198</c:v>
                </c:pt>
                <c:pt idx="8">
                  <c:v>0.29429971938026456</c:v>
                </c:pt>
                <c:pt idx="9">
                  <c:v>0.46171727987795586</c:v>
                </c:pt>
                <c:pt idx="10">
                  <c:v>0.66713474009444895</c:v>
                </c:pt>
                <c:pt idx="11">
                  <c:v>1</c:v>
                </c:pt>
              </c:numCache>
            </c:numRef>
          </c:yVal>
          <c:smooth val="0"/>
          <c:extLst>
            <c:ext xmlns:c16="http://schemas.microsoft.com/office/drawing/2014/chart" uri="{C3380CC4-5D6E-409C-BE32-E72D297353CC}">
              <c16:uniqueId val="{00000002-7E9B-4108-8BAC-3063F442AD60}"/>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ETa</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Gini_2012!$H$136:$H$147</c:f>
              <c:numCache>
                <c:formatCode>0.00</c:formatCode>
                <c:ptCount val="12"/>
                <c:pt idx="0">
                  <c:v>0</c:v>
                </c:pt>
                <c:pt idx="1">
                  <c:v>6.1580410728501248E-2</c:v>
                </c:pt>
                <c:pt idx="2">
                  <c:v>0.38878998458508923</c:v>
                </c:pt>
                <c:pt idx="3">
                  <c:v>0.40414506788187921</c:v>
                </c:pt>
                <c:pt idx="4">
                  <c:v>0.41783117490299038</c:v>
                </c:pt>
                <c:pt idx="5">
                  <c:v>0.42613426120453646</c:v>
                </c:pt>
                <c:pt idx="6">
                  <c:v>0.43478506529230693</c:v>
                </c:pt>
                <c:pt idx="7">
                  <c:v>0.45798222777948167</c:v>
                </c:pt>
                <c:pt idx="8">
                  <c:v>0.52103197422580472</c:v>
                </c:pt>
                <c:pt idx="9">
                  <c:v>0.59993179114928674</c:v>
                </c:pt>
                <c:pt idx="10">
                  <c:v>0.72662416139794617</c:v>
                </c:pt>
                <c:pt idx="11">
                  <c:v>1.0000000000000002</c:v>
                </c:pt>
              </c:numCache>
            </c:numRef>
          </c:xVal>
          <c:yVal>
            <c:numRef>
              <c:f>Gini_2012!$H$136:$H$147</c:f>
              <c:numCache>
                <c:formatCode>0.00</c:formatCode>
                <c:ptCount val="12"/>
                <c:pt idx="0">
                  <c:v>0</c:v>
                </c:pt>
                <c:pt idx="1">
                  <c:v>6.1580410728501248E-2</c:v>
                </c:pt>
                <c:pt idx="2">
                  <c:v>0.38878998458508923</c:v>
                </c:pt>
                <c:pt idx="3">
                  <c:v>0.40414506788187921</c:v>
                </c:pt>
                <c:pt idx="4">
                  <c:v>0.41783117490299038</c:v>
                </c:pt>
                <c:pt idx="5">
                  <c:v>0.42613426120453646</c:v>
                </c:pt>
                <c:pt idx="6">
                  <c:v>0.43478506529230693</c:v>
                </c:pt>
                <c:pt idx="7">
                  <c:v>0.45798222777948167</c:v>
                </c:pt>
                <c:pt idx="8">
                  <c:v>0.52103197422580472</c:v>
                </c:pt>
                <c:pt idx="9">
                  <c:v>0.59993179114928674</c:v>
                </c:pt>
                <c:pt idx="10">
                  <c:v>0.72662416139794617</c:v>
                </c:pt>
                <c:pt idx="11">
                  <c:v>1.0000000000000002</c:v>
                </c:pt>
              </c:numCache>
            </c:numRef>
          </c:yVal>
          <c:smooth val="1"/>
          <c:extLst>
            <c:ext xmlns:c16="http://schemas.microsoft.com/office/drawing/2014/chart" uri="{C3380CC4-5D6E-409C-BE32-E72D297353CC}">
              <c16:uniqueId val="{00000000-8937-495F-A527-7EBCB95BCF83}"/>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8937-495F-A527-7EBCB95BCF83}"/>
              </c:ext>
            </c:extLst>
          </c:dPt>
          <c:xVal>
            <c:numRef>
              <c:f>Gini_2012!$H$136:$H$147</c:f>
              <c:numCache>
                <c:formatCode>0.00</c:formatCode>
                <c:ptCount val="12"/>
                <c:pt idx="0">
                  <c:v>0</c:v>
                </c:pt>
                <c:pt idx="1">
                  <c:v>6.1580410728501248E-2</c:v>
                </c:pt>
                <c:pt idx="2">
                  <c:v>0.38878998458508923</c:v>
                </c:pt>
                <c:pt idx="3">
                  <c:v>0.40414506788187921</c:v>
                </c:pt>
                <c:pt idx="4">
                  <c:v>0.41783117490299038</c:v>
                </c:pt>
                <c:pt idx="5">
                  <c:v>0.42613426120453646</c:v>
                </c:pt>
                <c:pt idx="6">
                  <c:v>0.43478506529230693</c:v>
                </c:pt>
                <c:pt idx="7">
                  <c:v>0.45798222777948167</c:v>
                </c:pt>
                <c:pt idx="8">
                  <c:v>0.52103197422580472</c:v>
                </c:pt>
                <c:pt idx="9">
                  <c:v>0.59993179114928674</c:v>
                </c:pt>
                <c:pt idx="10">
                  <c:v>0.72662416139794617</c:v>
                </c:pt>
                <c:pt idx="11">
                  <c:v>1.0000000000000002</c:v>
                </c:pt>
              </c:numCache>
            </c:numRef>
          </c:xVal>
          <c:yVal>
            <c:numRef>
              <c:f>Gini_2012!$G$136:$G$147</c:f>
              <c:numCache>
                <c:formatCode>0.00</c:formatCode>
                <c:ptCount val="12"/>
                <c:pt idx="0">
                  <c:v>0</c:v>
                </c:pt>
                <c:pt idx="1">
                  <c:v>0</c:v>
                </c:pt>
                <c:pt idx="2">
                  <c:v>0</c:v>
                </c:pt>
                <c:pt idx="3">
                  <c:v>0</c:v>
                </c:pt>
                <c:pt idx="4">
                  <c:v>3.5319141033646755E-3</c:v>
                </c:pt>
                <c:pt idx="5">
                  <c:v>1.4912944076715373E-2</c:v>
                </c:pt>
                <c:pt idx="6">
                  <c:v>2.8677618812451258E-2</c:v>
                </c:pt>
                <c:pt idx="7">
                  <c:v>4.4888781146408346E-2</c:v>
                </c:pt>
                <c:pt idx="8">
                  <c:v>0.16114000090120184</c:v>
                </c:pt>
                <c:pt idx="9">
                  <c:v>0.28149347950906367</c:v>
                </c:pt>
                <c:pt idx="10">
                  <c:v>0.50196574384230386</c:v>
                </c:pt>
                <c:pt idx="11">
                  <c:v>1</c:v>
                </c:pt>
              </c:numCache>
            </c:numRef>
          </c:yVal>
          <c:smooth val="0"/>
          <c:extLst>
            <c:ext xmlns:c16="http://schemas.microsoft.com/office/drawing/2014/chart" uri="{C3380CC4-5D6E-409C-BE32-E72D297353CC}">
              <c16:uniqueId val="{00000002-8937-495F-A527-7EBCB95BCF83}"/>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Available Water</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Gini_2012!$H$157:$H$168</c:f>
              <c:numCache>
                <c:formatCode>0.00</c:formatCode>
                <c:ptCount val="12"/>
                <c:pt idx="0">
                  <c:v>0</c:v>
                </c:pt>
                <c:pt idx="1">
                  <c:v>1.3686107021111144E-2</c:v>
                </c:pt>
                <c:pt idx="2">
                  <c:v>2.19891933226572E-2</c:v>
                </c:pt>
                <c:pt idx="3">
                  <c:v>3.0639997410427677E-2</c:v>
                </c:pt>
                <c:pt idx="4">
                  <c:v>5.3837159897602418E-2</c:v>
                </c:pt>
                <c:pt idx="5">
                  <c:v>6.9192243194392378E-2</c:v>
                </c:pt>
                <c:pt idx="6">
                  <c:v>0.13224198964071543</c:v>
                </c:pt>
                <c:pt idx="7">
                  <c:v>0.2111418065641974</c:v>
                </c:pt>
                <c:pt idx="8">
                  <c:v>0.53835138042078534</c:v>
                </c:pt>
                <c:pt idx="9">
                  <c:v>0.59993179114928663</c:v>
                </c:pt>
                <c:pt idx="10">
                  <c:v>0.72662416139794606</c:v>
                </c:pt>
                <c:pt idx="11">
                  <c:v>1</c:v>
                </c:pt>
              </c:numCache>
            </c:numRef>
          </c:xVal>
          <c:yVal>
            <c:numRef>
              <c:f>Gini_2012!$H$157:$H$168</c:f>
              <c:numCache>
                <c:formatCode>0.00</c:formatCode>
                <c:ptCount val="12"/>
                <c:pt idx="0">
                  <c:v>0</c:v>
                </c:pt>
                <c:pt idx="1">
                  <c:v>1.3686107021111144E-2</c:v>
                </c:pt>
                <c:pt idx="2">
                  <c:v>2.19891933226572E-2</c:v>
                </c:pt>
                <c:pt idx="3">
                  <c:v>3.0639997410427677E-2</c:v>
                </c:pt>
                <c:pt idx="4">
                  <c:v>5.3837159897602418E-2</c:v>
                </c:pt>
                <c:pt idx="5">
                  <c:v>6.9192243194392378E-2</c:v>
                </c:pt>
                <c:pt idx="6">
                  <c:v>0.13224198964071543</c:v>
                </c:pt>
                <c:pt idx="7">
                  <c:v>0.2111418065641974</c:v>
                </c:pt>
                <c:pt idx="8">
                  <c:v>0.53835138042078534</c:v>
                </c:pt>
                <c:pt idx="9">
                  <c:v>0.59993179114928663</c:v>
                </c:pt>
                <c:pt idx="10">
                  <c:v>0.72662416139794606</c:v>
                </c:pt>
                <c:pt idx="11">
                  <c:v>1</c:v>
                </c:pt>
              </c:numCache>
            </c:numRef>
          </c:yVal>
          <c:smooth val="1"/>
          <c:extLst>
            <c:ext xmlns:c16="http://schemas.microsoft.com/office/drawing/2014/chart" uri="{C3380CC4-5D6E-409C-BE32-E72D297353CC}">
              <c16:uniqueId val="{00000000-756F-4BEB-8F17-C85B647A191D}"/>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756F-4BEB-8F17-C85B647A191D}"/>
              </c:ext>
            </c:extLst>
          </c:dPt>
          <c:xVal>
            <c:numRef>
              <c:f>Gini_2012!$H$157:$H$168</c:f>
              <c:numCache>
                <c:formatCode>0.00</c:formatCode>
                <c:ptCount val="12"/>
                <c:pt idx="0">
                  <c:v>0</c:v>
                </c:pt>
                <c:pt idx="1">
                  <c:v>1.3686107021111144E-2</c:v>
                </c:pt>
                <c:pt idx="2">
                  <c:v>2.19891933226572E-2</c:v>
                </c:pt>
                <c:pt idx="3">
                  <c:v>3.0639997410427677E-2</c:v>
                </c:pt>
                <c:pt idx="4">
                  <c:v>5.3837159897602418E-2</c:v>
                </c:pt>
                <c:pt idx="5">
                  <c:v>6.9192243194392378E-2</c:v>
                </c:pt>
                <c:pt idx="6">
                  <c:v>0.13224198964071543</c:v>
                </c:pt>
                <c:pt idx="7">
                  <c:v>0.2111418065641974</c:v>
                </c:pt>
                <c:pt idx="8">
                  <c:v>0.53835138042078534</c:v>
                </c:pt>
                <c:pt idx="9">
                  <c:v>0.59993179114928663</c:v>
                </c:pt>
                <c:pt idx="10">
                  <c:v>0.72662416139794606</c:v>
                </c:pt>
                <c:pt idx="11">
                  <c:v>1</c:v>
                </c:pt>
              </c:numCache>
            </c:numRef>
          </c:xVal>
          <c:yVal>
            <c:numRef>
              <c:f>Gini_2012!$G$157:$G$168</c:f>
              <c:numCache>
                <c:formatCode>0.00</c:formatCode>
                <c:ptCount val="12"/>
                <c:pt idx="0">
                  <c:v>0</c:v>
                </c:pt>
                <c:pt idx="1">
                  <c:v>2.1578474714352507E-3</c:v>
                </c:pt>
                <c:pt idx="2">
                  <c:v>9.1111668420643197E-3</c:v>
                </c:pt>
                <c:pt idx="3">
                  <c:v>1.7520790548750928E-2</c:v>
                </c:pt>
                <c:pt idx="4">
                  <c:v>3.8083826532813822E-2</c:v>
                </c:pt>
                <c:pt idx="5">
                  <c:v>0.10399955583224399</c:v>
                </c:pt>
                <c:pt idx="6">
                  <c:v>0.17502404659213261</c:v>
                </c:pt>
                <c:pt idx="7">
                  <c:v>0.24855484091269775</c:v>
                </c:pt>
                <c:pt idx="8">
                  <c:v>0.34336129411783561</c:v>
                </c:pt>
                <c:pt idx="9">
                  <c:v>0.50183953690157201</c:v>
                </c:pt>
                <c:pt idx="10">
                  <c:v>0.69572250941374103</c:v>
                </c:pt>
                <c:pt idx="11">
                  <c:v>1</c:v>
                </c:pt>
              </c:numCache>
            </c:numRef>
          </c:yVal>
          <c:smooth val="0"/>
          <c:extLst>
            <c:ext xmlns:c16="http://schemas.microsoft.com/office/drawing/2014/chart" uri="{C3380CC4-5D6E-409C-BE32-E72D297353CC}">
              <c16:uniqueId val="{00000002-756F-4BEB-8F17-C85B647A191D}"/>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 total</a:t>
                </a:r>
                <a:r>
                  <a:rPr lang="en-US" baseline="0"/>
                  <a:t> available water</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0-38F6-477C-A23F-2C440D97078B}"/>
              </c:ext>
            </c:extLst>
          </c:dPt>
          <c:xVal>
            <c:numRef>
              <c:f>Gini_2012!$H$6:$H$17</c:f>
              <c:numCache>
                <c:formatCode>0.00</c:formatCode>
                <c:ptCount val="12"/>
                <c:pt idx="0">
                  <c:v>0</c:v>
                </c:pt>
                <c:pt idx="1">
                  <c:v>0.32633091997157765</c:v>
                </c:pt>
                <c:pt idx="2">
                  <c:v>0.33155960994668771</c:v>
                </c:pt>
                <c:pt idx="3">
                  <c:v>0.35343362153132624</c:v>
                </c:pt>
                <c:pt idx="4">
                  <c:v>0.39568313963404961</c:v>
                </c:pt>
                <c:pt idx="5">
                  <c:v>0.40934838749061758</c:v>
                </c:pt>
                <c:pt idx="6">
                  <c:v>0.4840781192719123</c:v>
                </c:pt>
                <c:pt idx="7">
                  <c:v>0.52707473533887306</c:v>
                </c:pt>
                <c:pt idx="8">
                  <c:v>0.67340820152910053</c:v>
                </c:pt>
                <c:pt idx="9">
                  <c:v>0.81187138822630278</c:v>
                </c:pt>
                <c:pt idx="10">
                  <c:v>0.95502530361189231</c:v>
                </c:pt>
                <c:pt idx="11">
                  <c:v>1</c:v>
                </c:pt>
              </c:numCache>
            </c:numRef>
          </c:xVal>
          <c:yVal>
            <c:numRef>
              <c:f>Gini_2012!$G$6:$G$17</c:f>
              <c:numCache>
                <c:formatCode>0.00</c:formatCode>
                <c:ptCount val="12"/>
                <c:pt idx="0">
                  <c:v>0</c:v>
                </c:pt>
                <c:pt idx="1">
                  <c:v>1.572820191697484E-3</c:v>
                </c:pt>
                <c:pt idx="2">
                  <c:v>8.3873591718614405E-3</c:v>
                </c:pt>
                <c:pt idx="3">
                  <c:v>1.5400122084722613E-2</c:v>
                </c:pt>
                <c:pt idx="4">
                  <c:v>2.6810084302786922E-2</c:v>
                </c:pt>
                <c:pt idx="5">
                  <c:v>3.9388369521971375E-2</c:v>
                </c:pt>
                <c:pt idx="6">
                  <c:v>7.8082680469362412E-2</c:v>
                </c:pt>
                <c:pt idx="7">
                  <c:v>0.1447225848463507</c:v>
                </c:pt>
                <c:pt idx="8">
                  <c:v>0.29844815548383041</c:v>
                </c:pt>
                <c:pt idx="9">
                  <c:v>0.47600148283679844</c:v>
                </c:pt>
                <c:pt idx="10">
                  <c:v>0.68635997830721429</c:v>
                </c:pt>
                <c:pt idx="11">
                  <c:v>1</c:v>
                </c:pt>
              </c:numCache>
            </c:numRef>
          </c:yVal>
          <c:smooth val="1"/>
          <c:extLst>
            <c:ext xmlns:c16="http://schemas.microsoft.com/office/drawing/2014/chart" uri="{C3380CC4-5D6E-409C-BE32-E72D297353CC}">
              <c16:uniqueId val="{00000001-38F6-477C-A23F-2C440D97078B}"/>
            </c:ext>
          </c:extLst>
        </c:ser>
        <c:ser>
          <c:idx val="1"/>
          <c:order val="1"/>
          <c:tx>
            <c:v>Equality Line</c:v>
          </c:tx>
          <c:spPr>
            <a:ln w="19050" cap="rnd">
              <a:solidFill>
                <a:schemeClr val="accent2"/>
              </a:solidFill>
              <a:round/>
            </a:ln>
            <a:effectLst/>
          </c:spPr>
          <c:marker>
            <c:symbol val="none"/>
          </c:marker>
          <c:xVal>
            <c:numRef>
              <c:f>Gini_2012!$H$6:$H$17</c:f>
              <c:numCache>
                <c:formatCode>0.00</c:formatCode>
                <c:ptCount val="12"/>
                <c:pt idx="0">
                  <c:v>0</c:v>
                </c:pt>
                <c:pt idx="1">
                  <c:v>0.32633091997157765</c:v>
                </c:pt>
                <c:pt idx="2">
                  <c:v>0.33155960994668771</c:v>
                </c:pt>
                <c:pt idx="3">
                  <c:v>0.35343362153132624</c:v>
                </c:pt>
                <c:pt idx="4">
                  <c:v>0.39568313963404961</c:v>
                </c:pt>
                <c:pt idx="5">
                  <c:v>0.40934838749061758</c:v>
                </c:pt>
                <c:pt idx="6">
                  <c:v>0.4840781192719123</c:v>
                </c:pt>
                <c:pt idx="7">
                  <c:v>0.52707473533887306</c:v>
                </c:pt>
                <c:pt idx="8">
                  <c:v>0.67340820152910053</c:v>
                </c:pt>
                <c:pt idx="9">
                  <c:v>0.81187138822630278</c:v>
                </c:pt>
                <c:pt idx="10">
                  <c:v>0.95502530361189231</c:v>
                </c:pt>
                <c:pt idx="11">
                  <c:v>1</c:v>
                </c:pt>
              </c:numCache>
            </c:numRef>
          </c:xVal>
          <c:yVal>
            <c:numRef>
              <c:f>Gini_2012!$H$6:$H$17</c:f>
              <c:numCache>
                <c:formatCode>0.00</c:formatCode>
                <c:ptCount val="12"/>
                <c:pt idx="0">
                  <c:v>0</c:v>
                </c:pt>
                <c:pt idx="1">
                  <c:v>0.32633091997157765</c:v>
                </c:pt>
                <c:pt idx="2">
                  <c:v>0.33155960994668771</c:v>
                </c:pt>
                <c:pt idx="3">
                  <c:v>0.35343362153132624</c:v>
                </c:pt>
                <c:pt idx="4">
                  <c:v>0.39568313963404961</c:v>
                </c:pt>
                <c:pt idx="5">
                  <c:v>0.40934838749061758</c:v>
                </c:pt>
                <c:pt idx="6">
                  <c:v>0.4840781192719123</c:v>
                </c:pt>
                <c:pt idx="7">
                  <c:v>0.52707473533887306</c:v>
                </c:pt>
                <c:pt idx="8">
                  <c:v>0.67340820152910053</c:v>
                </c:pt>
                <c:pt idx="9">
                  <c:v>0.81187138822630278</c:v>
                </c:pt>
                <c:pt idx="10">
                  <c:v>0.95502530361189231</c:v>
                </c:pt>
                <c:pt idx="11">
                  <c:v>1</c:v>
                </c:pt>
              </c:numCache>
            </c:numRef>
          </c:yVal>
          <c:smooth val="1"/>
          <c:extLst>
            <c:ext xmlns:c16="http://schemas.microsoft.com/office/drawing/2014/chart" uri="{C3380CC4-5D6E-409C-BE32-E72D297353CC}">
              <c16:uniqueId val="{00000002-38F6-477C-A23F-2C440D97078B}"/>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Population</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Precipitation</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0-3FAF-4F52-86EB-709108D35527}"/>
              </c:ext>
            </c:extLst>
          </c:dPt>
          <c:xVal>
            <c:numRef>
              <c:f>Gini_2012!$H$27:$H$38</c:f>
              <c:numCache>
                <c:formatCode>0.00</c:formatCode>
                <c:ptCount val="12"/>
                <c:pt idx="0">
                  <c:v>0</c:v>
                </c:pt>
                <c:pt idx="1">
                  <c:v>5.2286899751100473E-3</c:v>
                </c:pt>
                <c:pt idx="2">
                  <c:v>2.7102701559748567E-2</c:v>
                </c:pt>
                <c:pt idx="3">
                  <c:v>6.9352219662471959E-2</c:v>
                </c:pt>
                <c:pt idx="4">
                  <c:v>8.3017467519039906E-2</c:v>
                </c:pt>
                <c:pt idx="5">
                  <c:v>0.40934838749061753</c:v>
                </c:pt>
                <c:pt idx="6">
                  <c:v>0.48407811927191224</c:v>
                </c:pt>
                <c:pt idx="7">
                  <c:v>0.52707473533887295</c:v>
                </c:pt>
                <c:pt idx="8">
                  <c:v>0.6734082015291003</c:v>
                </c:pt>
                <c:pt idx="9">
                  <c:v>0.81656211691468994</c:v>
                </c:pt>
                <c:pt idx="10">
                  <c:v>0.9550253036118922</c:v>
                </c:pt>
                <c:pt idx="11">
                  <c:v>0.99999999999999989</c:v>
                </c:pt>
              </c:numCache>
            </c:numRef>
          </c:xVal>
          <c:yVal>
            <c:numRef>
              <c:f>Gini_2012!$G$27:$G$38</c:f>
              <c:numCache>
                <c:formatCode>0.00</c:formatCode>
                <c:ptCount val="12"/>
                <c:pt idx="0">
                  <c:v>0</c:v>
                </c:pt>
                <c:pt idx="1">
                  <c:v>5.6800071776456134E-3</c:v>
                </c:pt>
                <c:pt idx="2">
                  <c:v>1.2595735549511414E-2</c:v>
                </c:pt>
                <c:pt idx="3">
                  <c:v>2.2793120968952023E-2</c:v>
                </c:pt>
                <c:pt idx="4">
                  <c:v>3.472654852212495E-2</c:v>
                </c:pt>
                <c:pt idx="5">
                  <c:v>6.3405083875974017E-2</c:v>
                </c:pt>
                <c:pt idx="6">
                  <c:v>9.2173668085728147E-2</c:v>
                </c:pt>
                <c:pt idx="7">
                  <c:v>0.15429923339549198</c:v>
                </c:pt>
                <c:pt idx="8">
                  <c:v>0.29429971938026456</c:v>
                </c:pt>
                <c:pt idx="9">
                  <c:v>0.46171727987795586</c:v>
                </c:pt>
                <c:pt idx="10">
                  <c:v>0.66713474009444895</c:v>
                </c:pt>
                <c:pt idx="11">
                  <c:v>1</c:v>
                </c:pt>
              </c:numCache>
            </c:numRef>
          </c:yVal>
          <c:smooth val="1"/>
          <c:extLst>
            <c:ext xmlns:c16="http://schemas.microsoft.com/office/drawing/2014/chart" uri="{C3380CC4-5D6E-409C-BE32-E72D297353CC}">
              <c16:uniqueId val="{00000001-3FAF-4F52-86EB-709108D35527}"/>
            </c:ext>
          </c:extLst>
        </c:ser>
        <c:ser>
          <c:idx val="2"/>
          <c:order val="1"/>
          <c:tx>
            <c:v>Equality Line</c:v>
          </c:tx>
          <c:spPr>
            <a:ln w="19050" cap="rnd">
              <a:solidFill>
                <a:schemeClr val="accent2"/>
              </a:solidFill>
              <a:round/>
            </a:ln>
            <a:effectLst/>
          </c:spPr>
          <c:marker>
            <c:symbol val="none"/>
          </c:marker>
          <c:xVal>
            <c:numRef>
              <c:f>Gini_2012!$H$27:$H$38</c:f>
              <c:numCache>
                <c:formatCode>0.00</c:formatCode>
                <c:ptCount val="12"/>
                <c:pt idx="0">
                  <c:v>0</c:v>
                </c:pt>
                <c:pt idx="1">
                  <c:v>5.2286899751100473E-3</c:v>
                </c:pt>
                <c:pt idx="2">
                  <c:v>2.7102701559748567E-2</c:v>
                </c:pt>
                <c:pt idx="3">
                  <c:v>6.9352219662471959E-2</c:v>
                </c:pt>
                <c:pt idx="4">
                  <c:v>8.3017467519039906E-2</c:v>
                </c:pt>
                <c:pt idx="5">
                  <c:v>0.40934838749061753</c:v>
                </c:pt>
                <c:pt idx="6">
                  <c:v>0.48407811927191224</c:v>
                </c:pt>
                <c:pt idx="7">
                  <c:v>0.52707473533887295</c:v>
                </c:pt>
                <c:pt idx="8">
                  <c:v>0.6734082015291003</c:v>
                </c:pt>
                <c:pt idx="9">
                  <c:v>0.81656211691468994</c:v>
                </c:pt>
                <c:pt idx="10">
                  <c:v>0.9550253036118922</c:v>
                </c:pt>
                <c:pt idx="11">
                  <c:v>0.99999999999999989</c:v>
                </c:pt>
              </c:numCache>
            </c:numRef>
          </c:xVal>
          <c:yVal>
            <c:numRef>
              <c:f>Gini_2012!$H$27:$H$38</c:f>
              <c:numCache>
                <c:formatCode>0.00</c:formatCode>
                <c:ptCount val="12"/>
                <c:pt idx="0">
                  <c:v>0</c:v>
                </c:pt>
                <c:pt idx="1">
                  <c:v>5.2286899751100473E-3</c:v>
                </c:pt>
                <c:pt idx="2">
                  <c:v>2.7102701559748567E-2</c:v>
                </c:pt>
                <c:pt idx="3">
                  <c:v>6.9352219662471959E-2</c:v>
                </c:pt>
                <c:pt idx="4">
                  <c:v>8.3017467519039906E-2</c:v>
                </c:pt>
                <c:pt idx="5">
                  <c:v>0.40934838749061753</c:v>
                </c:pt>
                <c:pt idx="6">
                  <c:v>0.48407811927191224</c:v>
                </c:pt>
                <c:pt idx="7">
                  <c:v>0.52707473533887295</c:v>
                </c:pt>
                <c:pt idx="8">
                  <c:v>0.6734082015291003</c:v>
                </c:pt>
                <c:pt idx="9">
                  <c:v>0.81656211691468994</c:v>
                </c:pt>
                <c:pt idx="10">
                  <c:v>0.9550253036118922</c:v>
                </c:pt>
                <c:pt idx="11">
                  <c:v>0.99999999999999989</c:v>
                </c:pt>
              </c:numCache>
            </c:numRef>
          </c:yVal>
          <c:smooth val="1"/>
          <c:extLst>
            <c:ext xmlns:c16="http://schemas.microsoft.com/office/drawing/2014/chart" uri="{C3380CC4-5D6E-409C-BE32-E72D297353CC}">
              <c16:uniqueId val="{00000002-3FAF-4F52-86EB-709108D35527}"/>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Population</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ETa</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Gini_2012!$H$49:$H$60</c:f>
              <c:numCache>
                <c:formatCode>0.00</c:formatCode>
                <c:ptCount val="12"/>
                <c:pt idx="0">
                  <c:v>0</c:v>
                </c:pt>
                <c:pt idx="1">
                  <c:v>0.32633091997157776</c:v>
                </c:pt>
                <c:pt idx="2">
                  <c:v>0.46479410666878007</c:v>
                </c:pt>
                <c:pt idx="3">
                  <c:v>0.50976880305688776</c:v>
                </c:pt>
                <c:pt idx="4">
                  <c:v>0.5316428146415263</c:v>
                </c:pt>
                <c:pt idx="5">
                  <c:v>0.54530806249809427</c:v>
                </c:pt>
                <c:pt idx="6">
                  <c:v>0.55053675247320433</c:v>
                </c:pt>
                <c:pt idx="7">
                  <c:v>0.5927862705759277</c:v>
                </c:pt>
                <c:pt idx="8">
                  <c:v>0.66751600235722242</c:v>
                </c:pt>
                <c:pt idx="9">
                  <c:v>0.71051261842418312</c:v>
                </c:pt>
                <c:pt idx="10">
                  <c:v>0.85684608461441059</c:v>
                </c:pt>
                <c:pt idx="11">
                  <c:v>1.0000000000000002</c:v>
                </c:pt>
              </c:numCache>
            </c:numRef>
          </c:xVal>
          <c:yVal>
            <c:numRef>
              <c:f>Gini_2012!$H$49:$H$60</c:f>
              <c:numCache>
                <c:formatCode>0.00</c:formatCode>
                <c:ptCount val="12"/>
                <c:pt idx="0">
                  <c:v>0</c:v>
                </c:pt>
                <c:pt idx="1">
                  <c:v>0.32633091997157776</c:v>
                </c:pt>
                <c:pt idx="2">
                  <c:v>0.46479410666878007</c:v>
                </c:pt>
                <c:pt idx="3">
                  <c:v>0.50976880305688776</c:v>
                </c:pt>
                <c:pt idx="4">
                  <c:v>0.5316428146415263</c:v>
                </c:pt>
                <c:pt idx="5">
                  <c:v>0.54530806249809427</c:v>
                </c:pt>
                <c:pt idx="6">
                  <c:v>0.55053675247320433</c:v>
                </c:pt>
                <c:pt idx="7">
                  <c:v>0.5927862705759277</c:v>
                </c:pt>
                <c:pt idx="8">
                  <c:v>0.66751600235722242</c:v>
                </c:pt>
                <c:pt idx="9">
                  <c:v>0.71051261842418312</c:v>
                </c:pt>
                <c:pt idx="10">
                  <c:v>0.85684608461441059</c:v>
                </c:pt>
                <c:pt idx="11">
                  <c:v>1.0000000000000002</c:v>
                </c:pt>
              </c:numCache>
            </c:numRef>
          </c:yVal>
          <c:smooth val="1"/>
          <c:extLst>
            <c:ext xmlns:c16="http://schemas.microsoft.com/office/drawing/2014/chart" uri="{C3380CC4-5D6E-409C-BE32-E72D297353CC}">
              <c16:uniqueId val="{00000000-3C9A-428C-A744-28D578AC26E6}"/>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3C9A-428C-A744-28D578AC26E6}"/>
              </c:ext>
            </c:extLst>
          </c:dPt>
          <c:xVal>
            <c:numRef>
              <c:f>Gini_2012!$H$49:$H$60</c:f>
              <c:numCache>
                <c:formatCode>0.00</c:formatCode>
                <c:ptCount val="12"/>
                <c:pt idx="0">
                  <c:v>0</c:v>
                </c:pt>
                <c:pt idx="1">
                  <c:v>0.32633091997157776</c:v>
                </c:pt>
                <c:pt idx="2">
                  <c:v>0.46479410666878007</c:v>
                </c:pt>
                <c:pt idx="3">
                  <c:v>0.50976880305688776</c:v>
                </c:pt>
                <c:pt idx="4">
                  <c:v>0.5316428146415263</c:v>
                </c:pt>
                <c:pt idx="5">
                  <c:v>0.54530806249809427</c:v>
                </c:pt>
                <c:pt idx="6">
                  <c:v>0.55053675247320433</c:v>
                </c:pt>
                <c:pt idx="7">
                  <c:v>0.5927862705759277</c:v>
                </c:pt>
                <c:pt idx="8">
                  <c:v>0.66751600235722242</c:v>
                </c:pt>
                <c:pt idx="9">
                  <c:v>0.71051261842418312</c:v>
                </c:pt>
                <c:pt idx="10">
                  <c:v>0.85684608461441059</c:v>
                </c:pt>
                <c:pt idx="11">
                  <c:v>1.0000000000000002</c:v>
                </c:pt>
              </c:numCache>
            </c:numRef>
          </c:xVal>
          <c:yVal>
            <c:numRef>
              <c:f>Gini_2012!$G$49:$G$60</c:f>
              <c:numCache>
                <c:formatCode>0.00</c:formatCode>
                <c:ptCount val="12"/>
                <c:pt idx="0">
                  <c:v>0</c:v>
                </c:pt>
                <c:pt idx="1">
                  <c:v>0</c:v>
                </c:pt>
                <c:pt idx="2">
                  <c:v>0</c:v>
                </c:pt>
                <c:pt idx="3">
                  <c:v>0</c:v>
                </c:pt>
                <c:pt idx="4">
                  <c:v>3.5319141033646755E-3</c:v>
                </c:pt>
                <c:pt idx="5">
                  <c:v>1.4912944076715373E-2</c:v>
                </c:pt>
                <c:pt idx="6">
                  <c:v>2.8677618812451258E-2</c:v>
                </c:pt>
                <c:pt idx="7">
                  <c:v>4.4888781146408346E-2</c:v>
                </c:pt>
                <c:pt idx="8">
                  <c:v>0.16114000090120184</c:v>
                </c:pt>
                <c:pt idx="9">
                  <c:v>0.28149347950906367</c:v>
                </c:pt>
                <c:pt idx="10">
                  <c:v>0.50196574384230386</c:v>
                </c:pt>
                <c:pt idx="11">
                  <c:v>1</c:v>
                </c:pt>
              </c:numCache>
            </c:numRef>
          </c:yVal>
          <c:smooth val="0"/>
          <c:extLst>
            <c:ext xmlns:c16="http://schemas.microsoft.com/office/drawing/2014/chart" uri="{C3380CC4-5D6E-409C-BE32-E72D297353CC}">
              <c16:uniqueId val="{00000002-3C9A-428C-A744-28D578AC26E6}"/>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Population</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Available Water</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Gini_2012!$H$70:$H$81</c:f>
              <c:numCache>
                <c:formatCode>0.00</c:formatCode>
                <c:ptCount val="12"/>
                <c:pt idx="0">
                  <c:v>0</c:v>
                </c:pt>
                <c:pt idx="1">
                  <c:v>2.1874011584638524E-2</c:v>
                </c:pt>
                <c:pt idx="2">
                  <c:v>3.5539259441206478E-2</c:v>
                </c:pt>
                <c:pt idx="3">
                  <c:v>4.0767949416316528E-2</c:v>
                </c:pt>
                <c:pt idx="4">
                  <c:v>8.301746751903992E-2</c:v>
                </c:pt>
                <c:pt idx="5">
                  <c:v>0.1279921639071476</c:v>
                </c:pt>
                <c:pt idx="6">
                  <c:v>0.20272189568844232</c:v>
                </c:pt>
                <c:pt idx="7">
                  <c:v>0.24571851175540305</c:v>
                </c:pt>
                <c:pt idx="8">
                  <c:v>0.38418169845260536</c:v>
                </c:pt>
                <c:pt idx="9">
                  <c:v>0.71051261842418301</c:v>
                </c:pt>
                <c:pt idx="10">
                  <c:v>0.85684608461441047</c:v>
                </c:pt>
                <c:pt idx="11">
                  <c:v>1</c:v>
                </c:pt>
              </c:numCache>
            </c:numRef>
          </c:xVal>
          <c:yVal>
            <c:numRef>
              <c:f>Gini_2012!$H$70:$H$81</c:f>
              <c:numCache>
                <c:formatCode>0.00</c:formatCode>
                <c:ptCount val="12"/>
                <c:pt idx="0">
                  <c:v>0</c:v>
                </c:pt>
                <c:pt idx="1">
                  <c:v>2.1874011584638524E-2</c:v>
                </c:pt>
                <c:pt idx="2">
                  <c:v>3.5539259441206478E-2</c:v>
                </c:pt>
                <c:pt idx="3">
                  <c:v>4.0767949416316528E-2</c:v>
                </c:pt>
                <c:pt idx="4">
                  <c:v>8.301746751903992E-2</c:v>
                </c:pt>
                <c:pt idx="5">
                  <c:v>0.1279921639071476</c:v>
                </c:pt>
                <c:pt idx="6">
                  <c:v>0.20272189568844232</c:v>
                </c:pt>
                <c:pt idx="7">
                  <c:v>0.24571851175540305</c:v>
                </c:pt>
                <c:pt idx="8">
                  <c:v>0.38418169845260536</c:v>
                </c:pt>
                <c:pt idx="9">
                  <c:v>0.71051261842418301</c:v>
                </c:pt>
                <c:pt idx="10">
                  <c:v>0.85684608461441047</c:v>
                </c:pt>
                <c:pt idx="11">
                  <c:v>1</c:v>
                </c:pt>
              </c:numCache>
            </c:numRef>
          </c:yVal>
          <c:smooth val="1"/>
          <c:extLst>
            <c:ext xmlns:c16="http://schemas.microsoft.com/office/drawing/2014/chart" uri="{C3380CC4-5D6E-409C-BE32-E72D297353CC}">
              <c16:uniqueId val="{00000000-8C85-4507-8E1A-787F909F43E2}"/>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8C85-4507-8E1A-787F909F43E2}"/>
              </c:ext>
            </c:extLst>
          </c:dPt>
          <c:xVal>
            <c:numRef>
              <c:f>Gini_2012!$H$70:$H$81</c:f>
              <c:numCache>
                <c:formatCode>0.00</c:formatCode>
                <c:ptCount val="12"/>
                <c:pt idx="0">
                  <c:v>0</c:v>
                </c:pt>
                <c:pt idx="1">
                  <c:v>2.1874011584638524E-2</c:v>
                </c:pt>
                <c:pt idx="2">
                  <c:v>3.5539259441206478E-2</c:v>
                </c:pt>
                <c:pt idx="3">
                  <c:v>4.0767949416316528E-2</c:v>
                </c:pt>
                <c:pt idx="4">
                  <c:v>8.301746751903992E-2</c:v>
                </c:pt>
                <c:pt idx="5">
                  <c:v>0.1279921639071476</c:v>
                </c:pt>
                <c:pt idx="6">
                  <c:v>0.20272189568844232</c:v>
                </c:pt>
                <c:pt idx="7">
                  <c:v>0.24571851175540305</c:v>
                </c:pt>
                <c:pt idx="8">
                  <c:v>0.38418169845260536</c:v>
                </c:pt>
                <c:pt idx="9">
                  <c:v>0.71051261842418301</c:v>
                </c:pt>
                <c:pt idx="10">
                  <c:v>0.85684608461441047</c:v>
                </c:pt>
                <c:pt idx="11">
                  <c:v>1</c:v>
                </c:pt>
              </c:numCache>
            </c:numRef>
          </c:xVal>
          <c:yVal>
            <c:numRef>
              <c:f>Gini_2012!$G$70:$G$81</c:f>
              <c:numCache>
                <c:formatCode>0.00</c:formatCode>
                <c:ptCount val="12"/>
                <c:pt idx="0">
                  <c:v>0</c:v>
                </c:pt>
                <c:pt idx="1">
                  <c:v>2.1578474714352507E-3</c:v>
                </c:pt>
                <c:pt idx="2">
                  <c:v>9.1111668420643197E-3</c:v>
                </c:pt>
                <c:pt idx="3">
                  <c:v>1.7520790548750928E-2</c:v>
                </c:pt>
                <c:pt idx="4">
                  <c:v>3.8083826532813822E-2</c:v>
                </c:pt>
                <c:pt idx="5">
                  <c:v>0.10399955583224399</c:v>
                </c:pt>
                <c:pt idx="6">
                  <c:v>0.17502404659213261</c:v>
                </c:pt>
                <c:pt idx="7">
                  <c:v>0.24855484091269775</c:v>
                </c:pt>
                <c:pt idx="8">
                  <c:v>0.34336129411783561</c:v>
                </c:pt>
                <c:pt idx="9">
                  <c:v>0.50183953690157201</c:v>
                </c:pt>
                <c:pt idx="10">
                  <c:v>0.69572250941374103</c:v>
                </c:pt>
                <c:pt idx="11">
                  <c:v>1</c:v>
                </c:pt>
              </c:numCache>
            </c:numRef>
          </c:yVal>
          <c:smooth val="0"/>
          <c:extLst>
            <c:ext xmlns:c16="http://schemas.microsoft.com/office/drawing/2014/chart" uri="{C3380CC4-5D6E-409C-BE32-E72D297353CC}">
              <c16:uniqueId val="{00000002-8C85-4507-8E1A-787F909F43E2}"/>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Population</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total available water</a:t>
                </a:r>
                <a:endParaRPr lang="en-US"/>
              </a:p>
            </c:rich>
          </c:tx>
          <c:layout>
            <c:manualLayout>
              <c:xMode val="edge"/>
              <c:yMode val="edge"/>
              <c:x val="1.6122160326311905E-2"/>
              <c:y val="0.14339278018953905"/>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Gini_2012!$H$94:$H$105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xVal>
          <c:yVal>
            <c:numRef>
              <c:f>Gini_2012!$H$94:$H$105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yVal>
          <c:smooth val="1"/>
          <c:extLst>
            <c:ext xmlns:c16="http://schemas.microsoft.com/office/drawing/2014/chart" uri="{C3380CC4-5D6E-409C-BE32-E72D297353CC}">
              <c16:uniqueId val="{00000000-60BA-41B9-8428-72486B2DF1F3}"/>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60BA-41B9-8428-72486B2DF1F3}"/>
              </c:ext>
            </c:extLst>
          </c:dPt>
          <c:xVal>
            <c:numRef>
              <c:f>Gini_2012!$H$178:$H$189</c:f>
              <c:numCache>
                <c:formatCode>0.00</c:formatCode>
                <c:ptCount val="12"/>
                <c:pt idx="0">
                  <c:v>0</c:v>
                </c:pt>
                <c:pt idx="1">
                  <c:v>8.2249727275718124E-2</c:v>
                </c:pt>
                <c:pt idx="2">
                  <c:v>9.0263247322775519E-2</c:v>
                </c:pt>
                <c:pt idx="3">
                  <c:v>9.4581027823807909E-2</c:v>
                </c:pt>
                <c:pt idx="4">
                  <c:v>0.1013971131412383</c:v>
                </c:pt>
                <c:pt idx="5">
                  <c:v>0.10808687676914244</c:v>
                </c:pt>
                <c:pt idx="6">
                  <c:v>0.12427174144854033</c:v>
                </c:pt>
                <c:pt idx="7">
                  <c:v>0.16345651867644251</c:v>
                </c:pt>
                <c:pt idx="8">
                  <c:v>0.24099269172425059</c:v>
                </c:pt>
                <c:pt idx="9">
                  <c:v>0.67926609315684749</c:v>
                </c:pt>
                <c:pt idx="10">
                  <c:v>0.79811612788873898</c:v>
                </c:pt>
                <c:pt idx="11">
                  <c:v>1</c:v>
                </c:pt>
              </c:numCache>
            </c:numRef>
          </c:xVal>
          <c:yVal>
            <c:numRef>
              <c:f>Gini_2012!$G$178:$G$189</c:f>
              <c:numCache>
                <c:formatCode>0.00</c:formatCode>
                <c:ptCount val="12"/>
                <c:pt idx="0">
                  <c:v>0</c:v>
                </c:pt>
                <c:pt idx="1">
                  <c:v>1.572820191697484E-3</c:v>
                </c:pt>
                <c:pt idx="2">
                  <c:v>8.3873591718614405E-3</c:v>
                </c:pt>
                <c:pt idx="3">
                  <c:v>1.5400122084722613E-2</c:v>
                </c:pt>
                <c:pt idx="4">
                  <c:v>2.6810084302786922E-2</c:v>
                </c:pt>
                <c:pt idx="5">
                  <c:v>3.9388369521971375E-2</c:v>
                </c:pt>
                <c:pt idx="6">
                  <c:v>7.8082680469362412E-2</c:v>
                </c:pt>
                <c:pt idx="7">
                  <c:v>0.1447225848463507</c:v>
                </c:pt>
                <c:pt idx="8">
                  <c:v>0.29844815548383041</c:v>
                </c:pt>
                <c:pt idx="9">
                  <c:v>0.47600148283679844</c:v>
                </c:pt>
                <c:pt idx="10">
                  <c:v>0.68635997830721429</c:v>
                </c:pt>
                <c:pt idx="11">
                  <c:v>1</c:v>
                </c:pt>
              </c:numCache>
            </c:numRef>
          </c:yVal>
          <c:smooth val="0"/>
          <c:extLst>
            <c:ext xmlns:c16="http://schemas.microsoft.com/office/drawing/2014/chart" uri="{C3380CC4-5D6E-409C-BE32-E72D297353CC}">
              <c16:uniqueId val="{00000002-60BA-41B9-8428-72486B2DF1F3}"/>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Precipitation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301861863580613"/>
          <c:y val="0.1566342980154827"/>
          <c:w val="0.54960252622417904"/>
          <c:h val="0.65904922055244786"/>
        </c:manualLayout>
      </c:layout>
      <c:scatterChart>
        <c:scatterStyle val="smoothMarker"/>
        <c:varyColors val="0"/>
        <c:ser>
          <c:idx val="1"/>
          <c:order val="1"/>
          <c:tx>
            <c:v>Equality Line</c:v>
          </c:tx>
          <c:spPr>
            <a:ln w="19050" cap="rnd">
              <a:solidFill>
                <a:schemeClr val="accent2"/>
              </a:solidFill>
              <a:round/>
            </a:ln>
            <a:effectLst/>
          </c:spPr>
          <c:marker>
            <c:symbol val="none"/>
          </c:marker>
          <c:xVal>
            <c:numRef>
              <c:f>Gini_2012!$H$115:$H$126</c:f>
              <c:numCache>
                <c:formatCode>0.00</c:formatCode>
                <c:ptCount val="12"/>
                <c:pt idx="0">
                  <c:v>0</c:v>
                </c:pt>
                <c:pt idx="1">
                  <c:v>8.6508040877704764E-3</c:v>
                </c:pt>
                <c:pt idx="2">
                  <c:v>2.233691110888162E-2</c:v>
                </c:pt>
                <c:pt idx="3">
                  <c:v>4.5534073596056365E-2</c:v>
                </c:pt>
                <c:pt idx="4">
                  <c:v>5.3837159897602418E-2</c:v>
                </c:pt>
                <c:pt idx="5">
                  <c:v>0.11541757062610367</c:v>
                </c:pt>
                <c:pt idx="6">
                  <c:v>0.17846731707242672</c:v>
                </c:pt>
                <c:pt idx="7">
                  <c:v>0.25736713399590871</c:v>
                </c:pt>
                <c:pt idx="8">
                  <c:v>0.38405950424456814</c:v>
                </c:pt>
                <c:pt idx="9">
                  <c:v>0.65743534284662219</c:v>
                </c:pt>
                <c:pt idx="10">
                  <c:v>0.98464491670321019</c:v>
                </c:pt>
                <c:pt idx="11">
                  <c:v>1.0000000000000002</c:v>
                </c:pt>
              </c:numCache>
            </c:numRef>
          </c:xVal>
          <c:yVal>
            <c:numRef>
              <c:f>Gini_2012!$H$115:$H$126</c:f>
              <c:numCache>
                <c:formatCode>0.00</c:formatCode>
                <c:ptCount val="12"/>
                <c:pt idx="0">
                  <c:v>0</c:v>
                </c:pt>
                <c:pt idx="1">
                  <c:v>8.6508040877704764E-3</c:v>
                </c:pt>
                <c:pt idx="2">
                  <c:v>2.233691110888162E-2</c:v>
                </c:pt>
                <c:pt idx="3">
                  <c:v>4.5534073596056365E-2</c:v>
                </c:pt>
                <c:pt idx="4">
                  <c:v>5.3837159897602418E-2</c:v>
                </c:pt>
                <c:pt idx="5">
                  <c:v>0.11541757062610367</c:v>
                </c:pt>
                <c:pt idx="6">
                  <c:v>0.17846731707242672</c:v>
                </c:pt>
                <c:pt idx="7">
                  <c:v>0.25736713399590871</c:v>
                </c:pt>
                <c:pt idx="8">
                  <c:v>0.38405950424456814</c:v>
                </c:pt>
                <c:pt idx="9">
                  <c:v>0.65743534284662219</c:v>
                </c:pt>
                <c:pt idx="10">
                  <c:v>0.98464491670321019</c:v>
                </c:pt>
                <c:pt idx="11">
                  <c:v>1.0000000000000002</c:v>
                </c:pt>
              </c:numCache>
            </c:numRef>
          </c:yVal>
          <c:smooth val="1"/>
          <c:extLst>
            <c:ext xmlns:c16="http://schemas.microsoft.com/office/drawing/2014/chart" uri="{C3380CC4-5D6E-409C-BE32-E72D297353CC}">
              <c16:uniqueId val="{00000000-A555-44D4-8541-5C32A3DF7F26}"/>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A555-44D4-8541-5C32A3DF7F26}"/>
              </c:ext>
            </c:extLst>
          </c:dPt>
          <c:xVal>
            <c:numRef>
              <c:f>Gini_2012!$H$199:$H$210</c:f>
              <c:numCache>
                <c:formatCode>0.00</c:formatCode>
                <c:ptCount val="12"/>
                <c:pt idx="0">
                  <c:v>0</c:v>
                </c:pt>
                <c:pt idx="1">
                  <c:v>8.0135200470573958E-3</c:v>
                </c:pt>
                <c:pt idx="2">
                  <c:v>1.2331300548089792E-2</c:v>
                </c:pt>
                <c:pt idx="3">
                  <c:v>1.9147385865520176E-2</c:v>
                </c:pt>
                <c:pt idx="4">
                  <c:v>2.5837149493424316E-2</c:v>
                </c:pt>
                <c:pt idx="5">
                  <c:v>0.10808687676914244</c:v>
                </c:pt>
                <c:pt idx="6">
                  <c:v>0.12427174144854033</c:v>
                </c:pt>
                <c:pt idx="7">
                  <c:v>0.16345651867644251</c:v>
                </c:pt>
                <c:pt idx="8">
                  <c:v>0.24099269172425059</c:v>
                </c:pt>
                <c:pt idx="9">
                  <c:v>0.35984272645614207</c:v>
                </c:pt>
                <c:pt idx="10">
                  <c:v>0.79811612788873898</c:v>
                </c:pt>
                <c:pt idx="11">
                  <c:v>1</c:v>
                </c:pt>
              </c:numCache>
            </c:numRef>
          </c:xVal>
          <c:yVal>
            <c:numRef>
              <c:f>Gini_2012!$G$199:$G$210</c:f>
              <c:numCache>
                <c:formatCode>0.00</c:formatCode>
                <c:ptCount val="12"/>
                <c:pt idx="0">
                  <c:v>0</c:v>
                </c:pt>
                <c:pt idx="1">
                  <c:v>5.6800071776456134E-3</c:v>
                </c:pt>
                <c:pt idx="2">
                  <c:v>1.2595735549511414E-2</c:v>
                </c:pt>
                <c:pt idx="3">
                  <c:v>2.2793120968952023E-2</c:v>
                </c:pt>
                <c:pt idx="4">
                  <c:v>3.472654852212495E-2</c:v>
                </c:pt>
                <c:pt idx="5">
                  <c:v>6.3405083875974017E-2</c:v>
                </c:pt>
                <c:pt idx="6">
                  <c:v>9.2173668085728147E-2</c:v>
                </c:pt>
                <c:pt idx="7">
                  <c:v>0.15429923339549198</c:v>
                </c:pt>
                <c:pt idx="8">
                  <c:v>0.29429971938026456</c:v>
                </c:pt>
                <c:pt idx="9">
                  <c:v>0.46171727987795586</c:v>
                </c:pt>
                <c:pt idx="10">
                  <c:v>0.66713474009444895</c:v>
                </c:pt>
                <c:pt idx="11">
                  <c:v>1</c:v>
                </c:pt>
              </c:numCache>
            </c:numRef>
          </c:yVal>
          <c:smooth val="0"/>
          <c:extLst>
            <c:ext xmlns:c16="http://schemas.microsoft.com/office/drawing/2014/chart" uri="{C3380CC4-5D6E-409C-BE32-E72D297353CC}">
              <c16:uniqueId val="{00000002-A555-44D4-8541-5C32A3DF7F26}"/>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ETa</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Gini_2012!$H$136:$H$147</c:f>
              <c:numCache>
                <c:formatCode>0.00</c:formatCode>
                <c:ptCount val="12"/>
                <c:pt idx="0">
                  <c:v>0</c:v>
                </c:pt>
                <c:pt idx="1">
                  <c:v>6.1580410728501248E-2</c:v>
                </c:pt>
                <c:pt idx="2">
                  <c:v>0.38878998458508923</c:v>
                </c:pt>
                <c:pt idx="3">
                  <c:v>0.40414506788187921</c:v>
                </c:pt>
                <c:pt idx="4">
                  <c:v>0.41783117490299038</c:v>
                </c:pt>
                <c:pt idx="5">
                  <c:v>0.42613426120453646</c:v>
                </c:pt>
                <c:pt idx="6">
                  <c:v>0.43478506529230693</c:v>
                </c:pt>
                <c:pt idx="7">
                  <c:v>0.45798222777948167</c:v>
                </c:pt>
                <c:pt idx="8">
                  <c:v>0.52103197422580472</c:v>
                </c:pt>
                <c:pt idx="9">
                  <c:v>0.59993179114928674</c:v>
                </c:pt>
                <c:pt idx="10">
                  <c:v>0.72662416139794617</c:v>
                </c:pt>
                <c:pt idx="11">
                  <c:v>1.0000000000000002</c:v>
                </c:pt>
              </c:numCache>
            </c:numRef>
          </c:xVal>
          <c:yVal>
            <c:numRef>
              <c:f>Gini_2012!$H$136:$H$147</c:f>
              <c:numCache>
                <c:formatCode>0.00</c:formatCode>
                <c:ptCount val="12"/>
                <c:pt idx="0">
                  <c:v>0</c:v>
                </c:pt>
                <c:pt idx="1">
                  <c:v>6.1580410728501248E-2</c:v>
                </c:pt>
                <c:pt idx="2">
                  <c:v>0.38878998458508923</c:v>
                </c:pt>
                <c:pt idx="3">
                  <c:v>0.40414506788187921</c:v>
                </c:pt>
                <c:pt idx="4">
                  <c:v>0.41783117490299038</c:v>
                </c:pt>
                <c:pt idx="5">
                  <c:v>0.42613426120453646</c:v>
                </c:pt>
                <c:pt idx="6">
                  <c:v>0.43478506529230693</c:v>
                </c:pt>
                <c:pt idx="7">
                  <c:v>0.45798222777948167</c:v>
                </c:pt>
                <c:pt idx="8">
                  <c:v>0.52103197422580472</c:v>
                </c:pt>
                <c:pt idx="9">
                  <c:v>0.59993179114928674</c:v>
                </c:pt>
                <c:pt idx="10">
                  <c:v>0.72662416139794617</c:v>
                </c:pt>
                <c:pt idx="11">
                  <c:v>1.0000000000000002</c:v>
                </c:pt>
              </c:numCache>
            </c:numRef>
          </c:yVal>
          <c:smooth val="1"/>
          <c:extLst>
            <c:ext xmlns:c16="http://schemas.microsoft.com/office/drawing/2014/chart" uri="{C3380CC4-5D6E-409C-BE32-E72D297353CC}">
              <c16:uniqueId val="{00000000-E3C8-4A77-9251-5D990EBB62C0}"/>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E3C8-4A77-9251-5D990EBB62C0}"/>
              </c:ext>
            </c:extLst>
          </c:dPt>
          <c:xVal>
            <c:numRef>
              <c:f>Gini_2012!$H$220:$H$231</c:f>
              <c:numCache>
                <c:formatCode>0.00</c:formatCode>
                <c:ptCount val="12"/>
                <c:pt idx="0">
                  <c:v>0</c:v>
                </c:pt>
                <c:pt idx="1">
                  <c:v>8.2249727275718124E-2</c:v>
                </c:pt>
                <c:pt idx="2">
                  <c:v>0.52052312870831507</c:v>
                </c:pt>
                <c:pt idx="3">
                  <c:v>0.7224070008195761</c:v>
                </c:pt>
                <c:pt idx="4">
                  <c:v>0.72672478132060847</c:v>
                </c:pt>
                <c:pt idx="5">
                  <c:v>0.73341454494851266</c:v>
                </c:pt>
                <c:pt idx="6">
                  <c:v>0.74142806499557001</c:v>
                </c:pt>
                <c:pt idx="7">
                  <c:v>0.7482441503130004</c:v>
                </c:pt>
                <c:pt idx="8">
                  <c:v>0.76442901499239835</c:v>
                </c:pt>
                <c:pt idx="9">
                  <c:v>0.80361379222030049</c:v>
                </c:pt>
                <c:pt idx="10">
                  <c:v>0.88114996526810863</c:v>
                </c:pt>
                <c:pt idx="11">
                  <c:v>1.0000000000000002</c:v>
                </c:pt>
              </c:numCache>
            </c:numRef>
          </c:xVal>
          <c:yVal>
            <c:numRef>
              <c:f>Gini_2012!$G$220:$G$231</c:f>
              <c:numCache>
                <c:formatCode>0.00</c:formatCode>
                <c:ptCount val="12"/>
                <c:pt idx="0">
                  <c:v>0</c:v>
                </c:pt>
                <c:pt idx="1">
                  <c:v>0</c:v>
                </c:pt>
                <c:pt idx="2">
                  <c:v>0</c:v>
                </c:pt>
                <c:pt idx="3">
                  <c:v>0</c:v>
                </c:pt>
                <c:pt idx="4">
                  <c:v>3.5319141033646755E-3</c:v>
                </c:pt>
                <c:pt idx="5">
                  <c:v>1.4912944076715373E-2</c:v>
                </c:pt>
                <c:pt idx="6">
                  <c:v>2.8677618812451258E-2</c:v>
                </c:pt>
                <c:pt idx="7">
                  <c:v>4.4888781146408346E-2</c:v>
                </c:pt>
                <c:pt idx="8">
                  <c:v>0.16114000090120184</c:v>
                </c:pt>
                <c:pt idx="9">
                  <c:v>0.28149347950906367</c:v>
                </c:pt>
                <c:pt idx="10">
                  <c:v>0.50196574384230386</c:v>
                </c:pt>
                <c:pt idx="11">
                  <c:v>1</c:v>
                </c:pt>
              </c:numCache>
            </c:numRef>
          </c:yVal>
          <c:smooth val="0"/>
          <c:extLst>
            <c:ext xmlns:c16="http://schemas.microsoft.com/office/drawing/2014/chart" uri="{C3380CC4-5D6E-409C-BE32-E72D297353CC}">
              <c16:uniqueId val="{00000002-E3C8-4A77-9251-5D990EBB62C0}"/>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Available Water</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Gini_2012!$H$157:$H$168</c:f>
              <c:numCache>
                <c:formatCode>0.00</c:formatCode>
                <c:ptCount val="12"/>
                <c:pt idx="0">
                  <c:v>0</c:v>
                </c:pt>
                <c:pt idx="1">
                  <c:v>1.3686107021111144E-2</c:v>
                </c:pt>
                <c:pt idx="2">
                  <c:v>2.19891933226572E-2</c:v>
                </c:pt>
                <c:pt idx="3">
                  <c:v>3.0639997410427677E-2</c:v>
                </c:pt>
                <c:pt idx="4">
                  <c:v>5.3837159897602418E-2</c:v>
                </c:pt>
                <c:pt idx="5">
                  <c:v>6.9192243194392378E-2</c:v>
                </c:pt>
                <c:pt idx="6">
                  <c:v>0.13224198964071543</c:v>
                </c:pt>
                <c:pt idx="7">
                  <c:v>0.2111418065641974</c:v>
                </c:pt>
                <c:pt idx="8">
                  <c:v>0.53835138042078534</c:v>
                </c:pt>
                <c:pt idx="9">
                  <c:v>0.59993179114928663</c:v>
                </c:pt>
                <c:pt idx="10">
                  <c:v>0.72662416139794606</c:v>
                </c:pt>
                <c:pt idx="11">
                  <c:v>1</c:v>
                </c:pt>
              </c:numCache>
            </c:numRef>
          </c:xVal>
          <c:yVal>
            <c:numRef>
              <c:f>Gini_2012!$H$157:$H$168</c:f>
              <c:numCache>
                <c:formatCode>0.00</c:formatCode>
                <c:ptCount val="12"/>
                <c:pt idx="0">
                  <c:v>0</c:v>
                </c:pt>
                <c:pt idx="1">
                  <c:v>1.3686107021111144E-2</c:v>
                </c:pt>
                <c:pt idx="2">
                  <c:v>2.19891933226572E-2</c:v>
                </c:pt>
                <c:pt idx="3">
                  <c:v>3.0639997410427677E-2</c:v>
                </c:pt>
                <c:pt idx="4">
                  <c:v>5.3837159897602418E-2</c:v>
                </c:pt>
                <c:pt idx="5">
                  <c:v>6.9192243194392378E-2</c:v>
                </c:pt>
                <c:pt idx="6">
                  <c:v>0.13224198964071543</c:v>
                </c:pt>
                <c:pt idx="7">
                  <c:v>0.2111418065641974</c:v>
                </c:pt>
                <c:pt idx="8">
                  <c:v>0.53835138042078534</c:v>
                </c:pt>
                <c:pt idx="9">
                  <c:v>0.59993179114928663</c:v>
                </c:pt>
                <c:pt idx="10">
                  <c:v>0.72662416139794606</c:v>
                </c:pt>
                <c:pt idx="11">
                  <c:v>1</c:v>
                </c:pt>
              </c:numCache>
            </c:numRef>
          </c:yVal>
          <c:smooth val="1"/>
          <c:extLst>
            <c:ext xmlns:c16="http://schemas.microsoft.com/office/drawing/2014/chart" uri="{C3380CC4-5D6E-409C-BE32-E72D297353CC}">
              <c16:uniqueId val="{00000000-1FC3-4BD1-8325-62BB4D349E65}"/>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1FC3-4BD1-8325-62BB4D349E65}"/>
              </c:ext>
            </c:extLst>
          </c:dPt>
          <c:xVal>
            <c:numRef>
              <c:f>Gini_2012!$H$241:$H$252</c:f>
              <c:numCache>
                <c:formatCode>0.00</c:formatCode>
                <c:ptCount val="12"/>
                <c:pt idx="0">
                  <c:v>0</c:v>
                </c:pt>
                <c:pt idx="1">
                  <c:v>4.3177805010323946E-3</c:v>
                </c:pt>
                <c:pt idx="2">
                  <c:v>1.1007544128936533E-2</c:v>
                </c:pt>
                <c:pt idx="3">
                  <c:v>1.9021064175993925E-2</c:v>
                </c:pt>
                <c:pt idx="4">
                  <c:v>2.5837149493424309E-2</c:v>
                </c:pt>
                <c:pt idx="5">
                  <c:v>0.2277210216046853</c:v>
                </c:pt>
                <c:pt idx="6">
                  <c:v>0.24390588628408319</c:v>
                </c:pt>
                <c:pt idx="7">
                  <c:v>0.28309066351198536</c:v>
                </c:pt>
                <c:pt idx="8">
                  <c:v>0.72136406494458227</c:v>
                </c:pt>
                <c:pt idx="9">
                  <c:v>0.80361379222030038</c:v>
                </c:pt>
                <c:pt idx="10">
                  <c:v>0.88114996526810851</c:v>
                </c:pt>
                <c:pt idx="11">
                  <c:v>1</c:v>
                </c:pt>
              </c:numCache>
            </c:numRef>
          </c:xVal>
          <c:yVal>
            <c:numRef>
              <c:f>Gini_2012!$G$241:$G$252</c:f>
              <c:numCache>
                <c:formatCode>0.00</c:formatCode>
                <c:ptCount val="12"/>
                <c:pt idx="0">
                  <c:v>0</c:v>
                </c:pt>
                <c:pt idx="1">
                  <c:v>2.1578474714352507E-3</c:v>
                </c:pt>
                <c:pt idx="2">
                  <c:v>9.1111668420643197E-3</c:v>
                </c:pt>
                <c:pt idx="3">
                  <c:v>1.7520790548750928E-2</c:v>
                </c:pt>
                <c:pt idx="4">
                  <c:v>3.8083826532813822E-2</c:v>
                </c:pt>
                <c:pt idx="5">
                  <c:v>0.10399955583224399</c:v>
                </c:pt>
                <c:pt idx="6">
                  <c:v>0.17502404659213261</c:v>
                </c:pt>
                <c:pt idx="7">
                  <c:v>0.24855484091269775</c:v>
                </c:pt>
                <c:pt idx="8">
                  <c:v>0.34336129411783561</c:v>
                </c:pt>
                <c:pt idx="9">
                  <c:v>0.50183953690157201</c:v>
                </c:pt>
                <c:pt idx="10">
                  <c:v>0.69572250941374103</c:v>
                </c:pt>
                <c:pt idx="11">
                  <c:v>1</c:v>
                </c:pt>
              </c:numCache>
            </c:numRef>
          </c:yVal>
          <c:smooth val="0"/>
          <c:extLst>
            <c:ext xmlns:c16="http://schemas.microsoft.com/office/drawing/2014/chart" uri="{C3380CC4-5D6E-409C-BE32-E72D297353CC}">
              <c16:uniqueId val="{00000002-1FC3-4BD1-8325-62BB4D349E65}"/>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 total</a:t>
                </a:r>
                <a:r>
                  <a:rPr lang="en-US" baseline="0"/>
                  <a:t> available water</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 based on population of each country in the basin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Gini_2012!$H$6:$H$17</c:f>
              <c:numCache>
                <c:formatCode>0.00</c:formatCode>
                <c:ptCount val="12"/>
                <c:pt idx="0">
                  <c:v>0</c:v>
                </c:pt>
                <c:pt idx="1">
                  <c:v>0.32633091997157765</c:v>
                </c:pt>
                <c:pt idx="2">
                  <c:v>0.33155960994668771</c:v>
                </c:pt>
                <c:pt idx="3">
                  <c:v>0.35343362153132624</c:v>
                </c:pt>
                <c:pt idx="4">
                  <c:v>0.39568313963404961</c:v>
                </c:pt>
                <c:pt idx="5">
                  <c:v>0.40934838749061758</c:v>
                </c:pt>
                <c:pt idx="6">
                  <c:v>0.4840781192719123</c:v>
                </c:pt>
                <c:pt idx="7">
                  <c:v>0.52707473533887306</c:v>
                </c:pt>
                <c:pt idx="8">
                  <c:v>0.67340820152910053</c:v>
                </c:pt>
                <c:pt idx="9">
                  <c:v>0.81187138822630278</c:v>
                </c:pt>
                <c:pt idx="10">
                  <c:v>0.95502530361189231</c:v>
                </c:pt>
                <c:pt idx="11">
                  <c:v>1</c:v>
                </c:pt>
              </c:numCache>
            </c:numRef>
          </c:xVal>
          <c:yVal>
            <c:numRef>
              <c:f>Gini_2012!$H$6:$H$17</c:f>
              <c:numCache>
                <c:formatCode>0.00</c:formatCode>
                <c:ptCount val="12"/>
                <c:pt idx="0">
                  <c:v>0</c:v>
                </c:pt>
                <c:pt idx="1">
                  <c:v>0.32633091997157765</c:v>
                </c:pt>
                <c:pt idx="2">
                  <c:v>0.33155960994668771</c:v>
                </c:pt>
                <c:pt idx="3">
                  <c:v>0.35343362153132624</c:v>
                </c:pt>
                <c:pt idx="4">
                  <c:v>0.39568313963404961</c:v>
                </c:pt>
                <c:pt idx="5">
                  <c:v>0.40934838749061758</c:v>
                </c:pt>
                <c:pt idx="6">
                  <c:v>0.4840781192719123</c:v>
                </c:pt>
                <c:pt idx="7">
                  <c:v>0.52707473533887306</c:v>
                </c:pt>
                <c:pt idx="8">
                  <c:v>0.67340820152910053</c:v>
                </c:pt>
                <c:pt idx="9">
                  <c:v>0.81187138822630278</c:v>
                </c:pt>
                <c:pt idx="10">
                  <c:v>0.95502530361189231</c:v>
                </c:pt>
                <c:pt idx="11">
                  <c:v>1</c:v>
                </c:pt>
              </c:numCache>
            </c:numRef>
          </c:yVal>
          <c:smooth val="1"/>
          <c:extLst>
            <c:ext xmlns:c16="http://schemas.microsoft.com/office/drawing/2014/chart" uri="{C3380CC4-5D6E-409C-BE32-E72D297353CC}">
              <c16:uniqueId val="{00000000-4336-4820-BC8E-176D6BF456AB}"/>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Precipitation</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4336-4820-BC8E-176D6BF456AB}"/>
              </c:ext>
            </c:extLst>
          </c:dPt>
          <c:xVal>
            <c:numRef>
              <c:f>Gini_2012!$H$6:$H$17</c:f>
              <c:numCache>
                <c:formatCode>0.00</c:formatCode>
                <c:ptCount val="12"/>
                <c:pt idx="0">
                  <c:v>0</c:v>
                </c:pt>
                <c:pt idx="1">
                  <c:v>0.32633091997157765</c:v>
                </c:pt>
                <c:pt idx="2">
                  <c:v>0.33155960994668771</c:v>
                </c:pt>
                <c:pt idx="3">
                  <c:v>0.35343362153132624</c:v>
                </c:pt>
                <c:pt idx="4">
                  <c:v>0.39568313963404961</c:v>
                </c:pt>
                <c:pt idx="5">
                  <c:v>0.40934838749061758</c:v>
                </c:pt>
                <c:pt idx="6">
                  <c:v>0.4840781192719123</c:v>
                </c:pt>
                <c:pt idx="7">
                  <c:v>0.52707473533887306</c:v>
                </c:pt>
                <c:pt idx="8">
                  <c:v>0.67340820152910053</c:v>
                </c:pt>
                <c:pt idx="9">
                  <c:v>0.81187138822630278</c:v>
                </c:pt>
                <c:pt idx="10">
                  <c:v>0.95502530361189231</c:v>
                </c:pt>
                <c:pt idx="11">
                  <c:v>1</c:v>
                </c:pt>
              </c:numCache>
            </c:numRef>
          </c:xVal>
          <c:yVal>
            <c:numRef>
              <c:f>Gini_2012!$G$6:$G$17</c:f>
              <c:numCache>
                <c:formatCode>0.00</c:formatCode>
                <c:ptCount val="12"/>
                <c:pt idx="0">
                  <c:v>0</c:v>
                </c:pt>
                <c:pt idx="1">
                  <c:v>1.572820191697484E-3</c:v>
                </c:pt>
                <c:pt idx="2">
                  <c:v>8.3873591718614405E-3</c:v>
                </c:pt>
                <c:pt idx="3">
                  <c:v>1.5400122084722613E-2</c:v>
                </c:pt>
                <c:pt idx="4">
                  <c:v>2.6810084302786922E-2</c:v>
                </c:pt>
                <c:pt idx="5">
                  <c:v>3.9388369521971375E-2</c:v>
                </c:pt>
                <c:pt idx="6">
                  <c:v>7.8082680469362412E-2</c:v>
                </c:pt>
                <c:pt idx="7">
                  <c:v>0.1447225848463507</c:v>
                </c:pt>
                <c:pt idx="8">
                  <c:v>0.29844815548383041</c:v>
                </c:pt>
                <c:pt idx="9">
                  <c:v>0.47600148283679844</c:v>
                </c:pt>
                <c:pt idx="10">
                  <c:v>0.68635997830721429</c:v>
                </c:pt>
                <c:pt idx="11">
                  <c:v>1</c:v>
                </c:pt>
              </c:numCache>
            </c:numRef>
          </c:yVal>
          <c:smooth val="0"/>
          <c:extLst>
            <c:ext xmlns:c16="http://schemas.microsoft.com/office/drawing/2014/chart" uri="{C3380CC4-5D6E-409C-BE32-E72D297353CC}">
              <c16:uniqueId val="{00000002-4336-4820-BC8E-176D6BF456AB}"/>
            </c:ext>
          </c:extLst>
        </c:ser>
        <c:ser>
          <c:idx val="2"/>
          <c:order val="2"/>
          <c:tx>
            <c:v>ETa</c:v>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Gini_2012!$H$27:$H$38</c:f>
              <c:numCache>
                <c:formatCode>0.00</c:formatCode>
                <c:ptCount val="12"/>
                <c:pt idx="0">
                  <c:v>0</c:v>
                </c:pt>
                <c:pt idx="1">
                  <c:v>5.2286899751100473E-3</c:v>
                </c:pt>
                <c:pt idx="2">
                  <c:v>2.7102701559748567E-2</c:v>
                </c:pt>
                <c:pt idx="3">
                  <c:v>6.9352219662471959E-2</c:v>
                </c:pt>
                <c:pt idx="4">
                  <c:v>8.3017467519039906E-2</c:v>
                </c:pt>
                <c:pt idx="5">
                  <c:v>0.40934838749061753</c:v>
                </c:pt>
                <c:pt idx="6">
                  <c:v>0.48407811927191224</c:v>
                </c:pt>
                <c:pt idx="7">
                  <c:v>0.52707473533887295</c:v>
                </c:pt>
                <c:pt idx="8">
                  <c:v>0.6734082015291003</c:v>
                </c:pt>
                <c:pt idx="9">
                  <c:v>0.81656211691468994</c:v>
                </c:pt>
                <c:pt idx="10">
                  <c:v>0.9550253036118922</c:v>
                </c:pt>
                <c:pt idx="11">
                  <c:v>0.99999999999999989</c:v>
                </c:pt>
              </c:numCache>
            </c:numRef>
          </c:xVal>
          <c:yVal>
            <c:numRef>
              <c:f>Gini_2012!$G$27:$G$38</c:f>
              <c:numCache>
                <c:formatCode>0.00</c:formatCode>
                <c:ptCount val="12"/>
                <c:pt idx="0">
                  <c:v>0</c:v>
                </c:pt>
                <c:pt idx="1">
                  <c:v>5.6800071776456134E-3</c:v>
                </c:pt>
                <c:pt idx="2">
                  <c:v>1.2595735549511414E-2</c:v>
                </c:pt>
                <c:pt idx="3">
                  <c:v>2.2793120968952023E-2</c:v>
                </c:pt>
                <c:pt idx="4">
                  <c:v>3.472654852212495E-2</c:v>
                </c:pt>
                <c:pt idx="5">
                  <c:v>6.3405083875974017E-2</c:v>
                </c:pt>
                <c:pt idx="6">
                  <c:v>9.2173668085728147E-2</c:v>
                </c:pt>
                <c:pt idx="7">
                  <c:v>0.15429923339549198</c:v>
                </c:pt>
                <c:pt idx="8">
                  <c:v>0.29429971938026456</c:v>
                </c:pt>
                <c:pt idx="9">
                  <c:v>0.46171727987795586</c:v>
                </c:pt>
                <c:pt idx="10">
                  <c:v>0.66713474009444895</c:v>
                </c:pt>
                <c:pt idx="11">
                  <c:v>1</c:v>
                </c:pt>
              </c:numCache>
            </c:numRef>
          </c:yVal>
          <c:smooth val="0"/>
          <c:extLst>
            <c:ext xmlns:c16="http://schemas.microsoft.com/office/drawing/2014/chart" uri="{C3380CC4-5D6E-409C-BE32-E72D297353CC}">
              <c16:uniqueId val="{00000003-4336-4820-BC8E-176D6BF456AB}"/>
            </c:ext>
          </c:extLst>
        </c:ser>
        <c:ser>
          <c:idx val="3"/>
          <c:order val="3"/>
          <c:tx>
            <c:v>Internal AW</c:v>
          </c:tx>
          <c:spPr>
            <a:ln w="19050" cap="rnd">
              <a:solidFill>
                <a:schemeClr val="accent4"/>
              </a:solidFill>
              <a:round/>
            </a:ln>
            <a:effectLst/>
          </c:spPr>
          <c:marker>
            <c:symbol val="circle"/>
            <c:size val="5"/>
            <c:spPr>
              <a:solidFill>
                <a:schemeClr val="accent4"/>
              </a:solidFill>
              <a:ln w="9525">
                <a:solidFill>
                  <a:schemeClr val="accent4"/>
                </a:solidFill>
              </a:ln>
              <a:effectLst/>
            </c:spPr>
          </c:marker>
          <c:xVal>
            <c:numRef>
              <c:f>Gini_2012!$H$49:$H$60</c:f>
              <c:numCache>
                <c:formatCode>0.00</c:formatCode>
                <c:ptCount val="12"/>
                <c:pt idx="0">
                  <c:v>0</c:v>
                </c:pt>
                <c:pt idx="1">
                  <c:v>0.32633091997157776</c:v>
                </c:pt>
                <c:pt idx="2">
                  <c:v>0.46479410666878007</c:v>
                </c:pt>
                <c:pt idx="3">
                  <c:v>0.50976880305688776</c:v>
                </c:pt>
                <c:pt idx="4">
                  <c:v>0.5316428146415263</c:v>
                </c:pt>
                <c:pt idx="5">
                  <c:v>0.54530806249809427</c:v>
                </c:pt>
                <c:pt idx="6">
                  <c:v>0.55053675247320433</c:v>
                </c:pt>
                <c:pt idx="7">
                  <c:v>0.5927862705759277</c:v>
                </c:pt>
                <c:pt idx="8">
                  <c:v>0.66751600235722242</c:v>
                </c:pt>
                <c:pt idx="9">
                  <c:v>0.71051261842418312</c:v>
                </c:pt>
                <c:pt idx="10">
                  <c:v>0.85684608461441059</c:v>
                </c:pt>
                <c:pt idx="11">
                  <c:v>1.0000000000000002</c:v>
                </c:pt>
              </c:numCache>
            </c:numRef>
          </c:xVal>
          <c:yVal>
            <c:numRef>
              <c:f>Gini_2012!$G$49:$G$60</c:f>
              <c:numCache>
                <c:formatCode>0.00</c:formatCode>
                <c:ptCount val="12"/>
                <c:pt idx="0">
                  <c:v>0</c:v>
                </c:pt>
                <c:pt idx="1">
                  <c:v>0</c:v>
                </c:pt>
                <c:pt idx="2">
                  <c:v>0</c:v>
                </c:pt>
                <c:pt idx="3">
                  <c:v>0</c:v>
                </c:pt>
                <c:pt idx="4">
                  <c:v>3.5319141033646755E-3</c:v>
                </c:pt>
                <c:pt idx="5">
                  <c:v>1.4912944076715373E-2</c:v>
                </c:pt>
                <c:pt idx="6">
                  <c:v>2.8677618812451258E-2</c:v>
                </c:pt>
                <c:pt idx="7">
                  <c:v>4.4888781146408346E-2</c:v>
                </c:pt>
                <c:pt idx="8">
                  <c:v>0.16114000090120184</c:v>
                </c:pt>
                <c:pt idx="9">
                  <c:v>0.28149347950906367</c:v>
                </c:pt>
                <c:pt idx="10">
                  <c:v>0.50196574384230386</c:v>
                </c:pt>
                <c:pt idx="11">
                  <c:v>1</c:v>
                </c:pt>
              </c:numCache>
            </c:numRef>
          </c:yVal>
          <c:smooth val="0"/>
          <c:extLst>
            <c:ext xmlns:c16="http://schemas.microsoft.com/office/drawing/2014/chart" uri="{C3380CC4-5D6E-409C-BE32-E72D297353CC}">
              <c16:uniqueId val="{00000004-4336-4820-BC8E-176D6BF456AB}"/>
            </c:ext>
          </c:extLst>
        </c:ser>
        <c:ser>
          <c:idx val="4"/>
          <c:order val="4"/>
          <c:tx>
            <c:v>Total AW</c:v>
          </c:tx>
          <c:spPr>
            <a:ln w="19050" cap="rnd">
              <a:solidFill>
                <a:schemeClr val="accent5"/>
              </a:solidFill>
              <a:round/>
            </a:ln>
            <a:effectLst/>
          </c:spPr>
          <c:marker>
            <c:symbol val="circle"/>
            <c:size val="5"/>
            <c:spPr>
              <a:solidFill>
                <a:schemeClr val="accent5"/>
              </a:solidFill>
              <a:ln w="9525">
                <a:solidFill>
                  <a:schemeClr val="accent5"/>
                </a:solidFill>
              </a:ln>
              <a:effectLst/>
            </c:spPr>
          </c:marker>
          <c:xVal>
            <c:numRef>
              <c:f>Gini_2012!$H$70:$H$81</c:f>
              <c:numCache>
                <c:formatCode>0.00</c:formatCode>
                <c:ptCount val="12"/>
                <c:pt idx="0">
                  <c:v>0</c:v>
                </c:pt>
                <c:pt idx="1">
                  <c:v>2.1874011584638524E-2</c:v>
                </c:pt>
                <c:pt idx="2">
                  <c:v>3.5539259441206478E-2</c:v>
                </c:pt>
                <c:pt idx="3">
                  <c:v>4.0767949416316528E-2</c:v>
                </c:pt>
                <c:pt idx="4">
                  <c:v>8.301746751903992E-2</c:v>
                </c:pt>
                <c:pt idx="5">
                  <c:v>0.1279921639071476</c:v>
                </c:pt>
                <c:pt idx="6">
                  <c:v>0.20272189568844232</c:v>
                </c:pt>
                <c:pt idx="7">
                  <c:v>0.24571851175540305</c:v>
                </c:pt>
                <c:pt idx="8">
                  <c:v>0.38418169845260536</c:v>
                </c:pt>
                <c:pt idx="9">
                  <c:v>0.71051261842418301</c:v>
                </c:pt>
                <c:pt idx="10">
                  <c:v>0.85684608461441047</c:v>
                </c:pt>
                <c:pt idx="11">
                  <c:v>1</c:v>
                </c:pt>
              </c:numCache>
            </c:numRef>
          </c:xVal>
          <c:yVal>
            <c:numRef>
              <c:f>Gini_2012!$G$70:$G$81</c:f>
              <c:numCache>
                <c:formatCode>0.00</c:formatCode>
                <c:ptCount val="12"/>
                <c:pt idx="0">
                  <c:v>0</c:v>
                </c:pt>
                <c:pt idx="1">
                  <c:v>2.1578474714352507E-3</c:v>
                </c:pt>
                <c:pt idx="2">
                  <c:v>9.1111668420643197E-3</c:v>
                </c:pt>
                <c:pt idx="3">
                  <c:v>1.7520790548750928E-2</c:v>
                </c:pt>
                <c:pt idx="4">
                  <c:v>3.8083826532813822E-2</c:v>
                </c:pt>
                <c:pt idx="5">
                  <c:v>0.10399955583224399</c:v>
                </c:pt>
                <c:pt idx="6">
                  <c:v>0.17502404659213261</c:v>
                </c:pt>
                <c:pt idx="7">
                  <c:v>0.24855484091269775</c:v>
                </c:pt>
                <c:pt idx="8">
                  <c:v>0.34336129411783561</c:v>
                </c:pt>
                <c:pt idx="9">
                  <c:v>0.50183953690157201</c:v>
                </c:pt>
                <c:pt idx="10">
                  <c:v>0.69572250941374103</c:v>
                </c:pt>
                <c:pt idx="11">
                  <c:v>1</c:v>
                </c:pt>
              </c:numCache>
            </c:numRef>
          </c:yVal>
          <c:smooth val="0"/>
          <c:extLst>
            <c:ext xmlns:c16="http://schemas.microsoft.com/office/drawing/2014/chart" uri="{C3380CC4-5D6E-409C-BE32-E72D297353CC}">
              <c16:uniqueId val="{00000005-4336-4820-BC8E-176D6BF456AB}"/>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Criteria </a:t>
                </a:r>
                <a:endParaRPr lang="en-US"/>
              </a:p>
            </c:rich>
          </c:tx>
          <c:layout>
            <c:manualLayout>
              <c:xMode val="edge"/>
              <c:yMode val="edge"/>
              <c:x val="0.30931893106762737"/>
              <c:y val="0.8987774266708676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variables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 based on cropland area in each country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650902999652733"/>
          <c:y val="0.18478675798830643"/>
          <c:w val="0.64746825356505833"/>
          <c:h val="0.67073597635553017"/>
        </c:manualLayout>
      </c:layout>
      <c:scatterChart>
        <c:scatterStyle val="smoothMarker"/>
        <c:varyColors val="0"/>
        <c:ser>
          <c:idx val="1"/>
          <c:order val="1"/>
          <c:tx>
            <c:v>Equality Line</c:v>
          </c:tx>
          <c:spPr>
            <a:ln w="19050" cap="rnd">
              <a:solidFill>
                <a:schemeClr val="accent2"/>
              </a:solidFill>
              <a:round/>
            </a:ln>
            <a:effectLst/>
          </c:spPr>
          <c:marker>
            <c:symbol val="none"/>
          </c:marker>
          <c:xVal>
            <c:numRef>
              <c:f>Gini_2012!$H$94:$H$105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xVal>
          <c:yVal>
            <c:numRef>
              <c:f>Gini_2012!$H$94:$H$105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yVal>
          <c:smooth val="1"/>
          <c:extLst>
            <c:ext xmlns:c16="http://schemas.microsoft.com/office/drawing/2014/chart" uri="{C3380CC4-5D6E-409C-BE32-E72D297353CC}">
              <c16:uniqueId val="{00000000-9695-4558-9358-80D578A58310}"/>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Precipitation</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9695-4558-9358-80D578A58310}"/>
              </c:ext>
            </c:extLst>
          </c:dPt>
          <c:xVal>
            <c:numRef>
              <c:f>Gini_2012!$H$94:$H$105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xVal>
          <c:yVal>
            <c:numRef>
              <c:f>Gini_2012!$G$94:$G$105</c:f>
              <c:numCache>
                <c:formatCode>0.00</c:formatCode>
                <c:ptCount val="12"/>
                <c:pt idx="0">
                  <c:v>0</c:v>
                </c:pt>
                <c:pt idx="1">
                  <c:v>1.572820191697484E-3</c:v>
                </c:pt>
                <c:pt idx="2">
                  <c:v>8.3873591718614405E-3</c:v>
                </c:pt>
                <c:pt idx="3">
                  <c:v>1.5400122084722613E-2</c:v>
                </c:pt>
                <c:pt idx="4">
                  <c:v>2.6810084302786922E-2</c:v>
                </c:pt>
                <c:pt idx="5">
                  <c:v>3.9388369521971375E-2</c:v>
                </c:pt>
                <c:pt idx="6">
                  <c:v>7.8082680469362412E-2</c:v>
                </c:pt>
                <c:pt idx="7">
                  <c:v>0.1447225848463507</c:v>
                </c:pt>
                <c:pt idx="8">
                  <c:v>0.29844815548383041</c:v>
                </c:pt>
                <c:pt idx="9">
                  <c:v>0.47600148283679844</c:v>
                </c:pt>
                <c:pt idx="10">
                  <c:v>0.68635997830721429</c:v>
                </c:pt>
                <c:pt idx="11">
                  <c:v>1</c:v>
                </c:pt>
              </c:numCache>
            </c:numRef>
          </c:yVal>
          <c:smooth val="0"/>
          <c:extLst>
            <c:ext xmlns:c16="http://schemas.microsoft.com/office/drawing/2014/chart" uri="{C3380CC4-5D6E-409C-BE32-E72D297353CC}">
              <c16:uniqueId val="{00000002-9695-4558-9358-80D578A58310}"/>
            </c:ext>
          </c:extLst>
        </c:ser>
        <c:ser>
          <c:idx val="2"/>
          <c:order val="2"/>
          <c:tx>
            <c:v>ETa</c:v>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Gini_2012!$H$115:$H$126</c:f>
              <c:numCache>
                <c:formatCode>0.00</c:formatCode>
                <c:ptCount val="12"/>
                <c:pt idx="0">
                  <c:v>0</c:v>
                </c:pt>
                <c:pt idx="1">
                  <c:v>8.6508040877704764E-3</c:v>
                </c:pt>
                <c:pt idx="2">
                  <c:v>2.233691110888162E-2</c:v>
                </c:pt>
                <c:pt idx="3">
                  <c:v>4.5534073596056365E-2</c:v>
                </c:pt>
                <c:pt idx="4">
                  <c:v>5.3837159897602418E-2</c:v>
                </c:pt>
                <c:pt idx="5">
                  <c:v>0.11541757062610367</c:v>
                </c:pt>
                <c:pt idx="6">
                  <c:v>0.17846731707242672</c:v>
                </c:pt>
                <c:pt idx="7">
                  <c:v>0.25736713399590871</c:v>
                </c:pt>
                <c:pt idx="8">
                  <c:v>0.38405950424456814</c:v>
                </c:pt>
                <c:pt idx="9">
                  <c:v>0.65743534284662219</c:v>
                </c:pt>
                <c:pt idx="10">
                  <c:v>0.98464491670321019</c:v>
                </c:pt>
                <c:pt idx="11">
                  <c:v>1.0000000000000002</c:v>
                </c:pt>
              </c:numCache>
            </c:numRef>
          </c:xVal>
          <c:yVal>
            <c:numRef>
              <c:f>Gini_2012!$G$115:$G$126</c:f>
              <c:numCache>
                <c:formatCode>0.00</c:formatCode>
                <c:ptCount val="12"/>
                <c:pt idx="0">
                  <c:v>0</c:v>
                </c:pt>
                <c:pt idx="1">
                  <c:v>5.6800071776456134E-3</c:v>
                </c:pt>
                <c:pt idx="2">
                  <c:v>1.2595735549511414E-2</c:v>
                </c:pt>
                <c:pt idx="3">
                  <c:v>2.2793120968952023E-2</c:v>
                </c:pt>
                <c:pt idx="4">
                  <c:v>3.472654852212495E-2</c:v>
                </c:pt>
                <c:pt idx="5">
                  <c:v>6.3405083875974017E-2</c:v>
                </c:pt>
                <c:pt idx="6">
                  <c:v>9.2173668085728147E-2</c:v>
                </c:pt>
                <c:pt idx="7">
                  <c:v>0.15429923339549198</c:v>
                </c:pt>
                <c:pt idx="8">
                  <c:v>0.29429971938026456</c:v>
                </c:pt>
                <c:pt idx="9">
                  <c:v>0.46171727987795586</c:v>
                </c:pt>
                <c:pt idx="10">
                  <c:v>0.66713474009444895</c:v>
                </c:pt>
                <c:pt idx="11">
                  <c:v>1</c:v>
                </c:pt>
              </c:numCache>
            </c:numRef>
          </c:yVal>
          <c:smooth val="0"/>
          <c:extLst>
            <c:ext xmlns:c16="http://schemas.microsoft.com/office/drawing/2014/chart" uri="{C3380CC4-5D6E-409C-BE32-E72D297353CC}">
              <c16:uniqueId val="{00000003-9695-4558-9358-80D578A58310}"/>
            </c:ext>
          </c:extLst>
        </c:ser>
        <c:ser>
          <c:idx val="3"/>
          <c:order val="3"/>
          <c:tx>
            <c:v>Internal AW</c:v>
          </c:tx>
          <c:spPr>
            <a:ln w="19050" cap="rnd">
              <a:solidFill>
                <a:schemeClr val="accent4"/>
              </a:solidFill>
              <a:round/>
            </a:ln>
            <a:effectLst/>
          </c:spPr>
          <c:marker>
            <c:symbol val="circle"/>
            <c:size val="5"/>
            <c:spPr>
              <a:solidFill>
                <a:schemeClr val="accent4"/>
              </a:solidFill>
              <a:ln w="9525">
                <a:solidFill>
                  <a:schemeClr val="accent4"/>
                </a:solidFill>
              </a:ln>
              <a:effectLst/>
            </c:spPr>
          </c:marker>
          <c:xVal>
            <c:numRef>
              <c:f>Gini_2012!$H$136:$H$147</c:f>
              <c:numCache>
                <c:formatCode>0.00</c:formatCode>
                <c:ptCount val="12"/>
                <c:pt idx="0">
                  <c:v>0</c:v>
                </c:pt>
                <c:pt idx="1">
                  <c:v>6.1580410728501248E-2</c:v>
                </c:pt>
                <c:pt idx="2">
                  <c:v>0.38878998458508923</c:v>
                </c:pt>
                <c:pt idx="3">
                  <c:v>0.40414506788187921</c:v>
                </c:pt>
                <c:pt idx="4">
                  <c:v>0.41783117490299038</c:v>
                </c:pt>
                <c:pt idx="5">
                  <c:v>0.42613426120453646</c:v>
                </c:pt>
                <c:pt idx="6">
                  <c:v>0.43478506529230693</c:v>
                </c:pt>
                <c:pt idx="7">
                  <c:v>0.45798222777948167</c:v>
                </c:pt>
                <c:pt idx="8">
                  <c:v>0.52103197422580472</c:v>
                </c:pt>
                <c:pt idx="9">
                  <c:v>0.59993179114928674</c:v>
                </c:pt>
                <c:pt idx="10">
                  <c:v>0.72662416139794617</c:v>
                </c:pt>
                <c:pt idx="11">
                  <c:v>1.0000000000000002</c:v>
                </c:pt>
              </c:numCache>
            </c:numRef>
          </c:xVal>
          <c:yVal>
            <c:numRef>
              <c:f>Gini_2012!$G$136:$G$147</c:f>
              <c:numCache>
                <c:formatCode>0.00</c:formatCode>
                <c:ptCount val="12"/>
                <c:pt idx="0">
                  <c:v>0</c:v>
                </c:pt>
                <c:pt idx="1">
                  <c:v>0</c:v>
                </c:pt>
                <c:pt idx="2">
                  <c:v>0</c:v>
                </c:pt>
                <c:pt idx="3">
                  <c:v>0</c:v>
                </c:pt>
                <c:pt idx="4">
                  <c:v>3.5319141033646755E-3</c:v>
                </c:pt>
                <c:pt idx="5">
                  <c:v>1.4912944076715373E-2</c:v>
                </c:pt>
                <c:pt idx="6">
                  <c:v>2.8677618812451258E-2</c:v>
                </c:pt>
                <c:pt idx="7">
                  <c:v>4.4888781146408346E-2</c:v>
                </c:pt>
                <c:pt idx="8">
                  <c:v>0.16114000090120184</c:v>
                </c:pt>
                <c:pt idx="9">
                  <c:v>0.28149347950906367</c:v>
                </c:pt>
                <c:pt idx="10">
                  <c:v>0.50196574384230386</c:v>
                </c:pt>
                <c:pt idx="11">
                  <c:v>1</c:v>
                </c:pt>
              </c:numCache>
            </c:numRef>
          </c:yVal>
          <c:smooth val="0"/>
          <c:extLst>
            <c:ext xmlns:c16="http://schemas.microsoft.com/office/drawing/2014/chart" uri="{C3380CC4-5D6E-409C-BE32-E72D297353CC}">
              <c16:uniqueId val="{00000004-9695-4558-9358-80D578A58310}"/>
            </c:ext>
          </c:extLst>
        </c:ser>
        <c:ser>
          <c:idx val="4"/>
          <c:order val="4"/>
          <c:tx>
            <c:v>Total AW</c:v>
          </c:tx>
          <c:spPr>
            <a:ln w="19050" cap="rnd">
              <a:solidFill>
                <a:schemeClr val="accent5"/>
              </a:solidFill>
              <a:round/>
            </a:ln>
            <a:effectLst/>
          </c:spPr>
          <c:marker>
            <c:symbol val="circle"/>
            <c:size val="5"/>
            <c:spPr>
              <a:solidFill>
                <a:schemeClr val="accent5"/>
              </a:solidFill>
              <a:ln w="9525">
                <a:solidFill>
                  <a:schemeClr val="accent5"/>
                </a:solidFill>
              </a:ln>
              <a:effectLst/>
            </c:spPr>
          </c:marker>
          <c:xVal>
            <c:numRef>
              <c:f>Gini_2012!$H$157:$H$168</c:f>
              <c:numCache>
                <c:formatCode>0.00</c:formatCode>
                <c:ptCount val="12"/>
                <c:pt idx="0">
                  <c:v>0</c:v>
                </c:pt>
                <c:pt idx="1">
                  <c:v>1.3686107021111144E-2</c:v>
                </c:pt>
                <c:pt idx="2">
                  <c:v>2.19891933226572E-2</c:v>
                </c:pt>
                <c:pt idx="3">
                  <c:v>3.0639997410427677E-2</c:v>
                </c:pt>
                <c:pt idx="4">
                  <c:v>5.3837159897602418E-2</c:v>
                </c:pt>
                <c:pt idx="5">
                  <c:v>6.9192243194392378E-2</c:v>
                </c:pt>
                <c:pt idx="6">
                  <c:v>0.13224198964071543</c:v>
                </c:pt>
                <c:pt idx="7">
                  <c:v>0.2111418065641974</c:v>
                </c:pt>
                <c:pt idx="8">
                  <c:v>0.53835138042078534</c:v>
                </c:pt>
                <c:pt idx="9">
                  <c:v>0.59993179114928663</c:v>
                </c:pt>
                <c:pt idx="10">
                  <c:v>0.72662416139794606</c:v>
                </c:pt>
                <c:pt idx="11">
                  <c:v>1</c:v>
                </c:pt>
              </c:numCache>
            </c:numRef>
          </c:xVal>
          <c:yVal>
            <c:numRef>
              <c:f>Gini_2012!$G$157:$G$168</c:f>
              <c:numCache>
                <c:formatCode>0.00</c:formatCode>
                <c:ptCount val="12"/>
                <c:pt idx="0">
                  <c:v>0</c:v>
                </c:pt>
                <c:pt idx="1">
                  <c:v>2.1578474714352507E-3</c:v>
                </c:pt>
                <c:pt idx="2">
                  <c:v>9.1111668420643197E-3</c:v>
                </c:pt>
                <c:pt idx="3">
                  <c:v>1.7520790548750928E-2</c:v>
                </c:pt>
                <c:pt idx="4">
                  <c:v>3.8083826532813822E-2</c:v>
                </c:pt>
                <c:pt idx="5">
                  <c:v>0.10399955583224399</c:v>
                </c:pt>
                <c:pt idx="6">
                  <c:v>0.17502404659213261</c:v>
                </c:pt>
                <c:pt idx="7">
                  <c:v>0.24855484091269775</c:v>
                </c:pt>
                <c:pt idx="8">
                  <c:v>0.34336129411783561</c:v>
                </c:pt>
                <c:pt idx="9">
                  <c:v>0.50183953690157201</c:v>
                </c:pt>
                <c:pt idx="10">
                  <c:v>0.69572250941374103</c:v>
                </c:pt>
                <c:pt idx="11">
                  <c:v>1</c:v>
                </c:pt>
              </c:numCache>
            </c:numRef>
          </c:yVal>
          <c:smooth val="0"/>
          <c:extLst>
            <c:ext xmlns:c16="http://schemas.microsoft.com/office/drawing/2014/chart" uri="{C3380CC4-5D6E-409C-BE32-E72D297353CC}">
              <c16:uniqueId val="{00000005-9695-4558-9358-80D578A58310}"/>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t>
                </a:r>
                <a:r>
                  <a:rPr lang="en-US" sz="1000" b="0" i="0" u="none" strike="noStrike" baseline="0">
                    <a:effectLst/>
                  </a:rPr>
                  <a:t>Criteria</a:t>
                </a:r>
                <a:endParaRPr lang="en-US" baseline="0"/>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variables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 based on area of each country in the basin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457098300252266"/>
          <c:y val="0.16423456145227788"/>
          <c:w val="0.69762923864608828"/>
          <c:h val="0.66127160527769036"/>
        </c:manualLayout>
      </c:layout>
      <c:scatterChart>
        <c:scatterStyle val="smoothMarker"/>
        <c:varyColors val="0"/>
        <c:ser>
          <c:idx val="1"/>
          <c:order val="1"/>
          <c:tx>
            <c:v>Equality Line</c:v>
          </c:tx>
          <c:spPr>
            <a:ln w="19050" cap="rnd">
              <a:solidFill>
                <a:schemeClr val="accent2"/>
              </a:solidFill>
              <a:round/>
            </a:ln>
            <a:effectLst/>
          </c:spPr>
          <c:marker>
            <c:symbol val="none"/>
          </c:marker>
          <c:xVal>
            <c:numRef>
              <c:f>Gini_2012!$H$94:$H$105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xVal>
          <c:yVal>
            <c:numRef>
              <c:f>Gini_2012!$H$94:$H$105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yVal>
          <c:smooth val="1"/>
          <c:extLst>
            <c:ext xmlns:c16="http://schemas.microsoft.com/office/drawing/2014/chart" uri="{C3380CC4-5D6E-409C-BE32-E72D297353CC}">
              <c16:uniqueId val="{00000000-50A8-4CF1-A404-452027E54D54}"/>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Precipitation</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50A8-4CF1-A404-452027E54D54}"/>
              </c:ext>
            </c:extLst>
          </c:dPt>
          <c:xVal>
            <c:numRef>
              <c:f>Gini_2012!$H$178:$H$189</c:f>
              <c:numCache>
                <c:formatCode>0.00</c:formatCode>
                <c:ptCount val="12"/>
                <c:pt idx="0">
                  <c:v>0</c:v>
                </c:pt>
                <c:pt idx="1">
                  <c:v>8.2249727275718124E-2</c:v>
                </c:pt>
                <c:pt idx="2">
                  <c:v>9.0263247322775519E-2</c:v>
                </c:pt>
                <c:pt idx="3">
                  <c:v>9.4581027823807909E-2</c:v>
                </c:pt>
                <c:pt idx="4">
                  <c:v>0.1013971131412383</c:v>
                </c:pt>
                <c:pt idx="5">
                  <c:v>0.10808687676914244</c:v>
                </c:pt>
                <c:pt idx="6">
                  <c:v>0.12427174144854033</c:v>
                </c:pt>
                <c:pt idx="7">
                  <c:v>0.16345651867644251</c:v>
                </c:pt>
                <c:pt idx="8">
                  <c:v>0.24099269172425059</c:v>
                </c:pt>
                <c:pt idx="9">
                  <c:v>0.67926609315684749</c:v>
                </c:pt>
                <c:pt idx="10">
                  <c:v>0.79811612788873898</c:v>
                </c:pt>
                <c:pt idx="11">
                  <c:v>1</c:v>
                </c:pt>
              </c:numCache>
            </c:numRef>
          </c:xVal>
          <c:yVal>
            <c:numRef>
              <c:f>Gini_2012!$G$178:$G$189</c:f>
              <c:numCache>
                <c:formatCode>0.00</c:formatCode>
                <c:ptCount val="12"/>
                <c:pt idx="0">
                  <c:v>0</c:v>
                </c:pt>
                <c:pt idx="1">
                  <c:v>1.572820191697484E-3</c:v>
                </c:pt>
                <c:pt idx="2">
                  <c:v>8.3873591718614405E-3</c:v>
                </c:pt>
                <c:pt idx="3">
                  <c:v>1.5400122084722613E-2</c:v>
                </c:pt>
                <c:pt idx="4">
                  <c:v>2.6810084302786922E-2</c:v>
                </c:pt>
                <c:pt idx="5">
                  <c:v>3.9388369521971375E-2</c:v>
                </c:pt>
                <c:pt idx="6">
                  <c:v>7.8082680469362412E-2</c:v>
                </c:pt>
                <c:pt idx="7">
                  <c:v>0.1447225848463507</c:v>
                </c:pt>
                <c:pt idx="8">
                  <c:v>0.29844815548383041</c:v>
                </c:pt>
                <c:pt idx="9">
                  <c:v>0.47600148283679844</c:v>
                </c:pt>
                <c:pt idx="10">
                  <c:v>0.68635997830721429</c:v>
                </c:pt>
                <c:pt idx="11">
                  <c:v>1</c:v>
                </c:pt>
              </c:numCache>
            </c:numRef>
          </c:yVal>
          <c:smooth val="0"/>
          <c:extLst>
            <c:ext xmlns:c16="http://schemas.microsoft.com/office/drawing/2014/chart" uri="{C3380CC4-5D6E-409C-BE32-E72D297353CC}">
              <c16:uniqueId val="{00000002-50A8-4CF1-A404-452027E54D54}"/>
            </c:ext>
          </c:extLst>
        </c:ser>
        <c:ser>
          <c:idx val="2"/>
          <c:order val="2"/>
          <c:tx>
            <c:v>ETa</c:v>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Gini_2012!$H$199:$H$210</c:f>
              <c:numCache>
                <c:formatCode>0.00</c:formatCode>
                <c:ptCount val="12"/>
                <c:pt idx="0">
                  <c:v>0</c:v>
                </c:pt>
                <c:pt idx="1">
                  <c:v>8.0135200470573958E-3</c:v>
                </c:pt>
                <c:pt idx="2">
                  <c:v>1.2331300548089792E-2</c:v>
                </c:pt>
                <c:pt idx="3">
                  <c:v>1.9147385865520176E-2</c:v>
                </c:pt>
                <c:pt idx="4">
                  <c:v>2.5837149493424316E-2</c:v>
                </c:pt>
                <c:pt idx="5">
                  <c:v>0.10808687676914244</c:v>
                </c:pt>
                <c:pt idx="6">
                  <c:v>0.12427174144854033</c:v>
                </c:pt>
                <c:pt idx="7">
                  <c:v>0.16345651867644251</c:v>
                </c:pt>
                <c:pt idx="8">
                  <c:v>0.24099269172425059</c:v>
                </c:pt>
                <c:pt idx="9">
                  <c:v>0.35984272645614207</c:v>
                </c:pt>
                <c:pt idx="10">
                  <c:v>0.79811612788873898</c:v>
                </c:pt>
                <c:pt idx="11">
                  <c:v>1</c:v>
                </c:pt>
              </c:numCache>
            </c:numRef>
          </c:xVal>
          <c:yVal>
            <c:numRef>
              <c:f>Gini_2012!$G$199:$G$210</c:f>
              <c:numCache>
                <c:formatCode>0.00</c:formatCode>
                <c:ptCount val="12"/>
                <c:pt idx="0">
                  <c:v>0</c:v>
                </c:pt>
                <c:pt idx="1">
                  <c:v>5.6800071776456134E-3</c:v>
                </c:pt>
                <c:pt idx="2">
                  <c:v>1.2595735549511414E-2</c:v>
                </c:pt>
                <c:pt idx="3">
                  <c:v>2.2793120968952023E-2</c:v>
                </c:pt>
                <c:pt idx="4">
                  <c:v>3.472654852212495E-2</c:v>
                </c:pt>
                <c:pt idx="5">
                  <c:v>6.3405083875974017E-2</c:v>
                </c:pt>
                <c:pt idx="6">
                  <c:v>9.2173668085728147E-2</c:v>
                </c:pt>
                <c:pt idx="7">
                  <c:v>0.15429923339549198</c:v>
                </c:pt>
                <c:pt idx="8">
                  <c:v>0.29429971938026456</c:v>
                </c:pt>
                <c:pt idx="9">
                  <c:v>0.46171727987795586</c:v>
                </c:pt>
                <c:pt idx="10">
                  <c:v>0.66713474009444895</c:v>
                </c:pt>
                <c:pt idx="11">
                  <c:v>1</c:v>
                </c:pt>
              </c:numCache>
            </c:numRef>
          </c:yVal>
          <c:smooth val="0"/>
          <c:extLst>
            <c:ext xmlns:c16="http://schemas.microsoft.com/office/drawing/2014/chart" uri="{C3380CC4-5D6E-409C-BE32-E72D297353CC}">
              <c16:uniqueId val="{00000003-50A8-4CF1-A404-452027E54D54}"/>
            </c:ext>
          </c:extLst>
        </c:ser>
        <c:ser>
          <c:idx val="3"/>
          <c:order val="3"/>
          <c:tx>
            <c:v>Internal AW</c:v>
          </c:tx>
          <c:spPr>
            <a:ln w="19050" cap="rnd">
              <a:solidFill>
                <a:schemeClr val="accent4"/>
              </a:solidFill>
              <a:round/>
            </a:ln>
            <a:effectLst/>
          </c:spPr>
          <c:marker>
            <c:symbol val="circle"/>
            <c:size val="5"/>
            <c:spPr>
              <a:solidFill>
                <a:schemeClr val="accent4"/>
              </a:solidFill>
              <a:ln w="9525">
                <a:solidFill>
                  <a:schemeClr val="accent4"/>
                </a:solidFill>
              </a:ln>
              <a:effectLst/>
            </c:spPr>
          </c:marker>
          <c:xVal>
            <c:numRef>
              <c:f>Gini_2012!$H$220:$H$231</c:f>
              <c:numCache>
                <c:formatCode>0.00</c:formatCode>
                <c:ptCount val="12"/>
                <c:pt idx="0">
                  <c:v>0</c:v>
                </c:pt>
                <c:pt idx="1">
                  <c:v>8.2249727275718124E-2</c:v>
                </c:pt>
                <c:pt idx="2">
                  <c:v>0.52052312870831507</c:v>
                </c:pt>
                <c:pt idx="3">
                  <c:v>0.7224070008195761</c:v>
                </c:pt>
                <c:pt idx="4">
                  <c:v>0.72672478132060847</c:v>
                </c:pt>
                <c:pt idx="5">
                  <c:v>0.73341454494851266</c:v>
                </c:pt>
                <c:pt idx="6">
                  <c:v>0.74142806499557001</c:v>
                </c:pt>
                <c:pt idx="7">
                  <c:v>0.7482441503130004</c:v>
                </c:pt>
                <c:pt idx="8">
                  <c:v>0.76442901499239835</c:v>
                </c:pt>
                <c:pt idx="9">
                  <c:v>0.80361379222030049</c:v>
                </c:pt>
                <c:pt idx="10">
                  <c:v>0.88114996526810863</c:v>
                </c:pt>
                <c:pt idx="11">
                  <c:v>1.0000000000000002</c:v>
                </c:pt>
              </c:numCache>
            </c:numRef>
          </c:xVal>
          <c:yVal>
            <c:numRef>
              <c:f>Gini_2012!$G$220:$G$231</c:f>
              <c:numCache>
                <c:formatCode>0.00</c:formatCode>
                <c:ptCount val="12"/>
                <c:pt idx="0">
                  <c:v>0</c:v>
                </c:pt>
                <c:pt idx="1">
                  <c:v>0</c:v>
                </c:pt>
                <c:pt idx="2">
                  <c:v>0</c:v>
                </c:pt>
                <c:pt idx="3">
                  <c:v>0</c:v>
                </c:pt>
                <c:pt idx="4">
                  <c:v>3.5319141033646755E-3</c:v>
                </c:pt>
                <c:pt idx="5">
                  <c:v>1.4912944076715373E-2</c:v>
                </c:pt>
                <c:pt idx="6">
                  <c:v>2.8677618812451258E-2</c:v>
                </c:pt>
                <c:pt idx="7">
                  <c:v>4.4888781146408346E-2</c:v>
                </c:pt>
                <c:pt idx="8">
                  <c:v>0.16114000090120184</c:v>
                </c:pt>
                <c:pt idx="9">
                  <c:v>0.28149347950906367</c:v>
                </c:pt>
                <c:pt idx="10">
                  <c:v>0.50196574384230386</c:v>
                </c:pt>
                <c:pt idx="11">
                  <c:v>1</c:v>
                </c:pt>
              </c:numCache>
            </c:numRef>
          </c:yVal>
          <c:smooth val="0"/>
          <c:extLst>
            <c:ext xmlns:c16="http://schemas.microsoft.com/office/drawing/2014/chart" uri="{C3380CC4-5D6E-409C-BE32-E72D297353CC}">
              <c16:uniqueId val="{00000004-50A8-4CF1-A404-452027E54D54}"/>
            </c:ext>
          </c:extLst>
        </c:ser>
        <c:ser>
          <c:idx val="4"/>
          <c:order val="4"/>
          <c:tx>
            <c:v>Total AW</c:v>
          </c:tx>
          <c:spPr>
            <a:ln w="19050" cap="rnd">
              <a:solidFill>
                <a:schemeClr val="accent5"/>
              </a:solidFill>
              <a:round/>
            </a:ln>
            <a:effectLst/>
          </c:spPr>
          <c:marker>
            <c:symbol val="circle"/>
            <c:size val="5"/>
            <c:spPr>
              <a:solidFill>
                <a:schemeClr val="accent5"/>
              </a:solidFill>
              <a:ln w="9525">
                <a:solidFill>
                  <a:schemeClr val="accent5"/>
                </a:solidFill>
              </a:ln>
              <a:effectLst/>
            </c:spPr>
          </c:marker>
          <c:xVal>
            <c:numRef>
              <c:f>Gini_2012!$H$241:$H$252</c:f>
              <c:numCache>
                <c:formatCode>0.00</c:formatCode>
                <c:ptCount val="12"/>
                <c:pt idx="0">
                  <c:v>0</c:v>
                </c:pt>
                <c:pt idx="1">
                  <c:v>4.3177805010323946E-3</c:v>
                </c:pt>
                <c:pt idx="2">
                  <c:v>1.1007544128936533E-2</c:v>
                </c:pt>
                <c:pt idx="3">
                  <c:v>1.9021064175993925E-2</c:v>
                </c:pt>
                <c:pt idx="4">
                  <c:v>2.5837149493424309E-2</c:v>
                </c:pt>
                <c:pt idx="5">
                  <c:v>0.2277210216046853</c:v>
                </c:pt>
                <c:pt idx="6">
                  <c:v>0.24390588628408319</c:v>
                </c:pt>
                <c:pt idx="7">
                  <c:v>0.28309066351198536</c:v>
                </c:pt>
                <c:pt idx="8">
                  <c:v>0.72136406494458227</c:v>
                </c:pt>
                <c:pt idx="9">
                  <c:v>0.80361379222030038</c:v>
                </c:pt>
                <c:pt idx="10">
                  <c:v>0.88114996526810851</c:v>
                </c:pt>
                <c:pt idx="11">
                  <c:v>1</c:v>
                </c:pt>
              </c:numCache>
            </c:numRef>
          </c:xVal>
          <c:yVal>
            <c:numRef>
              <c:f>Gini_2012!$G$241:$G$252</c:f>
              <c:numCache>
                <c:formatCode>0.00</c:formatCode>
                <c:ptCount val="12"/>
                <c:pt idx="0">
                  <c:v>0</c:v>
                </c:pt>
                <c:pt idx="1">
                  <c:v>2.1578474714352507E-3</c:v>
                </c:pt>
                <c:pt idx="2">
                  <c:v>9.1111668420643197E-3</c:v>
                </c:pt>
                <c:pt idx="3">
                  <c:v>1.7520790548750928E-2</c:v>
                </c:pt>
                <c:pt idx="4">
                  <c:v>3.8083826532813822E-2</c:v>
                </c:pt>
                <c:pt idx="5">
                  <c:v>0.10399955583224399</c:v>
                </c:pt>
                <c:pt idx="6">
                  <c:v>0.17502404659213261</c:v>
                </c:pt>
                <c:pt idx="7">
                  <c:v>0.24855484091269775</c:v>
                </c:pt>
                <c:pt idx="8">
                  <c:v>0.34336129411783561</c:v>
                </c:pt>
                <c:pt idx="9">
                  <c:v>0.50183953690157201</c:v>
                </c:pt>
                <c:pt idx="10">
                  <c:v>0.69572250941374103</c:v>
                </c:pt>
                <c:pt idx="11">
                  <c:v>1</c:v>
                </c:pt>
              </c:numCache>
            </c:numRef>
          </c:yVal>
          <c:smooth val="0"/>
          <c:extLst>
            <c:ext xmlns:c16="http://schemas.microsoft.com/office/drawing/2014/chart" uri="{C3380CC4-5D6E-409C-BE32-E72D297353CC}">
              <c16:uniqueId val="{00000005-50A8-4CF1-A404-452027E54D54}"/>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t>
                </a:r>
                <a:r>
                  <a:rPr lang="en-US" sz="1000" b="0" i="0" u="none" strike="noStrike" baseline="0">
                    <a:effectLst/>
                  </a:rPr>
                  <a:t>Criteria</a:t>
                </a:r>
                <a:endParaRPr lang="en-US" baseline="0"/>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variables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layout>
        <c:manualLayout>
          <c:xMode val="edge"/>
          <c:yMode val="edge"/>
          <c:x val="0.81944879380053437"/>
          <c:y val="0.38221744320590534"/>
          <c:w val="0.18021896777407129"/>
          <c:h val="0.349143219407329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Gini_2013!$H$94:$H$105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xVal>
          <c:yVal>
            <c:numRef>
              <c:f>Gini_2013!$H$94:$H$105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yVal>
          <c:smooth val="1"/>
          <c:extLst>
            <c:ext xmlns:c16="http://schemas.microsoft.com/office/drawing/2014/chart" uri="{C3380CC4-5D6E-409C-BE32-E72D297353CC}">
              <c16:uniqueId val="{00000000-6EC4-429B-AEE3-CC8E81128276}"/>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6EC4-429B-AEE3-CC8E81128276}"/>
              </c:ext>
            </c:extLst>
          </c:dPt>
          <c:xVal>
            <c:numRef>
              <c:f>Gini_2013!$H$94:$H$105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xVal>
          <c:yVal>
            <c:numRef>
              <c:f>Gini_2013!$G$94:$G$105</c:f>
              <c:numCache>
                <c:formatCode>0.00</c:formatCode>
                <c:ptCount val="12"/>
                <c:pt idx="0">
                  <c:v>0</c:v>
                </c:pt>
                <c:pt idx="1">
                  <c:v>1.4667449147965441E-3</c:v>
                </c:pt>
                <c:pt idx="2">
                  <c:v>7.0765583266390797E-3</c:v>
                </c:pt>
                <c:pt idx="3">
                  <c:v>1.5734655051998361E-2</c:v>
                </c:pt>
                <c:pt idx="4">
                  <c:v>2.727190736576424E-2</c:v>
                </c:pt>
                <c:pt idx="5">
                  <c:v>3.9996291370072504E-2</c:v>
                </c:pt>
                <c:pt idx="6">
                  <c:v>7.8182488561856389E-2</c:v>
                </c:pt>
                <c:pt idx="7">
                  <c:v>0.14567493680569521</c:v>
                </c:pt>
                <c:pt idx="8">
                  <c:v>0.2900492178092855</c:v>
                </c:pt>
                <c:pt idx="9">
                  <c:v>0.45598628933775176</c:v>
                </c:pt>
                <c:pt idx="10">
                  <c:v>0.67426551395055656</c:v>
                </c:pt>
                <c:pt idx="11">
                  <c:v>1</c:v>
                </c:pt>
              </c:numCache>
            </c:numRef>
          </c:yVal>
          <c:smooth val="0"/>
          <c:extLst>
            <c:ext xmlns:c16="http://schemas.microsoft.com/office/drawing/2014/chart" uri="{C3380CC4-5D6E-409C-BE32-E72D297353CC}">
              <c16:uniqueId val="{00000002-6EC4-429B-AEE3-CC8E81128276}"/>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Precipitation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301861863580613"/>
          <c:y val="0.1566342980154827"/>
          <c:w val="0.54960252622417904"/>
          <c:h val="0.65904922055244786"/>
        </c:manualLayout>
      </c:layout>
      <c:scatterChart>
        <c:scatterStyle val="smoothMarker"/>
        <c:varyColors val="0"/>
        <c:ser>
          <c:idx val="1"/>
          <c:order val="1"/>
          <c:tx>
            <c:v>Equality Line</c:v>
          </c:tx>
          <c:spPr>
            <a:ln w="19050" cap="rnd">
              <a:solidFill>
                <a:schemeClr val="accent2"/>
              </a:solidFill>
              <a:round/>
            </a:ln>
            <a:effectLst/>
          </c:spPr>
          <c:marker>
            <c:symbol val="none"/>
          </c:marker>
          <c:xVal>
            <c:numRef>
              <c:f>Gini_2013!$H$115:$H$126</c:f>
              <c:numCache>
                <c:formatCode>0.00</c:formatCode>
                <c:ptCount val="12"/>
                <c:pt idx="0">
                  <c:v>0</c:v>
                </c:pt>
                <c:pt idx="1">
                  <c:v>8.6508040877704764E-3</c:v>
                </c:pt>
                <c:pt idx="2">
                  <c:v>2.233691110888162E-2</c:v>
                </c:pt>
                <c:pt idx="3">
                  <c:v>4.5534073596056365E-2</c:v>
                </c:pt>
                <c:pt idx="4">
                  <c:v>5.3837159897602418E-2</c:v>
                </c:pt>
                <c:pt idx="5">
                  <c:v>0.11541757062610367</c:v>
                </c:pt>
                <c:pt idx="6">
                  <c:v>0.17846731707242672</c:v>
                </c:pt>
                <c:pt idx="7">
                  <c:v>0.25736713399590871</c:v>
                </c:pt>
                <c:pt idx="8">
                  <c:v>0.38405950424456814</c:v>
                </c:pt>
                <c:pt idx="9">
                  <c:v>0.65743534284662219</c:v>
                </c:pt>
                <c:pt idx="10">
                  <c:v>0.98464491670321019</c:v>
                </c:pt>
                <c:pt idx="11">
                  <c:v>1.0000000000000002</c:v>
                </c:pt>
              </c:numCache>
            </c:numRef>
          </c:xVal>
          <c:yVal>
            <c:numRef>
              <c:f>Gini_2013!$H$115:$H$126</c:f>
              <c:numCache>
                <c:formatCode>0.00</c:formatCode>
                <c:ptCount val="12"/>
                <c:pt idx="0">
                  <c:v>0</c:v>
                </c:pt>
                <c:pt idx="1">
                  <c:v>8.6508040877704764E-3</c:v>
                </c:pt>
                <c:pt idx="2">
                  <c:v>2.233691110888162E-2</c:v>
                </c:pt>
                <c:pt idx="3">
                  <c:v>4.5534073596056365E-2</c:v>
                </c:pt>
                <c:pt idx="4">
                  <c:v>5.3837159897602418E-2</c:v>
                </c:pt>
                <c:pt idx="5">
                  <c:v>0.11541757062610367</c:v>
                </c:pt>
                <c:pt idx="6">
                  <c:v>0.17846731707242672</c:v>
                </c:pt>
                <c:pt idx="7">
                  <c:v>0.25736713399590871</c:v>
                </c:pt>
                <c:pt idx="8">
                  <c:v>0.38405950424456814</c:v>
                </c:pt>
                <c:pt idx="9">
                  <c:v>0.65743534284662219</c:v>
                </c:pt>
                <c:pt idx="10">
                  <c:v>0.98464491670321019</c:v>
                </c:pt>
                <c:pt idx="11">
                  <c:v>1.0000000000000002</c:v>
                </c:pt>
              </c:numCache>
            </c:numRef>
          </c:yVal>
          <c:smooth val="1"/>
          <c:extLst>
            <c:ext xmlns:c16="http://schemas.microsoft.com/office/drawing/2014/chart" uri="{C3380CC4-5D6E-409C-BE32-E72D297353CC}">
              <c16:uniqueId val="{00000000-C637-4C2F-8E1D-9DB1F8234296}"/>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C637-4C2F-8E1D-9DB1F8234296}"/>
              </c:ext>
            </c:extLst>
          </c:dPt>
          <c:xVal>
            <c:numRef>
              <c:f>Gini_2013!$H$115:$H$126</c:f>
              <c:numCache>
                <c:formatCode>0.00</c:formatCode>
                <c:ptCount val="12"/>
                <c:pt idx="0">
                  <c:v>0</c:v>
                </c:pt>
                <c:pt idx="1">
                  <c:v>8.6508040877704764E-3</c:v>
                </c:pt>
                <c:pt idx="2">
                  <c:v>2.233691110888162E-2</c:v>
                </c:pt>
                <c:pt idx="3">
                  <c:v>4.5534073596056365E-2</c:v>
                </c:pt>
                <c:pt idx="4">
                  <c:v>5.3837159897602418E-2</c:v>
                </c:pt>
                <c:pt idx="5">
                  <c:v>0.11541757062610367</c:v>
                </c:pt>
                <c:pt idx="6">
                  <c:v>0.17846731707242672</c:v>
                </c:pt>
                <c:pt idx="7">
                  <c:v>0.25736713399590871</c:v>
                </c:pt>
                <c:pt idx="8">
                  <c:v>0.38405950424456814</c:v>
                </c:pt>
                <c:pt idx="9">
                  <c:v>0.65743534284662219</c:v>
                </c:pt>
                <c:pt idx="10">
                  <c:v>0.98464491670321019</c:v>
                </c:pt>
                <c:pt idx="11">
                  <c:v>1.0000000000000002</c:v>
                </c:pt>
              </c:numCache>
            </c:numRef>
          </c:xVal>
          <c:yVal>
            <c:numRef>
              <c:f>Gini_2013!$G$115:$G$126</c:f>
              <c:numCache>
                <c:formatCode>0.00</c:formatCode>
                <c:ptCount val="12"/>
                <c:pt idx="0">
                  <c:v>0</c:v>
                </c:pt>
                <c:pt idx="1">
                  <c:v>5.1986633605847219E-3</c:v>
                </c:pt>
                <c:pt idx="2">
                  <c:v>1.2179871728685449E-2</c:v>
                </c:pt>
                <c:pt idx="3">
                  <c:v>2.2397519655285119E-2</c:v>
                </c:pt>
                <c:pt idx="4">
                  <c:v>3.4699551529942432E-2</c:v>
                </c:pt>
                <c:pt idx="5">
                  <c:v>6.3399552572892107E-2</c:v>
                </c:pt>
                <c:pt idx="6">
                  <c:v>9.3285899987994275E-2</c:v>
                </c:pt>
                <c:pt idx="7">
                  <c:v>0.15251714932128388</c:v>
                </c:pt>
                <c:pt idx="8">
                  <c:v>0.29961929450441394</c:v>
                </c:pt>
                <c:pt idx="9">
                  <c:v>0.46559828172337547</c:v>
                </c:pt>
                <c:pt idx="10">
                  <c:v>0.65313383157316818</c:v>
                </c:pt>
                <c:pt idx="11">
                  <c:v>1</c:v>
                </c:pt>
              </c:numCache>
            </c:numRef>
          </c:yVal>
          <c:smooth val="0"/>
          <c:extLst>
            <c:ext xmlns:c16="http://schemas.microsoft.com/office/drawing/2014/chart" uri="{C3380CC4-5D6E-409C-BE32-E72D297353CC}">
              <c16:uniqueId val="{00000002-C637-4C2F-8E1D-9DB1F8234296}"/>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ETa</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Gini_2013!$H$136:$H$147</c:f>
              <c:numCache>
                <c:formatCode>0.00</c:formatCode>
                <c:ptCount val="12"/>
                <c:pt idx="0">
                  <c:v>0</c:v>
                </c:pt>
                <c:pt idx="1">
                  <c:v>6.1580410728501248E-2</c:v>
                </c:pt>
                <c:pt idx="2">
                  <c:v>0.38878998458508923</c:v>
                </c:pt>
                <c:pt idx="3">
                  <c:v>0.40414506788187921</c:v>
                </c:pt>
                <c:pt idx="4">
                  <c:v>0.53083743813053863</c:v>
                </c:pt>
                <c:pt idx="5">
                  <c:v>0.53914052443208471</c:v>
                </c:pt>
                <c:pt idx="6">
                  <c:v>0.54779132851985524</c:v>
                </c:pt>
                <c:pt idx="7">
                  <c:v>0.57098849100702997</c:v>
                </c:pt>
                <c:pt idx="8">
                  <c:v>0.58467459802814115</c:v>
                </c:pt>
                <c:pt idx="9">
                  <c:v>0.64772434447446425</c:v>
                </c:pt>
                <c:pt idx="10">
                  <c:v>0.72662416139794628</c:v>
                </c:pt>
                <c:pt idx="11">
                  <c:v>1.0000000000000002</c:v>
                </c:pt>
              </c:numCache>
            </c:numRef>
          </c:xVal>
          <c:yVal>
            <c:numRef>
              <c:f>Gini_2013!$H$136:$H$147</c:f>
              <c:numCache>
                <c:formatCode>0.00</c:formatCode>
                <c:ptCount val="12"/>
                <c:pt idx="0">
                  <c:v>0</c:v>
                </c:pt>
                <c:pt idx="1">
                  <c:v>6.1580410728501248E-2</c:v>
                </c:pt>
                <c:pt idx="2">
                  <c:v>0.38878998458508923</c:v>
                </c:pt>
                <c:pt idx="3">
                  <c:v>0.40414506788187921</c:v>
                </c:pt>
                <c:pt idx="4">
                  <c:v>0.53083743813053863</c:v>
                </c:pt>
                <c:pt idx="5">
                  <c:v>0.53914052443208471</c:v>
                </c:pt>
                <c:pt idx="6">
                  <c:v>0.54779132851985524</c:v>
                </c:pt>
                <c:pt idx="7">
                  <c:v>0.57098849100702997</c:v>
                </c:pt>
                <c:pt idx="8">
                  <c:v>0.58467459802814115</c:v>
                </c:pt>
                <c:pt idx="9">
                  <c:v>0.64772434447446425</c:v>
                </c:pt>
                <c:pt idx="10">
                  <c:v>0.72662416139794628</c:v>
                </c:pt>
                <c:pt idx="11">
                  <c:v>1.0000000000000002</c:v>
                </c:pt>
              </c:numCache>
            </c:numRef>
          </c:yVal>
          <c:smooth val="1"/>
          <c:extLst>
            <c:ext xmlns:c16="http://schemas.microsoft.com/office/drawing/2014/chart" uri="{C3380CC4-5D6E-409C-BE32-E72D297353CC}">
              <c16:uniqueId val="{00000000-D3E0-441F-8F2F-3FE485AB5EC2}"/>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D3E0-441F-8F2F-3FE485AB5EC2}"/>
              </c:ext>
            </c:extLst>
          </c:dPt>
          <c:xVal>
            <c:numRef>
              <c:f>Gini_2013!$H$136:$H$147</c:f>
              <c:numCache>
                <c:formatCode>0.00</c:formatCode>
                <c:ptCount val="12"/>
                <c:pt idx="0">
                  <c:v>0</c:v>
                </c:pt>
                <c:pt idx="1">
                  <c:v>6.1580410728501248E-2</c:v>
                </c:pt>
                <c:pt idx="2">
                  <c:v>0.38878998458508923</c:v>
                </c:pt>
                <c:pt idx="3">
                  <c:v>0.40414506788187921</c:v>
                </c:pt>
                <c:pt idx="4">
                  <c:v>0.53083743813053863</c:v>
                </c:pt>
                <c:pt idx="5">
                  <c:v>0.53914052443208471</c:v>
                </c:pt>
                <c:pt idx="6">
                  <c:v>0.54779132851985524</c:v>
                </c:pt>
                <c:pt idx="7">
                  <c:v>0.57098849100702997</c:v>
                </c:pt>
                <c:pt idx="8">
                  <c:v>0.58467459802814115</c:v>
                </c:pt>
                <c:pt idx="9">
                  <c:v>0.64772434447446425</c:v>
                </c:pt>
                <c:pt idx="10">
                  <c:v>0.72662416139794628</c:v>
                </c:pt>
                <c:pt idx="11">
                  <c:v>1.0000000000000002</c:v>
                </c:pt>
              </c:numCache>
            </c:numRef>
          </c:xVal>
          <c:yVal>
            <c:numRef>
              <c:f>Gini_2013!$G$136:$G$147</c:f>
              <c:numCache>
                <c:formatCode>0.00</c:formatCode>
                <c:ptCount val="12"/>
                <c:pt idx="0">
                  <c:v>0</c:v>
                </c:pt>
                <c:pt idx="1">
                  <c:v>0</c:v>
                </c:pt>
                <c:pt idx="2">
                  <c:v>0</c:v>
                </c:pt>
                <c:pt idx="3">
                  <c:v>0</c:v>
                </c:pt>
                <c:pt idx="4">
                  <c:v>0</c:v>
                </c:pt>
                <c:pt idx="5">
                  <c:v>3.2068255804301324E-5</c:v>
                </c:pt>
                <c:pt idx="6">
                  <c:v>3.3458417124781641E-3</c:v>
                </c:pt>
                <c:pt idx="7">
                  <c:v>1.717071980195822E-2</c:v>
                </c:pt>
                <c:pt idx="8">
                  <c:v>3.7803874906470913E-2</c:v>
                </c:pt>
                <c:pt idx="9">
                  <c:v>0.14914730895077619</c:v>
                </c:pt>
                <c:pt idx="10">
                  <c:v>0.32745344993368375</c:v>
                </c:pt>
                <c:pt idx="11">
                  <c:v>1</c:v>
                </c:pt>
              </c:numCache>
            </c:numRef>
          </c:yVal>
          <c:smooth val="0"/>
          <c:extLst>
            <c:ext xmlns:c16="http://schemas.microsoft.com/office/drawing/2014/chart" uri="{C3380CC4-5D6E-409C-BE32-E72D297353CC}">
              <c16:uniqueId val="{00000002-D3E0-441F-8F2F-3FE485AB5EC2}"/>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Available Water</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Gini_2013!$H$157:$H$168</c:f>
              <c:numCache>
                <c:formatCode>0.00</c:formatCode>
                <c:ptCount val="12"/>
                <c:pt idx="0">
                  <c:v>0</c:v>
                </c:pt>
                <c:pt idx="1">
                  <c:v>8.3030863015460567E-3</c:v>
                </c:pt>
                <c:pt idx="2">
                  <c:v>1.6953890389316533E-2</c:v>
                </c:pt>
                <c:pt idx="3">
                  <c:v>3.0639997410427677E-2</c:v>
                </c:pt>
                <c:pt idx="4">
                  <c:v>5.3837159897602418E-2</c:v>
                </c:pt>
                <c:pt idx="5">
                  <c:v>0.11688690634392547</c:v>
                </c:pt>
                <c:pt idx="6">
                  <c:v>0.24357927659258494</c:v>
                </c:pt>
                <c:pt idx="7">
                  <c:v>0.25893435988937491</c:v>
                </c:pt>
                <c:pt idx="8">
                  <c:v>0.33783417681285688</c:v>
                </c:pt>
                <c:pt idx="9">
                  <c:v>0.66504375066944488</c:v>
                </c:pt>
                <c:pt idx="10">
                  <c:v>0.72662416139794617</c:v>
                </c:pt>
                <c:pt idx="11">
                  <c:v>1.0000000000000002</c:v>
                </c:pt>
              </c:numCache>
            </c:numRef>
          </c:xVal>
          <c:yVal>
            <c:numRef>
              <c:f>Gini_2013!$H$157:$H$168</c:f>
              <c:numCache>
                <c:formatCode>0.00</c:formatCode>
                <c:ptCount val="12"/>
                <c:pt idx="0">
                  <c:v>0</c:v>
                </c:pt>
                <c:pt idx="1">
                  <c:v>8.3030863015460567E-3</c:v>
                </c:pt>
                <c:pt idx="2">
                  <c:v>1.6953890389316533E-2</c:v>
                </c:pt>
                <c:pt idx="3">
                  <c:v>3.0639997410427677E-2</c:v>
                </c:pt>
                <c:pt idx="4">
                  <c:v>5.3837159897602418E-2</c:v>
                </c:pt>
                <c:pt idx="5">
                  <c:v>0.11688690634392547</c:v>
                </c:pt>
                <c:pt idx="6">
                  <c:v>0.24357927659258494</c:v>
                </c:pt>
                <c:pt idx="7">
                  <c:v>0.25893435988937491</c:v>
                </c:pt>
                <c:pt idx="8">
                  <c:v>0.33783417681285688</c:v>
                </c:pt>
                <c:pt idx="9">
                  <c:v>0.66504375066944488</c:v>
                </c:pt>
                <c:pt idx="10">
                  <c:v>0.72662416139794617</c:v>
                </c:pt>
                <c:pt idx="11">
                  <c:v>1.0000000000000002</c:v>
                </c:pt>
              </c:numCache>
            </c:numRef>
          </c:yVal>
          <c:smooth val="1"/>
          <c:extLst>
            <c:ext xmlns:c16="http://schemas.microsoft.com/office/drawing/2014/chart" uri="{C3380CC4-5D6E-409C-BE32-E72D297353CC}">
              <c16:uniqueId val="{00000000-942A-4CD3-98D2-7B31346CBE50}"/>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942A-4CD3-98D2-7B31346CBE50}"/>
              </c:ext>
            </c:extLst>
          </c:dPt>
          <c:xVal>
            <c:numRef>
              <c:f>Gini_2013!$H$157:$H$168</c:f>
              <c:numCache>
                <c:formatCode>0.00</c:formatCode>
                <c:ptCount val="12"/>
                <c:pt idx="0">
                  <c:v>0</c:v>
                </c:pt>
                <c:pt idx="1">
                  <c:v>8.3030863015460567E-3</c:v>
                </c:pt>
                <c:pt idx="2">
                  <c:v>1.6953890389316533E-2</c:v>
                </c:pt>
                <c:pt idx="3">
                  <c:v>3.0639997410427677E-2</c:v>
                </c:pt>
                <c:pt idx="4">
                  <c:v>5.3837159897602418E-2</c:v>
                </c:pt>
                <c:pt idx="5">
                  <c:v>0.11688690634392547</c:v>
                </c:pt>
                <c:pt idx="6">
                  <c:v>0.24357927659258494</c:v>
                </c:pt>
                <c:pt idx="7">
                  <c:v>0.25893435988937491</c:v>
                </c:pt>
                <c:pt idx="8">
                  <c:v>0.33783417681285688</c:v>
                </c:pt>
                <c:pt idx="9">
                  <c:v>0.66504375066944488</c:v>
                </c:pt>
                <c:pt idx="10">
                  <c:v>0.72662416139794617</c:v>
                </c:pt>
                <c:pt idx="11">
                  <c:v>1.0000000000000002</c:v>
                </c:pt>
              </c:numCache>
            </c:numRef>
          </c:xVal>
          <c:yVal>
            <c:numRef>
              <c:f>Gini_2013!$G$157:$G$168</c:f>
              <c:numCache>
                <c:formatCode>0.00</c:formatCode>
                <c:ptCount val="12"/>
                <c:pt idx="0">
                  <c:v>0</c:v>
                </c:pt>
                <c:pt idx="1">
                  <c:v>1.5995908765297303E-5</c:v>
                </c:pt>
                <c:pt idx="2">
                  <c:v>1.6689332623057154E-3</c:v>
                </c:pt>
                <c:pt idx="3">
                  <c:v>1.1960920098326402E-2</c:v>
                </c:pt>
                <c:pt idx="4">
                  <c:v>3.2588164925379401E-2</c:v>
                </c:pt>
                <c:pt idx="5">
                  <c:v>8.8127182184581668E-2</c:v>
                </c:pt>
                <c:pt idx="6">
                  <c:v>0.16437193420146751</c:v>
                </c:pt>
                <c:pt idx="7">
                  <c:v>0.24928907507335457</c:v>
                </c:pt>
                <c:pt idx="8">
                  <c:v>0.33822963925184868</c:v>
                </c:pt>
                <c:pt idx="9">
                  <c:v>0.46036578229311598</c:v>
                </c:pt>
                <c:pt idx="10">
                  <c:v>0.6645282699212699</c:v>
                </c:pt>
                <c:pt idx="11">
                  <c:v>1</c:v>
                </c:pt>
              </c:numCache>
            </c:numRef>
          </c:yVal>
          <c:smooth val="0"/>
          <c:extLst>
            <c:ext xmlns:c16="http://schemas.microsoft.com/office/drawing/2014/chart" uri="{C3380CC4-5D6E-409C-BE32-E72D297353CC}">
              <c16:uniqueId val="{00000002-942A-4CD3-98D2-7B31346CBE50}"/>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 total</a:t>
                </a:r>
                <a:r>
                  <a:rPr lang="en-US" baseline="0"/>
                  <a:t> available water</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0-2A1A-4208-92E5-CE4FA67F15B7}"/>
              </c:ext>
            </c:extLst>
          </c:dPt>
          <c:xVal>
            <c:numRef>
              <c:f>Gini_2013!$H$6:$H$17</c:f>
              <c:numCache>
                <c:formatCode>0.00</c:formatCode>
                <c:ptCount val="12"/>
                <c:pt idx="0">
                  <c:v>0</c:v>
                </c:pt>
                <c:pt idx="1">
                  <c:v>0.32477645291984603</c:v>
                </c:pt>
                <c:pt idx="2">
                  <c:v>0.32995318101421145</c:v>
                </c:pt>
                <c:pt idx="3">
                  <c:v>0.3519749915507997</c:v>
                </c:pt>
                <c:pt idx="4">
                  <c:v>0.39428724293627221</c:v>
                </c:pt>
                <c:pt idx="5">
                  <c:v>0.40805416346585721</c:v>
                </c:pt>
                <c:pt idx="6">
                  <c:v>0.4826759809721331</c:v>
                </c:pt>
                <c:pt idx="7">
                  <c:v>0.5259043493968576</c:v>
                </c:pt>
                <c:pt idx="8">
                  <c:v>0.67351229543633906</c:v>
                </c:pt>
                <c:pt idx="9">
                  <c:v>0.81196478642713055</c:v>
                </c:pt>
                <c:pt idx="10">
                  <c:v>0.95556885391073232</c:v>
                </c:pt>
                <c:pt idx="11">
                  <c:v>1</c:v>
                </c:pt>
              </c:numCache>
            </c:numRef>
          </c:xVal>
          <c:yVal>
            <c:numRef>
              <c:f>Gini_2013!$G$6:$G$17</c:f>
              <c:numCache>
                <c:formatCode>0.00</c:formatCode>
                <c:ptCount val="12"/>
                <c:pt idx="0">
                  <c:v>0</c:v>
                </c:pt>
                <c:pt idx="1">
                  <c:v>1.4667449147965441E-3</c:v>
                </c:pt>
                <c:pt idx="2">
                  <c:v>7.0765583266390797E-3</c:v>
                </c:pt>
                <c:pt idx="3">
                  <c:v>1.5734655051998361E-2</c:v>
                </c:pt>
                <c:pt idx="4">
                  <c:v>2.727190736576424E-2</c:v>
                </c:pt>
                <c:pt idx="5">
                  <c:v>3.9996291370072504E-2</c:v>
                </c:pt>
                <c:pt idx="6">
                  <c:v>7.8182488561856389E-2</c:v>
                </c:pt>
                <c:pt idx="7">
                  <c:v>0.14567493680569521</c:v>
                </c:pt>
                <c:pt idx="8">
                  <c:v>0.2900492178092855</c:v>
                </c:pt>
                <c:pt idx="9">
                  <c:v>0.45598628933775176</c:v>
                </c:pt>
                <c:pt idx="10">
                  <c:v>0.67426551395055656</c:v>
                </c:pt>
                <c:pt idx="11">
                  <c:v>1</c:v>
                </c:pt>
              </c:numCache>
            </c:numRef>
          </c:yVal>
          <c:smooth val="1"/>
          <c:extLst>
            <c:ext xmlns:c16="http://schemas.microsoft.com/office/drawing/2014/chart" uri="{C3380CC4-5D6E-409C-BE32-E72D297353CC}">
              <c16:uniqueId val="{00000001-2A1A-4208-92E5-CE4FA67F15B7}"/>
            </c:ext>
          </c:extLst>
        </c:ser>
        <c:ser>
          <c:idx val="1"/>
          <c:order val="1"/>
          <c:tx>
            <c:v>Equality Line</c:v>
          </c:tx>
          <c:spPr>
            <a:ln w="19050" cap="rnd">
              <a:solidFill>
                <a:schemeClr val="accent2"/>
              </a:solidFill>
              <a:round/>
            </a:ln>
            <a:effectLst/>
          </c:spPr>
          <c:marker>
            <c:symbol val="none"/>
          </c:marker>
          <c:xVal>
            <c:numRef>
              <c:f>Gini_2013!$H$6:$H$17</c:f>
              <c:numCache>
                <c:formatCode>0.00</c:formatCode>
                <c:ptCount val="12"/>
                <c:pt idx="0">
                  <c:v>0</c:v>
                </c:pt>
                <c:pt idx="1">
                  <c:v>0.32477645291984603</c:v>
                </c:pt>
                <c:pt idx="2">
                  <c:v>0.32995318101421145</c:v>
                </c:pt>
                <c:pt idx="3">
                  <c:v>0.3519749915507997</c:v>
                </c:pt>
                <c:pt idx="4">
                  <c:v>0.39428724293627221</c:v>
                </c:pt>
                <c:pt idx="5">
                  <c:v>0.40805416346585721</c:v>
                </c:pt>
                <c:pt idx="6">
                  <c:v>0.4826759809721331</c:v>
                </c:pt>
                <c:pt idx="7">
                  <c:v>0.5259043493968576</c:v>
                </c:pt>
                <c:pt idx="8">
                  <c:v>0.67351229543633906</c:v>
                </c:pt>
                <c:pt idx="9">
                  <c:v>0.81196478642713055</c:v>
                </c:pt>
                <c:pt idx="10">
                  <c:v>0.95556885391073232</c:v>
                </c:pt>
                <c:pt idx="11">
                  <c:v>1</c:v>
                </c:pt>
              </c:numCache>
            </c:numRef>
          </c:xVal>
          <c:yVal>
            <c:numRef>
              <c:f>Gini_2013!$H$6:$H$17</c:f>
              <c:numCache>
                <c:formatCode>0.00</c:formatCode>
                <c:ptCount val="12"/>
                <c:pt idx="0">
                  <c:v>0</c:v>
                </c:pt>
                <c:pt idx="1">
                  <c:v>0.32477645291984603</c:v>
                </c:pt>
                <c:pt idx="2">
                  <c:v>0.32995318101421145</c:v>
                </c:pt>
                <c:pt idx="3">
                  <c:v>0.3519749915507997</c:v>
                </c:pt>
                <c:pt idx="4">
                  <c:v>0.39428724293627221</c:v>
                </c:pt>
                <c:pt idx="5">
                  <c:v>0.40805416346585721</c:v>
                </c:pt>
                <c:pt idx="6">
                  <c:v>0.4826759809721331</c:v>
                </c:pt>
                <c:pt idx="7">
                  <c:v>0.5259043493968576</c:v>
                </c:pt>
                <c:pt idx="8">
                  <c:v>0.67351229543633906</c:v>
                </c:pt>
                <c:pt idx="9">
                  <c:v>0.81196478642713055</c:v>
                </c:pt>
                <c:pt idx="10">
                  <c:v>0.95556885391073232</c:v>
                </c:pt>
                <c:pt idx="11">
                  <c:v>1</c:v>
                </c:pt>
              </c:numCache>
            </c:numRef>
          </c:yVal>
          <c:smooth val="1"/>
          <c:extLst>
            <c:ext xmlns:c16="http://schemas.microsoft.com/office/drawing/2014/chart" uri="{C3380CC4-5D6E-409C-BE32-E72D297353CC}">
              <c16:uniqueId val="{00000002-2A1A-4208-92E5-CE4FA67F15B7}"/>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Population</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Precipitation</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0-ED29-44E4-9E2D-45A0E664080A}"/>
              </c:ext>
            </c:extLst>
          </c:dPt>
          <c:xVal>
            <c:numRef>
              <c:f>Gini_2013!$H$27:$H$38</c:f>
              <c:numCache>
                <c:formatCode>0.00</c:formatCode>
                <c:ptCount val="12"/>
                <c:pt idx="0">
                  <c:v>0</c:v>
                </c:pt>
                <c:pt idx="1">
                  <c:v>5.1767280943653977E-3</c:v>
                </c:pt>
                <c:pt idx="2">
                  <c:v>2.7198538630953666E-2</c:v>
                </c:pt>
                <c:pt idx="3">
                  <c:v>6.9510790016426169E-2</c:v>
                </c:pt>
                <c:pt idx="4">
                  <c:v>8.3277710546011144E-2</c:v>
                </c:pt>
                <c:pt idx="5">
                  <c:v>0.40805416346585716</c:v>
                </c:pt>
                <c:pt idx="6">
                  <c:v>0.48267598097213305</c:v>
                </c:pt>
                <c:pt idx="7">
                  <c:v>0.5259043493968576</c:v>
                </c:pt>
                <c:pt idx="8">
                  <c:v>0.67351229543633906</c:v>
                </c:pt>
                <c:pt idx="9">
                  <c:v>0.81711636291994094</c:v>
                </c:pt>
                <c:pt idx="10">
                  <c:v>0.95556885391073243</c:v>
                </c:pt>
                <c:pt idx="11">
                  <c:v>1.0000000000000002</c:v>
                </c:pt>
              </c:numCache>
            </c:numRef>
          </c:xVal>
          <c:yVal>
            <c:numRef>
              <c:f>Gini_2013!$G$27:$G$38</c:f>
              <c:numCache>
                <c:formatCode>0.00</c:formatCode>
                <c:ptCount val="12"/>
                <c:pt idx="0">
                  <c:v>0</c:v>
                </c:pt>
                <c:pt idx="1">
                  <c:v>5.1986633605847219E-3</c:v>
                </c:pt>
                <c:pt idx="2">
                  <c:v>1.2179871728685449E-2</c:v>
                </c:pt>
                <c:pt idx="3">
                  <c:v>2.2397519655285119E-2</c:v>
                </c:pt>
                <c:pt idx="4">
                  <c:v>3.4699551529942432E-2</c:v>
                </c:pt>
                <c:pt idx="5">
                  <c:v>6.3399552572892107E-2</c:v>
                </c:pt>
                <c:pt idx="6">
                  <c:v>9.3285899987994275E-2</c:v>
                </c:pt>
                <c:pt idx="7">
                  <c:v>0.15251714932128388</c:v>
                </c:pt>
                <c:pt idx="8">
                  <c:v>0.29961929450441394</c:v>
                </c:pt>
                <c:pt idx="9">
                  <c:v>0.46559828172337547</c:v>
                </c:pt>
                <c:pt idx="10">
                  <c:v>0.65313383157316818</c:v>
                </c:pt>
                <c:pt idx="11">
                  <c:v>1</c:v>
                </c:pt>
              </c:numCache>
            </c:numRef>
          </c:yVal>
          <c:smooth val="1"/>
          <c:extLst>
            <c:ext xmlns:c16="http://schemas.microsoft.com/office/drawing/2014/chart" uri="{C3380CC4-5D6E-409C-BE32-E72D297353CC}">
              <c16:uniqueId val="{00000001-ED29-44E4-9E2D-45A0E664080A}"/>
            </c:ext>
          </c:extLst>
        </c:ser>
        <c:ser>
          <c:idx val="2"/>
          <c:order val="1"/>
          <c:tx>
            <c:v>Equality Line</c:v>
          </c:tx>
          <c:spPr>
            <a:ln w="19050" cap="rnd">
              <a:solidFill>
                <a:schemeClr val="accent2"/>
              </a:solidFill>
              <a:round/>
            </a:ln>
            <a:effectLst/>
          </c:spPr>
          <c:marker>
            <c:symbol val="none"/>
          </c:marker>
          <c:xVal>
            <c:numRef>
              <c:f>Gini_2013!$H$27:$H$38</c:f>
              <c:numCache>
                <c:formatCode>0.00</c:formatCode>
                <c:ptCount val="12"/>
                <c:pt idx="0">
                  <c:v>0</c:v>
                </c:pt>
                <c:pt idx="1">
                  <c:v>5.1767280943653977E-3</c:v>
                </c:pt>
                <c:pt idx="2">
                  <c:v>2.7198538630953666E-2</c:v>
                </c:pt>
                <c:pt idx="3">
                  <c:v>6.9510790016426169E-2</c:v>
                </c:pt>
                <c:pt idx="4">
                  <c:v>8.3277710546011144E-2</c:v>
                </c:pt>
                <c:pt idx="5">
                  <c:v>0.40805416346585716</c:v>
                </c:pt>
                <c:pt idx="6">
                  <c:v>0.48267598097213305</c:v>
                </c:pt>
                <c:pt idx="7">
                  <c:v>0.5259043493968576</c:v>
                </c:pt>
                <c:pt idx="8">
                  <c:v>0.67351229543633906</c:v>
                </c:pt>
                <c:pt idx="9">
                  <c:v>0.81711636291994094</c:v>
                </c:pt>
                <c:pt idx="10">
                  <c:v>0.95556885391073243</c:v>
                </c:pt>
                <c:pt idx="11">
                  <c:v>1.0000000000000002</c:v>
                </c:pt>
              </c:numCache>
            </c:numRef>
          </c:xVal>
          <c:yVal>
            <c:numRef>
              <c:f>Gini_2013!$H$27:$H$38</c:f>
              <c:numCache>
                <c:formatCode>0.00</c:formatCode>
                <c:ptCount val="12"/>
                <c:pt idx="0">
                  <c:v>0</c:v>
                </c:pt>
                <c:pt idx="1">
                  <c:v>5.1767280943653977E-3</c:v>
                </c:pt>
                <c:pt idx="2">
                  <c:v>2.7198538630953666E-2</c:v>
                </c:pt>
                <c:pt idx="3">
                  <c:v>6.9510790016426169E-2</c:v>
                </c:pt>
                <c:pt idx="4">
                  <c:v>8.3277710546011144E-2</c:v>
                </c:pt>
                <c:pt idx="5">
                  <c:v>0.40805416346585716</c:v>
                </c:pt>
                <c:pt idx="6">
                  <c:v>0.48267598097213305</c:v>
                </c:pt>
                <c:pt idx="7">
                  <c:v>0.5259043493968576</c:v>
                </c:pt>
                <c:pt idx="8">
                  <c:v>0.67351229543633906</c:v>
                </c:pt>
                <c:pt idx="9">
                  <c:v>0.81711636291994094</c:v>
                </c:pt>
                <c:pt idx="10">
                  <c:v>0.95556885391073243</c:v>
                </c:pt>
                <c:pt idx="11">
                  <c:v>1.0000000000000002</c:v>
                </c:pt>
              </c:numCache>
            </c:numRef>
          </c:yVal>
          <c:smooth val="1"/>
          <c:extLst>
            <c:ext xmlns:c16="http://schemas.microsoft.com/office/drawing/2014/chart" uri="{C3380CC4-5D6E-409C-BE32-E72D297353CC}">
              <c16:uniqueId val="{00000002-ED29-44E4-9E2D-45A0E664080A}"/>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Population</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ETa</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Gini_2013!$H$49:$H$60</c:f>
              <c:numCache>
                <c:formatCode>0.00</c:formatCode>
                <c:ptCount val="12"/>
                <c:pt idx="0">
                  <c:v>0</c:v>
                </c:pt>
                <c:pt idx="1">
                  <c:v>0.32477645291984603</c:v>
                </c:pt>
                <c:pt idx="2">
                  <c:v>0.46322894391063751</c:v>
                </c:pt>
                <c:pt idx="3">
                  <c:v>0.50766008999990531</c:v>
                </c:pt>
                <c:pt idx="4">
                  <c:v>0.65526803603938677</c:v>
                </c:pt>
                <c:pt idx="5">
                  <c:v>0.66903495656897172</c:v>
                </c:pt>
                <c:pt idx="6">
                  <c:v>0.67421168466333714</c:v>
                </c:pt>
                <c:pt idx="7">
                  <c:v>0.7165239360488096</c:v>
                </c:pt>
                <c:pt idx="8">
                  <c:v>0.73854574658539784</c:v>
                </c:pt>
                <c:pt idx="9">
                  <c:v>0.81316756409167379</c:v>
                </c:pt>
                <c:pt idx="10">
                  <c:v>0.85639593251639834</c:v>
                </c:pt>
                <c:pt idx="11">
                  <c:v>1.0000000000000002</c:v>
                </c:pt>
              </c:numCache>
            </c:numRef>
          </c:xVal>
          <c:yVal>
            <c:numRef>
              <c:f>Gini_2013!$H$49:$H$60</c:f>
              <c:numCache>
                <c:formatCode>0.00</c:formatCode>
                <c:ptCount val="12"/>
                <c:pt idx="0">
                  <c:v>0</c:v>
                </c:pt>
                <c:pt idx="1">
                  <c:v>0.32477645291984603</c:v>
                </c:pt>
                <c:pt idx="2">
                  <c:v>0.46322894391063751</c:v>
                </c:pt>
                <c:pt idx="3">
                  <c:v>0.50766008999990531</c:v>
                </c:pt>
                <c:pt idx="4">
                  <c:v>0.65526803603938677</c:v>
                </c:pt>
                <c:pt idx="5">
                  <c:v>0.66903495656897172</c:v>
                </c:pt>
                <c:pt idx="6">
                  <c:v>0.67421168466333714</c:v>
                </c:pt>
                <c:pt idx="7">
                  <c:v>0.7165239360488096</c:v>
                </c:pt>
                <c:pt idx="8">
                  <c:v>0.73854574658539784</c:v>
                </c:pt>
                <c:pt idx="9">
                  <c:v>0.81316756409167379</c:v>
                </c:pt>
                <c:pt idx="10">
                  <c:v>0.85639593251639834</c:v>
                </c:pt>
                <c:pt idx="11">
                  <c:v>1.0000000000000002</c:v>
                </c:pt>
              </c:numCache>
            </c:numRef>
          </c:yVal>
          <c:smooth val="1"/>
          <c:extLst>
            <c:ext xmlns:c16="http://schemas.microsoft.com/office/drawing/2014/chart" uri="{C3380CC4-5D6E-409C-BE32-E72D297353CC}">
              <c16:uniqueId val="{00000000-ABCC-4642-9383-4D5BEFFD2614}"/>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ABCC-4642-9383-4D5BEFFD2614}"/>
              </c:ext>
            </c:extLst>
          </c:dPt>
          <c:xVal>
            <c:numRef>
              <c:f>Gini_2013!$H$49:$H$60</c:f>
              <c:numCache>
                <c:formatCode>0.00</c:formatCode>
                <c:ptCount val="12"/>
                <c:pt idx="0">
                  <c:v>0</c:v>
                </c:pt>
                <c:pt idx="1">
                  <c:v>0.32477645291984603</c:v>
                </c:pt>
                <c:pt idx="2">
                  <c:v>0.46322894391063751</c:v>
                </c:pt>
                <c:pt idx="3">
                  <c:v>0.50766008999990531</c:v>
                </c:pt>
                <c:pt idx="4">
                  <c:v>0.65526803603938677</c:v>
                </c:pt>
                <c:pt idx="5">
                  <c:v>0.66903495656897172</c:v>
                </c:pt>
                <c:pt idx="6">
                  <c:v>0.67421168466333714</c:v>
                </c:pt>
                <c:pt idx="7">
                  <c:v>0.7165239360488096</c:v>
                </c:pt>
                <c:pt idx="8">
                  <c:v>0.73854574658539784</c:v>
                </c:pt>
                <c:pt idx="9">
                  <c:v>0.81316756409167379</c:v>
                </c:pt>
                <c:pt idx="10">
                  <c:v>0.85639593251639834</c:v>
                </c:pt>
                <c:pt idx="11">
                  <c:v>1.0000000000000002</c:v>
                </c:pt>
              </c:numCache>
            </c:numRef>
          </c:xVal>
          <c:yVal>
            <c:numRef>
              <c:f>Gini_2013!$G$49:$G$60</c:f>
              <c:numCache>
                <c:formatCode>0.00</c:formatCode>
                <c:ptCount val="12"/>
                <c:pt idx="0">
                  <c:v>0</c:v>
                </c:pt>
                <c:pt idx="1">
                  <c:v>0</c:v>
                </c:pt>
                <c:pt idx="2">
                  <c:v>0</c:v>
                </c:pt>
                <c:pt idx="3">
                  <c:v>0</c:v>
                </c:pt>
                <c:pt idx="4">
                  <c:v>0</c:v>
                </c:pt>
                <c:pt idx="5">
                  <c:v>3.2068255804301324E-5</c:v>
                </c:pt>
                <c:pt idx="6">
                  <c:v>3.3458417124781641E-3</c:v>
                </c:pt>
                <c:pt idx="7">
                  <c:v>1.717071980195822E-2</c:v>
                </c:pt>
                <c:pt idx="8">
                  <c:v>3.7803874906470913E-2</c:v>
                </c:pt>
                <c:pt idx="9">
                  <c:v>0.14914730895077619</c:v>
                </c:pt>
                <c:pt idx="10">
                  <c:v>0.32745344993368375</c:v>
                </c:pt>
                <c:pt idx="11">
                  <c:v>1</c:v>
                </c:pt>
              </c:numCache>
            </c:numRef>
          </c:yVal>
          <c:smooth val="0"/>
          <c:extLst>
            <c:ext xmlns:c16="http://schemas.microsoft.com/office/drawing/2014/chart" uri="{C3380CC4-5D6E-409C-BE32-E72D297353CC}">
              <c16:uniqueId val="{00000002-ABCC-4642-9383-4D5BEFFD2614}"/>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Population</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Available Water</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Gini_2013!$H$70:$H$81</c:f>
              <c:numCache>
                <c:formatCode>0.00</c:formatCode>
                <c:ptCount val="12"/>
                <c:pt idx="0">
                  <c:v>0</c:v>
                </c:pt>
                <c:pt idx="1">
                  <c:v>1.3766920529584977E-2</c:v>
                </c:pt>
                <c:pt idx="2">
                  <c:v>1.8943648623950374E-2</c:v>
                </c:pt>
                <c:pt idx="3">
                  <c:v>4.0965459160538634E-2</c:v>
                </c:pt>
                <c:pt idx="4">
                  <c:v>8.327771054601113E-2</c:v>
                </c:pt>
                <c:pt idx="5">
                  <c:v>0.15789952805228702</c:v>
                </c:pt>
                <c:pt idx="6">
                  <c:v>0.30550747409176843</c:v>
                </c:pt>
                <c:pt idx="7">
                  <c:v>0.34993862018103616</c:v>
                </c:pt>
                <c:pt idx="8">
                  <c:v>0.39316698860576071</c:v>
                </c:pt>
                <c:pt idx="9">
                  <c:v>0.5316194795965522</c:v>
                </c:pt>
                <c:pt idx="10">
                  <c:v>0.85639593251639812</c:v>
                </c:pt>
                <c:pt idx="11">
                  <c:v>0.99999999999999989</c:v>
                </c:pt>
              </c:numCache>
            </c:numRef>
          </c:xVal>
          <c:yVal>
            <c:numRef>
              <c:f>Gini_2013!$H$70:$H$81</c:f>
              <c:numCache>
                <c:formatCode>0.00</c:formatCode>
                <c:ptCount val="12"/>
                <c:pt idx="0">
                  <c:v>0</c:v>
                </c:pt>
                <c:pt idx="1">
                  <c:v>1.3766920529584977E-2</c:v>
                </c:pt>
                <c:pt idx="2">
                  <c:v>1.8943648623950374E-2</c:v>
                </c:pt>
                <c:pt idx="3">
                  <c:v>4.0965459160538634E-2</c:v>
                </c:pt>
                <c:pt idx="4">
                  <c:v>8.327771054601113E-2</c:v>
                </c:pt>
                <c:pt idx="5">
                  <c:v>0.15789952805228702</c:v>
                </c:pt>
                <c:pt idx="6">
                  <c:v>0.30550747409176843</c:v>
                </c:pt>
                <c:pt idx="7">
                  <c:v>0.34993862018103616</c:v>
                </c:pt>
                <c:pt idx="8">
                  <c:v>0.39316698860576071</c:v>
                </c:pt>
                <c:pt idx="9">
                  <c:v>0.5316194795965522</c:v>
                </c:pt>
                <c:pt idx="10">
                  <c:v>0.85639593251639812</c:v>
                </c:pt>
                <c:pt idx="11">
                  <c:v>0.99999999999999989</c:v>
                </c:pt>
              </c:numCache>
            </c:numRef>
          </c:yVal>
          <c:smooth val="1"/>
          <c:extLst>
            <c:ext xmlns:c16="http://schemas.microsoft.com/office/drawing/2014/chart" uri="{C3380CC4-5D6E-409C-BE32-E72D297353CC}">
              <c16:uniqueId val="{00000000-0DED-4B49-9BE8-80135424CDFC}"/>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0DED-4B49-9BE8-80135424CDFC}"/>
              </c:ext>
            </c:extLst>
          </c:dPt>
          <c:xVal>
            <c:numRef>
              <c:f>Gini_2013!$H$70:$H$81</c:f>
              <c:numCache>
                <c:formatCode>0.00</c:formatCode>
                <c:ptCount val="12"/>
                <c:pt idx="0">
                  <c:v>0</c:v>
                </c:pt>
                <c:pt idx="1">
                  <c:v>1.3766920529584977E-2</c:v>
                </c:pt>
                <c:pt idx="2">
                  <c:v>1.8943648623950374E-2</c:v>
                </c:pt>
                <c:pt idx="3">
                  <c:v>4.0965459160538634E-2</c:v>
                </c:pt>
                <c:pt idx="4">
                  <c:v>8.327771054601113E-2</c:v>
                </c:pt>
                <c:pt idx="5">
                  <c:v>0.15789952805228702</c:v>
                </c:pt>
                <c:pt idx="6">
                  <c:v>0.30550747409176843</c:v>
                </c:pt>
                <c:pt idx="7">
                  <c:v>0.34993862018103616</c:v>
                </c:pt>
                <c:pt idx="8">
                  <c:v>0.39316698860576071</c:v>
                </c:pt>
                <c:pt idx="9">
                  <c:v>0.5316194795965522</c:v>
                </c:pt>
                <c:pt idx="10">
                  <c:v>0.85639593251639812</c:v>
                </c:pt>
                <c:pt idx="11">
                  <c:v>0.99999999999999989</c:v>
                </c:pt>
              </c:numCache>
            </c:numRef>
          </c:xVal>
          <c:yVal>
            <c:numRef>
              <c:f>Gini_2013!$G$70:$G$81</c:f>
              <c:numCache>
                <c:formatCode>0.00</c:formatCode>
                <c:ptCount val="12"/>
                <c:pt idx="0">
                  <c:v>0</c:v>
                </c:pt>
                <c:pt idx="1">
                  <c:v>1.5995908765297303E-5</c:v>
                </c:pt>
                <c:pt idx="2">
                  <c:v>1.6689332623057154E-3</c:v>
                </c:pt>
                <c:pt idx="3">
                  <c:v>1.1960920098326402E-2</c:v>
                </c:pt>
                <c:pt idx="4">
                  <c:v>3.2588164925379401E-2</c:v>
                </c:pt>
                <c:pt idx="5">
                  <c:v>8.8127182184581668E-2</c:v>
                </c:pt>
                <c:pt idx="6">
                  <c:v>0.16437193420146751</c:v>
                </c:pt>
                <c:pt idx="7">
                  <c:v>0.24928907507335457</c:v>
                </c:pt>
                <c:pt idx="8">
                  <c:v>0.33822963925184868</c:v>
                </c:pt>
                <c:pt idx="9">
                  <c:v>0.46036578229311598</c:v>
                </c:pt>
                <c:pt idx="10">
                  <c:v>0.6645282699212699</c:v>
                </c:pt>
                <c:pt idx="11">
                  <c:v>1</c:v>
                </c:pt>
              </c:numCache>
            </c:numRef>
          </c:yVal>
          <c:smooth val="0"/>
          <c:extLst>
            <c:ext xmlns:c16="http://schemas.microsoft.com/office/drawing/2014/chart" uri="{C3380CC4-5D6E-409C-BE32-E72D297353CC}">
              <c16:uniqueId val="{00000002-0DED-4B49-9BE8-80135424CDFC}"/>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Population</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total available water</a:t>
                </a:r>
                <a:endParaRPr lang="en-US"/>
              </a:p>
            </c:rich>
          </c:tx>
          <c:layout>
            <c:manualLayout>
              <c:xMode val="edge"/>
              <c:yMode val="edge"/>
              <c:x val="1.6122160326311905E-2"/>
              <c:y val="0.14339278018953905"/>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Gini_2013!$H$94:$H$105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xVal>
          <c:yVal>
            <c:numRef>
              <c:f>Gini_2013!$H$94:$H$105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yVal>
          <c:smooth val="1"/>
          <c:extLst>
            <c:ext xmlns:c16="http://schemas.microsoft.com/office/drawing/2014/chart" uri="{C3380CC4-5D6E-409C-BE32-E72D297353CC}">
              <c16:uniqueId val="{00000000-BF8C-4E18-BF9B-3A1B4B0067BC}"/>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BF8C-4E18-BF9B-3A1B4B0067BC}"/>
              </c:ext>
            </c:extLst>
          </c:dPt>
          <c:xVal>
            <c:numRef>
              <c:f>Gini_2013!$H$178:$H$189</c:f>
              <c:numCache>
                <c:formatCode>0.00</c:formatCode>
                <c:ptCount val="12"/>
                <c:pt idx="0">
                  <c:v>0</c:v>
                </c:pt>
                <c:pt idx="1">
                  <c:v>8.2249727275718124E-2</c:v>
                </c:pt>
                <c:pt idx="2">
                  <c:v>9.0263247322775519E-2</c:v>
                </c:pt>
                <c:pt idx="3">
                  <c:v>9.4581027823807909E-2</c:v>
                </c:pt>
                <c:pt idx="4">
                  <c:v>0.1013971131412383</c:v>
                </c:pt>
                <c:pt idx="5">
                  <c:v>0.10808687676914244</c:v>
                </c:pt>
                <c:pt idx="6">
                  <c:v>0.12427174144854033</c:v>
                </c:pt>
                <c:pt idx="7">
                  <c:v>0.16345651867644251</c:v>
                </c:pt>
                <c:pt idx="8">
                  <c:v>0.24099269172425059</c:v>
                </c:pt>
                <c:pt idx="9">
                  <c:v>0.67926609315684749</c:v>
                </c:pt>
                <c:pt idx="10">
                  <c:v>0.79811612788873898</c:v>
                </c:pt>
                <c:pt idx="11">
                  <c:v>1</c:v>
                </c:pt>
              </c:numCache>
            </c:numRef>
          </c:xVal>
          <c:yVal>
            <c:numRef>
              <c:f>Gini_2013!$G$178:$G$189</c:f>
              <c:numCache>
                <c:formatCode>0.00</c:formatCode>
                <c:ptCount val="12"/>
                <c:pt idx="0">
                  <c:v>0</c:v>
                </c:pt>
                <c:pt idx="1">
                  <c:v>1.4667449147965441E-3</c:v>
                </c:pt>
                <c:pt idx="2">
                  <c:v>7.0765583266390797E-3</c:v>
                </c:pt>
                <c:pt idx="3">
                  <c:v>1.5734655051998361E-2</c:v>
                </c:pt>
                <c:pt idx="4">
                  <c:v>2.727190736576424E-2</c:v>
                </c:pt>
                <c:pt idx="5">
                  <c:v>3.9996291370072504E-2</c:v>
                </c:pt>
                <c:pt idx="6">
                  <c:v>7.8182488561856389E-2</c:v>
                </c:pt>
                <c:pt idx="7">
                  <c:v>0.14567493680569521</c:v>
                </c:pt>
                <c:pt idx="8">
                  <c:v>0.2900492178092855</c:v>
                </c:pt>
                <c:pt idx="9">
                  <c:v>0.45598628933775176</c:v>
                </c:pt>
                <c:pt idx="10">
                  <c:v>0.67426551395055656</c:v>
                </c:pt>
                <c:pt idx="11">
                  <c:v>1</c:v>
                </c:pt>
              </c:numCache>
            </c:numRef>
          </c:yVal>
          <c:smooth val="0"/>
          <c:extLst>
            <c:ext xmlns:c16="http://schemas.microsoft.com/office/drawing/2014/chart" uri="{C3380CC4-5D6E-409C-BE32-E72D297353CC}">
              <c16:uniqueId val="{00000002-BF8C-4E18-BF9B-3A1B4B0067BC}"/>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Precipitation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301861863580613"/>
          <c:y val="0.1566342980154827"/>
          <c:w val="0.54960252622417904"/>
          <c:h val="0.65904922055244786"/>
        </c:manualLayout>
      </c:layout>
      <c:scatterChart>
        <c:scatterStyle val="smoothMarker"/>
        <c:varyColors val="0"/>
        <c:ser>
          <c:idx val="1"/>
          <c:order val="1"/>
          <c:tx>
            <c:v>Equality Line</c:v>
          </c:tx>
          <c:spPr>
            <a:ln w="19050" cap="rnd">
              <a:solidFill>
                <a:schemeClr val="accent2"/>
              </a:solidFill>
              <a:round/>
            </a:ln>
            <a:effectLst/>
          </c:spPr>
          <c:marker>
            <c:symbol val="none"/>
          </c:marker>
          <c:xVal>
            <c:numRef>
              <c:f>Gini_2013!$H$115:$H$126</c:f>
              <c:numCache>
                <c:formatCode>0.00</c:formatCode>
                <c:ptCount val="12"/>
                <c:pt idx="0">
                  <c:v>0</c:v>
                </c:pt>
                <c:pt idx="1">
                  <c:v>8.6508040877704764E-3</c:v>
                </c:pt>
                <c:pt idx="2">
                  <c:v>2.233691110888162E-2</c:v>
                </c:pt>
                <c:pt idx="3">
                  <c:v>4.5534073596056365E-2</c:v>
                </c:pt>
                <c:pt idx="4">
                  <c:v>5.3837159897602418E-2</c:v>
                </c:pt>
                <c:pt idx="5">
                  <c:v>0.11541757062610367</c:v>
                </c:pt>
                <c:pt idx="6">
                  <c:v>0.17846731707242672</c:v>
                </c:pt>
                <c:pt idx="7">
                  <c:v>0.25736713399590871</c:v>
                </c:pt>
                <c:pt idx="8">
                  <c:v>0.38405950424456814</c:v>
                </c:pt>
                <c:pt idx="9">
                  <c:v>0.65743534284662219</c:v>
                </c:pt>
                <c:pt idx="10">
                  <c:v>0.98464491670321019</c:v>
                </c:pt>
                <c:pt idx="11">
                  <c:v>1.0000000000000002</c:v>
                </c:pt>
              </c:numCache>
            </c:numRef>
          </c:xVal>
          <c:yVal>
            <c:numRef>
              <c:f>Gini_2013!$H$115:$H$126</c:f>
              <c:numCache>
                <c:formatCode>0.00</c:formatCode>
                <c:ptCount val="12"/>
                <c:pt idx="0">
                  <c:v>0</c:v>
                </c:pt>
                <c:pt idx="1">
                  <c:v>8.6508040877704764E-3</c:v>
                </c:pt>
                <c:pt idx="2">
                  <c:v>2.233691110888162E-2</c:v>
                </c:pt>
                <c:pt idx="3">
                  <c:v>4.5534073596056365E-2</c:v>
                </c:pt>
                <c:pt idx="4">
                  <c:v>5.3837159897602418E-2</c:v>
                </c:pt>
                <c:pt idx="5">
                  <c:v>0.11541757062610367</c:v>
                </c:pt>
                <c:pt idx="6">
                  <c:v>0.17846731707242672</c:v>
                </c:pt>
                <c:pt idx="7">
                  <c:v>0.25736713399590871</c:v>
                </c:pt>
                <c:pt idx="8">
                  <c:v>0.38405950424456814</c:v>
                </c:pt>
                <c:pt idx="9">
                  <c:v>0.65743534284662219</c:v>
                </c:pt>
                <c:pt idx="10">
                  <c:v>0.98464491670321019</c:v>
                </c:pt>
                <c:pt idx="11">
                  <c:v>1.0000000000000002</c:v>
                </c:pt>
              </c:numCache>
            </c:numRef>
          </c:yVal>
          <c:smooth val="1"/>
          <c:extLst>
            <c:ext xmlns:c16="http://schemas.microsoft.com/office/drawing/2014/chart" uri="{C3380CC4-5D6E-409C-BE32-E72D297353CC}">
              <c16:uniqueId val="{00000000-C287-4645-8314-437B4E4CC827}"/>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C287-4645-8314-437B4E4CC827}"/>
              </c:ext>
            </c:extLst>
          </c:dPt>
          <c:xVal>
            <c:numRef>
              <c:f>Gini_2013!$H$199:$H$210</c:f>
              <c:numCache>
                <c:formatCode>0.00</c:formatCode>
                <c:ptCount val="12"/>
                <c:pt idx="0">
                  <c:v>0</c:v>
                </c:pt>
                <c:pt idx="1">
                  <c:v>8.0135200470573958E-3</c:v>
                </c:pt>
                <c:pt idx="2">
                  <c:v>1.2331300548089792E-2</c:v>
                </c:pt>
                <c:pt idx="3">
                  <c:v>1.9147385865520176E-2</c:v>
                </c:pt>
                <c:pt idx="4">
                  <c:v>2.5837149493424316E-2</c:v>
                </c:pt>
                <c:pt idx="5">
                  <c:v>0.10808687676914244</c:v>
                </c:pt>
                <c:pt idx="6">
                  <c:v>0.12427174144854033</c:v>
                </c:pt>
                <c:pt idx="7">
                  <c:v>0.16345651867644251</c:v>
                </c:pt>
                <c:pt idx="8">
                  <c:v>0.24099269172425059</c:v>
                </c:pt>
                <c:pt idx="9">
                  <c:v>0.35984272645614207</c:v>
                </c:pt>
                <c:pt idx="10">
                  <c:v>0.79811612788873898</c:v>
                </c:pt>
                <c:pt idx="11">
                  <c:v>1</c:v>
                </c:pt>
              </c:numCache>
            </c:numRef>
          </c:xVal>
          <c:yVal>
            <c:numRef>
              <c:f>Gini_2013!$G$199:$G$210</c:f>
              <c:numCache>
                <c:formatCode>0.00</c:formatCode>
                <c:ptCount val="12"/>
                <c:pt idx="0">
                  <c:v>0</c:v>
                </c:pt>
                <c:pt idx="1">
                  <c:v>5.1986633605847219E-3</c:v>
                </c:pt>
                <c:pt idx="2">
                  <c:v>1.2179871728685449E-2</c:v>
                </c:pt>
                <c:pt idx="3">
                  <c:v>2.2397519655285119E-2</c:v>
                </c:pt>
                <c:pt idx="4">
                  <c:v>3.4699551529942432E-2</c:v>
                </c:pt>
                <c:pt idx="5">
                  <c:v>6.3399552572892107E-2</c:v>
                </c:pt>
                <c:pt idx="6">
                  <c:v>9.3285899987994275E-2</c:v>
                </c:pt>
                <c:pt idx="7">
                  <c:v>0.15251714932128388</c:v>
                </c:pt>
                <c:pt idx="8">
                  <c:v>0.29961929450441394</c:v>
                </c:pt>
                <c:pt idx="9">
                  <c:v>0.46559828172337547</c:v>
                </c:pt>
                <c:pt idx="10">
                  <c:v>0.65313383157316818</c:v>
                </c:pt>
                <c:pt idx="11">
                  <c:v>1</c:v>
                </c:pt>
              </c:numCache>
            </c:numRef>
          </c:yVal>
          <c:smooth val="0"/>
          <c:extLst>
            <c:ext xmlns:c16="http://schemas.microsoft.com/office/drawing/2014/chart" uri="{C3380CC4-5D6E-409C-BE32-E72D297353CC}">
              <c16:uniqueId val="{00000002-C287-4645-8314-437B4E4CC827}"/>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ETa</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Gini_2013!$H$136:$H$147</c:f>
              <c:numCache>
                <c:formatCode>0.00</c:formatCode>
                <c:ptCount val="12"/>
                <c:pt idx="0">
                  <c:v>0</c:v>
                </c:pt>
                <c:pt idx="1">
                  <c:v>6.1580410728501248E-2</c:v>
                </c:pt>
                <c:pt idx="2">
                  <c:v>0.38878998458508923</c:v>
                </c:pt>
                <c:pt idx="3">
                  <c:v>0.40414506788187921</c:v>
                </c:pt>
                <c:pt idx="4">
                  <c:v>0.53083743813053863</c:v>
                </c:pt>
                <c:pt idx="5">
                  <c:v>0.53914052443208471</c:v>
                </c:pt>
                <c:pt idx="6">
                  <c:v>0.54779132851985524</c:v>
                </c:pt>
                <c:pt idx="7">
                  <c:v>0.57098849100702997</c:v>
                </c:pt>
                <c:pt idx="8">
                  <c:v>0.58467459802814115</c:v>
                </c:pt>
                <c:pt idx="9">
                  <c:v>0.64772434447446425</c:v>
                </c:pt>
                <c:pt idx="10">
                  <c:v>0.72662416139794628</c:v>
                </c:pt>
                <c:pt idx="11">
                  <c:v>1.0000000000000002</c:v>
                </c:pt>
              </c:numCache>
            </c:numRef>
          </c:xVal>
          <c:yVal>
            <c:numRef>
              <c:f>Gini_2013!$H$136:$H$147</c:f>
              <c:numCache>
                <c:formatCode>0.00</c:formatCode>
                <c:ptCount val="12"/>
                <c:pt idx="0">
                  <c:v>0</c:v>
                </c:pt>
                <c:pt idx="1">
                  <c:v>6.1580410728501248E-2</c:v>
                </c:pt>
                <c:pt idx="2">
                  <c:v>0.38878998458508923</c:v>
                </c:pt>
                <c:pt idx="3">
                  <c:v>0.40414506788187921</c:v>
                </c:pt>
                <c:pt idx="4">
                  <c:v>0.53083743813053863</c:v>
                </c:pt>
                <c:pt idx="5">
                  <c:v>0.53914052443208471</c:v>
                </c:pt>
                <c:pt idx="6">
                  <c:v>0.54779132851985524</c:v>
                </c:pt>
                <c:pt idx="7">
                  <c:v>0.57098849100702997</c:v>
                </c:pt>
                <c:pt idx="8">
                  <c:v>0.58467459802814115</c:v>
                </c:pt>
                <c:pt idx="9">
                  <c:v>0.64772434447446425</c:v>
                </c:pt>
                <c:pt idx="10">
                  <c:v>0.72662416139794628</c:v>
                </c:pt>
                <c:pt idx="11">
                  <c:v>1.0000000000000002</c:v>
                </c:pt>
              </c:numCache>
            </c:numRef>
          </c:yVal>
          <c:smooth val="1"/>
          <c:extLst>
            <c:ext xmlns:c16="http://schemas.microsoft.com/office/drawing/2014/chart" uri="{C3380CC4-5D6E-409C-BE32-E72D297353CC}">
              <c16:uniqueId val="{00000000-0867-41DC-8A60-E8F6D2FFCFCE}"/>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0867-41DC-8A60-E8F6D2FFCFCE}"/>
              </c:ext>
            </c:extLst>
          </c:dPt>
          <c:xVal>
            <c:numRef>
              <c:f>Gini_2013!$H$220:$H$231</c:f>
              <c:numCache>
                <c:formatCode>0.00</c:formatCode>
                <c:ptCount val="12"/>
                <c:pt idx="0">
                  <c:v>0</c:v>
                </c:pt>
                <c:pt idx="1">
                  <c:v>8.2249727275718124E-2</c:v>
                </c:pt>
                <c:pt idx="2">
                  <c:v>0.52052312870831507</c:v>
                </c:pt>
                <c:pt idx="3">
                  <c:v>0.7224070008195761</c:v>
                </c:pt>
                <c:pt idx="4">
                  <c:v>0.79994317386738423</c:v>
                </c:pt>
                <c:pt idx="5">
                  <c:v>0.80663293749528842</c:v>
                </c:pt>
                <c:pt idx="6">
                  <c:v>0.81464645754234577</c:v>
                </c:pt>
                <c:pt idx="7">
                  <c:v>0.82146254285977616</c:v>
                </c:pt>
                <c:pt idx="8">
                  <c:v>0.82578032336080853</c:v>
                </c:pt>
                <c:pt idx="9">
                  <c:v>0.84196518804020648</c:v>
                </c:pt>
                <c:pt idx="10">
                  <c:v>0.88114996526810863</c:v>
                </c:pt>
                <c:pt idx="11">
                  <c:v>1.0000000000000002</c:v>
                </c:pt>
              </c:numCache>
            </c:numRef>
          </c:xVal>
          <c:yVal>
            <c:numRef>
              <c:f>Gini_2013!$G$220:$G$231</c:f>
              <c:numCache>
                <c:formatCode>0.00</c:formatCode>
                <c:ptCount val="12"/>
                <c:pt idx="0">
                  <c:v>0</c:v>
                </c:pt>
                <c:pt idx="1">
                  <c:v>0</c:v>
                </c:pt>
                <c:pt idx="2">
                  <c:v>0</c:v>
                </c:pt>
                <c:pt idx="3">
                  <c:v>0</c:v>
                </c:pt>
                <c:pt idx="4">
                  <c:v>0</c:v>
                </c:pt>
                <c:pt idx="5">
                  <c:v>3.2068255804301324E-5</c:v>
                </c:pt>
                <c:pt idx="6">
                  <c:v>3.3458417124781641E-3</c:v>
                </c:pt>
                <c:pt idx="7">
                  <c:v>1.717071980195822E-2</c:v>
                </c:pt>
                <c:pt idx="8">
                  <c:v>3.7803874906470913E-2</c:v>
                </c:pt>
                <c:pt idx="9">
                  <c:v>0.14914730895077619</c:v>
                </c:pt>
                <c:pt idx="10">
                  <c:v>0.32745344993368375</c:v>
                </c:pt>
                <c:pt idx="11">
                  <c:v>1</c:v>
                </c:pt>
              </c:numCache>
            </c:numRef>
          </c:yVal>
          <c:smooth val="0"/>
          <c:extLst>
            <c:ext xmlns:c16="http://schemas.microsoft.com/office/drawing/2014/chart" uri="{C3380CC4-5D6E-409C-BE32-E72D297353CC}">
              <c16:uniqueId val="{00000002-0867-41DC-8A60-E8F6D2FFCFCE}"/>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Available Water</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Gini_2013!$H$157:$H$168</c:f>
              <c:numCache>
                <c:formatCode>0.00</c:formatCode>
                <c:ptCount val="12"/>
                <c:pt idx="0">
                  <c:v>0</c:v>
                </c:pt>
                <c:pt idx="1">
                  <c:v>8.3030863015460567E-3</c:v>
                </c:pt>
                <c:pt idx="2">
                  <c:v>1.6953890389316533E-2</c:v>
                </c:pt>
                <c:pt idx="3">
                  <c:v>3.0639997410427677E-2</c:v>
                </c:pt>
                <c:pt idx="4">
                  <c:v>5.3837159897602418E-2</c:v>
                </c:pt>
                <c:pt idx="5">
                  <c:v>0.11688690634392547</c:v>
                </c:pt>
                <c:pt idx="6">
                  <c:v>0.24357927659258494</c:v>
                </c:pt>
                <c:pt idx="7">
                  <c:v>0.25893435988937491</c:v>
                </c:pt>
                <c:pt idx="8">
                  <c:v>0.33783417681285688</c:v>
                </c:pt>
                <c:pt idx="9">
                  <c:v>0.66504375066944488</c:v>
                </c:pt>
                <c:pt idx="10">
                  <c:v>0.72662416139794617</c:v>
                </c:pt>
                <c:pt idx="11">
                  <c:v>1.0000000000000002</c:v>
                </c:pt>
              </c:numCache>
            </c:numRef>
          </c:xVal>
          <c:yVal>
            <c:numRef>
              <c:f>Gini_2013!$H$157:$H$168</c:f>
              <c:numCache>
                <c:formatCode>0.00</c:formatCode>
                <c:ptCount val="12"/>
                <c:pt idx="0">
                  <c:v>0</c:v>
                </c:pt>
                <c:pt idx="1">
                  <c:v>8.3030863015460567E-3</c:v>
                </c:pt>
                <c:pt idx="2">
                  <c:v>1.6953890389316533E-2</c:v>
                </c:pt>
                <c:pt idx="3">
                  <c:v>3.0639997410427677E-2</c:v>
                </c:pt>
                <c:pt idx="4">
                  <c:v>5.3837159897602418E-2</c:v>
                </c:pt>
                <c:pt idx="5">
                  <c:v>0.11688690634392547</c:v>
                </c:pt>
                <c:pt idx="6">
                  <c:v>0.24357927659258494</c:v>
                </c:pt>
                <c:pt idx="7">
                  <c:v>0.25893435988937491</c:v>
                </c:pt>
                <c:pt idx="8">
                  <c:v>0.33783417681285688</c:v>
                </c:pt>
                <c:pt idx="9">
                  <c:v>0.66504375066944488</c:v>
                </c:pt>
                <c:pt idx="10">
                  <c:v>0.72662416139794617</c:v>
                </c:pt>
                <c:pt idx="11">
                  <c:v>1.0000000000000002</c:v>
                </c:pt>
              </c:numCache>
            </c:numRef>
          </c:yVal>
          <c:smooth val="1"/>
          <c:extLst>
            <c:ext xmlns:c16="http://schemas.microsoft.com/office/drawing/2014/chart" uri="{C3380CC4-5D6E-409C-BE32-E72D297353CC}">
              <c16:uniqueId val="{00000000-D55D-4834-AA84-6DCD00205343}"/>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D55D-4834-AA84-6DCD00205343}"/>
              </c:ext>
            </c:extLst>
          </c:dPt>
          <c:xVal>
            <c:numRef>
              <c:f>Gini_2013!$H$241:$H$252</c:f>
              <c:numCache>
                <c:formatCode>0.00</c:formatCode>
                <c:ptCount val="12"/>
                <c:pt idx="0">
                  <c:v>0</c:v>
                </c:pt>
                <c:pt idx="1">
                  <c:v>6.6897636279041389E-3</c:v>
                </c:pt>
                <c:pt idx="2">
                  <c:v>1.4703283674961532E-2</c:v>
                </c:pt>
                <c:pt idx="3">
                  <c:v>1.9021064175993925E-2</c:v>
                </c:pt>
                <c:pt idx="4">
                  <c:v>2.5837149493424309E-2</c:v>
                </c:pt>
                <c:pt idx="5">
                  <c:v>4.2022014172822197E-2</c:v>
                </c:pt>
                <c:pt idx="6">
                  <c:v>0.11955818722063027</c:v>
                </c:pt>
                <c:pt idx="7">
                  <c:v>0.32144205933189129</c:v>
                </c:pt>
                <c:pt idx="8">
                  <c:v>0.36062683655979344</c:v>
                </c:pt>
                <c:pt idx="9">
                  <c:v>0.79890023799239029</c:v>
                </c:pt>
                <c:pt idx="10">
                  <c:v>0.8811499652681084</c:v>
                </c:pt>
                <c:pt idx="11">
                  <c:v>0.99999999999999989</c:v>
                </c:pt>
              </c:numCache>
            </c:numRef>
          </c:xVal>
          <c:yVal>
            <c:numRef>
              <c:f>Gini_2013!$G$241:$G$252</c:f>
              <c:numCache>
                <c:formatCode>0.00</c:formatCode>
                <c:ptCount val="12"/>
                <c:pt idx="0">
                  <c:v>0</c:v>
                </c:pt>
                <c:pt idx="1">
                  <c:v>1.5995908765297303E-5</c:v>
                </c:pt>
                <c:pt idx="2">
                  <c:v>1.6689332623057154E-3</c:v>
                </c:pt>
                <c:pt idx="3">
                  <c:v>1.1960920098326402E-2</c:v>
                </c:pt>
                <c:pt idx="4">
                  <c:v>3.2588164925379401E-2</c:v>
                </c:pt>
                <c:pt idx="5">
                  <c:v>8.8127182184581668E-2</c:v>
                </c:pt>
                <c:pt idx="6">
                  <c:v>0.16437193420146751</c:v>
                </c:pt>
                <c:pt idx="7">
                  <c:v>0.24928907507335457</c:v>
                </c:pt>
                <c:pt idx="8">
                  <c:v>0.33822963925184868</c:v>
                </c:pt>
                <c:pt idx="9">
                  <c:v>0.46036578229311598</c:v>
                </c:pt>
                <c:pt idx="10">
                  <c:v>0.6645282699212699</c:v>
                </c:pt>
                <c:pt idx="11">
                  <c:v>1</c:v>
                </c:pt>
              </c:numCache>
            </c:numRef>
          </c:yVal>
          <c:smooth val="0"/>
          <c:extLst>
            <c:ext xmlns:c16="http://schemas.microsoft.com/office/drawing/2014/chart" uri="{C3380CC4-5D6E-409C-BE32-E72D297353CC}">
              <c16:uniqueId val="{00000002-D55D-4834-AA84-6DCD00205343}"/>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 total</a:t>
                </a:r>
                <a:r>
                  <a:rPr lang="en-US" baseline="0"/>
                  <a:t> available water</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 based on population of each country in the basin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Gini_2013!$H$6:$H$17</c:f>
              <c:numCache>
                <c:formatCode>0.00</c:formatCode>
                <c:ptCount val="12"/>
                <c:pt idx="0">
                  <c:v>0</c:v>
                </c:pt>
                <c:pt idx="1">
                  <c:v>0.32477645291984603</c:v>
                </c:pt>
                <c:pt idx="2">
                  <c:v>0.32995318101421145</c:v>
                </c:pt>
                <c:pt idx="3">
                  <c:v>0.3519749915507997</c:v>
                </c:pt>
                <c:pt idx="4">
                  <c:v>0.39428724293627221</c:v>
                </c:pt>
                <c:pt idx="5">
                  <c:v>0.40805416346585721</c:v>
                </c:pt>
                <c:pt idx="6">
                  <c:v>0.4826759809721331</c:v>
                </c:pt>
                <c:pt idx="7">
                  <c:v>0.5259043493968576</c:v>
                </c:pt>
                <c:pt idx="8">
                  <c:v>0.67351229543633906</c:v>
                </c:pt>
                <c:pt idx="9">
                  <c:v>0.81196478642713055</c:v>
                </c:pt>
                <c:pt idx="10">
                  <c:v>0.95556885391073232</c:v>
                </c:pt>
                <c:pt idx="11">
                  <c:v>1</c:v>
                </c:pt>
              </c:numCache>
            </c:numRef>
          </c:xVal>
          <c:yVal>
            <c:numRef>
              <c:f>Gini_2013!$H$6:$H$17</c:f>
              <c:numCache>
                <c:formatCode>0.00</c:formatCode>
                <c:ptCount val="12"/>
                <c:pt idx="0">
                  <c:v>0</c:v>
                </c:pt>
                <c:pt idx="1">
                  <c:v>0.32477645291984603</c:v>
                </c:pt>
                <c:pt idx="2">
                  <c:v>0.32995318101421145</c:v>
                </c:pt>
                <c:pt idx="3">
                  <c:v>0.3519749915507997</c:v>
                </c:pt>
                <c:pt idx="4">
                  <c:v>0.39428724293627221</c:v>
                </c:pt>
                <c:pt idx="5">
                  <c:v>0.40805416346585721</c:v>
                </c:pt>
                <c:pt idx="6">
                  <c:v>0.4826759809721331</c:v>
                </c:pt>
                <c:pt idx="7">
                  <c:v>0.5259043493968576</c:v>
                </c:pt>
                <c:pt idx="8">
                  <c:v>0.67351229543633906</c:v>
                </c:pt>
                <c:pt idx="9">
                  <c:v>0.81196478642713055</c:v>
                </c:pt>
                <c:pt idx="10">
                  <c:v>0.95556885391073232</c:v>
                </c:pt>
                <c:pt idx="11">
                  <c:v>1</c:v>
                </c:pt>
              </c:numCache>
            </c:numRef>
          </c:yVal>
          <c:smooth val="1"/>
          <c:extLst>
            <c:ext xmlns:c16="http://schemas.microsoft.com/office/drawing/2014/chart" uri="{C3380CC4-5D6E-409C-BE32-E72D297353CC}">
              <c16:uniqueId val="{00000000-12FC-4769-A36E-208C0C1DA628}"/>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Precipitation</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12FC-4769-A36E-208C0C1DA628}"/>
              </c:ext>
            </c:extLst>
          </c:dPt>
          <c:xVal>
            <c:numRef>
              <c:f>Gini_2013!$H$6:$H$17</c:f>
              <c:numCache>
                <c:formatCode>0.00</c:formatCode>
                <c:ptCount val="12"/>
                <c:pt idx="0">
                  <c:v>0</c:v>
                </c:pt>
                <c:pt idx="1">
                  <c:v>0.32477645291984603</c:v>
                </c:pt>
                <c:pt idx="2">
                  <c:v>0.32995318101421145</c:v>
                </c:pt>
                <c:pt idx="3">
                  <c:v>0.3519749915507997</c:v>
                </c:pt>
                <c:pt idx="4">
                  <c:v>0.39428724293627221</c:v>
                </c:pt>
                <c:pt idx="5">
                  <c:v>0.40805416346585721</c:v>
                </c:pt>
                <c:pt idx="6">
                  <c:v>0.4826759809721331</c:v>
                </c:pt>
                <c:pt idx="7">
                  <c:v>0.5259043493968576</c:v>
                </c:pt>
                <c:pt idx="8">
                  <c:v>0.67351229543633906</c:v>
                </c:pt>
                <c:pt idx="9">
                  <c:v>0.81196478642713055</c:v>
                </c:pt>
                <c:pt idx="10">
                  <c:v>0.95556885391073232</c:v>
                </c:pt>
                <c:pt idx="11">
                  <c:v>1</c:v>
                </c:pt>
              </c:numCache>
            </c:numRef>
          </c:xVal>
          <c:yVal>
            <c:numRef>
              <c:f>Gini_2013!$G$6:$G$17</c:f>
              <c:numCache>
                <c:formatCode>0.00</c:formatCode>
                <c:ptCount val="12"/>
                <c:pt idx="0">
                  <c:v>0</c:v>
                </c:pt>
                <c:pt idx="1">
                  <c:v>1.4667449147965441E-3</c:v>
                </c:pt>
                <c:pt idx="2">
                  <c:v>7.0765583266390797E-3</c:v>
                </c:pt>
                <c:pt idx="3">
                  <c:v>1.5734655051998361E-2</c:v>
                </c:pt>
                <c:pt idx="4">
                  <c:v>2.727190736576424E-2</c:v>
                </c:pt>
                <c:pt idx="5">
                  <c:v>3.9996291370072504E-2</c:v>
                </c:pt>
                <c:pt idx="6">
                  <c:v>7.8182488561856389E-2</c:v>
                </c:pt>
                <c:pt idx="7">
                  <c:v>0.14567493680569521</c:v>
                </c:pt>
                <c:pt idx="8">
                  <c:v>0.2900492178092855</c:v>
                </c:pt>
                <c:pt idx="9">
                  <c:v>0.45598628933775176</c:v>
                </c:pt>
                <c:pt idx="10">
                  <c:v>0.67426551395055656</c:v>
                </c:pt>
                <c:pt idx="11">
                  <c:v>1</c:v>
                </c:pt>
              </c:numCache>
            </c:numRef>
          </c:yVal>
          <c:smooth val="0"/>
          <c:extLst>
            <c:ext xmlns:c16="http://schemas.microsoft.com/office/drawing/2014/chart" uri="{C3380CC4-5D6E-409C-BE32-E72D297353CC}">
              <c16:uniqueId val="{00000002-12FC-4769-A36E-208C0C1DA628}"/>
            </c:ext>
          </c:extLst>
        </c:ser>
        <c:ser>
          <c:idx val="2"/>
          <c:order val="2"/>
          <c:tx>
            <c:v>ETa</c:v>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Gini_2013!$H$27:$H$38</c:f>
              <c:numCache>
                <c:formatCode>0.00</c:formatCode>
                <c:ptCount val="12"/>
                <c:pt idx="0">
                  <c:v>0</c:v>
                </c:pt>
                <c:pt idx="1">
                  <c:v>5.1767280943653977E-3</c:v>
                </c:pt>
                <c:pt idx="2">
                  <c:v>2.7198538630953666E-2</c:v>
                </c:pt>
                <c:pt idx="3">
                  <c:v>6.9510790016426169E-2</c:v>
                </c:pt>
                <c:pt idx="4">
                  <c:v>8.3277710546011144E-2</c:v>
                </c:pt>
                <c:pt idx="5">
                  <c:v>0.40805416346585716</c:v>
                </c:pt>
                <c:pt idx="6">
                  <c:v>0.48267598097213305</c:v>
                </c:pt>
                <c:pt idx="7">
                  <c:v>0.5259043493968576</c:v>
                </c:pt>
                <c:pt idx="8">
                  <c:v>0.67351229543633906</c:v>
                </c:pt>
                <c:pt idx="9">
                  <c:v>0.81711636291994094</c:v>
                </c:pt>
                <c:pt idx="10">
                  <c:v>0.95556885391073243</c:v>
                </c:pt>
                <c:pt idx="11">
                  <c:v>1.0000000000000002</c:v>
                </c:pt>
              </c:numCache>
            </c:numRef>
          </c:xVal>
          <c:yVal>
            <c:numRef>
              <c:f>Gini_2013!$G$27:$G$38</c:f>
              <c:numCache>
                <c:formatCode>0.00</c:formatCode>
                <c:ptCount val="12"/>
                <c:pt idx="0">
                  <c:v>0</c:v>
                </c:pt>
                <c:pt idx="1">
                  <c:v>5.1986633605847219E-3</c:v>
                </c:pt>
                <c:pt idx="2">
                  <c:v>1.2179871728685449E-2</c:v>
                </c:pt>
                <c:pt idx="3">
                  <c:v>2.2397519655285119E-2</c:v>
                </c:pt>
                <c:pt idx="4">
                  <c:v>3.4699551529942432E-2</c:v>
                </c:pt>
                <c:pt idx="5">
                  <c:v>6.3399552572892107E-2</c:v>
                </c:pt>
                <c:pt idx="6">
                  <c:v>9.3285899987994275E-2</c:v>
                </c:pt>
                <c:pt idx="7">
                  <c:v>0.15251714932128388</c:v>
                </c:pt>
                <c:pt idx="8">
                  <c:v>0.29961929450441394</c:v>
                </c:pt>
                <c:pt idx="9">
                  <c:v>0.46559828172337547</c:v>
                </c:pt>
                <c:pt idx="10">
                  <c:v>0.65313383157316818</c:v>
                </c:pt>
                <c:pt idx="11">
                  <c:v>1</c:v>
                </c:pt>
              </c:numCache>
            </c:numRef>
          </c:yVal>
          <c:smooth val="0"/>
          <c:extLst>
            <c:ext xmlns:c16="http://schemas.microsoft.com/office/drawing/2014/chart" uri="{C3380CC4-5D6E-409C-BE32-E72D297353CC}">
              <c16:uniqueId val="{00000003-12FC-4769-A36E-208C0C1DA628}"/>
            </c:ext>
          </c:extLst>
        </c:ser>
        <c:ser>
          <c:idx val="3"/>
          <c:order val="3"/>
          <c:tx>
            <c:v>Internal AW</c:v>
          </c:tx>
          <c:spPr>
            <a:ln w="19050" cap="rnd">
              <a:solidFill>
                <a:schemeClr val="accent4"/>
              </a:solidFill>
              <a:round/>
            </a:ln>
            <a:effectLst/>
          </c:spPr>
          <c:marker>
            <c:symbol val="circle"/>
            <c:size val="5"/>
            <c:spPr>
              <a:solidFill>
                <a:schemeClr val="accent4"/>
              </a:solidFill>
              <a:ln w="9525">
                <a:solidFill>
                  <a:schemeClr val="accent4"/>
                </a:solidFill>
              </a:ln>
              <a:effectLst/>
            </c:spPr>
          </c:marker>
          <c:xVal>
            <c:numRef>
              <c:f>Gini_2013!$H$49:$H$60</c:f>
              <c:numCache>
                <c:formatCode>0.00</c:formatCode>
                <c:ptCount val="12"/>
                <c:pt idx="0">
                  <c:v>0</c:v>
                </c:pt>
                <c:pt idx="1">
                  <c:v>0.32477645291984603</c:v>
                </c:pt>
                <c:pt idx="2">
                  <c:v>0.46322894391063751</c:v>
                </c:pt>
                <c:pt idx="3">
                  <c:v>0.50766008999990531</c:v>
                </c:pt>
                <c:pt idx="4">
                  <c:v>0.65526803603938677</c:v>
                </c:pt>
                <c:pt idx="5">
                  <c:v>0.66903495656897172</c:v>
                </c:pt>
                <c:pt idx="6">
                  <c:v>0.67421168466333714</c:v>
                </c:pt>
                <c:pt idx="7">
                  <c:v>0.7165239360488096</c:v>
                </c:pt>
                <c:pt idx="8">
                  <c:v>0.73854574658539784</c:v>
                </c:pt>
                <c:pt idx="9">
                  <c:v>0.81316756409167379</c:v>
                </c:pt>
                <c:pt idx="10">
                  <c:v>0.85639593251639834</c:v>
                </c:pt>
                <c:pt idx="11">
                  <c:v>1.0000000000000002</c:v>
                </c:pt>
              </c:numCache>
            </c:numRef>
          </c:xVal>
          <c:yVal>
            <c:numRef>
              <c:f>Gini_2013!$G$49:$G$60</c:f>
              <c:numCache>
                <c:formatCode>0.00</c:formatCode>
                <c:ptCount val="12"/>
                <c:pt idx="0">
                  <c:v>0</c:v>
                </c:pt>
                <c:pt idx="1">
                  <c:v>0</c:v>
                </c:pt>
                <c:pt idx="2">
                  <c:v>0</c:v>
                </c:pt>
                <c:pt idx="3">
                  <c:v>0</c:v>
                </c:pt>
                <c:pt idx="4">
                  <c:v>0</c:v>
                </c:pt>
                <c:pt idx="5">
                  <c:v>3.2068255804301324E-5</c:v>
                </c:pt>
                <c:pt idx="6">
                  <c:v>3.3458417124781641E-3</c:v>
                </c:pt>
                <c:pt idx="7">
                  <c:v>1.717071980195822E-2</c:v>
                </c:pt>
                <c:pt idx="8">
                  <c:v>3.7803874906470913E-2</c:v>
                </c:pt>
                <c:pt idx="9">
                  <c:v>0.14914730895077619</c:v>
                </c:pt>
                <c:pt idx="10">
                  <c:v>0.32745344993368375</c:v>
                </c:pt>
                <c:pt idx="11">
                  <c:v>1</c:v>
                </c:pt>
              </c:numCache>
            </c:numRef>
          </c:yVal>
          <c:smooth val="0"/>
          <c:extLst>
            <c:ext xmlns:c16="http://schemas.microsoft.com/office/drawing/2014/chart" uri="{C3380CC4-5D6E-409C-BE32-E72D297353CC}">
              <c16:uniqueId val="{00000004-12FC-4769-A36E-208C0C1DA628}"/>
            </c:ext>
          </c:extLst>
        </c:ser>
        <c:ser>
          <c:idx val="4"/>
          <c:order val="4"/>
          <c:tx>
            <c:v>Total AW</c:v>
          </c:tx>
          <c:spPr>
            <a:ln w="19050" cap="rnd">
              <a:solidFill>
                <a:schemeClr val="accent5"/>
              </a:solidFill>
              <a:round/>
            </a:ln>
            <a:effectLst/>
          </c:spPr>
          <c:marker>
            <c:symbol val="circle"/>
            <c:size val="5"/>
            <c:spPr>
              <a:solidFill>
                <a:schemeClr val="accent5"/>
              </a:solidFill>
              <a:ln w="9525">
                <a:solidFill>
                  <a:schemeClr val="accent5"/>
                </a:solidFill>
              </a:ln>
              <a:effectLst/>
            </c:spPr>
          </c:marker>
          <c:xVal>
            <c:numRef>
              <c:f>Gini_2013!$H$70:$H$81</c:f>
              <c:numCache>
                <c:formatCode>0.00</c:formatCode>
                <c:ptCount val="12"/>
                <c:pt idx="0">
                  <c:v>0</c:v>
                </c:pt>
                <c:pt idx="1">
                  <c:v>1.3766920529584977E-2</c:v>
                </c:pt>
                <c:pt idx="2">
                  <c:v>1.8943648623950374E-2</c:v>
                </c:pt>
                <c:pt idx="3">
                  <c:v>4.0965459160538634E-2</c:v>
                </c:pt>
                <c:pt idx="4">
                  <c:v>8.327771054601113E-2</c:v>
                </c:pt>
                <c:pt idx="5">
                  <c:v>0.15789952805228702</c:v>
                </c:pt>
                <c:pt idx="6">
                  <c:v>0.30550747409176843</c:v>
                </c:pt>
                <c:pt idx="7">
                  <c:v>0.34993862018103616</c:v>
                </c:pt>
                <c:pt idx="8">
                  <c:v>0.39316698860576071</c:v>
                </c:pt>
                <c:pt idx="9">
                  <c:v>0.5316194795965522</c:v>
                </c:pt>
                <c:pt idx="10">
                  <c:v>0.85639593251639812</c:v>
                </c:pt>
                <c:pt idx="11">
                  <c:v>0.99999999999999989</c:v>
                </c:pt>
              </c:numCache>
            </c:numRef>
          </c:xVal>
          <c:yVal>
            <c:numRef>
              <c:f>Gini_2013!$G$70:$G$81</c:f>
              <c:numCache>
                <c:formatCode>0.00</c:formatCode>
                <c:ptCount val="12"/>
                <c:pt idx="0">
                  <c:v>0</c:v>
                </c:pt>
                <c:pt idx="1">
                  <c:v>1.5995908765297303E-5</c:v>
                </c:pt>
                <c:pt idx="2">
                  <c:v>1.6689332623057154E-3</c:v>
                </c:pt>
                <c:pt idx="3">
                  <c:v>1.1960920098326402E-2</c:v>
                </c:pt>
                <c:pt idx="4">
                  <c:v>3.2588164925379401E-2</c:v>
                </c:pt>
                <c:pt idx="5">
                  <c:v>8.8127182184581668E-2</c:v>
                </c:pt>
                <c:pt idx="6">
                  <c:v>0.16437193420146751</c:v>
                </c:pt>
                <c:pt idx="7">
                  <c:v>0.24928907507335457</c:v>
                </c:pt>
                <c:pt idx="8">
                  <c:v>0.33822963925184868</c:v>
                </c:pt>
                <c:pt idx="9">
                  <c:v>0.46036578229311598</c:v>
                </c:pt>
                <c:pt idx="10">
                  <c:v>0.6645282699212699</c:v>
                </c:pt>
                <c:pt idx="11">
                  <c:v>1</c:v>
                </c:pt>
              </c:numCache>
            </c:numRef>
          </c:yVal>
          <c:smooth val="0"/>
          <c:extLst>
            <c:ext xmlns:c16="http://schemas.microsoft.com/office/drawing/2014/chart" uri="{C3380CC4-5D6E-409C-BE32-E72D297353CC}">
              <c16:uniqueId val="{00000005-12FC-4769-A36E-208C0C1DA628}"/>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Criteria </a:t>
                </a:r>
                <a:endParaRPr lang="en-US"/>
              </a:p>
            </c:rich>
          </c:tx>
          <c:layout>
            <c:manualLayout>
              <c:xMode val="edge"/>
              <c:yMode val="edge"/>
              <c:x val="0.30931893106762737"/>
              <c:y val="0.8987774266708676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variables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 based on cropland area in each country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650902999652733"/>
          <c:y val="0.18478675798830643"/>
          <c:w val="0.64746825356505833"/>
          <c:h val="0.67073597635553017"/>
        </c:manualLayout>
      </c:layout>
      <c:scatterChart>
        <c:scatterStyle val="smoothMarker"/>
        <c:varyColors val="0"/>
        <c:ser>
          <c:idx val="1"/>
          <c:order val="1"/>
          <c:tx>
            <c:v>Equality Line</c:v>
          </c:tx>
          <c:spPr>
            <a:ln w="19050" cap="rnd">
              <a:solidFill>
                <a:schemeClr val="accent2"/>
              </a:solidFill>
              <a:round/>
            </a:ln>
            <a:effectLst/>
          </c:spPr>
          <c:marker>
            <c:symbol val="none"/>
          </c:marker>
          <c:xVal>
            <c:numRef>
              <c:f>Gini_2013!$H$94:$H$105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xVal>
          <c:yVal>
            <c:numRef>
              <c:f>Gini_2013!$H$94:$H$105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yVal>
          <c:smooth val="1"/>
          <c:extLst>
            <c:ext xmlns:c16="http://schemas.microsoft.com/office/drawing/2014/chart" uri="{C3380CC4-5D6E-409C-BE32-E72D297353CC}">
              <c16:uniqueId val="{00000000-BC84-4023-8D40-E5D672C97DA2}"/>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Precipitation</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BC84-4023-8D40-E5D672C97DA2}"/>
              </c:ext>
            </c:extLst>
          </c:dPt>
          <c:xVal>
            <c:numRef>
              <c:f>Gini_2013!$H$94:$H$105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xVal>
          <c:yVal>
            <c:numRef>
              <c:f>Gini_2013!$G$94:$G$105</c:f>
              <c:numCache>
                <c:formatCode>0.00</c:formatCode>
                <c:ptCount val="12"/>
                <c:pt idx="0">
                  <c:v>0</c:v>
                </c:pt>
                <c:pt idx="1">
                  <c:v>1.4667449147965441E-3</c:v>
                </c:pt>
                <c:pt idx="2">
                  <c:v>7.0765583266390797E-3</c:v>
                </c:pt>
                <c:pt idx="3">
                  <c:v>1.5734655051998361E-2</c:v>
                </c:pt>
                <c:pt idx="4">
                  <c:v>2.727190736576424E-2</c:v>
                </c:pt>
                <c:pt idx="5">
                  <c:v>3.9996291370072504E-2</c:v>
                </c:pt>
                <c:pt idx="6">
                  <c:v>7.8182488561856389E-2</c:v>
                </c:pt>
                <c:pt idx="7">
                  <c:v>0.14567493680569521</c:v>
                </c:pt>
                <c:pt idx="8">
                  <c:v>0.2900492178092855</c:v>
                </c:pt>
                <c:pt idx="9">
                  <c:v>0.45598628933775176</c:v>
                </c:pt>
                <c:pt idx="10">
                  <c:v>0.67426551395055656</c:v>
                </c:pt>
                <c:pt idx="11">
                  <c:v>1</c:v>
                </c:pt>
              </c:numCache>
            </c:numRef>
          </c:yVal>
          <c:smooth val="0"/>
          <c:extLst>
            <c:ext xmlns:c16="http://schemas.microsoft.com/office/drawing/2014/chart" uri="{C3380CC4-5D6E-409C-BE32-E72D297353CC}">
              <c16:uniqueId val="{00000002-BC84-4023-8D40-E5D672C97DA2}"/>
            </c:ext>
          </c:extLst>
        </c:ser>
        <c:ser>
          <c:idx val="2"/>
          <c:order val="2"/>
          <c:tx>
            <c:v>ETa</c:v>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Gini_2013!$H$115:$H$126</c:f>
              <c:numCache>
                <c:formatCode>0.00</c:formatCode>
                <c:ptCount val="12"/>
                <c:pt idx="0">
                  <c:v>0</c:v>
                </c:pt>
                <c:pt idx="1">
                  <c:v>8.6508040877704764E-3</c:v>
                </c:pt>
                <c:pt idx="2">
                  <c:v>2.233691110888162E-2</c:v>
                </c:pt>
                <c:pt idx="3">
                  <c:v>4.5534073596056365E-2</c:v>
                </c:pt>
                <c:pt idx="4">
                  <c:v>5.3837159897602418E-2</c:v>
                </c:pt>
                <c:pt idx="5">
                  <c:v>0.11541757062610367</c:v>
                </c:pt>
                <c:pt idx="6">
                  <c:v>0.17846731707242672</c:v>
                </c:pt>
                <c:pt idx="7">
                  <c:v>0.25736713399590871</c:v>
                </c:pt>
                <c:pt idx="8">
                  <c:v>0.38405950424456814</c:v>
                </c:pt>
                <c:pt idx="9">
                  <c:v>0.65743534284662219</c:v>
                </c:pt>
                <c:pt idx="10">
                  <c:v>0.98464491670321019</c:v>
                </c:pt>
                <c:pt idx="11">
                  <c:v>1.0000000000000002</c:v>
                </c:pt>
              </c:numCache>
            </c:numRef>
          </c:xVal>
          <c:yVal>
            <c:numRef>
              <c:f>Gini_2013!$G$115:$G$126</c:f>
              <c:numCache>
                <c:formatCode>0.00</c:formatCode>
                <c:ptCount val="12"/>
                <c:pt idx="0">
                  <c:v>0</c:v>
                </c:pt>
                <c:pt idx="1">
                  <c:v>5.1986633605847219E-3</c:v>
                </c:pt>
                <c:pt idx="2">
                  <c:v>1.2179871728685449E-2</c:v>
                </c:pt>
                <c:pt idx="3">
                  <c:v>2.2397519655285119E-2</c:v>
                </c:pt>
                <c:pt idx="4">
                  <c:v>3.4699551529942432E-2</c:v>
                </c:pt>
                <c:pt idx="5">
                  <c:v>6.3399552572892107E-2</c:v>
                </c:pt>
                <c:pt idx="6">
                  <c:v>9.3285899987994275E-2</c:v>
                </c:pt>
                <c:pt idx="7">
                  <c:v>0.15251714932128388</c:v>
                </c:pt>
                <c:pt idx="8">
                  <c:v>0.29961929450441394</c:v>
                </c:pt>
                <c:pt idx="9">
                  <c:v>0.46559828172337547</c:v>
                </c:pt>
                <c:pt idx="10">
                  <c:v>0.65313383157316818</c:v>
                </c:pt>
                <c:pt idx="11">
                  <c:v>1</c:v>
                </c:pt>
              </c:numCache>
            </c:numRef>
          </c:yVal>
          <c:smooth val="0"/>
          <c:extLst>
            <c:ext xmlns:c16="http://schemas.microsoft.com/office/drawing/2014/chart" uri="{C3380CC4-5D6E-409C-BE32-E72D297353CC}">
              <c16:uniqueId val="{00000003-BC84-4023-8D40-E5D672C97DA2}"/>
            </c:ext>
          </c:extLst>
        </c:ser>
        <c:ser>
          <c:idx val="3"/>
          <c:order val="3"/>
          <c:tx>
            <c:v>Internal AW</c:v>
          </c:tx>
          <c:spPr>
            <a:ln w="19050" cap="rnd">
              <a:solidFill>
                <a:schemeClr val="accent4"/>
              </a:solidFill>
              <a:round/>
            </a:ln>
            <a:effectLst/>
          </c:spPr>
          <c:marker>
            <c:symbol val="circle"/>
            <c:size val="5"/>
            <c:spPr>
              <a:solidFill>
                <a:schemeClr val="accent4"/>
              </a:solidFill>
              <a:ln w="9525">
                <a:solidFill>
                  <a:schemeClr val="accent4"/>
                </a:solidFill>
              </a:ln>
              <a:effectLst/>
            </c:spPr>
          </c:marker>
          <c:xVal>
            <c:numRef>
              <c:f>Gini_2013!$H$136:$H$147</c:f>
              <c:numCache>
                <c:formatCode>0.00</c:formatCode>
                <c:ptCount val="12"/>
                <c:pt idx="0">
                  <c:v>0</c:v>
                </c:pt>
                <c:pt idx="1">
                  <c:v>6.1580410728501248E-2</c:v>
                </c:pt>
                <c:pt idx="2">
                  <c:v>0.38878998458508923</c:v>
                </c:pt>
                <c:pt idx="3">
                  <c:v>0.40414506788187921</c:v>
                </c:pt>
                <c:pt idx="4">
                  <c:v>0.53083743813053863</c:v>
                </c:pt>
                <c:pt idx="5">
                  <c:v>0.53914052443208471</c:v>
                </c:pt>
                <c:pt idx="6">
                  <c:v>0.54779132851985524</c:v>
                </c:pt>
                <c:pt idx="7">
                  <c:v>0.57098849100702997</c:v>
                </c:pt>
                <c:pt idx="8">
                  <c:v>0.58467459802814115</c:v>
                </c:pt>
                <c:pt idx="9">
                  <c:v>0.64772434447446425</c:v>
                </c:pt>
                <c:pt idx="10">
                  <c:v>0.72662416139794628</c:v>
                </c:pt>
                <c:pt idx="11">
                  <c:v>1.0000000000000002</c:v>
                </c:pt>
              </c:numCache>
            </c:numRef>
          </c:xVal>
          <c:yVal>
            <c:numRef>
              <c:f>Gini_2013!$G$136:$G$147</c:f>
              <c:numCache>
                <c:formatCode>0.00</c:formatCode>
                <c:ptCount val="12"/>
                <c:pt idx="0">
                  <c:v>0</c:v>
                </c:pt>
                <c:pt idx="1">
                  <c:v>0</c:v>
                </c:pt>
                <c:pt idx="2">
                  <c:v>0</c:v>
                </c:pt>
                <c:pt idx="3">
                  <c:v>0</c:v>
                </c:pt>
                <c:pt idx="4">
                  <c:v>0</c:v>
                </c:pt>
                <c:pt idx="5">
                  <c:v>3.2068255804301324E-5</c:v>
                </c:pt>
                <c:pt idx="6">
                  <c:v>3.3458417124781641E-3</c:v>
                </c:pt>
                <c:pt idx="7">
                  <c:v>1.717071980195822E-2</c:v>
                </c:pt>
                <c:pt idx="8">
                  <c:v>3.7803874906470913E-2</c:v>
                </c:pt>
                <c:pt idx="9">
                  <c:v>0.14914730895077619</c:v>
                </c:pt>
                <c:pt idx="10">
                  <c:v>0.32745344993368375</c:v>
                </c:pt>
                <c:pt idx="11">
                  <c:v>1</c:v>
                </c:pt>
              </c:numCache>
            </c:numRef>
          </c:yVal>
          <c:smooth val="0"/>
          <c:extLst>
            <c:ext xmlns:c16="http://schemas.microsoft.com/office/drawing/2014/chart" uri="{C3380CC4-5D6E-409C-BE32-E72D297353CC}">
              <c16:uniqueId val="{00000004-BC84-4023-8D40-E5D672C97DA2}"/>
            </c:ext>
          </c:extLst>
        </c:ser>
        <c:ser>
          <c:idx val="4"/>
          <c:order val="4"/>
          <c:tx>
            <c:v>Total AW</c:v>
          </c:tx>
          <c:spPr>
            <a:ln w="19050" cap="rnd">
              <a:solidFill>
                <a:schemeClr val="accent5"/>
              </a:solidFill>
              <a:round/>
            </a:ln>
            <a:effectLst/>
          </c:spPr>
          <c:marker>
            <c:symbol val="circle"/>
            <c:size val="5"/>
            <c:spPr>
              <a:solidFill>
                <a:schemeClr val="accent5"/>
              </a:solidFill>
              <a:ln w="9525">
                <a:solidFill>
                  <a:schemeClr val="accent5"/>
                </a:solidFill>
              </a:ln>
              <a:effectLst/>
            </c:spPr>
          </c:marker>
          <c:xVal>
            <c:numRef>
              <c:f>Gini_2013!$H$157:$H$168</c:f>
              <c:numCache>
                <c:formatCode>0.00</c:formatCode>
                <c:ptCount val="12"/>
                <c:pt idx="0">
                  <c:v>0</c:v>
                </c:pt>
                <c:pt idx="1">
                  <c:v>8.3030863015460567E-3</c:v>
                </c:pt>
                <c:pt idx="2">
                  <c:v>1.6953890389316533E-2</c:v>
                </c:pt>
                <c:pt idx="3">
                  <c:v>3.0639997410427677E-2</c:v>
                </c:pt>
                <c:pt idx="4">
                  <c:v>5.3837159897602418E-2</c:v>
                </c:pt>
                <c:pt idx="5">
                  <c:v>0.11688690634392547</c:v>
                </c:pt>
                <c:pt idx="6">
                  <c:v>0.24357927659258494</c:v>
                </c:pt>
                <c:pt idx="7">
                  <c:v>0.25893435988937491</c:v>
                </c:pt>
                <c:pt idx="8">
                  <c:v>0.33783417681285688</c:v>
                </c:pt>
                <c:pt idx="9">
                  <c:v>0.66504375066944488</c:v>
                </c:pt>
                <c:pt idx="10">
                  <c:v>0.72662416139794617</c:v>
                </c:pt>
                <c:pt idx="11">
                  <c:v>1.0000000000000002</c:v>
                </c:pt>
              </c:numCache>
            </c:numRef>
          </c:xVal>
          <c:yVal>
            <c:numRef>
              <c:f>Gini_2013!$G$157:$G$168</c:f>
              <c:numCache>
                <c:formatCode>0.00</c:formatCode>
                <c:ptCount val="12"/>
                <c:pt idx="0">
                  <c:v>0</c:v>
                </c:pt>
                <c:pt idx="1">
                  <c:v>1.5995908765297303E-5</c:v>
                </c:pt>
                <c:pt idx="2">
                  <c:v>1.6689332623057154E-3</c:v>
                </c:pt>
                <c:pt idx="3">
                  <c:v>1.1960920098326402E-2</c:v>
                </c:pt>
                <c:pt idx="4">
                  <c:v>3.2588164925379401E-2</c:v>
                </c:pt>
                <c:pt idx="5">
                  <c:v>8.8127182184581668E-2</c:v>
                </c:pt>
                <c:pt idx="6">
                  <c:v>0.16437193420146751</c:v>
                </c:pt>
                <c:pt idx="7">
                  <c:v>0.24928907507335457</c:v>
                </c:pt>
                <c:pt idx="8">
                  <c:v>0.33822963925184868</c:v>
                </c:pt>
                <c:pt idx="9">
                  <c:v>0.46036578229311598</c:v>
                </c:pt>
                <c:pt idx="10">
                  <c:v>0.6645282699212699</c:v>
                </c:pt>
                <c:pt idx="11">
                  <c:v>1</c:v>
                </c:pt>
              </c:numCache>
            </c:numRef>
          </c:yVal>
          <c:smooth val="0"/>
          <c:extLst>
            <c:ext xmlns:c16="http://schemas.microsoft.com/office/drawing/2014/chart" uri="{C3380CC4-5D6E-409C-BE32-E72D297353CC}">
              <c16:uniqueId val="{00000005-BC84-4023-8D40-E5D672C97DA2}"/>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t>
                </a:r>
                <a:r>
                  <a:rPr lang="en-US" sz="1000" b="0" i="0" u="none" strike="noStrike" baseline="0">
                    <a:effectLst/>
                  </a:rPr>
                  <a:t>Criteria</a:t>
                </a:r>
                <a:endParaRPr lang="en-US" baseline="0"/>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variables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 based on area of each country in the basin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457098300252266"/>
          <c:y val="0.16423456145227788"/>
          <c:w val="0.69762923864608828"/>
          <c:h val="0.66127160527769036"/>
        </c:manualLayout>
      </c:layout>
      <c:scatterChart>
        <c:scatterStyle val="smoothMarker"/>
        <c:varyColors val="0"/>
        <c:ser>
          <c:idx val="1"/>
          <c:order val="1"/>
          <c:tx>
            <c:v>Equality Line</c:v>
          </c:tx>
          <c:spPr>
            <a:ln w="19050" cap="rnd">
              <a:solidFill>
                <a:schemeClr val="accent2"/>
              </a:solidFill>
              <a:round/>
            </a:ln>
            <a:effectLst/>
          </c:spPr>
          <c:marker>
            <c:symbol val="none"/>
          </c:marker>
          <c:xVal>
            <c:numRef>
              <c:f>Gini_2013!$H$94:$H$105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xVal>
          <c:yVal>
            <c:numRef>
              <c:f>Gini_2013!$H$94:$H$105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yVal>
          <c:smooth val="1"/>
          <c:extLst>
            <c:ext xmlns:c16="http://schemas.microsoft.com/office/drawing/2014/chart" uri="{C3380CC4-5D6E-409C-BE32-E72D297353CC}">
              <c16:uniqueId val="{00000000-7CB9-4ECE-9087-C8E08251A346}"/>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Precipitation</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7CB9-4ECE-9087-C8E08251A346}"/>
              </c:ext>
            </c:extLst>
          </c:dPt>
          <c:xVal>
            <c:numRef>
              <c:f>Gini_2013!$H$178:$H$189</c:f>
              <c:numCache>
                <c:formatCode>0.00</c:formatCode>
                <c:ptCount val="12"/>
                <c:pt idx="0">
                  <c:v>0</c:v>
                </c:pt>
                <c:pt idx="1">
                  <c:v>8.2249727275718124E-2</c:v>
                </c:pt>
                <c:pt idx="2">
                  <c:v>9.0263247322775519E-2</c:v>
                </c:pt>
                <c:pt idx="3">
                  <c:v>9.4581027823807909E-2</c:v>
                </c:pt>
                <c:pt idx="4">
                  <c:v>0.1013971131412383</c:v>
                </c:pt>
                <c:pt idx="5">
                  <c:v>0.10808687676914244</c:v>
                </c:pt>
                <c:pt idx="6">
                  <c:v>0.12427174144854033</c:v>
                </c:pt>
                <c:pt idx="7">
                  <c:v>0.16345651867644251</c:v>
                </c:pt>
                <c:pt idx="8">
                  <c:v>0.24099269172425059</c:v>
                </c:pt>
                <c:pt idx="9">
                  <c:v>0.67926609315684749</c:v>
                </c:pt>
                <c:pt idx="10">
                  <c:v>0.79811612788873898</c:v>
                </c:pt>
                <c:pt idx="11">
                  <c:v>1</c:v>
                </c:pt>
              </c:numCache>
            </c:numRef>
          </c:xVal>
          <c:yVal>
            <c:numRef>
              <c:f>Gini_2013!$G$178:$G$189</c:f>
              <c:numCache>
                <c:formatCode>0.00</c:formatCode>
                <c:ptCount val="12"/>
                <c:pt idx="0">
                  <c:v>0</c:v>
                </c:pt>
                <c:pt idx="1">
                  <c:v>1.4667449147965441E-3</c:v>
                </c:pt>
                <c:pt idx="2">
                  <c:v>7.0765583266390797E-3</c:v>
                </c:pt>
                <c:pt idx="3">
                  <c:v>1.5734655051998361E-2</c:v>
                </c:pt>
                <c:pt idx="4">
                  <c:v>2.727190736576424E-2</c:v>
                </c:pt>
                <c:pt idx="5">
                  <c:v>3.9996291370072504E-2</c:v>
                </c:pt>
                <c:pt idx="6">
                  <c:v>7.8182488561856389E-2</c:v>
                </c:pt>
                <c:pt idx="7">
                  <c:v>0.14567493680569521</c:v>
                </c:pt>
                <c:pt idx="8">
                  <c:v>0.2900492178092855</c:v>
                </c:pt>
                <c:pt idx="9">
                  <c:v>0.45598628933775176</c:v>
                </c:pt>
                <c:pt idx="10">
                  <c:v>0.67426551395055656</c:v>
                </c:pt>
                <c:pt idx="11">
                  <c:v>1</c:v>
                </c:pt>
              </c:numCache>
            </c:numRef>
          </c:yVal>
          <c:smooth val="0"/>
          <c:extLst>
            <c:ext xmlns:c16="http://schemas.microsoft.com/office/drawing/2014/chart" uri="{C3380CC4-5D6E-409C-BE32-E72D297353CC}">
              <c16:uniqueId val="{00000002-7CB9-4ECE-9087-C8E08251A346}"/>
            </c:ext>
          </c:extLst>
        </c:ser>
        <c:ser>
          <c:idx val="2"/>
          <c:order val="2"/>
          <c:tx>
            <c:v>ETa</c:v>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Gini_2013!$H$199:$H$210</c:f>
              <c:numCache>
                <c:formatCode>0.00</c:formatCode>
                <c:ptCount val="12"/>
                <c:pt idx="0">
                  <c:v>0</c:v>
                </c:pt>
                <c:pt idx="1">
                  <c:v>8.0135200470573958E-3</c:v>
                </c:pt>
                <c:pt idx="2">
                  <c:v>1.2331300548089792E-2</c:v>
                </c:pt>
                <c:pt idx="3">
                  <c:v>1.9147385865520176E-2</c:v>
                </c:pt>
                <c:pt idx="4">
                  <c:v>2.5837149493424316E-2</c:v>
                </c:pt>
                <c:pt idx="5">
                  <c:v>0.10808687676914244</c:v>
                </c:pt>
                <c:pt idx="6">
                  <c:v>0.12427174144854033</c:v>
                </c:pt>
                <c:pt idx="7">
                  <c:v>0.16345651867644251</c:v>
                </c:pt>
                <c:pt idx="8">
                  <c:v>0.24099269172425059</c:v>
                </c:pt>
                <c:pt idx="9">
                  <c:v>0.35984272645614207</c:v>
                </c:pt>
                <c:pt idx="10">
                  <c:v>0.79811612788873898</c:v>
                </c:pt>
                <c:pt idx="11">
                  <c:v>1</c:v>
                </c:pt>
              </c:numCache>
            </c:numRef>
          </c:xVal>
          <c:yVal>
            <c:numRef>
              <c:f>Gini_2013!$G$199:$G$210</c:f>
              <c:numCache>
                <c:formatCode>0.00</c:formatCode>
                <c:ptCount val="12"/>
                <c:pt idx="0">
                  <c:v>0</c:v>
                </c:pt>
                <c:pt idx="1">
                  <c:v>5.1986633605847219E-3</c:v>
                </c:pt>
                <c:pt idx="2">
                  <c:v>1.2179871728685449E-2</c:v>
                </c:pt>
                <c:pt idx="3">
                  <c:v>2.2397519655285119E-2</c:v>
                </c:pt>
                <c:pt idx="4">
                  <c:v>3.4699551529942432E-2</c:v>
                </c:pt>
                <c:pt idx="5">
                  <c:v>6.3399552572892107E-2</c:v>
                </c:pt>
                <c:pt idx="6">
                  <c:v>9.3285899987994275E-2</c:v>
                </c:pt>
                <c:pt idx="7">
                  <c:v>0.15251714932128388</c:v>
                </c:pt>
                <c:pt idx="8">
                  <c:v>0.29961929450441394</c:v>
                </c:pt>
                <c:pt idx="9">
                  <c:v>0.46559828172337547</c:v>
                </c:pt>
                <c:pt idx="10">
                  <c:v>0.65313383157316818</c:v>
                </c:pt>
                <c:pt idx="11">
                  <c:v>1</c:v>
                </c:pt>
              </c:numCache>
            </c:numRef>
          </c:yVal>
          <c:smooth val="0"/>
          <c:extLst>
            <c:ext xmlns:c16="http://schemas.microsoft.com/office/drawing/2014/chart" uri="{C3380CC4-5D6E-409C-BE32-E72D297353CC}">
              <c16:uniqueId val="{00000003-7CB9-4ECE-9087-C8E08251A346}"/>
            </c:ext>
          </c:extLst>
        </c:ser>
        <c:ser>
          <c:idx val="3"/>
          <c:order val="3"/>
          <c:tx>
            <c:v>Internal AW</c:v>
          </c:tx>
          <c:spPr>
            <a:ln w="19050" cap="rnd">
              <a:solidFill>
                <a:schemeClr val="accent4"/>
              </a:solidFill>
              <a:round/>
            </a:ln>
            <a:effectLst/>
          </c:spPr>
          <c:marker>
            <c:symbol val="circle"/>
            <c:size val="5"/>
            <c:spPr>
              <a:solidFill>
                <a:schemeClr val="accent4"/>
              </a:solidFill>
              <a:ln w="9525">
                <a:solidFill>
                  <a:schemeClr val="accent4"/>
                </a:solidFill>
              </a:ln>
              <a:effectLst/>
            </c:spPr>
          </c:marker>
          <c:xVal>
            <c:numRef>
              <c:f>Gini_2013!$H$220:$H$231</c:f>
              <c:numCache>
                <c:formatCode>0.00</c:formatCode>
                <c:ptCount val="12"/>
                <c:pt idx="0">
                  <c:v>0</c:v>
                </c:pt>
                <c:pt idx="1">
                  <c:v>8.2249727275718124E-2</c:v>
                </c:pt>
                <c:pt idx="2">
                  <c:v>0.52052312870831507</c:v>
                </c:pt>
                <c:pt idx="3">
                  <c:v>0.7224070008195761</c:v>
                </c:pt>
                <c:pt idx="4">
                  <c:v>0.79994317386738423</c:v>
                </c:pt>
                <c:pt idx="5">
                  <c:v>0.80663293749528842</c:v>
                </c:pt>
                <c:pt idx="6">
                  <c:v>0.81464645754234577</c:v>
                </c:pt>
                <c:pt idx="7">
                  <c:v>0.82146254285977616</c:v>
                </c:pt>
                <c:pt idx="8">
                  <c:v>0.82578032336080853</c:v>
                </c:pt>
                <c:pt idx="9">
                  <c:v>0.84196518804020648</c:v>
                </c:pt>
                <c:pt idx="10">
                  <c:v>0.88114996526810863</c:v>
                </c:pt>
                <c:pt idx="11">
                  <c:v>1.0000000000000002</c:v>
                </c:pt>
              </c:numCache>
            </c:numRef>
          </c:xVal>
          <c:yVal>
            <c:numRef>
              <c:f>Gini_2013!$G$220:$G$231</c:f>
              <c:numCache>
                <c:formatCode>0.00</c:formatCode>
                <c:ptCount val="12"/>
                <c:pt idx="0">
                  <c:v>0</c:v>
                </c:pt>
                <c:pt idx="1">
                  <c:v>0</c:v>
                </c:pt>
                <c:pt idx="2">
                  <c:v>0</c:v>
                </c:pt>
                <c:pt idx="3">
                  <c:v>0</c:v>
                </c:pt>
                <c:pt idx="4">
                  <c:v>0</c:v>
                </c:pt>
                <c:pt idx="5">
                  <c:v>3.2068255804301324E-5</c:v>
                </c:pt>
                <c:pt idx="6">
                  <c:v>3.3458417124781641E-3</c:v>
                </c:pt>
                <c:pt idx="7">
                  <c:v>1.717071980195822E-2</c:v>
                </c:pt>
                <c:pt idx="8">
                  <c:v>3.7803874906470913E-2</c:v>
                </c:pt>
                <c:pt idx="9">
                  <c:v>0.14914730895077619</c:v>
                </c:pt>
                <c:pt idx="10">
                  <c:v>0.32745344993368375</c:v>
                </c:pt>
                <c:pt idx="11">
                  <c:v>1</c:v>
                </c:pt>
              </c:numCache>
            </c:numRef>
          </c:yVal>
          <c:smooth val="0"/>
          <c:extLst>
            <c:ext xmlns:c16="http://schemas.microsoft.com/office/drawing/2014/chart" uri="{C3380CC4-5D6E-409C-BE32-E72D297353CC}">
              <c16:uniqueId val="{00000004-7CB9-4ECE-9087-C8E08251A346}"/>
            </c:ext>
          </c:extLst>
        </c:ser>
        <c:ser>
          <c:idx val="4"/>
          <c:order val="4"/>
          <c:tx>
            <c:v>Total AW</c:v>
          </c:tx>
          <c:spPr>
            <a:ln w="19050" cap="rnd">
              <a:solidFill>
                <a:schemeClr val="accent5"/>
              </a:solidFill>
              <a:round/>
            </a:ln>
            <a:effectLst/>
          </c:spPr>
          <c:marker>
            <c:symbol val="circle"/>
            <c:size val="5"/>
            <c:spPr>
              <a:solidFill>
                <a:schemeClr val="accent5"/>
              </a:solidFill>
              <a:ln w="9525">
                <a:solidFill>
                  <a:schemeClr val="accent5"/>
                </a:solidFill>
              </a:ln>
              <a:effectLst/>
            </c:spPr>
          </c:marker>
          <c:xVal>
            <c:numRef>
              <c:f>Gini_2013!$H$241:$H$252</c:f>
              <c:numCache>
                <c:formatCode>0.00</c:formatCode>
                <c:ptCount val="12"/>
                <c:pt idx="0">
                  <c:v>0</c:v>
                </c:pt>
                <c:pt idx="1">
                  <c:v>6.6897636279041389E-3</c:v>
                </c:pt>
                <c:pt idx="2">
                  <c:v>1.4703283674961532E-2</c:v>
                </c:pt>
                <c:pt idx="3">
                  <c:v>1.9021064175993925E-2</c:v>
                </c:pt>
                <c:pt idx="4">
                  <c:v>2.5837149493424309E-2</c:v>
                </c:pt>
                <c:pt idx="5">
                  <c:v>4.2022014172822197E-2</c:v>
                </c:pt>
                <c:pt idx="6">
                  <c:v>0.11955818722063027</c:v>
                </c:pt>
                <c:pt idx="7">
                  <c:v>0.32144205933189129</c:v>
                </c:pt>
                <c:pt idx="8">
                  <c:v>0.36062683655979344</c:v>
                </c:pt>
                <c:pt idx="9">
                  <c:v>0.79890023799239029</c:v>
                </c:pt>
                <c:pt idx="10">
                  <c:v>0.8811499652681084</c:v>
                </c:pt>
                <c:pt idx="11">
                  <c:v>0.99999999999999989</c:v>
                </c:pt>
              </c:numCache>
            </c:numRef>
          </c:xVal>
          <c:yVal>
            <c:numRef>
              <c:f>Gini_2013!$G$241:$G$252</c:f>
              <c:numCache>
                <c:formatCode>0.00</c:formatCode>
                <c:ptCount val="12"/>
                <c:pt idx="0">
                  <c:v>0</c:v>
                </c:pt>
                <c:pt idx="1">
                  <c:v>1.5995908765297303E-5</c:v>
                </c:pt>
                <c:pt idx="2">
                  <c:v>1.6689332623057154E-3</c:v>
                </c:pt>
                <c:pt idx="3">
                  <c:v>1.1960920098326402E-2</c:v>
                </c:pt>
                <c:pt idx="4">
                  <c:v>3.2588164925379401E-2</c:v>
                </c:pt>
                <c:pt idx="5">
                  <c:v>8.8127182184581668E-2</c:v>
                </c:pt>
                <c:pt idx="6">
                  <c:v>0.16437193420146751</c:v>
                </c:pt>
                <c:pt idx="7">
                  <c:v>0.24928907507335457</c:v>
                </c:pt>
                <c:pt idx="8">
                  <c:v>0.33822963925184868</c:v>
                </c:pt>
                <c:pt idx="9">
                  <c:v>0.46036578229311598</c:v>
                </c:pt>
                <c:pt idx="10">
                  <c:v>0.6645282699212699</c:v>
                </c:pt>
                <c:pt idx="11">
                  <c:v>1</c:v>
                </c:pt>
              </c:numCache>
            </c:numRef>
          </c:yVal>
          <c:smooth val="0"/>
          <c:extLst>
            <c:ext xmlns:c16="http://schemas.microsoft.com/office/drawing/2014/chart" uri="{C3380CC4-5D6E-409C-BE32-E72D297353CC}">
              <c16:uniqueId val="{00000005-7CB9-4ECE-9087-C8E08251A346}"/>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t>
                </a:r>
                <a:r>
                  <a:rPr lang="en-US" sz="1000" b="0" i="0" u="none" strike="noStrike" baseline="0">
                    <a:effectLst/>
                  </a:rPr>
                  <a:t>Criteria</a:t>
                </a:r>
                <a:endParaRPr lang="en-US" baseline="0"/>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variables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layout>
        <c:manualLayout>
          <c:xMode val="edge"/>
          <c:yMode val="edge"/>
          <c:x val="0.81944879380053437"/>
          <c:y val="0.38221744320590534"/>
          <c:w val="0.18021896777407129"/>
          <c:h val="0.349143219407329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Gini_2014!$H$94:$H$105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xVal>
          <c:yVal>
            <c:numRef>
              <c:f>Gini_2014!$H$94:$H$105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yVal>
          <c:smooth val="1"/>
          <c:extLst>
            <c:ext xmlns:c16="http://schemas.microsoft.com/office/drawing/2014/chart" uri="{C3380CC4-5D6E-409C-BE32-E72D297353CC}">
              <c16:uniqueId val="{00000000-C0AE-4C7F-A849-E3AEA3481903}"/>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C0AE-4C7F-A849-E3AEA3481903}"/>
              </c:ext>
            </c:extLst>
          </c:dPt>
          <c:xVal>
            <c:numRef>
              <c:f>Gini_2014!$H$94:$H$105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xVal>
          <c:yVal>
            <c:numRef>
              <c:f>Gini_2014!$G$94:$G$105</c:f>
              <c:numCache>
                <c:formatCode>0.00</c:formatCode>
                <c:ptCount val="12"/>
                <c:pt idx="0">
                  <c:v>0</c:v>
                </c:pt>
                <c:pt idx="1">
                  <c:v>1.2413939287946071E-3</c:v>
                </c:pt>
                <c:pt idx="2">
                  <c:v>8.0901900125791362E-3</c:v>
                </c:pt>
                <c:pt idx="3">
                  <c:v>1.506677253538103E-2</c:v>
                </c:pt>
                <c:pt idx="4">
                  <c:v>2.4698514900853858E-2</c:v>
                </c:pt>
                <c:pt idx="5">
                  <c:v>3.6447670526888826E-2</c:v>
                </c:pt>
                <c:pt idx="6">
                  <c:v>7.0484010676386419E-2</c:v>
                </c:pt>
                <c:pt idx="7">
                  <c:v>0.13167635735795447</c:v>
                </c:pt>
                <c:pt idx="8">
                  <c:v>0.27326173784680641</c:v>
                </c:pt>
                <c:pt idx="9">
                  <c:v>0.46353986308528167</c:v>
                </c:pt>
                <c:pt idx="10">
                  <c:v>0.68544792973490631</c:v>
                </c:pt>
                <c:pt idx="11">
                  <c:v>1.0000000000000002</c:v>
                </c:pt>
              </c:numCache>
            </c:numRef>
          </c:yVal>
          <c:smooth val="0"/>
          <c:extLst>
            <c:ext xmlns:c16="http://schemas.microsoft.com/office/drawing/2014/chart" uri="{C3380CC4-5D6E-409C-BE32-E72D297353CC}">
              <c16:uniqueId val="{00000002-C0AE-4C7F-A849-E3AEA3481903}"/>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Precipitation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301861863580613"/>
          <c:y val="0.1566342980154827"/>
          <c:w val="0.54960252622417904"/>
          <c:h val="0.65904922055244786"/>
        </c:manualLayout>
      </c:layout>
      <c:scatterChart>
        <c:scatterStyle val="smoothMarker"/>
        <c:varyColors val="0"/>
        <c:ser>
          <c:idx val="1"/>
          <c:order val="1"/>
          <c:tx>
            <c:v>Equality Line</c:v>
          </c:tx>
          <c:spPr>
            <a:ln w="19050" cap="rnd">
              <a:solidFill>
                <a:schemeClr val="accent2"/>
              </a:solidFill>
              <a:round/>
            </a:ln>
            <a:effectLst/>
          </c:spPr>
          <c:marker>
            <c:symbol val="none"/>
          </c:marker>
          <c:xVal>
            <c:numRef>
              <c:f>Gini_2014!$H$115:$H$126</c:f>
              <c:numCache>
                <c:formatCode>0.00</c:formatCode>
                <c:ptCount val="12"/>
                <c:pt idx="0">
                  <c:v>0</c:v>
                </c:pt>
                <c:pt idx="1">
                  <c:v>8.6508040877704764E-3</c:v>
                </c:pt>
                <c:pt idx="2">
                  <c:v>2.233691110888162E-2</c:v>
                </c:pt>
                <c:pt idx="3">
                  <c:v>4.5534073596056365E-2</c:v>
                </c:pt>
                <c:pt idx="4">
                  <c:v>5.3837159897602418E-2</c:v>
                </c:pt>
                <c:pt idx="5">
                  <c:v>0.11688690634392547</c:v>
                </c:pt>
                <c:pt idx="6">
                  <c:v>0.17846731707242672</c:v>
                </c:pt>
                <c:pt idx="7">
                  <c:v>0.25736713399590871</c:v>
                </c:pt>
                <c:pt idx="8">
                  <c:v>0.38405950424456814</c:v>
                </c:pt>
                <c:pt idx="9">
                  <c:v>0.65743534284662219</c:v>
                </c:pt>
                <c:pt idx="10">
                  <c:v>0.98464491670321019</c:v>
                </c:pt>
                <c:pt idx="11">
                  <c:v>1.0000000000000002</c:v>
                </c:pt>
              </c:numCache>
            </c:numRef>
          </c:xVal>
          <c:yVal>
            <c:numRef>
              <c:f>Gini_2014!$H$115:$H$126</c:f>
              <c:numCache>
                <c:formatCode>0.00</c:formatCode>
                <c:ptCount val="12"/>
                <c:pt idx="0">
                  <c:v>0</c:v>
                </c:pt>
                <c:pt idx="1">
                  <c:v>8.6508040877704764E-3</c:v>
                </c:pt>
                <c:pt idx="2">
                  <c:v>2.233691110888162E-2</c:v>
                </c:pt>
                <c:pt idx="3">
                  <c:v>4.5534073596056365E-2</c:v>
                </c:pt>
                <c:pt idx="4">
                  <c:v>5.3837159897602418E-2</c:v>
                </c:pt>
                <c:pt idx="5">
                  <c:v>0.11688690634392547</c:v>
                </c:pt>
                <c:pt idx="6">
                  <c:v>0.17846731707242672</c:v>
                </c:pt>
                <c:pt idx="7">
                  <c:v>0.25736713399590871</c:v>
                </c:pt>
                <c:pt idx="8">
                  <c:v>0.38405950424456814</c:v>
                </c:pt>
                <c:pt idx="9">
                  <c:v>0.65743534284662219</c:v>
                </c:pt>
                <c:pt idx="10">
                  <c:v>0.98464491670321019</c:v>
                </c:pt>
                <c:pt idx="11">
                  <c:v>1.0000000000000002</c:v>
                </c:pt>
              </c:numCache>
            </c:numRef>
          </c:yVal>
          <c:smooth val="1"/>
          <c:extLst>
            <c:ext xmlns:c16="http://schemas.microsoft.com/office/drawing/2014/chart" uri="{C3380CC4-5D6E-409C-BE32-E72D297353CC}">
              <c16:uniqueId val="{00000000-728C-48AC-AC41-0E7663AC4F83}"/>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728C-48AC-AC41-0E7663AC4F83}"/>
              </c:ext>
            </c:extLst>
          </c:dPt>
          <c:xVal>
            <c:numRef>
              <c:f>Gini_2014!$H$115:$H$126</c:f>
              <c:numCache>
                <c:formatCode>0.00</c:formatCode>
                <c:ptCount val="12"/>
                <c:pt idx="0">
                  <c:v>0</c:v>
                </c:pt>
                <c:pt idx="1">
                  <c:v>8.6508040877704764E-3</c:v>
                </c:pt>
                <c:pt idx="2">
                  <c:v>2.233691110888162E-2</c:v>
                </c:pt>
                <c:pt idx="3">
                  <c:v>4.5534073596056365E-2</c:v>
                </c:pt>
                <c:pt idx="4">
                  <c:v>5.3837159897602418E-2</c:v>
                </c:pt>
                <c:pt idx="5">
                  <c:v>0.11688690634392547</c:v>
                </c:pt>
                <c:pt idx="6">
                  <c:v>0.17846731707242672</c:v>
                </c:pt>
                <c:pt idx="7">
                  <c:v>0.25736713399590871</c:v>
                </c:pt>
                <c:pt idx="8">
                  <c:v>0.38405950424456814</c:v>
                </c:pt>
                <c:pt idx="9">
                  <c:v>0.65743534284662219</c:v>
                </c:pt>
                <c:pt idx="10">
                  <c:v>0.98464491670321019</c:v>
                </c:pt>
                <c:pt idx="11">
                  <c:v>1.0000000000000002</c:v>
                </c:pt>
              </c:numCache>
            </c:numRef>
          </c:xVal>
          <c:yVal>
            <c:numRef>
              <c:f>Gini_2014!$G$115:$G$126</c:f>
              <c:numCache>
                <c:formatCode>0.00</c:formatCode>
                <c:ptCount val="12"/>
                <c:pt idx="0">
                  <c:v>0</c:v>
                </c:pt>
                <c:pt idx="1">
                  <c:v>5.4935138917268584E-3</c:v>
                </c:pt>
                <c:pt idx="2">
                  <c:v>1.1542215557476518E-2</c:v>
                </c:pt>
                <c:pt idx="3">
                  <c:v>2.0767795585946339E-2</c:v>
                </c:pt>
                <c:pt idx="4">
                  <c:v>3.2817612560662027E-2</c:v>
                </c:pt>
                <c:pt idx="5">
                  <c:v>5.9760125694409548E-2</c:v>
                </c:pt>
                <c:pt idx="6">
                  <c:v>8.8521730060261289E-2</c:v>
                </c:pt>
                <c:pt idx="7">
                  <c:v>0.14437527472701342</c:v>
                </c:pt>
                <c:pt idx="8">
                  <c:v>0.27493678549615885</c:v>
                </c:pt>
                <c:pt idx="9">
                  <c:v>0.43963560351400888</c:v>
                </c:pt>
                <c:pt idx="10">
                  <c:v>0.64143508848042341</c:v>
                </c:pt>
                <c:pt idx="11">
                  <c:v>1</c:v>
                </c:pt>
              </c:numCache>
            </c:numRef>
          </c:yVal>
          <c:smooth val="0"/>
          <c:extLst>
            <c:ext xmlns:c16="http://schemas.microsoft.com/office/drawing/2014/chart" uri="{C3380CC4-5D6E-409C-BE32-E72D297353CC}">
              <c16:uniqueId val="{00000002-728C-48AC-AC41-0E7663AC4F83}"/>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ETa</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Gini_2014!$H$136:$H$147</c:f>
              <c:numCache>
                <c:formatCode>0.00</c:formatCode>
                <c:ptCount val="12"/>
                <c:pt idx="0">
                  <c:v>0</c:v>
                </c:pt>
                <c:pt idx="1">
                  <c:v>8.3030863015460567E-3</c:v>
                </c:pt>
                <c:pt idx="2">
                  <c:v>6.9883497030047301E-2</c:v>
                </c:pt>
                <c:pt idx="3">
                  <c:v>0.39709307088663531</c:v>
                </c:pt>
                <c:pt idx="4">
                  <c:v>0.41244815418342529</c:v>
                </c:pt>
                <c:pt idx="5">
                  <c:v>0.43564531667060002</c:v>
                </c:pt>
                <c:pt idx="6">
                  <c:v>0.4493314236917112</c:v>
                </c:pt>
                <c:pt idx="7">
                  <c:v>0.45798222777948167</c:v>
                </c:pt>
                <c:pt idx="8">
                  <c:v>0.52103197422580472</c:v>
                </c:pt>
                <c:pt idx="9">
                  <c:v>0.59993179114928674</c:v>
                </c:pt>
                <c:pt idx="10">
                  <c:v>0.72662416139794617</c:v>
                </c:pt>
                <c:pt idx="11">
                  <c:v>1.0000000000000002</c:v>
                </c:pt>
              </c:numCache>
            </c:numRef>
          </c:xVal>
          <c:yVal>
            <c:numRef>
              <c:f>Gini_2014!$H$136:$H$147</c:f>
              <c:numCache>
                <c:formatCode>0.00</c:formatCode>
                <c:ptCount val="12"/>
                <c:pt idx="0">
                  <c:v>0</c:v>
                </c:pt>
                <c:pt idx="1">
                  <c:v>8.3030863015460567E-3</c:v>
                </c:pt>
                <c:pt idx="2">
                  <c:v>6.9883497030047301E-2</c:v>
                </c:pt>
                <c:pt idx="3">
                  <c:v>0.39709307088663531</c:v>
                </c:pt>
                <c:pt idx="4">
                  <c:v>0.41244815418342529</c:v>
                </c:pt>
                <c:pt idx="5">
                  <c:v>0.43564531667060002</c:v>
                </c:pt>
                <c:pt idx="6">
                  <c:v>0.4493314236917112</c:v>
                </c:pt>
                <c:pt idx="7">
                  <c:v>0.45798222777948167</c:v>
                </c:pt>
                <c:pt idx="8">
                  <c:v>0.52103197422580472</c:v>
                </c:pt>
                <c:pt idx="9">
                  <c:v>0.59993179114928674</c:v>
                </c:pt>
                <c:pt idx="10">
                  <c:v>0.72662416139794617</c:v>
                </c:pt>
                <c:pt idx="11">
                  <c:v>1.0000000000000002</c:v>
                </c:pt>
              </c:numCache>
            </c:numRef>
          </c:yVal>
          <c:smooth val="1"/>
          <c:extLst>
            <c:ext xmlns:c16="http://schemas.microsoft.com/office/drawing/2014/chart" uri="{C3380CC4-5D6E-409C-BE32-E72D297353CC}">
              <c16:uniqueId val="{00000000-C361-4230-BD97-13ED5511CD37}"/>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C361-4230-BD97-13ED5511CD37}"/>
              </c:ext>
            </c:extLst>
          </c:dPt>
          <c:xVal>
            <c:numRef>
              <c:f>Gini_2014!$H$136:$H$147</c:f>
              <c:numCache>
                <c:formatCode>0.00</c:formatCode>
                <c:ptCount val="12"/>
                <c:pt idx="0">
                  <c:v>0</c:v>
                </c:pt>
                <c:pt idx="1">
                  <c:v>8.3030863015460567E-3</c:v>
                </c:pt>
                <c:pt idx="2">
                  <c:v>6.9883497030047301E-2</c:v>
                </c:pt>
                <c:pt idx="3">
                  <c:v>0.39709307088663531</c:v>
                </c:pt>
                <c:pt idx="4">
                  <c:v>0.41244815418342529</c:v>
                </c:pt>
                <c:pt idx="5">
                  <c:v>0.43564531667060002</c:v>
                </c:pt>
                <c:pt idx="6">
                  <c:v>0.4493314236917112</c:v>
                </c:pt>
                <c:pt idx="7">
                  <c:v>0.45798222777948167</c:v>
                </c:pt>
                <c:pt idx="8">
                  <c:v>0.52103197422580472</c:v>
                </c:pt>
                <c:pt idx="9">
                  <c:v>0.59993179114928674</c:v>
                </c:pt>
                <c:pt idx="10">
                  <c:v>0.72662416139794617</c:v>
                </c:pt>
                <c:pt idx="11">
                  <c:v>1.0000000000000002</c:v>
                </c:pt>
              </c:numCache>
            </c:numRef>
          </c:xVal>
          <c:yVal>
            <c:numRef>
              <c:f>Gini_2014!$G$136:$G$147</c:f>
              <c:numCache>
                <c:formatCode>0.00</c:formatCode>
                <c:ptCount val="12"/>
                <c:pt idx="0">
                  <c:v>0</c:v>
                </c:pt>
                <c:pt idx="1">
                  <c:v>0</c:v>
                </c:pt>
                <c:pt idx="2">
                  <c:v>0</c:v>
                </c:pt>
                <c:pt idx="3">
                  <c:v>0</c:v>
                </c:pt>
                <c:pt idx="4">
                  <c:v>0</c:v>
                </c:pt>
                <c:pt idx="5">
                  <c:v>1.7434689669939504E-3</c:v>
                </c:pt>
                <c:pt idx="6">
                  <c:v>1.1328119583050777E-2</c:v>
                </c:pt>
                <c:pt idx="7">
                  <c:v>2.6922587498335693E-2</c:v>
                </c:pt>
                <c:pt idx="8">
                  <c:v>0.11236084004386347</c:v>
                </c:pt>
                <c:pt idx="9">
                  <c:v>0.20911508422205585</c:v>
                </c:pt>
                <c:pt idx="10">
                  <c:v>0.32132482916038108</c:v>
                </c:pt>
                <c:pt idx="11">
                  <c:v>1</c:v>
                </c:pt>
              </c:numCache>
            </c:numRef>
          </c:yVal>
          <c:smooth val="0"/>
          <c:extLst>
            <c:ext xmlns:c16="http://schemas.microsoft.com/office/drawing/2014/chart" uri="{C3380CC4-5D6E-409C-BE32-E72D297353CC}">
              <c16:uniqueId val="{00000002-C361-4230-BD97-13ED5511CD37}"/>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Available Water</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Gini_2014!$H$157:$H$168</c:f>
              <c:numCache>
                <c:formatCode>0.00</c:formatCode>
                <c:ptCount val="12"/>
                <c:pt idx="0">
                  <c:v>0</c:v>
                </c:pt>
                <c:pt idx="1">
                  <c:v>8.3030863015460567E-3</c:v>
                </c:pt>
                <c:pt idx="2">
                  <c:v>2.19891933226572E-2</c:v>
                </c:pt>
                <c:pt idx="3">
                  <c:v>3.0639997410427677E-2</c:v>
                </c:pt>
                <c:pt idx="4">
                  <c:v>5.3837159897602418E-2</c:v>
                </c:pt>
                <c:pt idx="5">
                  <c:v>0.11688690634392547</c:v>
                </c:pt>
                <c:pt idx="6">
                  <c:v>0.19578672326740743</c:v>
                </c:pt>
                <c:pt idx="7">
                  <c:v>0.2111418065641974</c:v>
                </c:pt>
                <c:pt idx="8">
                  <c:v>0.53835138042078534</c:v>
                </c:pt>
                <c:pt idx="9">
                  <c:v>0.66504375066944477</c:v>
                </c:pt>
                <c:pt idx="10">
                  <c:v>0.72662416139794606</c:v>
                </c:pt>
                <c:pt idx="11">
                  <c:v>1</c:v>
                </c:pt>
              </c:numCache>
            </c:numRef>
          </c:xVal>
          <c:yVal>
            <c:numRef>
              <c:f>Gini_2014!$H$157:$H$168</c:f>
              <c:numCache>
                <c:formatCode>0.00</c:formatCode>
                <c:ptCount val="12"/>
                <c:pt idx="0">
                  <c:v>0</c:v>
                </c:pt>
                <c:pt idx="1">
                  <c:v>8.3030863015460567E-3</c:v>
                </c:pt>
                <c:pt idx="2">
                  <c:v>2.19891933226572E-2</c:v>
                </c:pt>
                <c:pt idx="3">
                  <c:v>3.0639997410427677E-2</c:v>
                </c:pt>
                <c:pt idx="4">
                  <c:v>5.3837159897602418E-2</c:v>
                </c:pt>
                <c:pt idx="5">
                  <c:v>0.11688690634392547</c:v>
                </c:pt>
                <c:pt idx="6">
                  <c:v>0.19578672326740743</c:v>
                </c:pt>
                <c:pt idx="7">
                  <c:v>0.2111418065641974</c:v>
                </c:pt>
                <c:pt idx="8">
                  <c:v>0.53835138042078534</c:v>
                </c:pt>
                <c:pt idx="9">
                  <c:v>0.66504375066944477</c:v>
                </c:pt>
                <c:pt idx="10">
                  <c:v>0.72662416139794606</c:v>
                </c:pt>
                <c:pt idx="11">
                  <c:v>1</c:v>
                </c:pt>
              </c:numCache>
            </c:numRef>
          </c:yVal>
          <c:smooth val="1"/>
          <c:extLst>
            <c:ext xmlns:c16="http://schemas.microsoft.com/office/drawing/2014/chart" uri="{C3380CC4-5D6E-409C-BE32-E72D297353CC}">
              <c16:uniqueId val="{00000000-49A7-449D-BD97-8D387FFF6005}"/>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49A7-449D-BD97-8D387FFF6005}"/>
              </c:ext>
            </c:extLst>
          </c:dPt>
          <c:xVal>
            <c:numRef>
              <c:f>Gini_2014!$H$157:$H$168</c:f>
              <c:numCache>
                <c:formatCode>0.00</c:formatCode>
                <c:ptCount val="12"/>
                <c:pt idx="0">
                  <c:v>0</c:v>
                </c:pt>
                <c:pt idx="1">
                  <c:v>8.3030863015460567E-3</c:v>
                </c:pt>
                <c:pt idx="2">
                  <c:v>2.19891933226572E-2</c:v>
                </c:pt>
                <c:pt idx="3">
                  <c:v>3.0639997410427677E-2</c:v>
                </c:pt>
                <c:pt idx="4">
                  <c:v>5.3837159897602418E-2</c:v>
                </c:pt>
                <c:pt idx="5">
                  <c:v>0.11688690634392547</c:v>
                </c:pt>
                <c:pt idx="6">
                  <c:v>0.19578672326740743</c:v>
                </c:pt>
                <c:pt idx="7">
                  <c:v>0.2111418065641974</c:v>
                </c:pt>
                <c:pt idx="8">
                  <c:v>0.53835138042078534</c:v>
                </c:pt>
                <c:pt idx="9">
                  <c:v>0.66504375066944477</c:v>
                </c:pt>
                <c:pt idx="10">
                  <c:v>0.72662416139794606</c:v>
                </c:pt>
                <c:pt idx="11">
                  <c:v>1</c:v>
                </c:pt>
              </c:numCache>
            </c:numRef>
          </c:xVal>
          <c:yVal>
            <c:numRef>
              <c:f>Gini_2014!$G$157:$G$168</c:f>
              <c:numCache>
                <c:formatCode>0.00</c:formatCode>
                <c:ptCount val="12"/>
                <c:pt idx="0">
                  <c:v>0</c:v>
                </c:pt>
                <c:pt idx="1">
                  <c:v>0</c:v>
                </c:pt>
                <c:pt idx="2">
                  <c:v>5.1173151307255327E-3</c:v>
                </c:pt>
                <c:pt idx="3">
                  <c:v>1.3443315713867521E-2</c:v>
                </c:pt>
                <c:pt idx="4">
                  <c:v>2.7143829004100235E-2</c:v>
                </c:pt>
                <c:pt idx="5">
                  <c:v>7.2759937510082556E-2</c:v>
                </c:pt>
                <c:pt idx="6">
                  <c:v>0.12441773679026877</c:v>
                </c:pt>
                <c:pt idx="7">
                  <c:v>0.20338801770172971</c:v>
                </c:pt>
                <c:pt idx="8">
                  <c:v>0.31697080471480971</c:v>
                </c:pt>
                <c:pt idx="9">
                  <c:v>0.44778563994269382</c:v>
                </c:pt>
                <c:pt idx="10">
                  <c:v>0.63765035787875957</c:v>
                </c:pt>
                <c:pt idx="11">
                  <c:v>1</c:v>
                </c:pt>
              </c:numCache>
            </c:numRef>
          </c:yVal>
          <c:smooth val="0"/>
          <c:extLst>
            <c:ext xmlns:c16="http://schemas.microsoft.com/office/drawing/2014/chart" uri="{C3380CC4-5D6E-409C-BE32-E72D297353CC}">
              <c16:uniqueId val="{00000002-49A7-449D-BD97-8D387FFF6005}"/>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 total</a:t>
                </a:r>
                <a:r>
                  <a:rPr lang="en-US" baseline="0"/>
                  <a:t> available water</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0-5B9B-4560-AB36-8E269FB2D259}"/>
              </c:ext>
            </c:extLst>
          </c:dPt>
          <c:xVal>
            <c:numRef>
              <c:f>Gini_2014!$H$6:$H$17</c:f>
              <c:numCache>
                <c:formatCode>0.00</c:formatCode>
                <c:ptCount val="12"/>
                <c:pt idx="0">
                  <c:v>0</c:v>
                </c:pt>
                <c:pt idx="1">
                  <c:v>0.32321960996108823</c:v>
                </c:pt>
                <c:pt idx="2">
                  <c:v>0.32834473747817899</c:v>
                </c:pt>
                <c:pt idx="3">
                  <c:v>0.35051467476099335</c:v>
                </c:pt>
                <c:pt idx="4">
                  <c:v>0.39288847035465108</c:v>
                </c:pt>
                <c:pt idx="5">
                  <c:v>0.40675740035487029</c:v>
                </c:pt>
                <c:pt idx="6">
                  <c:v>0.48126920470835383</c:v>
                </c:pt>
                <c:pt idx="7">
                  <c:v>0.5247292595465568</c:v>
                </c:pt>
                <c:pt idx="8">
                  <c:v>0.67361828006512281</c:v>
                </c:pt>
                <c:pt idx="9">
                  <c:v>0.81205588708093968</c:v>
                </c:pt>
                <c:pt idx="10">
                  <c:v>0.95610716321703926</c:v>
                </c:pt>
                <c:pt idx="11">
                  <c:v>0.99999999999999989</c:v>
                </c:pt>
              </c:numCache>
            </c:numRef>
          </c:xVal>
          <c:yVal>
            <c:numRef>
              <c:f>Gini_2014!$G$6:$G$17</c:f>
              <c:numCache>
                <c:formatCode>0.00</c:formatCode>
                <c:ptCount val="12"/>
                <c:pt idx="0">
                  <c:v>0</c:v>
                </c:pt>
                <c:pt idx="1">
                  <c:v>1.2413939287946071E-3</c:v>
                </c:pt>
                <c:pt idx="2">
                  <c:v>8.0901900125791362E-3</c:v>
                </c:pt>
                <c:pt idx="3">
                  <c:v>1.506677253538103E-2</c:v>
                </c:pt>
                <c:pt idx="4">
                  <c:v>2.4698514900853858E-2</c:v>
                </c:pt>
                <c:pt idx="5">
                  <c:v>3.6447670526888826E-2</c:v>
                </c:pt>
                <c:pt idx="6">
                  <c:v>7.0484010676386419E-2</c:v>
                </c:pt>
                <c:pt idx="7">
                  <c:v>0.13167635735795447</c:v>
                </c:pt>
                <c:pt idx="8">
                  <c:v>0.27326173784680641</c:v>
                </c:pt>
                <c:pt idx="9">
                  <c:v>0.46353986308528167</c:v>
                </c:pt>
                <c:pt idx="10">
                  <c:v>0.68544792973490631</c:v>
                </c:pt>
                <c:pt idx="11">
                  <c:v>1.0000000000000002</c:v>
                </c:pt>
              </c:numCache>
            </c:numRef>
          </c:yVal>
          <c:smooth val="1"/>
          <c:extLst>
            <c:ext xmlns:c16="http://schemas.microsoft.com/office/drawing/2014/chart" uri="{C3380CC4-5D6E-409C-BE32-E72D297353CC}">
              <c16:uniqueId val="{00000001-5B9B-4560-AB36-8E269FB2D259}"/>
            </c:ext>
          </c:extLst>
        </c:ser>
        <c:ser>
          <c:idx val="1"/>
          <c:order val="1"/>
          <c:tx>
            <c:v>Equality Line</c:v>
          </c:tx>
          <c:spPr>
            <a:ln w="19050" cap="rnd">
              <a:solidFill>
                <a:schemeClr val="accent2"/>
              </a:solidFill>
              <a:round/>
            </a:ln>
            <a:effectLst/>
          </c:spPr>
          <c:marker>
            <c:symbol val="none"/>
          </c:marker>
          <c:xVal>
            <c:numRef>
              <c:f>Gini_2014!$H$6:$H$17</c:f>
              <c:numCache>
                <c:formatCode>0.00</c:formatCode>
                <c:ptCount val="12"/>
                <c:pt idx="0">
                  <c:v>0</c:v>
                </c:pt>
                <c:pt idx="1">
                  <c:v>0.32321960996108823</c:v>
                </c:pt>
                <c:pt idx="2">
                  <c:v>0.32834473747817899</c:v>
                </c:pt>
                <c:pt idx="3">
                  <c:v>0.35051467476099335</c:v>
                </c:pt>
                <c:pt idx="4">
                  <c:v>0.39288847035465108</c:v>
                </c:pt>
                <c:pt idx="5">
                  <c:v>0.40675740035487029</c:v>
                </c:pt>
                <c:pt idx="6">
                  <c:v>0.48126920470835383</c:v>
                </c:pt>
                <c:pt idx="7">
                  <c:v>0.5247292595465568</c:v>
                </c:pt>
                <c:pt idx="8">
                  <c:v>0.67361828006512281</c:v>
                </c:pt>
                <c:pt idx="9">
                  <c:v>0.81205588708093968</c:v>
                </c:pt>
                <c:pt idx="10">
                  <c:v>0.95610716321703926</c:v>
                </c:pt>
                <c:pt idx="11">
                  <c:v>0.99999999999999989</c:v>
                </c:pt>
              </c:numCache>
            </c:numRef>
          </c:xVal>
          <c:yVal>
            <c:numRef>
              <c:f>Gini_2014!$H$6:$H$17</c:f>
              <c:numCache>
                <c:formatCode>0.00</c:formatCode>
                <c:ptCount val="12"/>
                <c:pt idx="0">
                  <c:v>0</c:v>
                </c:pt>
                <c:pt idx="1">
                  <c:v>0.32321960996108823</c:v>
                </c:pt>
                <c:pt idx="2">
                  <c:v>0.32834473747817899</c:v>
                </c:pt>
                <c:pt idx="3">
                  <c:v>0.35051467476099335</c:v>
                </c:pt>
                <c:pt idx="4">
                  <c:v>0.39288847035465108</c:v>
                </c:pt>
                <c:pt idx="5">
                  <c:v>0.40675740035487029</c:v>
                </c:pt>
                <c:pt idx="6">
                  <c:v>0.48126920470835383</c:v>
                </c:pt>
                <c:pt idx="7">
                  <c:v>0.5247292595465568</c:v>
                </c:pt>
                <c:pt idx="8">
                  <c:v>0.67361828006512281</c:v>
                </c:pt>
                <c:pt idx="9">
                  <c:v>0.81205588708093968</c:v>
                </c:pt>
                <c:pt idx="10">
                  <c:v>0.95610716321703926</c:v>
                </c:pt>
                <c:pt idx="11">
                  <c:v>0.99999999999999989</c:v>
                </c:pt>
              </c:numCache>
            </c:numRef>
          </c:yVal>
          <c:smooth val="1"/>
          <c:extLst>
            <c:ext xmlns:c16="http://schemas.microsoft.com/office/drawing/2014/chart" uri="{C3380CC4-5D6E-409C-BE32-E72D297353CC}">
              <c16:uniqueId val="{00000002-5B9B-4560-AB36-8E269FB2D259}"/>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Population</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Precipitation</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0-7624-4F70-B478-C9ACB8213CEA}"/>
              </c:ext>
            </c:extLst>
          </c:dPt>
          <c:xVal>
            <c:numRef>
              <c:f>Gini_2014!$H$27:$H$38</c:f>
              <c:numCache>
                <c:formatCode>0.00</c:formatCode>
                <c:ptCount val="12"/>
                <c:pt idx="0">
                  <c:v>0</c:v>
                </c:pt>
                <c:pt idx="1">
                  <c:v>5.1251275170907913E-3</c:v>
                </c:pt>
                <c:pt idx="2">
                  <c:v>2.7295064799905164E-2</c:v>
                </c:pt>
                <c:pt idx="3">
                  <c:v>6.9668860393562904E-2</c:v>
                </c:pt>
                <c:pt idx="4">
                  <c:v>8.3537790393782105E-2</c:v>
                </c:pt>
                <c:pt idx="5">
                  <c:v>0.15804959474726565</c:v>
                </c:pt>
                <c:pt idx="6">
                  <c:v>0.48126920470835388</c:v>
                </c:pt>
                <c:pt idx="7">
                  <c:v>0.52472925954655691</c:v>
                </c:pt>
                <c:pt idx="8">
                  <c:v>0.67361828006512292</c:v>
                </c:pt>
                <c:pt idx="9">
                  <c:v>0.8176695562012225</c:v>
                </c:pt>
                <c:pt idx="10">
                  <c:v>0.95610716321703937</c:v>
                </c:pt>
                <c:pt idx="11">
                  <c:v>1</c:v>
                </c:pt>
              </c:numCache>
            </c:numRef>
          </c:xVal>
          <c:yVal>
            <c:numRef>
              <c:f>Gini_2014!$G$27:$G$38</c:f>
              <c:numCache>
                <c:formatCode>0.00</c:formatCode>
                <c:ptCount val="12"/>
                <c:pt idx="0">
                  <c:v>0</c:v>
                </c:pt>
                <c:pt idx="1">
                  <c:v>5.4935138917268584E-3</c:v>
                </c:pt>
                <c:pt idx="2">
                  <c:v>1.1542215557476518E-2</c:v>
                </c:pt>
                <c:pt idx="3">
                  <c:v>2.0767795585946339E-2</c:v>
                </c:pt>
                <c:pt idx="4">
                  <c:v>3.2817612560662027E-2</c:v>
                </c:pt>
                <c:pt idx="5">
                  <c:v>5.9760125694409548E-2</c:v>
                </c:pt>
                <c:pt idx="6">
                  <c:v>8.8521730060261289E-2</c:v>
                </c:pt>
                <c:pt idx="7">
                  <c:v>0.14437527472701342</c:v>
                </c:pt>
                <c:pt idx="8">
                  <c:v>0.27493678549615885</c:v>
                </c:pt>
                <c:pt idx="9">
                  <c:v>0.43963560351400888</c:v>
                </c:pt>
                <c:pt idx="10">
                  <c:v>0.64143508848042341</c:v>
                </c:pt>
                <c:pt idx="11">
                  <c:v>1</c:v>
                </c:pt>
              </c:numCache>
            </c:numRef>
          </c:yVal>
          <c:smooth val="1"/>
          <c:extLst>
            <c:ext xmlns:c16="http://schemas.microsoft.com/office/drawing/2014/chart" uri="{C3380CC4-5D6E-409C-BE32-E72D297353CC}">
              <c16:uniqueId val="{00000001-7624-4F70-B478-C9ACB8213CEA}"/>
            </c:ext>
          </c:extLst>
        </c:ser>
        <c:ser>
          <c:idx val="2"/>
          <c:order val="1"/>
          <c:tx>
            <c:v>Equality Line</c:v>
          </c:tx>
          <c:spPr>
            <a:ln w="19050" cap="rnd">
              <a:solidFill>
                <a:schemeClr val="accent2"/>
              </a:solidFill>
              <a:round/>
            </a:ln>
            <a:effectLst/>
          </c:spPr>
          <c:marker>
            <c:symbol val="none"/>
          </c:marker>
          <c:xVal>
            <c:numRef>
              <c:f>Gini_2014!$H$27:$H$38</c:f>
              <c:numCache>
                <c:formatCode>0.00</c:formatCode>
                <c:ptCount val="12"/>
                <c:pt idx="0">
                  <c:v>0</c:v>
                </c:pt>
                <c:pt idx="1">
                  <c:v>5.1251275170907913E-3</c:v>
                </c:pt>
                <c:pt idx="2">
                  <c:v>2.7295064799905164E-2</c:v>
                </c:pt>
                <c:pt idx="3">
                  <c:v>6.9668860393562904E-2</c:v>
                </c:pt>
                <c:pt idx="4">
                  <c:v>8.3537790393782105E-2</c:v>
                </c:pt>
                <c:pt idx="5">
                  <c:v>0.15804959474726565</c:v>
                </c:pt>
                <c:pt idx="6">
                  <c:v>0.48126920470835388</c:v>
                </c:pt>
                <c:pt idx="7">
                  <c:v>0.52472925954655691</c:v>
                </c:pt>
                <c:pt idx="8">
                  <c:v>0.67361828006512292</c:v>
                </c:pt>
                <c:pt idx="9">
                  <c:v>0.8176695562012225</c:v>
                </c:pt>
                <c:pt idx="10">
                  <c:v>0.95610716321703937</c:v>
                </c:pt>
                <c:pt idx="11">
                  <c:v>1</c:v>
                </c:pt>
              </c:numCache>
            </c:numRef>
          </c:xVal>
          <c:yVal>
            <c:numRef>
              <c:f>Gini_2014!$H$27:$H$38</c:f>
              <c:numCache>
                <c:formatCode>0.00</c:formatCode>
                <c:ptCount val="12"/>
                <c:pt idx="0">
                  <c:v>0</c:v>
                </c:pt>
                <c:pt idx="1">
                  <c:v>5.1251275170907913E-3</c:v>
                </c:pt>
                <c:pt idx="2">
                  <c:v>2.7295064799905164E-2</c:v>
                </c:pt>
                <c:pt idx="3">
                  <c:v>6.9668860393562904E-2</c:v>
                </c:pt>
                <c:pt idx="4">
                  <c:v>8.3537790393782105E-2</c:v>
                </c:pt>
                <c:pt idx="5">
                  <c:v>0.15804959474726565</c:v>
                </c:pt>
                <c:pt idx="6">
                  <c:v>0.48126920470835388</c:v>
                </c:pt>
                <c:pt idx="7">
                  <c:v>0.52472925954655691</c:v>
                </c:pt>
                <c:pt idx="8">
                  <c:v>0.67361828006512292</c:v>
                </c:pt>
                <c:pt idx="9">
                  <c:v>0.8176695562012225</c:v>
                </c:pt>
                <c:pt idx="10">
                  <c:v>0.95610716321703937</c:v>
                </c:pt>
                <c:pt idx="11">
                  <c:v>1</c:v>
                </c:pt>
              </c:numCache>
            </c:numRef>
          </c:yVal>
          <c:smooth val="1"/>
          <c:extLst>
            <c:ext xmlns:c16="http://schemas.microsoft.com/office/drawing/2014/chart" uri="{C3380CC4-5D6E-409C-BE32-E72D297353CC}">
              <c16:uniqueId val="{00000002-7624-4F70-B478-C9ACB8213CEA}"/>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Population</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ETa</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Gini_2014!$H$49:$H$60</c:f>
              <c:numCache>
                <c:formatCode>0.00</c:formatCode>
                <c:ptCount val="12"/>
                <c:pt idx="0">
                  <c:v>0</c:v>
                </c:pt>
                <c:pt idx="1">
                  <c:v>1.3868930000219203E-2</c:v>
                </c:pt>
                <c:pt idx="2">
                  <c:v>0.3370885399613075</c:v>
                </c:pt>
                <c:pt idx="3">
                  <c:v>0.47552614697712436</c:v>
                </c:pt>
                <c:pt idx="4">
                  <c:v>0.519418983760085</c:v>
                </c:pt>
                <c:pt idx="5">
                  <c:v>0.56179277935374272</c:v>
                </c:pt>
                <c:pt idx="6">
                  <c:v>0.58396271663655708</c:v>
                </c:pt>
                <c:pt idx="7">
                  <c:v>0.5890878441536479</c:v>
                </c:pt>
                <c:pt idx="8">
                  <c:v>0.66359964850713149</c:v>
                </c:pt>
                <c:pt idx="9">
                  <c:v>0.70705970334533452</c:v>
                </c:pt>
                <c:pt idx="10">
                  <c:v>0.85594872386390053</c:v>
                </c:pt>
                <c:pt idx="11">
                  <c:v>1.0000000000000002</c:v>
                </c:pt>
              </c:numCache>
            </c:numRef>
          </c:xVal>
          <c:yVal>
            <c:numRef>
              <c:f>Gini_2014!$H$49:$H$60</c:f>
              <c:numCache>
                <c:formatCode>0.00</c:formatCode>
                <c:ptCount val="12"/>
                <c:pt idx="0">
                  <c:v>0</c:v>
                </c:pt>
                <c:pt idx="1">
                  <c:v>1.3868930000219203E-2</c:v>
                </c:pt>
                <c:pt idx="2">
                  <c:v>0.3370885399613075</c:v>
                </c:pt>
                <c:pt idx="3">
                  <c:v>0.47552614697712436</c:v>
                </c:pt>
                <c:pt idx="4">
                  <c:v>0.519418983760085</c:v>
                </c:pt>
                <c:pt idx="5">
                  <c:v>0.56179277935374272</c:v>
                </c:pt>
                <c:pt idx="6">
                  <c:v>0.58396271663655708</c:v>
                </c:pt>
                <c:pt idx="7">
                  <c:v>0.5890878441536479</c:v>
                </c:pt>
                <c:pt idx="8">
                  <c:v>0.66359964850713149</c:v>
                </c:pt>
                <c:pt idx="9">
                  <c:v>0.70705970334533452</c:v>
                </c:pt>
                <c:pt idx="10">
                  <c:v>0.85594872386390053</c:v>
                </c:pt>
                <c:pt idx="11">
                  <c:v>1.0000000000000002</c:v>
                </c:pt>
              </c:numCache>
            </c:numRef>
          </c:yVal>
          <c:smooth val="1"/>
          <c:extLst>
            <c:ext xmlns:c16="http://schemas.microsoft.com/office/drawing/2014/chart" uri="{C3380CC4-5D6E-409C-BE32-E72D297353CC}">
              <c16:uniqueId val="{00000000-A6D3-4CB4-8EB2-2B76377660A3}"/>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A6D3-4CB4-8EB2-2B76377660A3}"/>
              </c:ext>
            </c:extLst>
          </c:dPt>
          <c:xVal>
            <c:numRef>
              <c:f>Gini_2014!$H$49:$H$60</c:f>
              <c:numCache>
                <c:formatCode>0.00</c:formatCode>
                <c:ptCount val="12"/>
                <c:pt idx="0">
                  <c:v>0</c:v>
                </c:pt>
                <c:pt idx="1">
                  <c:v>1.3868930000219203E-2</c:v>
                </c:pt>
                <c:pt idx="2">
                  <c:v>0.3370885399613075</c:v>
                </c:pt>
                <c:pt idx="3">
                  <c:v>0.47552614697712436</c:v>
                </c:pt>
                <c:pt idx="4">
                  <c:v>0.519418983760085</c:v>
                </c:pt>
                <c:pt idx="5">
                  <c:v>0.56179277935374272</c:v>
                </c:pt>
                <c:pt idx="6">
                  <c:v>0.58396271663655708</c:v>
                </c:pt>
                <c:pt idx="7">
                  <c:v>0.5890878441536479</c:v>
                </c:pt>
                <c:pt idx="8">
                  <c:v>0.66359964850713149</c:v>
                </c:pt>
                <c:pt idx="9">
                  <c:v>0.70705970334533452</c:v>
                </c:pt>
                <c:pt idx="10">
                  <c:v>0.85594872386390053</c:v>
                </c:pt>
                <c:pt idx="11">
                  <c:v>1.0000000000000002</c:v>
                </c:pt>
              </c:numCache>
            </c:numRef>
          </c:xVal>
          <c:yVal>
            <c:numRef>
              <c:f>Gini_2014!$G$49:$G$60</c:f>
              <c:numCache>
                <c:formatCode>0.00</c:formatCode>
                <c:ptCount val="12"/>
                <c:pt idx="0">
                  <c:v>0</c:v>
                </c:pt>
                <c:pt idx="1">
                  <c:v>0</c:v>
                </c:pt>
                <c:pt idx="2">
                  <c:v>0</c:v>
                </c:pt>
                <c:pt idx="3">
                  <c:v>0</c:v>
                </c:pt>
                <c:pt idx="4">
                  <c:v>0</c:v>
                </c:pt>
                <c:pt idx="5">
                  <c:v>1.7434689669939504E-3</c:v>
                </c:pt>
                <c:pt idx="6">
                  <c:v>1.1328119583050777E-2</c:v>
                </c:pt>
                <c:pt idx="7">
                  <c:v>2.6922587498335693E-2</c:v>
                </c:pt>
                <c:pt idx="8">
                  <c:v>0.11236084004386347</c:v>
                </c:pt>
                <c:pt idx="9">
                  <c:v>0.20911508422205585</c:v>
                </c:pt>
                <c:pt idx="10">
                  <c:v>0.32132482916038108</c:v>
                </c:pt>
                <c:pt idx="11">
                  <c:v>1</c:v>
                </c:pt>
              </c:numCache>
            </c:numRef>
          </c:yVal>
          <c:smooth val="0"/>
          <c:extLst>
            <c:ext xmlns:c16="http://schemas.microsoft.com/office/drawing/2014/chart" uri="{C3380CC4-5D6E-409C-BE32-E72D297353CC}">
              <c16:uniqueId val="{00000002-A6D3-4CB4-8EB2-2B76377660A3}"/>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Population</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Available Water</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Gini_2014!$H$70:$H$81</c:f>
              <c:numCache>
                <c:formatCode>0.00</c:formatCode>
                <c:ptCount val="12"/>
                <c:pt idx="0">
                  <c:v>0</c:v>
                </c:pt>
                <c:pt idx="1">
                  <c:v>1.3868930000219203E-2</c:v>
                </c:pt>
                <c:pt idx="2">
                  <c:v>3.6038867283033578E-2</c:v>
                </c:pt>
                <c:pt idx="3">
                  <c:v>4.1163994800124372E-2</c:v>
                </c:pt>
                <c:pt idx="4">
                  <c:v>8.3537790393782119E-2</c:v>
                </c:pt>
                <c:pt idx="5">
                  <c:v>0.15804959474726568</c:v>
                </c:pt>
                <c:pt idx="6">
                  <c:v>0.20150964958546869</c:v>
                </c:pt>
                <c:pt idx="7">
                  <c:v>0.24540248636842926</c:v>
                </c:pt>
                <c:pt idx="8">
                  <c:v>0.38384009338424618</c:v>
                </c:pt>
                <c:pt idx="9">
                  <c:v>0.5327291139028123</c:v>
                </c:pt>
                <c:pt idx="10">
                  <c:v>0.85594872386390053</c:v>
                </c:pt>
                <c:pt idx="11">
                  <c:v>1.0000000000000002</c:v>
                </c:pt>
              </c:numCache>
            </c:numRef>
          </c:xVal>
          <c:yVal>
            <c:numRef>
              <c:f>Gini_2014!$H$70:$H$81</c:f>
              <c:numCache>
                <c:formatCode>0.00</c:formatCode>
                <c:ptCount val="12"/>
                <c:pt idx="0">
                  <c:v>0</c:v>
                </c:pt>
                <c:pt idx="1">
                  <c:v>1.3868930000219203E-2</c:v>
                </c:pt>
                <c:pt idx="2">
                  <c:v>3.6038867283033578E-2</c:v>
                </c:pt>
                <c:pt idx="3">
                  <c:v>4.1163994800124372E-2</c:v>
                </c:pt>
                <c:pt idx="4">
                  <c:v>8.3537790393782119E-2</c:v>
                </c:pt>
                <c:pt idx="5">
                  <c:v>0.15804959474726568</c:v>
                </c:pt>
                <c:pt idx="6">
                  <c:v>0.20150964958546869</c:v>
                </c:pt>
                <c:pt idx="7">
                  <c:v>0.24540248636842926</c:v>
                </c:pt>
                <c:pt idx="8">
                  <c:v>0.38384009338424618</c:v>
                </c:pt>
                <c:pt idx="9">
                  <c:v>0.5327291139028123</c:v>
                </c:pt>
                <c:pt idx="10">
                  <c:v>0.85594872386390053</c:v>
                </c:pt>
                <c:pt idx="11">
                  <c:v>1.0000000000000002</c:v>
                </c:pt>
              </c:numCache>
            </c:numRef>
          </c:yVal>
          <c:smooth val="1"/>
          <c:extLst>
            <c:ext xmlns:c16="http://schemas.microsoft.com/office/drawing/2014/chart" uri="{C3380CC4-5D6E-409C-BE32-E72D297353CC}">
              <c16:uniqueId val="{00000000-711B-4DE6-BD3D-7773283833E2}"/>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711B-4DE6-BD3D-7773283833E2}"/>
              </c:ext>
            </c:extLst>
          </c:dPt>
          <c:xVal>
            <c:numRef>
              <c:f>Gini_2014!$H$70:$H$81</c:f>
              <c:numCache>
                <c:formatCode>0.00</c:formatCode>
                <c:ptCount val="12"/>
                <c:pt idx="0">
                  <c:v>0</c:v>
                </c:pt>
                <c:pt idx="1">
                  <c:v>1.3868930000219203E-2</c:v>
                </c:pt>
                <c:pt idx="2">
                  <c:v>3.6038867283033578E-2</c:v>
                </c:pt>
                <c:pt idx="3">
                  <c:v>4.1163994800124372E-2</c:v>
                </c:pt>
                <c:pt idx="4">
                  <c:v>8.3537790393782119E-2</c:v>
                </c:pt>
                <c:pt idx="5">
                  <c:v>0.15804959474726568</c:v>
                </c:pt>
                <c:pt idx="6">
                  <c:v>0.20150964958546869</c:v>
                </c:pt>
                <c:pt idx="7">
                  <c:v>0.24540248636842926</c:v>
                </c:pt>
                <c:pt idx="8">
                  <c:v>0.38384009338424618</c:v>
                </c:pt>
                <c:pt idx="9">
                  <c:v>0.5327291139028123</c:v>
                </c:pt>
                <c:pt idx="10">
                  <c:v>0.85594872386390053</c:v>
                </c:pt>
                <c:pt idx="11">
                  <c:v>1.0000000000000002</c:v>
                </c:pt>
              </c:numCache>
            </c:numRef>
          </c:xVal>
          <c:yVal>
            <c:numRef>
              <c:f>Gini_2014!$G$70:$G$81</c:f>
              <c:numCache>
                <c:formatCode>0.00</c:formatCode>
                <c:ptCount val="12"/>
                <c:pt idx="0">
                  <c:v>0</c:v>
                </c:pt>
                <c:pt idx="1">
                  <c:v>0</c:v>
                </c:pt>
                <c:pt idx="2">
                  <c:v>5.1173151307255327E-3</c:v>
                </c:pt>
                <c:pt idx="3">
                  <c:v>1.3443315713867521E-2</c:v>
                </c:pt>
                <c:pt idx="4">
                  <c:v>2.7143829004100235E-2</c:v>
                </c:pt>
                <c:pt idx="5">
                  <c:v>7.2759937510082556E-2</c:v>
                </c:pt>
                <c:pt idx="6">
                  <c:v>0.12441773679026877</c:v>
                </c:pt>
                <c:pt idx="7">
                  <c:v>0.20338801770172971</c:v>
                </c:pt>
                <c:pt idx="8">
                  <c:v>0.31697080471480971</c:v>
                </c:pt>
                <c:pt idx="9">
                  <c:v>0.44778563994269382</c:v>
                </c:pt>
                <c:pt idx="10">
                  <c:v>0.63765035787875957</c:v>
                </c:pt>
                <c:pt idx="11">
                  <c:v>1</c:v>
                </c:pt>
              </c:numCache>
            </c:numRef>
          </c:yVal>
          <c:smooth val="0"/>
          <c:extLst>
            <c:ext xmlns:c16="http://schemas.microsoft.com/office/drawing/2014/chart" uri="{C3380CC4-5D6E-409C-BE32-E72D297353CC}">
              <c16:uniqueId val="{00000002-711B-4DE6-BD3D-7773283833E2}"/>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Population</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total available water</a:t>
                </a:r>
                <a:endParaRPr lang="en-US"/>
              </a:p>
            </c:rich>
          </c:tx>
          <c:layout>
            <c:manualLayout>
              <c:xMode val="edge"/>
              <c:yMode val="edge"/>
              <c:x val="1.6122160326311905E-2"/>
              <c:y val="0.14339278018953905"/>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Gini_2014!$H$94:$H$105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xVal>
          <c:yVal>
            <c:numRef>
              <c:f>Gini_2014!$H$94:$H$105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yVal>
          <c:smooth val="1"/>
          <c:extLst>
            <c:ext xmlns:c16="http://schemas.microsoft.com/office/drawing/2014/chart" uri="{C3380CC4-5D6E-409C-BE32-E72D297353CC}">
              <c16:uniqueId val="{00000000-23E4-4F6D-8F2A-7A1A3161E9A4}"/>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23E4-4F6D-8F2A-7A1A3161E9A4}"/>
              </c:ext>
            </c:extLst>
          </c:dPt>
          <c:xVal>
            <c:numRef>
              <c:f>Gini_2014!$H$178:$H$189</c:f>
              <c:numCache>
                <c:formatCode>0.00</c:formatCode>
                <c:ptCount val="12"/>
                <c:pt idx="0">
                  <c:v>0</c:v>
                </c:pt>
                <c:pt idx="1">
                  <c:v>8.2249727275718124E-2</c:v>
                </c:pt>
                <c:pt idx="2">
                  <c:v>9.0263247322775519E-2</c:v>
                </c:pt>
                <c:pt idx="3">
                  <c:v>9.4581027823807909E-2</c:v>
                </c:pt>
                <c:pt idx="4">
                  <c:v>0.1013971131412383</c:v>
                </c:pt>
                <c:pt idx="5">
                  <c:v>0.10808687676914244</c:v>
                </c:pt>
                <c:pt idx="6">
                  <c:v>0.12427174144854033</c:v>
                </c:pt>
                <c:pt idx="7">
                  <c:v>0.16345651867644251</c:v>
                </c:pt>
                <c:pt idx="8">
                  <c:v>0.24099269172425059</c:v>
                </c:pt>
                <c:pt idx="9">
                  <c:v>0.67926609315684749</c:v>
                </c:pt>
                <c:pt idx="10">
                  <c:v>0.79811612788873898</c:v>
                </c:pt>
                <c:pt idx="11">
                  <c:v>1</c:v>
                </c:pt>
              </c:numCache>
            </c:numRef>
          </c:xVal>
          <c:yVal>
            <c:numRef>
              <c:f>Gini_2014!$G$178:$G$189</c:f>
              <c:numCache>
                <c:formatCode>0.00</c:formatCode>
                <c:ptCount val="12"/>
                <c:pt idx="0">
                  <c:v>0</c:v>
                </c:pt>
                <c:pt idx="1">
                  <c:v>1.2413939287946071E-3</c:v>
                </c:pt>
                <c:pt idx="2">
                  <c:v>8.0901900125791362E-3</c:v>
                </c:pt>
                <c:pt idx="3">
                  <c:v>1.506677253538103E-2</c:v>
                </c:pt>
                <c:pt idx="4">
                  <c:v>2.4698514900853858E-2</c:v>
                </c:pt>
                <c:pt idx="5">
                  <c:v>3.6447670526888826E-2</c:v>
                </c:pt>
                <c:pt idx="6">
                  <c:v>7.0484010676386419E-2</c:v>
                </c:pt>
                <c:pt idx="7">
                  <c:v>0.13167635735795447</c:v>
                </c:pt>
                <c:pt idx="8">
                  <c:v>0.27326173784680641</c:v>
                </c:pt>
                <c:pt idx="9">
                  <c:v>0.46353986308528167</c:v>
                </c:pt>
                <c:pt idx="10">
                  <c:v>0.68544792973490631</c:v>
                </c:pt>
                <c:pt idx="11">
                  <c:v>1.0000000000000002</c:v>
                </c:pt>
              </c:numCache>
            </c:numRef>
          </c:yVal>
          <c:smooth val="0"/>
          <c:extLst>
            <c:ext xmlns:c16="http://schemas.microsoft.com/office/drawing/2014/chart" uri="{C3380CC4-5D6E-409C-BE32-E72D297353CC}">
              <c16:uniqueId val="{00000002-23E4-4F6D-8F2A-7A1A3161E9A4}"/>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Precipitation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301861863580613"/>
          <c:y val="0.1566342980154827"/>
          <c:w val="0.54960252622417904"/>
          <c:h val="0.65904922055244786"/>
        </c:manualLayout>
      </c:layout>
      <c:scatterChart>
        <c:scatterStyle val="smoothMarker"/>
        <c:varyColors val="0"/>
        <c:ser>
          <c:idx val="1"/>
          <c:order val="1"/>
          <c:tx>
            <c:v>Equality Line</c:v>
          </c:tx>
          <c:spPr>
            <a:ln w="19050" cap="rnd">
              <a:solidFill>
                <a:schemeClr val="accent2"/>
              </a:solidFill>
              <a:round/>
            </a:ln>
            <a:effectLst/>
          </c:spPr>
          <c:marker>
            <c:symbol val="none"/>
          </c:marker>
          <c:xVal>
            <c:numRef>
              <c:f>Gini_2014!$H$115:$H$126</c:f>
              <c:numCache>
                <c:formatCode>0.00</c:formatCode>
                <c:ptCount val="12"/>
                <c:pt idx="0">
                  <c:v>0</c:v>
                </c:pt>
                <c:pt idx="1">
                  <c:v>8.6508040877704764E-3</c:v>
                </c:pt>
                <c:pt idx="2">
                  <c:v>2.233691110888162E-2</c:v>
                </c:pt>
                <c:pt idx="3">
                  <c:v>4.5534073596056365E-2</c:v>
                </c:pt>
                <c:pt idx="4">
                  <c:v>5.3837159897602418E-2</c:v>
                </c:pt>
                <c:pt idx="5">
                  <c:v>0.11688690634392547</c:v>
                </c:pt>
                <c:pt idx="6">
                  <c:v>0.17846731707242672</c:v>
                </c:pt>
                <c:pt idx="7">
                  <c:v>0.25736713399590871</c:v>
                </c:pt>
                <c:pt idx="8">
                  <c:v>0.38405950424456814</c:v>
                </c:pt>
                <c:pt idx="9">
                  <c:v>0.65743534284662219</c:v>
                </c:pt>
                <c:pt idx="10">
                  <c:v>0.98464491670321019</c:v>
                </c:pt>
                <c:pt idx="11">
                  <c:v>1.0000000000000002</c:v>
                </c:pt>
              </c:numCache>
            </c:numRef>
          </c:xVal>
          <c:yVal>
            <c:numRef>
              <c:f>Gini_2014!$H$115:$H$126</c:f>
              <c:numCache>
                <c:formatCode>0.00</c:formatCode>
                <c:ptCount val="12"/>
                <c:pt idx="0">
                  <c:v>0</c:v>
                </c:pt>
                <c:pt idx="1">
                  <c:v>8.6508040877704764E-3</c:v>
                </c:pt>
                <c:pt idx="2">
                  <c:v>2.233691110888162E-2</c:v>
                </c:pt>
                <c:pt idx="3">
                  <c:v>4.5534073596056365E-2</c:v>
                </c:pt>
                <c:pt idx="4">
                  <c:v>5.3837159897602418E-2</c:v>
                </c:pt>
                <c:pt idx="5">
                  <c:v>0.11688690634392547</c:v>
                </c:pt>
                <c:pt idx="6">
                  <c:v>0.17846731707242672</c:v>
                </c:pt>
                <c:pt idx="7">
                  <c:v>0.25736713399590871</c:v>
                </c:pt>
                <c:pt idx="8">
                  <c:v>0.38405950424456814</c:v>
                </c:pt>
                <c:pt idx="9">
                  <c:v>0.65743534284662219</c:v>
                </c:pt>
                <c:pt idx="10">
                  <c:v>0.98464491670321019</c:v>
                </c:pt>
                <c:pt idx="11">
                  <c:v>1.0000000000000002</c:v>
                </c:pt>
              </c:numCache>
            </c:numRef>
          </c:yVal>
          <c:smooth val="1"/>
          <c:extLst>
            <c:ext xmlns:c16="http://schemas.microsoft.com/office/drawing/2014/chart" uri="{C3380CC4-5D6E-409C-BE32-E72D297353CC}">
              <c16:uniqueId val="{00000000-147E-499A-993C-AD509FCEE3EB}"/>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147E-499A-993C-AD509FCEE3EB}"/>
              </c:ext>
            </c:extLst>
          </c:dPt>
          <c:xVal>
            <c:numRef>
              <c:f>Gini_2014!$H$199:$H$210</c:f>
              <c:numCache>
                <c:formatCode>0.00</c:formatCode>
                <c:ptCount val="12"/>
                <c:pt idx="0">
                  <c:v>0</c:v>
                </c:pt>
                <c:pt idx="1">
                  <c:v>8.0135200470573958E-3</c:v>
                </c:pt>
                <c:pt idx="2">
                  <c:v>1.2331300548089792E-2</c:v>
                </c:pt>
                <c:pt idx="3">
                  <c:v>1.9147385865520176E-2</c:v>
                </c:pt>
                <c:pt idx="4">
                  <c:v>2.5837149493424316E-2</c:v>
                </c:pt>
                <c:pt idx="5">
                  <c:v>4.2022014172822211E-2</c:v>
                </c:pt>
                <c:pt idx="6">
                  <c:v>0.12427174144854033</c:v>
                </c:pt>
                <c:pt idx="7">
                  <c:v>0.16345651867644251</c:v>
                </c:pt>
                <c:pt idx="8">
                  <c:v>0.24099269172425059</c:v>
                </c:pt>
                <c:pt idx="9">
                  <c:v>0.35984272645614207</c:v>
                </c:pt>
                <c:pt idx="10">
                  <c:v>0.79811612788873898</c:v>
                </c:pt>
                <c:pt idx="11">
                  <c:v>1</c:v>
                </c:pt>
              </c:numCache>
            </c:numRef>
          </c:xVal>
          <c:yVal>
            <c:numRef>
              <c:f>Gini_2014!$G$199:$G$210</c:f>
              <c:numCache>
                <c:formatCode>0.00</c:formatCode>
                <c:ptCount val="12"/>
                <c:pt idx="0">
                  <c:v>0</c:v>
                </c:pt>
                <c:pt idx="1">
                  <c:v>5.4935138917268584E-3</c:v>
                </c:pt>
                <c:pt idx="2">
                  <c:v>1.1542215557476518E-2</c:v>
                </c:pt>
                <c:pt idx="3">
                  <c:v>2.0767795585946339E-2</c:v>
                </c:pt>
                <c:pt idx="4">
                  <c:v>3.2817612560662027E-2</c:v>
                </c:pt>
                <c:pt idx="5">
                  <c:v>5.9760125694409548E-2</c:v>
                </c:pt>
                <c:pt idx="6">
                  <c:v>8.8521730060261289E-2</c:v>
                </c:pt>
                <c:pt idx="7">
                  <c:v>0.14437527472701342</c:v>
                </c:pt>
                <c:pt idx="8">
                  <c:v>0.27493678549615885</c:v>
                </c:pt>
                <c:pt idx="9">
                  <c:v>0.43963560351400888</c:v>
                </c:pt>
                <c:pt idx="10">
                  <c:v>0.64143508848042341</c:v>
                </c:pt>
                <c:pt idx="11">
                  <c:v>1</c:v>
                </c:pt>
              </c:numCache>
            </c:numRef>
          </c:yVal>
          <c:smooth val="0"/>
          <c:extLst>
            <c:ext xmlns:c16="http://schemas.microsoft.com/office/drawing/2014/chart" uri="{C3380CC4-5D6E-409C-BE32-E72D297353CC}">
              <c16:uniqueId val="{00000002-147E-499A-993C-AD509FCEE3EB}"/>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ETa</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Gini_2014!$H$136:$H$147</c:f>
              <c:numCache>
                <c:formatCode>0.00</c:formatCode>
                <c:ptCount val="12"/>
                <c:pt idx="0">
                  <c:v>0</c:v>
                </c:pt>
                <c:pt idx="1">
                  <c:v>8.3030863015460567E-3</c:v>
                </c:pt>
                <c:pt idx="2">
                  <c:v>6.9883497030047301E-2</c:v>
                </c:pt>
                <c:pt idx="3">
                  <c:v>0.39709307088663531</c:v>
                </c:pt>
                <c:pt idx="4">
                  <c:v>0.41244815418342529</c:v>
                </c:pt>
                <c:pt idx="5">
                  <c:v>0.43564531667060002</c:v>
                </c:pt>
                <c:pt idx="6">
                  <c:v>0.4493314236917112</c:v>
                </c:pt>
                <c:pt idx="7">
                  <c:v>0.45798222777948167</c:v>
                </c:pt>
                <c:pt idx="8">
                  <c:v>0.52103197422580472</c:v>
                </c:pt>
                <c:pt idx="9">
                  <c:v>0.59993179114928674</c:v>
                </c:pt>
                <c:pt idx="10">
                  <c:v>0.72662416139794617</c:v>
                </c:pt>
                <c:pt idx="11">
                  <c:v>1.0000000000000002</c:v>
                </c:pt>
              </c:numCache>
            </c:numRef>
          </c:xVal>
          <c:yVal>
            <c:numRef>
              <c:f>Gini_2014!$H$136:$H$147</c:f>
              <c:numCache>
                <c:formatCode>0.00</c:formatCode>
                <c:ptCount val="12"/>
                <c:pt idx="0">
                  <c:v>0</c:v>
                </c:pt>
                <c:pt idx="1">
                  <c:v>8.3030863015460567E-3</c:v>
                </c:pt>
                <c:pt idx="2">
                  <c:v>6.9883497030047301E-2</c:v>
                </c:pt>
                <c:pt idx="3">
                  <c:v>0.39709307088663531</c:v>
                </c:pt>
                <c:pt idx="4">
                  <c:v>0.41244815418342529</c:v>
                </c:pt>
                <c:pt idx="5">
                  <c:v>0.43564531667060002</c:v>
                </c:pt>
                <c:pt idx="6">
                  <c:v>0.4493314236917112</c:v>
                </c:pt>
                <c:pt idx="7">
                  <c:v>0.45798222777948167</c:v>
                </c:pt>
                <c:pt idx="8">
                  <c:v>0.52103197422580472</c:v>
                </c:pt>
                <c:pt idx="9">
                  <c:v>0.59993179114928674</c:v>
                </c:pt>
                <c:pt idx="10">
                  <c:v>0.72662416139794617</c:v>
                </c:pt>
                <c:pt idx="11">
                  <c:v>1.0000000000000002</c:v>
                </c:pt>
              </c:numCache>
            </c:numRef>
          </c:yVal>
          <c:smooth val="1"/>
          <c:extLst>
            <c:ext xmlns:c16="http://schemas.microsoft.com/office/drawing/2014/chart" uri="{C3380CC4-5D6E-409C-BE32-E72D297353CC}">
              <c16:uniqueId val="{00000000-5701-418A-A64E-5E3566EFA007}"/>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5701-418A-A64E-5E3566EFA007}"/>
              </c:ext>
            </c:extLst>
          </c:dPt>
          <c:xVal>
            <c:numRef>
              <c:f>Gini_2014!$H$220:$H$231</c:f>
              <c:numCache>
                <c:formatCode>0.00</c:formatCode>
                <c:ptCount val="12"/>
                <c:pt idx="0">
                  <c:v>0</c:v>
                </c:pt>
                <c:pt idx="1">
                  <c:v>6.6897636279041406E-3</c:v>
                </c:pt>
                <c:pt idx="2">
                  <c:v>8.893949090362227E-2</c:v>
                </c:pt>
                <c:pt idx="3">
                  <c:v>0.52721289233621915</c:v>
                </c:pt>
                <c:pt idx="4">
                  <c:v>0.72909676444748017</c:v>
                </c:pt>
                <c:pt idx="5">
                  <c:v>0.73591284976491056</c:v>
                </c:pt>
                <c:pt idx="6">
                  <c:v>0.74023063026594293</c:v>
                </c:pt>
                <c:pt idx="7">
                  <c:v>0.74824415031300029</c:v>
                </c:pt>
                <c:pt idx="8">
                  <c:v>0.76442901499239824</c:v>
                </c:pt>
                <c:pt idx="9">
                  <c:v>0.80361379222030038</c:v>
                </c:pt>
                <c:pt idx="10">
                  <c:v>0.88114996526810851</c:v>
                </c:pt>
                <c:pt idx="11">
                  <c:v>1</c:v>
                </c:pt>
              </c:numCache>
            </c:numRef>
          </c:xVal>
          <c:yVal>
            <c:numRef>
              <c:f>Gini_2014!$G$220:$G$231</c:f>
              <c:numCache>
                <c:formatCode>0.00</c:formatCode>
                <c:ptCount val="12"/>
                <c:pt idx="0">
                  <c:v>0</c:v>
                </c:pt>
                <c:pt idx="1">
                  <c:v>0</c:v>
                </c:pt>
                <c:pt idx="2">
                  <c:v>0</c:v>
                </c:pt>
                <c:pt idx="3">
                  <c:v>0</c:v>
                </c:pt>
                <c:pt idx="4">
                  <c:v>0</c:v>
                </c:pt>
                <c:pt idx="5">
                  <c:v>1.7434689669939504E-3</c:v>
                </c:pt>
                <c:pt idx="6">
                  <c:v>1.1328119583050777E-2</c:v>
                </c:pt>
                <c:pt idx="7">
                  <c:v>2.6922587498335693E-2</c:v>
                </c:pt>
                <c:pt idx="8">
                  <c:v>0.11236084004386347</c:v>
                </c:pt>
                <c:pt idx="9">
                  <c:v>0.20911508422205585</c:v>
                </c:pt>
                <c:pt idx="10">
                  <c:v>0.32132482916038108</c:v>
                </c:pt>
                <c:pt idx="11">
                  <c:v>1</c:v>
                </c:pt>
              </c:numCache>
            </c:numRef>
          </c:yVal>
          <c:smooth val="0"/>
          <c:extLst>
            <c:ext xmlns:c16="http://schemas.microsoft.com/office/drawing/2014/chart" uri="{C3380CC4-5D6E-409C-BE32-E72D297353CC}">
              <c16:uniqueId val="{00000002-5701-418A-A64E-5E3566EFA007}"/>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Available Water</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Gini_2014!$H$157:$H$168</c:f>
              <c:numCache>
                <c:formatCode>0.00</c:formatCode>
                <c:ptCount val="12"/>
                <c:pt idx="0">
                  <c:v>0</c:v>
                </c:pt>
                <c:pt idx="1">
                  <c:v>8.3030863015460567E-3</c:v>
                </c:pt>
                <c:pt idx="2">
                  <c:v>2.19891933226572E-2</c:v>
                </c:pt>
                <c:pt idx="3">
                  <c:v>3.0639997410427677E-2</c:v>
                </c:pt>
                <c:pt idx="4">
                  <c:v>5.3837159897602418E-2</c:v>
                </c:pt>
                <c:pt idx="5">
                  <c:v>0.11688690634392547</c:v>
                </c:pt>
                <c:pt idx="6">
                  <c:v>0.19578672326740743</c:v>
                </c:pt>
                <c:pt idx="7">
                  <c:v>0.2111418065641974</c:v>
                </c:pt>
                <c:pt idx="8">
                  <c:v>0.53835138042078534</c:v>
                </c:pt>
                <c:pt idx="9">
                  <c:v>0.66504375066944477</c:v>
                </c:pt>
                <c:pt idx="10">
                  <c:v>0.72662416139794606</c:v>
                </c:pt>
                <c:pt idx="11">
                  <c:v>1</c:v>
                </c:pt>
              </c:numCache>
            </c:numRef>
          </c:xVal>
          <c:yVal>
            <c:numRef>
              <c:f>Gini_2014!$H$157:$H$168</c:f>
              <c:numCache>
                <c:formatCode>0.00</c:formatCode>
                <c:ptCount val="12"/>
                <c:pt idx="0">
                  <c:v>0</c:v>
                </c:pt>
                <c:pt idx="1">
                  <c:v>8.3030863015460567E-3</c:v>
                </c:pt>
                <c:pt idx="2">
                  <c:v>2.19891933226572E-2</c:v>
                </c:pt>
                <c:pt idx="3">
                  <c:v>3.0639997410427677E-2</c:v>
                </c:pt>
                <c:pt idx="4">
                  <c:v>5.3837159897602418E-2</c:v>
                </c:pt>
                <c:pt idx="5">
                  <c:v>0.11688690634392547</c:v>
                </c:pt>
                <c:pt idx="6">
                  <c:v>0.19578672326740743</c:v>
                </c:pt>
                <c:pt idx="7">
                  <c:v>0.2111418065641974</c:v>
                </c:pt>
                <c:pt idx="8">
                  <c:v>0.53835138042078534</c:v>
                </c:pt>
                <c:pt idx="9">
                  <c:v>0.66504375066944477</c:v>
                </c:pt>
                <c:pt idx="10">
                  <c:v>0.72662416139794606</c:v>
                </c:pt>
                <c:pt idx="11">
                  <c:v>1</c:v>
                </c:pt>
              </c:numCache>
            </c:numRef>
          </c:yVal>
          <c:smooth val="1"/>
          <c:extLst>
            <c:ext xmlns:c16="http://schemas.microsoft.com/office/drawing/2014/chart" uri="{C3380CC4-5D6E-409C-BE32-E72D297353CC}">
              <c16:uniqueId val="{00000000-C4CA-4236-AF0C-44F60DFBCEB0}"/>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C4CA-4236-AF0C-44F60DFBCEB0}"/>
              </c:ext>
            </c:extLst>
          </c:dPt>
          <c:xVal>
            <c:numRef>
              <c:f>Gini_2014!$H$241:$H$252</c:f>
              <c:numCache>
                <c:formatCode>0.00</c:formatCode>
                <c:ptCount val="12"/>
                <c:pt idx="0">
                  <c:v>0</c:v>
                </c:pt>
                <c:pt idx="1">
                  <c:v>6.6897636279041389E-3</c:v>
                </c:pt>
                <c:pt idx="2">
                  <c:v>1.1007544128936533E-2</c:v>
                </c:pt>
                <c:pt idx="3">
                  <c:v>1.9021064175993925E-2</c:v>
                </c:pt>
                <c:pt idx="4">
                  <c:v>2.5837149493424309E-2</c:v>
                </c:pt>
                <c:pt idx="5">
                  <c:v>4.2022014172822197E-2</c:v>
                </c:pt>
                <c:pt idx="6">
                  <c:v>8.1206791400724371E-2</c:v>
                </c:pt>
                <c:pt idx="7">
                  <c:v>0.28309066351198536</c:v>
                </c:pt>
                <c:pt idx="8">
                  <c:v>0.72136406494458227</c:v>
                </c:pt>
                <c:pt idx="9">
                  <c:v>0.79890023799239041</c:v>
                </c:pt>
                <c:pt idx="10">
                  <c:v>0.88114996526810851</c:v>
                </c:pt>
                <c:pt idx="11">
                  <c:v>1</c:v>
                </c:pt>
              </c:numCache>
            </c:numRef>
          </c:xVal>
          <c:yVal>
            <c:numRef>
              <c:f>Gini_2014!$G$241:$G$252</c:f>
              <c:numCache>
                <c:formatCode>0.00</c:formatCode>
                <c:ptCount val="12"/>
                <c:pt idx="0">
                  <c:v>0</c:v>
                </c:pt>
                <c:pt idx="1">
                  <c:v>0</c:v>
                </c:pt>
                <c:pt idx="2">
                  <c:v>5.1173151307255327E-3</c:v>
                </c:pt>
                <c:pt idx="3">
                  <c:v>1.3443315713867521E-2</c:v>
                </c:pt>
                <c:pt idx="4">
                  <c:v>2.7143829004100235E-2</c:v>
                </c:pt>
                <c:pt idx="5">
                  <c:v>7.2759937510082556E-2</c:v>
                </c:pt>
                <c:pt idx="6">
                  <c:v>0.12441773679026877</c:v>
                </c:pt>
                <c:pt idx="7">
                  <c:v>0.20338801770172971</c:v>
                </c:pt>
                <c:pt idx="8">
                  <c:v>0.31697080471480971</c:v>
                </c:pt>
                <c:pt idx="9">
                  <c:v>0.44778563994269382</c:v>
                </c:pt>
                <c:pt idx="10">
                  <c:v>0.63765035787875957</c:v>
                </c:pt>
                <c:pt idx="11">
                  <c:v>1</c:v>
                </c:pt>
              </c:numCache>
            </c:numRef>
          </c:yVal>
          <c:smooth val="0"/>
          <c:extLst>
            <c:ext xmlns:c16="http://schemas.microsoft.com/office/drawing/2014/chart" uri="{C3380CC4-5D6E-409C-BE32-E72D297353CC}">
              <c16:uniqueId val="{00000002-C4CA-4236-AF0C-44F60DFBCEB0}"/>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 total</a:t>
                </a:r>
                <a:r>
                  <a:rPr lang="en-US" baseline="0"/>
                  <a:t> available water</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 based on population of each country in the basin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Gini_2014!$H$6:$H$17</c:f>
              <c:numCache>
                <c:formatCode>0.00</c:formatCode>
                <c:ptCount val="12"/>
                <c:pt idx="0">
                  <c:v>0</c:v>
                </c:pt>
                <c:pt idx="1">
                  <c:v>0.32321960996108823</c:v>
                </c:pt>
                <c:pt idx="2">
                  <c:v>0.32834473747817899</c:v>
                </c:pt>
                <c:pt idx="3">
                  <c:v>0.35051467476099335</c:v>
                </c:pt>
                <c:pt idx="4">
                  <c:v>0.39288847035465108</c:v>
                </c:pt>
                <c:pt idx="5">
                  <c:v>0.40675740035487029</c:v>
                </c:pt>
                <c:pt idx="6">
                  <c:v>0.48126920470835383</c:v>
                </c:pt>
                <c:pt idx="7">
                  <c:v>0.5247292595465568</c:v>
                </c:pt>
                <c:pt idx="8">
                  <c:v>0.67361828006512281</c:v>
                </c:pt>
                <c:pt idx="9">
                  <c:v>0.81205588708093968</c:v>
                </c:pt>
                <c:pt idx="10">
                  <c:v>0.95610716321703926</c:v>
                </c:pt>
                <c:pt idx="11">
                  <c:v>0.99999999999999989</c:v>
                </c:pt>
              </c:numCache>
            </c:numRef>
          </c:xVal>
          <c:yVal>
            <c:numRef>
              <c:f>Gini_2014!$H$6:$H$17</c:f>
              <c:numCache>
                <c:formatCode>0.00</c:formatCode>
                <c:ptCount val="12"/>
                <c:pt idx="0">
                  <c:v>0</c:v>
                </c:pt>
                <c:pt idx="1">
                  <c:v>0.32321960996108823</c:v>
                </c:pt>
                <c:pt idx="2">
                  <c:v>0.32834473747817899</c:v>
                </c:pt>
                <c:pt idx="3">
                  <c:v>0.35051467476099335</c:v>
                </c:pt>
                <c:pt idx="4">
                  <c:v>0.39288847035465108</c:v>
                </c:pt>
                <c:pt idx="5">
                  <c:v>0.40675740035487029</c:v>
                </c:pt>
                <c:pt idx="6">
                  <c:v>0.48126920470835383</c:v>
                </c:pt>
                <c:pt idx="7">
                  <c:v>0.5247292595465568</c:v>
                </c:pt>
                <c:pt idx="8">
                  <c:v>0.67361828006512281</c:v>
                </c:pt>
                <c:pt idx="9">
                  <c:v>0.81205588708093968</c:v>
                </c:pt>
                <c:pt idx="10">
                  <c:v>0.95610716321703926</c:v>
                </c:pt>
                <c:pt idx="11">
                  <c:v>0.99999999999999989</c:v>
                </c:pt>
              </c:numCache>
            </c:numRef>
          </c:yVal>
          <c:smooth val="1"/>
          <c:extLst>
            <c:ext xmlns:c16="http://schemas.microsoft.com/office/drawing/2014/chart" uri="{C3380CC4-5D6E-409C-BE32-E72D297353CC}">
              <c16:uniqueId val="{00000000-52DD-48D6-BCFB-451FE4902569}"/>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Precipitation</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52DD-48D6-BCFB-451FE4902569}"/>
              </c:ext>
            </c:extLst>
          </c:dPt>
          <c:xVal>
            <c:numRef>
              <c:f>Gini_2014!$H$6:$H$17</c:f>
              <c:numCache>
                <c:formatCode>0.00</c:formatCode>
                <c:ptCount val="12"/>
                <c:pt idx="0">
                  <c:v>0</c:v>
                </c:pt>
                <c:pt idx="1">
                  <c:v>0.32321960996108823</c:v>
                </c:pt>
                <c:pt idx="2">
                  <c:v>0.32834473747817899</c:v>
                </c:pt>
                <c:pt idx="3">
                  <c:v>0.35051467476099335</c:v>
                </c:pt>
                <c:pt idx="4">
                  <c:v>0.39288847035465108</c:v>
                </c:pt>
                <c:pt idx="5">
                  <c:v>0.40675740035487029</c:v>
                </c:pt>
                <c:pt idx="6">
                  <c:v>0.48126920470835383</c:v>
                </c:pt>
                <c:pt idx="7">
                  <c:v>0.5247292595465568</c:v>
                </c:pt>
                <c:pt idx="8">
                  <c:v>0.67361828006512281</c:v>
                </c:pt>
                <c:pt idx="9">
                  <c:v>0.81205588708093968</c:v>
                </c:pt>
                <c:pt idx="10">
                  <c:v>0.95610716321703926</c:v>
                </c:pt>
                <c:pt idx="11">
                  <c:v>0.99999999999999989</c:v>
                </c:pt>
              </c:numCache>
            </c:numRef>
          </c:xVal>
          <c:yVal>
            <c:numRef>
              <c:f>Gini_2014!$G$6:$G$17</c:f>
              <c:numCache>
                <c:formatCode>0.00</c:formatCode>
                <c:ptCount val="12"/>
                <c:pt idx="0">
                  <c:v>0</c:v>
                </c:pt>
                <c:pt idx="1">
                  <c:v>1.2413939287946071E-3</c:v>
                </c:pt>
                <c:pt idx="2">
                  <c:v>8.0901900125791362E-3</c:v>
                </c:pt>
                <c:pt idx="3">
                  <c:v>1.506677253538103E-2</c:v>
                </c:pt>
                <c:pt idx="4">
                  <c:v>2.4698514900853858E-2</c:v>
                </c:pt>
                <c:pt idx="5">
                  <c:v>3.6447670526888826E-2</c:v>
                </c:pt>
                <c:pt idx="6">
                  <c:v>7.0484010676386419E-2</c:v>
                </c:pt>
                <c:pt idx="7">
                  <c:v>0.13167635735795447</c:v>
                </c:pt>
                <c:pt idx="8">
                  <c:v>0.27326173784680641</c:v>
                </c:pt>
                <c:pt idx="9">
                  <c:v>0.46353986308528167</c:v>
                </c:pt>
                <c:pt idx="10">
                  <c:v>0.68544792973490631</c:v>
                </c:pt>
                <c:pt idx="11">
                  <c:v>1.0000000000000002</c:v>
                </c:pt>
              </c:numCache>
            </c:numRef>
          </c:yVal>
          <c:smooth val="0"/>
          <c:extLst>
            <c:ext xmlns:c16="http://schemas.microsoft.com/office/drawing/2014/chart" uri="{C3380CC4-5D6E-409C-BE32-E72D297353CC}">
              <c16:uniqueId val="{00000002-52DD-48D6-BCFB-451FE4902569}"/>
            </c:ext>
          </c:extLst>
        </c:ser>
        <c:ser>
          <c:idx val="2"/>
          <c:order val="2"/>
          <c:tx>
            <c:v>ETa</c:v>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Gini_2014!$H$27:$H$38</c:f>
              <c:numCache>
                <c:formatCode>0.00</c:formatCode>
                <c:ptCount val="12"/>
                <c:pt idx="0">
                  <c:v>0</c:v>
                </c:pt>
                <c:pt idx="1">
                  <c:v>5.1251275170907913E-3</c:v>
                </c:pt>
                <c:pt idx="2">
                  <c:v>2.7295064799905164E-2</c:v>
                </c:pt>
                <c:pt idx="3">
                  <c:v>6.9668860393562904E-2</c:v>
                </c:pt>
                <c:pt idx="4">
                  <c:v>8.3537790393782105E-2</c:v>
                </c:pt>
                <c:pt idx="5">
                  <c:v>0.15804959474726565</c:v>
                </c:pt>
                <c:pt idx="6">
                  <c:v>0.48126920470835388</c:v>
                </c:pt>
                <c:pt idx="7">
                  <c:v>0.52472925954655691</c:v>
                </c:pt>
                <c:pt idx="8">
                  <c:v>0.67361828006512292</c:v>
                </c:pt>
                <c:pt idx="9">
                  <c:v>0.8176695562012225</c:v>
                </c:pt>
                <c:pt idx="10">
                  <c:v>0.95610716321703937</c:v>
                </c:pt>
                <c:pt idx="11">
                  <c:v>1</c:v>
                </c:pt>
              </c:numCache>
            </c:numRef>
          </c:xVal>
          <c:yVal>
            <c:numRef>
              <c:f>Gini_2014!$G$27:$G$38</c:f>
              <c:numCache>
                <c:formatCode>0.00</c:formatCode>
                <c:ptCount val="12"/>
                <c:pt idx="0">
                  <c:v>0</c:v>
                </c:pt>
                <c:pt idx="1">
                  <c:v>5.4935138917268584E-3</c:v>
                </c:pt>
                <c:pt idx="2">
                  <c:v>1.1542215557476518E-2</c:v>
                </c:pt>
                <c:pt idx="3">
                  <c:v>2.0767795585946339E-2</c:v>
                </c:pt>
                <c:pt idx="4">
                  <c:v>3.2817612560662027E-2</c:v>
                </c:pt>
                <c:pt idx="5">
                  <c:v>5.9760125694409548E-2</c:v>
                </c:pt>
                <c:pt idx="6">
                  <c:v>8.8521730060261289E-2</c:v>
                </c:pt>
                <c:pt idx="7">
                  <c:v>0.14437527472701342</c:v>
                </c:pt>
                <c:pt idx="8">
                  <c:v>0.27493678549615885</c:v>
                </c:pt>
                <c:pt idx="9">
                  <c:v>0.43963560351400888</c:v>
                </c:pt>
                <c:pt idx="10">
                  <c:v>0.64143508848042341</c:v>
                </c:pt>
                <c:pt idx="11">
                  <c:v>1</c:v>
                </c:pt>
              </c:numCache>
            </c:numRef>
          </c:yVal>
          <c:smooth val="0"/>
          <c:extLst>
            <c:ext xmlns:c16="http://schemas.microsoft.com/office/drawing/2014/chart" uri="{C3380CC4-5D6E-409C-BE32-E72D297353CC}">
              <c16:uniqueId val="{00000003-52DD-48D6-BCFB-451FE4902569}"/>
            </c:ext>
          </c:extLst>
        </c:ser>
        <c:ser>
          <c:idx val="3"/>
          <c:order val="3"/>
          <c:tx>
            <c:v>Internal AW</c:v>
          </c:tx>
          <c:spPr>
            <a:ln w="19050" cap="rnd">
              <a:solidFill>
                <a:schemeClr val="accent4"/>
              </a:solidFill>
              <a:round/>
            </a:ln>
            <a:effectLst/>
          </c:spPr>
          <c:marker>
            <c:symbol val="circle"/>
            <c:size val="5"/>
            <c:spPr>
              <a:solidFill>
                <a:schemeClr val="accent4"/>
              </a:solidFill>
              <a:ln w="9525">
                <a:solidFill>
                  <a:schemeClr val="accent4"/>
                </a:solidFill>
              </a:ln>
              <a:effectLst/>
            </c:spPr>
          </c:marker>
          <c:xVal>
            <c:numRef>
              <c:f>Gini_2014!$H$49:$H$60</c:f>
              <c:numCache>
                <c:formatCode>0.00</c:formatCode>
                <c:ptCount val="12"/>
                <c:pt idx="0">
                  <c:v>0</c:v>
                </c:pt>
                <c:pt idx="1">
                  <c:v>1.3868930000219203E-2</c:v>
                </c:pt>
                <c:pt idx="2">
                  <c:v>0.3370885399613075</c:v>
                </c:pt>
                <c:pt idx="3">
                  <c:v>0.47552614697712436</c:v>
                </c:pt>
                <c:pt idx="4">
                  <c:v>0.519418983760085</c:v>
                </c:pt>
                <c:pt idx="5">
                  <c:v>0.56179277935374272</c:v>
                </c:pt>
                <c:pt idx="6">
                  <c:v>0.58396271663655708</c:v>
                </c:pt>
                <c:pt idx="7">
                  <c:v>0.5890878441536479</c:v>
                </c:pt>
                <c:pt idx="8">
                  <c:v>0.66359964850713149</c:v>
                </c:pt>
                <c:pt idx="9">
                  <c:v>0.70705970334533452</c:v>
                </c:pt>
                <c:pt idx="10">
                  <c:v>0.85594872386390053</c:v>
                </c:pt>
                <c:pt idx="11">
                  <c:v>1.0000000000000002</c:v>
                </c:pt>
              </c:numCache>
            </c:numRef>
          </c:xVal>
          <c:yVal>
            <c:numRef>
              <c:f>Gini_2014!$G$49:$G$60</c:f>
              <c:numCache>
                <c:formatCode>0.00</c:formatCode>
                <c:ptCount val="12"/>
                <c:pt idx="0">
                  <c:v>0</c:v>
                </c:pt>
                <c:pt idx="1">
                  <c:v>0</c:v>
                </c:pt>
                <c:pt idx="2">
                  <c:v>0</c:v>
                </c:pt>
                <c:pt idx="3">
                  <c:v>0</c:v>
                </c:pt>
                <c:pt idx="4">
                  <c:v>0</c:v>
                </c:pt>
                <c:pt idx="5">
                  <c:v>1.7434689669939504E-3</c:v>
                </c:pt>
                <c:pt idx="6">
                  <c:v>1.1328119583050777E-2</c:v>
                </c:pt>
                <c:pt idx="7">
                  <c:v>2.6922587498335693E-2</c:v>
                </c:pt>
                <c:pt idx="8">
                  <c:v>0.11236084004386347</c:v>
                </c:pt>
                <c:pt idx="9">
                  <c:v>0.20911508422205585</c:v>
                </c:pt>
                <c:pt idx="10">
                  <c:v>0.32132482916038108</c:v>
                </c:pt>
                <c:pt idx="11">
                  <c:v>1</c:v>
                </c:pt>
              </c:numCache>
            </c:numRef>
          </c:yVal>
          <c:smooth val="0"/>
          <c:extLst>
            <c:ext xmlns:c16="http://schemas.microsoft.com/office/drawing/2014/chart" uri="{C3380CC4-5D6E-409C-BE32-E72D297353CC}">
              <c16:uniqueId val="{00000004-52DD-48D6-BCFB-451FE4902569}"/>
            </c:ext>
          </c:extLst>
        </c:ser>
        <c:ser>
          <c:idx val="4"/>
          <c:order val="4"/>
          <c:tx>
            <c:v>Total AW</c:v>
          </c:tx>
          <c:spPr>
            <a:ln w="19050" cap="rnd">
              <a:solidFill>
                <a:schemeClr val="accent5"/>
              </a:solidFill>
              <a:round/>
            </a:ln>
            <a:effectLst/>
          </c:spPr>
          <c:marker>
            <c:symbol val="circle"/>
            <c:size val="5"/>
            <c:spPr>
              <a:solidFill>
                <a:schemeClr val="accent5"/>
              </a:solidFill>
              <a:ln w="9525">
                <a:solidFill>
                  <a:schemeClr val="accent5"/>
                </a:solidFill>
              </a:ln>
              <a:effectLst/>
            </c:spPr>
          </c:marker>
          <c:xVal>
            <c:numRef>
              <c:f>Gini_2014!$H$70:$H$81</c:f>
              <c:numCache>
                <c:formatCode>0.00</c:formatCode>
                <c:ptCount val="12"/>
                <c:pt idx="0">
                  <c:v>0</c:v>
                </c:pt>
                <c:pt idx="1">
                  <c:v>1.3868930000219203E-2</c:v>
                </c:pt>
                <c:pt idx="2">
                  <c:v>3.6038867283033578E-2</c:v>
                </c:pt>
                <c:pt idx="3">
                  <c:v>4.1163994800124372E-2</c:v>
                </c:pt>
                <c:pt idx="4">
                  <c:v>8.3537790393782119E-2</c:v>
                </c:pt>
                <c:pt idx="5">
                  <c:v>0.15804959474726568</c:v>
                </c:pt>
                <c:pt idx="6">
                  <c:v>0.20150964958546869</c:v>
                </c:pt>
                <c:pt idx="7">
                  <c:v>0.24540248636842926</c:v>
                </c:pt>
                <c:pt idx="8">
                  <c:v>0.38384009338424618</c:v>
                </c:pt>
                <c:pt idx="9">
                  <c:v>0.5327291139028123</c:v>
                </c:pt>
                <c:pt idx="10">
                  <c:v>0.85594872386390053</c:v>
                </c:pt>
                <c:pt idx="11">
                  <c:v>1.0000000000000002</c:v>
                </c:pt>
              </c:numCache>
            </c:numRef>
          </c:xVal>
          <c:yVal>
            <c:numRef>
              <c:f>Gini_2014!$G$70:$G$81</c:f>
              <c:numCache>
                <c:formatCode>0.00</c:formatCode>
                <c:ptCount val="12"/>
                <c:pt idx="0">
                  <c:v>0</c:v>
                </c:pt>
                <c:pt idx="1">
                  <c:v>0</c:v>
                </c:pt>
                <c:pt idx="2">
                  <c:v>5.1173151307255327E-3</c:v>
                </c:pt>
                <c:pt idx="3">
                  <c:v>1.3443315713867521E-2</c:v>
                </c:pt>
                <c:pt idx="4">
                  <c:v>2.7143829004100235E-2</c:v>
                </c:pt>
                <c:pt idx="5">
                  <c:v>7.2759937510082556E-2</c:v>
                </c:pt>
                <c:pt idx="6">
                  <c:v>0.12441773679026877</c:v>
                </c:pt>
                <c:pt idx="7">
                  <c:v>0.20338801770172971</c:v>
                </c:pt>
                <c:pt idx="8">
                  <c:v>0.31697080471480971</c:v>
                </c:pt>
                <c:pt idx="9">
                  <c:v>0.44778563994269382</c:v>
                </c:pt>
                <c:pt idx="10">
                  <c:v>0.63765035787875957</c:v>
                </c:pt>
                <c:pt idx="11">
                  <c:v>1</c:v>
                </c:pt>
              </c:numCache>
            </c:numRef>
          </c:yVal>
          <c:smooth val="0"/>
          <c:extLst>
            <c:ext xmlns:c16="http://schemas.microsoft.com/office/drawing/2014/chart" uri="{C3380CC4-5D6E-409C-BE32-E72D297353CC}">
              <c16:uniqueId val="{00000005-52DD-48D6-BCFB-451FE4902569}"/>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Criteria </a:t>
                </a:r>
                <a:endParaRPr lang="en-US"/>
              </a:p>
            </c:rich>
          </c:tx>
          <c:layout>
            <c:manualLayout>
              <c:xMode val="edge"/>
              <c:yMode val="edge"/>
              <c:x val="0.30931893106762737"/>
              <c:y val="0.8987774266708676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variables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 based on cropland area in each country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650902999652733"/>
          <c:y val="0.18478675798830643"/>
          <c:w val="0.64746825356505833"/>
          <c:h val="0.67073597635553017"/>
        </c:manualLayout>
      </c:layout>
      <c:scatterChart>
        <c:scatterStyle val="smoothMarker"/>
        <c:varyColors val="0"/>
        <c:ser>
          <c:idx val="1"/>
          <c:order val="1"/>
          <c:tx>
            <c:v>Equality Line</c:v>
          </c:tx>
          <c:spPr>
            <a:ln w="19050" cap="rnd">
              <a:solidFill>
                <a:schemeClr val="accent2"/>
              </a:solidFill>
              <a:round/>
            </a:ln>
            <a:effectLst/>
          </c:spPr>
          <c:marker>
            <c:symbol val="none"/>
          </c:marker>
          <c:xVal>
            <c:numRef>
              <c:f>Gini_2014!$H$94:$H$105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xVal>
          <c:yVal>
            <c:numRef>
              <c:f>Gini_2014!$H$94:$H$105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yVal>
          <c:smooth val="1"/>
          <c:extLst>
            <c:ext xmlns:c16="http://schemas.microsoft.com/office/drawing/2014/chart" uri="{C3380CC4-5D6E-409C-BE32-E72D297353CC}">
              <c16:uniqueId val="{00000000-2F3D-476F-922C-DAC669E82D5F}"/>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Precipitation</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2F3D-476F-922C-DAC669E82D5F}"/>
              </c:ext>
            </c:extLst>
          </c:dPt>
          <c:xVal>
            <c:numRef>
              <c:f>Gini_2014!$H$94:$H$105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xVal>
          <c:yVal>
            <c:numRef>
              <c:f>Gini_2014!$G$94:$G$105</c:f>
              <c:numCache>
                <c:formatCode>0.00</c:formatCode>
                <c:ptCount val="12"/>
                <c:pt idx="0">
                  <c:v>0</c:v>
                </c:pt>
                <c:pt idx="1">
                  <c:v>1.2413939287946071E-3</c:v>
                </c:pt>
                <c:pt idx="2">
                  <c:v>8.0901900125791362E-3</c:v>
                </c:pt>
                <c:pt idx="3">
                  <c:v>1.506677253538103E-2</c:v>
                </c:pt>
                <c:pt idx="4">
                  <c:v>2.4698514900853858E-2</c:v>
                </c:pt>
                <c:pt idx="5">
                  <c:v>3.6447670526888826E-2</c:v>
                </c:pt>
                <c:pt idx="6">
                  <c:v>7.0484010676386419E-2</c:v>
                </c:pt>
                <c:pt idx="7">
                  <c:v>0.13167635735795447</c:v>
                </c:pt>
                <c:pt idx="8">
                  <c:v>0.27326173784680641</c:v>
                </c:pt>
                <c:pt idx="9">
                  <c:v>0.46353986308528167</c:v>
                </c:pt>
                <c:pt idx="10">
                  <c:v>0.68544792973490631</c:v>
                </c:pt>
                <c:pt idx="11">
                  <c:v>1.0000000000000002</c:v>
                </c:pt>
              </c:numCache>
            </c:numRef>
          </c:yVal>
          <c:smooth val="0"/>
          <c:extLst>
            <c:ext xmlns:c16="http://schemas.microsoft.com/office/drawing/2014/chart" uri="{C3380CC4-5D6E-409C-BE32-E72D297353CC}">
              <c16:uniqueId val="{00000002-2F3D-476F-922C-DAC669E82D5F}"/>
            </c:ext>
          </c:extLst>
        </c:ser>
        <c:ser>
          <c:idx val="2"/>
          <c:order val="2"/>
          <c:tx>
            <c:v>ETa</c:v>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Gini_2014!$H$115:$H$126</c:f>
              <c:numCache>
                <c:formatCode>0.00</c:formatCode>
                <c:ptCount val="12"/>
                <c:pt idx="0">
                  <c:v>0</c:v>
                </c:pt>
                <c:pt idx="1">
                  <c:v>8.6508040877704764E-3</c:v>
                </c:pt>
                <c:pt idx="2">
                  <c:v>2.233691110888162E-2</c:v>
                </c:pt>
                <c:pt idx="3">
                  <c:v>4.5534073596056365E-2</c:v>
                </c:pt>
                <c:pt idx="4">
                  <c:v>5.3837159897602418E-2</c:v>
                </c:pt>
                <c:pt idx="5">
                  <c:v>0.11688690634392547</c:v>
                </c:pt>
                <c:pt idx="6">
                  <c:v>0.17846731707242672</c:v>
                </c:pt>
                <c:pt idx="7">
                  <c:v>0.25736713399590871</c:v>
                </c:pt>
                <c:pt idx="8">
                  <c:v>0.38405950424456814</c:v>
                </c:pt>
                <c:pt idx="9">
                  <c:v>0.65743534284662219</c:v>
                </c:pt>
                <c:pt idx="10">
                  <c:v>0.98464491670321019</c:v>
                </c:pt>
                <c:pt idx="11">
                  <c:v>1.0000000000000002</c:v>
                </c:pt>
              </c:numCache>
            </c:numRef>
          </c:xVal>
          <c:yVal>
            <c:numRef>
              <c:f>Gini_2014!$G$115:$G$126</c:f>
              <c:numCache>
                <c:formatCode>0.00</c:formatCode>
                <c:ptCount val="12"/>
                <c:pt idx="0">
                  <c:v>0</c:v>
                </c:pt>
                <c:pt idx="1">
                  <c:v>5.4935138917268584E-3</c:v>
                </c:pt>
                <c:pt idx="2">
                  <c:v>1.1542215557476518E-2</c:v>
                </c:pt>
                <c:pt idx="3">
                  <c:v>2.0767795585946339E-2</c:v>
                </c:pt>
                <c:pt idx="4">
                  <c:v>3.2817612560662027E-2</c:v>
                </c:pt>
                <c:pt idx="5">
                  <c:v>5.9760125694409548E-2</c:v>
                </c:pt>
                <c:pt idx="6">
                  <c:v>8.8521730060261289E-2</c:v>
                </c:pt>
                <c:pt idx="7">
                  <c:v>0.14437527472701342</c:v>
                </c:pt>
                <c:pt idx="8">
                  <c:v>0.27493678549615885</c:v>
                </c:pt>
                <c:pt idx="9">
                  <c:v>0.43963560351400888</c:v>
                </c:pt>
                <c:pt idx="10">
                  <c:v>0.64143508848042341</c:v>
                </c:pt>
                <c:pt idx="11">
                  <c:v>1</c:v>
                </c:pt>
              </c:numCache>
            </c:numRef>
          </c:yVal>
          <c:smooth val="0"/>
          <c:extLst>
            <c:ext xmlns:c16="http://schemas.microsoft.com/office/drawing/2014/chart" uri="{C3380CC4-5D6E-409C-BE32-E72D297353CC}">
              <c16:uniqueId val="{00000003-2F3D-476F-922C-DAC669E82D5F}"/>
            </c:ext>
          </c:extLst>
        </c:ser>
        <c:ser>
          <c:idx val="3"/>
          <c:order val="3"/>
          <c:tx>
            <c:v>Internal AW</c:v>
          </c:tx>
          <c:spPr>
            <a:ln w="19050" cap="rnd">
              <a:solidFill>
                <a:schemeClr val="accent4"/>
              </a:solidFill>
              <a:round/>
            </a:ln>
            <a:effectLst/>
          </c:spPr>
          <c:marker>
            <c:symbol val="circle"/>
            <c:size val="5"/>
            <c:spPr>
              <a:solidFill>
                <a:schemeClr val="accent4"/>
              </a:solidFill>
              <a:ln w="9525">
                <a:solidFill>
                  <a:schemeClr val="accent4"/>
                </a:solidFill>
              </a:ln>
              <a:effectLst/>
            </c:spPr>
          </c:marker>
          <c:xVal>
            <c:numRef>
              <c:f>Gini_2014!$H$136:$H$147</c:f>
              <c:numCache>
                <c:formatCode>0.00</c:formatCode>
                <c:ptCount val="12"/>
                <c:pt idx="0">
                  <c:v>0</c:v>
                </c:pt>
                <c:pt idx="1">
                  <c:v>8.3030863015460567E-3</c:v>
                </c:pt>
                <c:pt idx="2">
                  <c:v>6.9883497030047301E-2</c:v>
                </c:pt>
                <c:pt idx="3">
                  <c:v>0.39709307088663531</c:v>
                </c:pt>
                <c:pt idx="4">
                  <c:v>0.41244815418342529</c:v>
                </c:pt>
                <c:pt idx="5">
                  <c:v>0.43564531667060002</c:v>
                </c:pt>
                <c:pt idx="6">
                  <c:v>0.4493314236917112</c:v>
                </c:pt>
                <c:pt idx="7">
                  <c:v>0.45798222777948167</c:v>
                </c:pt>
                <c:pt idx="8">
                  <c:v>0.52103197422580472</c:v>
                </c:pt>
                <c:pt idx="9">
                  <c:v>0.59993179114928674</c:v>
                </c:pt>
                <c:pt idx="10">
                  <c:v>0.72662416139794617</c:v>
                </c:pt>
                <c:pt idx="11">
                  <c:v>1.0000000000000002</c:v>
                </c:pt>
              </c:numCache>
            </c:numRef>
          </c:xVal>
          <c:yVal>
            <c:numRef>
              <c:f>Gini_2014!$G$136:$G$147</c:f>
              <c:numCache>
                <c:formatCode>0.00</c:formatCode>
                <c:ptCount val="12"/>
                <c:pt idx="0">
                  <c:v>0</c:v>
                </c:pt>
                <c:pt idx="1">
                  <c:v>0</c:v>
                </c:pt>
                <c:pt idx="2">
                  <c:v>0</c:v>
                </c:pt>
                <c:pt idx="3">
                  <c:v>0</c:v>
                </c:pt>
                <c:pt idx="4">
                  <c:v>0</c:v>
                </c:pt>
                <c:pt idx="5">
                  <c:v>1.7434689669939504E-3</c:v>
                </c:pt>
                <c:pt idx="6">
                  <c:v>1.1328119583050777E-2</c:v>
                </c:pt>
                <c:pt idx="7">
                  <c:v>2.6922587498335693E-2</c:v>
                </c:pt>
                <c:pt idx="8">
                  <c:v>0.11236084004386347</c:v>
                </c:pt>
                <c:pt idx="9">
                  <c:v>0.20911508422205585</c:v>
                </c:pt>
                <c:pt idx="10">
                  <c:v>0.32132482916038108</c:v>
                </c:pt>
                <c:pt idx="11">
                  <c:v>1</c:v>
                </c:pt>
              </c:numCache>
            </c:numRef>
          </c:yVal>
          <c:smooth val="0"/>
          <c:extLst>
            <c:ext xmlns:c16="http://schemas.microsoft.com/office/drawing/2014/chart" uri="{C3380CC4-5D6E-409C-BE32-E72D297353CC}">
              <c16:uniqueId val="{00000004-2F3D-476F-922C-DAC669E82D5F}"/>
            </c:ext>
          </c:extLst>
        </c:ser>
        <c:ser>
          <c:idx val="4"/>
          <c:order val="4"/>
          <c:tx>
            <c:v>Total AW</c:v>
          </c:tx>
          <c:spPr>
            <a:ln w="19050" cap="rnd">
              <a:solidFill>
                <a:schemeClr val="accent5"/>
              </a:solidFill>
              <a:round/>
            </a:ln>
            <a:effectLst/>
          </c:spPr>
          <c:marker>
            <c:symbol val="circle"/>
            <c:size val="5"/>
            <c:spPr>
              <a:solidFill>
                <a:schemeClr val="accent5"/>
              </a:solidFill>
              <a:ln w="9525">
                <a:solidFill>
                  <a:schemeClr val="accent5"/>
                </a:solidFill>
              </a:ln>
              <a:effectLst/>
            </c:spPr>
          </c:marker>
          <c:xVal>
            <c:numRef>
              <c:f>Gini_2014!$H$157:$H$168</c:f>
              <c:numCache>
                <c:formatCode>0.00</c:formatCode>
                <c:ptCount val="12"/>
                <c:pt idx="0">
                  <c:v>0</c:v>
                </c:pt>
                <c:pt idx="1">
                  <c:v>8.3030863015460567E-3</c:v>
                </c:pt>
                <c:pt idx="2">
                  <c:v>2.19891933226572E-2</c:v>
                </c:pt>
                <c:pt idx="3">
                  <c:v>3.0639997410427677E-2</c:v>
                </c:pt>
                <c:pt idx="4">
                  <c:v>5.3837159897602418E-2</c:v>
                </c:pt>
                <c:pt idx="5">
                  <c:v>0.11688690634392547</c:v>
                </c:pt>
                <c:pt idx="6">
                  <c:v>0.19578672326740743</c:v>
                </c:pt>
                <c:pt idx="7">
                  <c:v>0.2111418065641974</c:v>
                </c:pt>
                <c:pt idx="8">
                  <c:v>0.53835138042078534</c:v>
                </c:pt>
                <c:pt idx="9">
                  <c:v>0.66504375066944477</c:v>
                </c:pt>
                <c:pt idx="10">
                  <c:v>0.72662416139794606</c:v>
                </c:pt>
                <c:pt idx="11">
                  <c:v>1</c:v>
                </c:pt>
              </c:numCache>
            </c:numRef>
          </c:xVal>
          <c:yVal>
            <c:numRef>
              <c:f>Gini_2014!$G$157:$G$168</c:f>
              <c:numCache>
                <c:formatCode>0.00</c:formatCode>
                <c:ptCount val="12"/>
                <c:pt idx="0">
                  <c:v>0</c:v>
                </c:pt>
                <c:pt idx="1">
                  <c:v>0</c:v>
                </c:pt>
                <c:pt idx="2">
                  <c:v>5.1173151307255327E-3</c:v>
                </c:pt>
                <c:pt idx="3">
                  <c:v>1.3443315713867521E-2</c:v>
                </c:pt>
                <c:pt idx="4">
                  <c:v>2.7143829004100235E-2</c:v>
                </c:pt>
                <c:pt idx="5">
                  <c:v>7.2759937510082556E-2</c:v>
                </c:pt>
                <c:pt idx="6">
                  <c:v>0.12441773679026877</c:v>
                </c:pt>
                <c:pt idx="7">
                  <c:v>0.20338801770172971</c:v>
                </c:pt>
                <c:pt idx="8">
                  <c:v>0.31697080471480971</c:v>
                </c:pt>
                <c:pt idx="9">
                  <c:v>0.44778563994269382</c:v>
                </c:pt>
                <c:pt idx="10">
                  <c:v>0.63765035787875957</c:v>
                </c:pt>
                <c:pt idx="11">
                  <c:v>1</c:v>
                </c:pt>
              </c:numCache>
            </c:numRef>
          </c:yVal>
          <c:smooth val="0"/>
          <c:extLst>
            <c:ext xmlns:c16="http://schemas.microsoft.com/office/drawing/2014/chart" uri="{C3380CC4-5D6E-409C-BE32-E72D297353CC}">
              <c16:uniqueId val="{00000005-2F3D-476F-922C-DAC669E82D5F}"/>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t>
                </a:r>
                <a:r>
                  <a:rPr lang="en-US" sz="1000" b="0" i="0" u="none" strike="noStrike" baseline="0">
                    <a:effectLst/>
                  </a:rPr>
                  <a:t>Criteria</a:t>
                </a:r>
                <a:endParaRPr lang="en-US" baseline="0"/>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variables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 based on area of each country in the basin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457098300252266"/>
          <c:y val="0.16423456145227788"/>
          <c:w val="0.69762923864608828"/>
          <c:h val="0.66127160527769036"/>
        </c:manualLayout>
      </c:layout>
      <c:scatterChart>
        <c:scatterStyle val="smoothMarker"/>
        <c:varyColors val="0"/>
        <c:ser>
          <c:idx val="1"/>
          <c:order val="1"/>
          <c:tx>
            <c:v>Equality Line</c:v>
          </c:tx>
          <c:spPr>
            <a:ln w="19050" cap="rnd">
              <a:solidFill>
                <a:schemeClr val="accent2"/>
              </a:solidFill>
              <a:round/>
            </a:ln>
            <a:effectLst/>
          </c:spPr>
          <c:marker>
            <c:symbol val="none"/>
          </c:marker>
          <c:xVal>
            <c:numRef>
              <c:f>Gini_2014!$H$94:$H$105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xVal>
          <c:yVal>
            <c:numRef>
              <c:f>Gini_2014!$H$94:$H$105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yVal>
          <c:smooth val="1"/>
          <c:extLst>
            <c:ext xmlns:c16="http://schemas.microsoft.com/office/drawing/2014/chart" uri="{C3380CC4-5D6E-409C-BE32-E72D297353CC}">
              <c16:uniqueId val="{00000000-CB14-4F4B-8FD9-BC2C5DC45D27}"/>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Precipitation</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CB14-4F4B-8FD9-BC2C5DC45D27}"/>
              </c:ext>
            </c:extLst>
          </c:dPt>
          <c:xVal>
            <c:numRef>
              <c:f>Gini_2014!$H$178:$H$189</c:f>
              <c:numCache>
                <c:formatCode>0.00</c:formatCode>
                <c:ptCount val="12"/>
                <c:pt idx="0">
                  <c:v>0</c:v>
                </c:pt>
                <c:pt idx="1">
                  <c:v>8.2249727275718124E-2</c:v>
                </c:pt>
                <c:pt idx="2">
                  <c:v>9.0263247322775519E-2</c:v>
                </c:pt>
                <c:pt idx="3">
                  <c:v>9.4581027823807909E-2</c:v>
                </c:pt>
                <c:pt idx="4">
                  <c:v>0.1013971131412383</c:v>
                </c:pt>
                <c:pt idx="5">
                  <c:v>0.10808687676914244</c:v>
                </c:pt>
                <c:pt idx="6">
                  <c:v>0.12427174144854033</c:v>
                </c:pt>
                <c:pt idx="7">
                  <c:v>0.16345651867644251</c:v>
                </c:pt>
                <c:pt idx="8">
                  <c:v>0.24099269172425059</c:v>
                </c:pt>
                <c:pt idx="9">
                  <c:v>0.67926609315684749</c:v>
                </c:pt>
                <c:pt idx="10">
                  <c:v>0.79811612788873898</c:v>
                </c:pt>
                <c:pt idx="11">
                  <c:v>1</c:v>
                </c:pt>
              </c:numCache>
            </c:numRef>
          </c:xVal>
          <c:yVal>
            <c:numRef>
              <c:f>Gini_2014!$G$178:$G$189</c:f>
              <c:numCache>
                <c:formatCode>0.00</c:formatCode>
                <c:ptCount val="12"/>
                <c:pt idx="0">
                  <c:v>0</c:v>
                </c:pt>
                <c:pt idx="1">
                  <c:v>1.2413939287946071E-3</c:v>
                </c:pt>
                <c:pt idx="2">
                  <c:v>8.0901900125791362E-3</c:v>
                </c:pt>
                <c:pt idx="3">
                  <c:v>1.506677253538103E-2</c:v>
                </c:pt>
                <c:pt idx="4">
                  <c:v>2.4698514900853858E-2</c:v>
                </c:pt>
                <c:pt idx="5">
                  <c:v>3.6447670526888826E-2</c:v>
                </c:pt>
                <c:pt idx="6">
                  <c:v>7.0484010676386419E-2</c:v>
                </c:pt>
                <c:pt idx="7">
                  <c:v>0.13167635735795447</c:v>
                </c:pt>
                <c:pt idx="8">
                  <c:v>0.27326173784680641</c:v>
                </c:pt>
                <c:pt idx="9">
                  <c:v>0.46353986308528167</c:v>
                </c:pt>
                <c:pt idx="10">
                  <c:v>0.68544792973490631</c:v>
                </c:pt>
                <c:pt idx="11">
                  <c:v>1.0000000000000002</c:v>
                </c:pt>
              </c:numCache>
            </c:numRef>
          </c:yVal>
          <c:smooth val="0"/>
          <c:extLst>
            <c:ext xmlns:c16="http://schemas.microsoft.com/office/drawing/2014/chart" uri="{C3380CC4-5D6E-409C-BE32-E72D297353CC}">
              <c16:uniqueId val="{00000002-CB14-4F4B-8FD9-BC2C5DC45D27}"/>
            </c:ext>
          </c:extLst>
        </c:ser>
        <c:ser>
          <c:idx val="2"/>
          <c:order val="2"/>
          <c:tx>
            <c:v>ETa</c:v>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Gini_2014!$H$199:$H$210</c:f>
              <c:numCache>
                <c:formatCode>0.00</c:formatCode>
                <c:ptCount val="12"/>
                <c:pt idx="0">
                  <c:v>0</c:v>
                </c:pt>
                <c:pt idx="1">
                  <c:v>8.0135200470573958E-3</c:v>
                </c:pt>
                <c:pt idx="2">
                  <c:v>1.2331300548089792E-2</c:v>
                </c:pt>
                <c:pt idx="3">
                  <c:v>1.9147385865520176E-2</c:v>
                </c:pt>
                <c:pt idx="4">
                  <c:v>2.5837149493424316E-2</c:v>
                </c:pt>
                <c:pt idx="5">
                  <c:v>4.2022014172822211E-2</c:v>
                </c:pt>
                <c:pt idx="6">
                  <c:v>0.12427174144854033</c:v>
                </c:pt>
                <c:pt idx="7">
                  <c:v>0.16345651867644251</c:v>
                </c:pt>
                <c:pt idx="8">
                  <c:v>0.24099269172425059</c:v>
                </c:pt>
                <c:pt idx="9">
                  <c:v>0.35984272645614207</c:v>
                </c:pt>
                <c:pt idx="10">
                  <c:v>0.79811612788873898</c:v>
                </c:pt>
                <c:pt idx="11">
                  <c:v>1</c:v>
                </c:pt>
              </c:numCache>
            </c:numRef>
          </c:xVal>
          <c:yVal>
            <c:numRef>
              <c:f>Gini_2014!$G$199:$G$210</c:f>
              <c:numCache>
                <c:formatCode>0.00</c:formatCode>
                <c:ptCount val="12"/>
                <c:pt idx="0">
                  <c:v>0</c:v>
                </c:pt>
                <c:pt idx="1">
                  <c:v>5.4935138917268584E-3</c:v>
                </c:pt>
                <c:pt idx="2">
                  <c:v>1.1542215557476518E-2</c:v>
                </c:pt>
                <c:pt idx="3">
                  <c:v>2.0767795585946339E-2</c:v>
                </c:pt>
                <c:pt idx="4">
                  <c:v>3.2817612560662027E-2</c:v>
                </c:pt>
                <c:pt idx="5">
                  <c:v>5.9760125694409548E-2</c:v>
                </c:pt>
                <c:pt idx="6">
                  <c:v>8.8521730060261289E-2</c:v>
                </c:pt>
                <c:pt idx="7">
                  <c:v>0.14437527472701342</c:v>
                </c:pt>
                <c:pt idx="8">
                  <c:v>0.27493678549615885</c:v>
                </c:pt>
                <c:pt idx="9">
                  <c:v>0.43963560351400888</c:v>
                </c:pt>
                <c:pt idx="10">
                  <c:v>0.64143508848042341</c:v>
                </c:pt>
                <c:pt idx="11">
                  <c:v>1</c:v>
                </c:pt>
              </c:numCache>
            </c:numRef>
          </c:yVal>
          <c:smooth val="0"/>
          <c:extLst>
            <c:ext xmlns:c16="http://schemas.microsoft.com/office/drawing/2014/chart" uri="{C3380CC4-5D6E-409C-BE32-E72D297353CC}">
              <c16:uniqueId val="{00000003-CB14-4F4B-8FD9-BC2C5DC45D27}"/>
            </c:ext>
          </c:extLst>
        </c:ser>
        <c:ser>
          <c:idx val="3"/>
          <c:order val="3"/>
          <c:tx>
            <c:v>Internal AW</c:v>
          </c:tx>
          <c:spPr>
            <a:ln w="19050" cap="rnd">
              <a:solidFill>
                <a:schemeClr val="accent4"/>
              </a:solidFill>
              <a:round/>
            </a:ln>
            <a:effectLst/>
          </c:spPr>
          <c:marker>
            <c:symbol val="circle"/>
            <c:size val="5"/>
            <c:spPr>
              <a:solidFill>
                <a:schemeClr val="accent4"/>
              </a:solidFill>
              <a:ln w="9525">
                <a:solidFill>
                  <a:schemeClr val="accent4"/>
                </a:solidFill>
              </a:ln>
              <a:effectLst/>
            </c:spPr>
          </c:marker>
          <c:xVal>
            <c:numRef>
              <c:f>Gini_2014!$H$220:$H$231</c:f>
              <c:numCache>
                <c:formatCode>0.00</c:formatCode>
                <c:ptCount val="12"/>
                <c:pt idx="0">
                  <c:v>0</c:v>
                </c:pt>
                <c:pt idx="1">
                  <c:v>6.6897636279041406E-3</c:v>
                </c:pt>
                <c:pt idx="2">
                  <c:v>8.893949090362227E-2</c:v>
                </c:pt>
                <c:pt idx="3">
                  <c:v>0.52721289233621915</c:v>
                </c:pt>
                <c:pt idx="4">
                  <c:v>0.72909676444748017</c:v>
                </c:pt>
                <c:pt idx="5">
                  <c:v>0.73591284976491056</c:v>
                </c:pt>
                <c:pt idx="6">
                  <c:v>0.74023063026594293</c:v>
                </c:pt>
                <c:pt idx="7">
                  <c:v>0.74824415031300029</c:v>
                </c:pt>
                <c:pt idx="8">
                  <c:v>0.76442901499239824</c:v>
                </c:pt>
                <c:pt idx="9">
                  <c:v>0.80361379222030038</c:v>
                </c:pt>
                <c:pt idx="10">
                  <c:v>0.88114996526810851</c:v>
                </c:pt>
                <c:pt idx="11">
                  <c:v>1</c:v>
                </c:pt>
              </c:numCache>
            </c:numRef>
          </c:xVal>
          <c:yVal>
            <c:numRef>
              <c:f>Gini_2014!$G$220:$G$231</c:f>
              <c:numCache>
                <c:formatCode>0.00</c:formatCode>
                <c:ptCount val="12"/>
                <c:pt idx="0">
                  <c:v>0</c:v>
                </c:pt>
                <c:pt idx="1">
                  <c:v>0</c:v>
                </c:pt>
                <c:pt idx="2">
                  <c:v>0</c:v>
                </c:pt>
                <c:pt idx="3">
                  <c:v>0</c:v>
                </c:pt>
                <c:pt idx="4">
                  <c:v>0</c:v>
                </c:pt>
                <c:pt idx="5">
                  <c:v>1.7434689669939504E-3</c:v>
                </c:pt>
                <c:pt idx="6">
                  <c:v>1.1328119583050777E-2</c:v>
                </c:pt>
                <c:pt idx="7">
                  <c:v>2.6922587498335693E-2</c:v>
                </c:pt>
                <c:pt idx="8">
                  <c:v>0.11236084004386347</c:v>
                </c:pt>
                <c:pt idx="9">
                  <c:v>0.20911508422205585</c:v>
                </c:pt>
                <c:pt idx="10">
                  <c:v>0.32132482916038108</c:v>
                </c:pt>
                <c:pt idx="11">
                  <c:v>1</c:v>
                </c:pt>
              </c:numCache>
            </c:numRef>
          </c:yVal>
          <c:smooth val="0"/>
          <c:extLst>
            <c:ext xmlns:c16="http://schemas.microsoft.com/office/drawing/2014/chart" uri="{C3380CC4-5D6E-409C-BE32-E72D297353CC}">
              <c16:uniqueId val="{00000004-CB14-4F4B-8FD9-BC2C5DC45D27}"/>
            </c:ext>
          </c:extLst>
        </c:ser>
        <c:ser>
          <c:idx val="4"/>
          <c:order val="4"/>
          <c:tx>
            <c:v>Total AW</c:v>
          </c:tx>
          <c:spPr>
            <a:ln w="19050" cap="rnd">
              <a:solidFill>
                <a:schemeClr val="accent5"/>
              </a:solidFill>
              <a:round/>
            </a:ln>
            <a:effectLst/>
          </c:spPr>
          <c:marker>
            <c:symbol val="circle"/>
            <c:size val="5"/>
            <c:spPr>
              <a:solidFill>
                <a:schemeClr val="accent5"/>
              </a:solidFill>
              <a:ln w="9525">
                <a:solidFill>
                  <a:schemeClr val="accent5"/>
                </a:solidFill>
              </a:ln>
              <a:effectLst/>
            </c:spPr>
          </c:marker>
          <c:xVal>
            <c:numRef>
              <c:f>Gini_2014!$H$241:$H$252</c:f>
              <c:numCache>
                <c:formatCode>0.00</c:formatCode>
                <c:ptCount val="12"/>
                <c:pt idx="0">
                  <c:v>0</c:v>
                </c:pt>
                <c:pt idx="1">
                  <c:v>6.6897636279041389E-3</c:v>
                </c:pt>
                <c:pt idx="2">
                  <c:v>1.1007544128936533E-2</c:v>
                </c:pt>
                <c:pt idx="3">
                  <c:v>1.9021064175993925E-2</c:v>
                </c:pt>
                <c:pt idx="4">
                  <c:v>2.5837149493424309E-2</c:v>
                </c:pt>
                <c:pt idx="5">
                  <c:v>4.2022014172822197E-2</c:v>
                </c:pt>
                <c:pt idx="6">
                  <c:v>8.1206791400724371E-2</c:v>
                </c:pt>
                <c:pt idx="7">
                  <c:v>0.28309066351198536</c:v>
                </c:pt>
                <c:pt idx="8">
                  <c:v>0.72136406494458227</c:v>
                </c:pt>
                <c:pt idx="9">
                  <c:v>0.79890023799239041</c:v>
                </c:pt>
                <c:pt idx="10">
                  <c:v>0.88114996526810851</c:v>
                </c:pt>
                <c:pt idx="11">
                  <c:v>1</c:v>
                </c:pt>
              </c:numCache>
            </c:numRef>
          </c:xVal>
          <c:yVal>
            <c:numRef>
              <c:f>Gini_2014!$G$241:$G$252</c:f>
              <c:numCache>
                <c:formatCode>0.00</c:formatCode>
                <c:ptCount val="12"/>
                <c:pt idx="0">
                  <c:v>0</c:v>
                </c:pt>
                <c:pt idx="1">
                  <c:v>0</c:v>
                </c:pt>
                <c:pt idx="2">
                  <c:v>5.1173151307255327E-3</c:v>
                </c:pt>
                <c:pt idx="3">
                  <c:v>1.3443315713867521E-2</c:v>
                </c:pt>
                <c:pt idx="4">
                  <c:v>2.7143829004100235E-2</c:v>
                </c:pt>
                <c:pt idx="5">
                  <c:v>7.2759937510082556E-2</c:v>
                </c:pt>
                <c:pt idx="6">
                  <c:v>0.12441773679026877</c:v>
                </c:pt>
                <c:pt idx="7">
                  <c:v>0.20338801770172971</c:v>
                </c:pt>
                <c:pt idx="8">
                  <c:v>0.31697080471480971</c:v>
                </c:pt>
                <c:pt idx="9">
                  <c:v>0.44778563994269382</c:v>
                </c:pt>
                <c:pt idx="10">
                  <c:v>0.63765035787875957</c:v>
                </c:pt>
                <c:pt idx="11">
                  <c:v>1</c:v>
                </c:pt>
              </c:numCache>
            </c:numRef>
          </c:yVal>
          <c:smooth val="0"/>
          <c:extLst>
            <c:ext xmlns:c16="http://schemas.microsoft.com/office/drawing/2014/chart" uri="{C3380CC4-5D6E-409C-BE32-E72D297353CC}">
              <c16:uniqueId val="{00000005-CB14-4F4B-8FD9-BC2C5DC45D27}"/>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t>
                </a:r>
                <a:r>
                  <a:rPr lang="en-US" sz="1000" b="0" i="0" u="none" strike="noStrike" baseline="0">
                    <a:effectLst/>
                  </a:rPr>
                  <a:t>Criteria</a:t>
                </a:r>
                <a:endParaRPr lang="en-US" baseline="0"/>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variables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layout>
        <c:manualLayout>
          <c:xMode val="edge"/>
          <c:yMode val="edge"/>
          <c:x val="0.81944879380053437"/>
          <c:y val="0.38221744320590534"/>
          <c:w val="0.18021896777407129"/>
          <c:h val="0.349143219407329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Gini_2015!$H$94:$H$105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xVal>
          <c:yVal>
            <c:numRef>
              <c:f>Gini_2015!$H$94:$H$105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yVal>
          <c:smooth val="1"/>
          <c:extLst>
            <c:ext xmlns:c16="http://schemas.microsoft.com/office/drawing/2014/chart" uri="{C3380CC4-5D6E-409C-BE32-E72D297353CC}">
              <c16:uniqueId val="{00000000-E003-4504-8D03-CC0289A6CB23}"/>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E003-4504-8D03-CC0289A6CB23}"/>
              </c:ext>
            </c:extLst>
          </c:dPt>
          <c:xVal>
            <c:numRef>
              <c:f>Gini_2015!$H$94:$H$105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xVal>
          <c:yVal>
            <c:numRef>
              <c:f>Gini_2015!$G$94:$G$105</c:f>
              <c:numCache>
                <c:formatCode>0.00</c:formatCode>
                <c:ptCount val="12"/>
                <c:pt idx="0">
                  <c:v>0</c:v>
                </c:pt>
                <c:pt idx="1">
                  <c:v>1.6552375726116638E-3</c:v>
                </c:pt>
                <c:pt idx="2">
                  <c:v>7.700647191336122E-3</c:v>
                </c:pt>
                <c:pt idx="3">
                  <c:v>1.6121823446447359E-2</c:v>
                </c:pt>
                <c:pt idx="4">
                  <c:v>2.6899784350148663E-2</c:v>
                </c:pt>
                <c:pt idx="5">
                  <c:v>3.99097250221589E-2</c:v>
                </c:pt>
                <c:pt idx="6">
                  <c:v>7.7745780171758164E-2</c:v>
                </c:pt>
                <c:pt idx="7">
                  <c:v>0.15304254436300546</c:v>
                </c:pt>
                <c:pt idx="8">
                  <c:v>0.31033901282605264</c:v>
                </c:pt>
                <c:pt idx="9">
                  <c:v>0.47755215678348217</c:v>
                </c:pt>
                <c:pt idx="10">
                  <c:v>0.68677113241604104</c:v>
                </c:pt>
                <c:pt idx="11">
                  <c:v>1</c:v>
                </c:pt>
              </c:numCache>
            </c:numRef>
          </c:yVal>
          <c:smooth val="0"/>
          <c:extLst>
            <c:ext xmlns:c16="http://schemas.microsoft.com/office/drawing/2014/chart" uri="{C3380CC4-5D6E-409C-BE32-E72D297353CC}">
              <c16:uniqueId val="{00000002-E003-4504-8D03-CC0289A6CB23}"/>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Precipitation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301861863580613"/>
          <c:y val="0.1566342980154827"/>
          <c:w val="0.54960252622417904"/>
          <c:h val="0.65904922055244786"/>
        </c:manualLayout>
      </c:layout>
      <c:scatterChart>
        <c:scatterStyle val="smoothMarker"/>
        <c:varyColors val="0"/>
        <c:ser>
          <c:idx val="1"/>
          <c:order val="1"/>
          <c:tx>
            <c:v>Equality Line</c:v>
          </c:tx>
          <c:spPr>
            <a:ln w="19050" cap="rnd">
              <a:solidFill>
                <a:schemeClr val="accent2"/>
              </a:solidFill>
              <a:round/>
            </a:ln>
            <a:effectLst/>
          </c:spPr>
          <c:marker>
            <c:symbol val="none"/>
          </c:marker>
          <c:xVal>
            <c:numRef>
              <c:f>Gini_2015!$H$115:$H$126</c:f>
              <c:numCache>
                <c:formatCode>0.00</c:formatCode>
                <c:ptCount val="12"/>
                <c:pt idx="0">
                  <c:v>0</c:v>
                </c:pt>
                <c:pt idx="1">
                  <c:v>8.6508040877704764E-3</c:v>
                </c:pt>
                <c:pt idx="2">
                  <c:v>2.233691110888162E-2</c:v>
                </c:pt>
                <c:pt idx="3">
                  <c:v>4.5534073596056365E-2</c:v>
                </c:pt>
                <c:pt idx="4">
                  <c:v>5.3837159897602418E-2</c:v>
                </c:pt>
                <c:pt idx="5">
                  <c:v>0.11688690634392547</c:v>
                </c:pt>
                <c:pt idx="6">
                  <c:v>0.17846731707242672</c:v>
                </c:pt>
                <c:pt idx="7">
                  <c:v>0.25736713399590871</c:v>
                </c:pt>
                <c:pt idx="8">
                  <c:v>0.38405950424456814</c:v>
                </c:pt>
                <c:pt idx="9">
                  <c:v>0.65743534284662219</c:v>
                </c:pt>
                <c:pt idx="10">
                  <c:v>0.98464491670321019</c:v>
                </c:pt>
                <c:pt idx="11">
                  <c:v>1.0000000000000002</c:v>
                </c:pt>
              </c:numCache>
            </c:numRef>
          </c:xVal>
          <c:yVal>
            <c:numRef>
              <c:f>Gini_2015!$H$115:$H$126</c:f>
              <c:numCache>
                <c:formatCode>0.00</c:formatCode>
                <c:ptCount val="12"/>
                <c:pt idx="0">
                  <c:v>0</c:v>
                </c:pt>
                <c:pt idx="1">
                  <c:v>8.6508040877704764E-3</c:v>
                </c:pt>
                <c:pt idx="2">
                  <c:v>2.233691110888162E-2</c:v>
                </c:pt>
                <c:pt idx="3">
                  <c:v>4.5534073596056365E-2</c:v>
                </c:pt>
                <c:pt idx="4">
                  <c:v>5.3837159897602418E-2</c:v>
                </c:pt>
                <c:pt idx="5">
                  <c:v>0.11688690634392547</c:v>
                </c:pt>
                <c:pt idx="6">
                  <c:v>0.17846731707242672</c:v>
                </c:pt>
                <c:pt idx="7">
                  <c:v>0.25736713399590871</c:v>
                </c:pt>
                <c:pt idx="8">
                  <c:v>0.38405950424456814</c:v>
                </c:pt>
                <c:pt idx="9">
                  <c:v>0.65743534284662219</c:v>
                </c:pt>
                <c:pt idx="10">
                  <c:v>0.98464491670321019</c:v>
                </c:pt>
                <c:pt idx="11">
                  <c:v>1.0000000000000002</c:v>
                </c:pt>
              </c:numCache>
            </c:numRef>
          </c:yVal>
          <c:smooth val="1"/>
          <c:extLst>
            <c:ext xmlns:c16="http://schemas.microsoft.com/office/drawing/2014/chart" uri="{C3380CC4-5D6E-409C-BE32-E72D297353CC}">
              <c16:uniqueId val="{00000000-3A5A-4B12-A371-5A7C6CEEAEB1}"/>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3A5A-4B12-A371-5A7C6CEEAEB1}"/>
              </c:ext>
            </c:extLst>
          </c:dPt>
          <c:xVal>
            <c:numRef>
              <c:f>Gini_2015!$H$115:$H$126</c:f>
              <c:numCache>
                <c:formatCode>0.00</c:formatCode>
                <c:ptCount val="12"/>
                <c:pt idx="0">
                  <c:v>0</c:v>
                </c:pt>
                <c:pt idx="1">
                  <c:v>8.6508040877704764E-3</c:v>
                </c:pt>
                <c:pt idx="2">
                  <c:v>2.233691110888162E-2</c:v>
                </c:pt>
                <c:pt idx="3">
                  <c:v>4.5534073596056365E-2</c:v>
                </c:pt>
                <c:pt idx="4">
                  <c:v>5.3837159897602418E-2</c:v>
                </c:pt>
                <c:pt idx="5">
                  <c:v>0.11688690634392547</c:v>
                </c:pt>
                <c:pt idx="6">
                  <c:v>0.17846731707242672</c:v>
                </c:pt>
                <c:pt idx="7">
                  <c:v>0.25736713399590871</c:v>
                </c:pt>
                <c:pt idx="8">
                  <c:v>0.38405950424456814</c:v>
                </c:pt>
                <c:pt idx="9">
                  <c:v>0.65743534284662219</c:v>
                </c:pt>
                <c:pt idx="10">
                  <c:v>0.98464491670321019</c:v>
                </c:pt>
                <c:pt idx="11">
                  <c:v>1.0000000000000002</c:v>
                </c:pt>
              </c:numCache>
            </c:numRef>
          </c:xVal>
          <c:yVal>
            <c:numRef>
              <c:f>Gini_2015!$G$115:$G$126</c:f>
              <c:numCache>
                <c:formatCode>0.00</c:formatCode>
                <c:ptCount val="12"/>
                <c:pt idx="0">
                  <c:v>0</c:v>
                </c:pt>
                <c:pt idx="1">
                  <c:v>5.3287344942383437E-3</c:v>
                </c:pt>
                <c:pt idx="2">
                  <c:v>1.1267809536730008E-2</c:v>
                </c:pt>
                <c:pt idx="3">
                  <c:v>2.0343335348527263E-2</c:v>
                </c:pt>
                <c:pt idx="4">
                  <c:v>3.2238007866616208E-2</c:v>
                </c:pt>
                <c:pt idx="5">
                  <c:v>5.7847922689035394E-2</c:v>
                </c:pt>
                <c:pt idx="6">
                  <c:v>8.731758774745868E-2</c:v>
                </c:pt>
                <c:pt idx="7">
                  <c:v>0.14236816025984944</c:v>
                </c:pt>
                <c:pt idx="8">
                  <c:v>0.26892737193030403</c:v>
                </c:pt>
                <c:pt idx="9">
                  <c:v>0.43519916920567492</c:v>
                </c:pt>
                <c:pt idx="10">
                  <c:v>0.63325673185699138</c:v>
                </c:pt>
                <c:pt idx="11">
                  <c:v>1</c:v>
                </c:pt>
              </c:numCache>
            </c:numRef>
          </c:yVal>
          <c:smooth val="0"/>
          <c:extLst>
            <c:ext xmlns:c16="http://schemas.microsoft.com/office/drawing/2014/chart" uri="{C3380CC4-5D6E-409C-BE32-E72D297353CC}">
              <c16:uniqueId val="{00000002-3A5A-4B12-A371-5A7C6CEEAEB1}"/>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ETa</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Gini_2015!$H$136:$H$147</c:f>
              <c:numCache>
                <c:formatCode>0.00</c:formatCode>
                <c:ptCount val="12"/>
                <c:pt idx="0">
                  <c:v>0</c:v>
                </c:pt>
                <c:pt idx="1">
                  <c:v>6.1580410728501248E-2</c:v>
                </c:pt>
                <c:pt idx="2">
                  <c:v>0.38878998458508923</c:v>
                </c:pt>
                <c:pt idx="3">
                  <c:v>0.40414506788187921</c:v>
                </c:pt>
                <c:pt idx="4">
                  <c:v>0.41244815418342529</c:v>
                </c:pt>
                <c:pt idx="5">
                  <c:v>0.42109895827119576</c:v>
                </c:pt>
                <c:pt idx="6">
                  <c:v>0.44429612075837049</c:v>
                </c:pt>
                <c:pt idx="7">
                  <c:v>0.45798222777948161</c:v>
                </c:pt>
                <c:pt idx="8">
                  <c:v>0.52103197422580472</c:v>
                </c:pt>
                <c:pt idx="9">
                  <c:v>0.59993179114928674</c:v>
                </c:pt>
                <c:pt idx="10">
                  <c:v>0.72662416139794617</c:v>
                </c:pt>
                <c:pt idx="11">
                  <c:v>1.0000000000000002</c:v>
                </c:pt>
              </c:numCache>
            </c:numRef>
          </c:xVal>
          <c:yVal>
            <c:numRef>
              <c:f>Gini_2015!$H$136:$H$147</c:f>
              <c:numCache>
                <c:formatCode>0.00</c:formatCode>
                <c:ptCount val="12"/>
                <c:pt idx="0">
                  <c:v>0</c:v>
                </c:pt>
                <c:pt idx="1">
                  <c:v>6.1580410728501248E-2</c:v>
                </c:pt>
                <c:pt idx="2">
                  <c:v>0.38878998458508923</c:v>
                </c:pt>
                <c:pt idx="3">
                  <c:v>0.40414506788187921</c:v>
                </c:pt>
                <c:pt idx="4">
                  <c:v>0.41244815418342529</c:v>
                </c:pt>
                <c:pt idx="5">
                  <c:v>0.42109895827119576</c:v>
                </c:pt>
                <c:pt idx="6">
                  <c:v>0.44429612075837049</c:v>
                </c:pt>
                <c:pt idx="7">
                  <c:v>0.45798222777948161</c:v>
                </c:pt>
                <c:pt idx="8">
                  <c:v>0.52103197422580472</c:v>
                </c:pt>
                <c:pt idx="9">
                  <c:v>0.59993179114928674</c:v>
                </c:pt>
                <c:pt idx="10">
                  <c:v>0.72662416139794617</c:v>
                </c:pt>
                <c:pt idx="11">
                  <c:v>1.0000000000000002</c:v>
                </c:pt>
              </c:numCache>
            </c:numRef>
          </c:yVal>
          <c:smooth val="1"/>
          <c:extLst>
            <c:ext xmlns:c16="http://schemas.microsoft.com/office/drawing/2014/chart" uri="{C3380CC4-5D6E-409C-BE32-E72D297353CC}">
              <c16:uniqueId val="{00000000-A286-44AC-9778-160D6042BCD5}"/>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A286-44AC-9778-160D6042BCD5}"/>
              </c:ext>
            </c:extLst>
          </c:dPt>
          <c:xVal>
            <c:numRef>
              <c:f>Gini_2015!$H$136:$H$147</c:f>
              <c:numCache>
                <c:formatCode>0.00</c:formatCode>
                <c:ptCount val="12"/>
                <c:pt idx="0">
                  <c:v>0</c:v>
                </c:pt>
                <c:pt idx="1">
                  <c:v>6.1580410728501248E-2</c:v>
                </c:pt>
                <c:pt idx="2">
                  <c:v>0.38878998458508923</c:v>
                </c:pt>
                <c:pt idx="3">
                  <c:v>0.40414506788187921</c:v>
                </c:pt>
                <c:pt idx="4">
                  <c:v>0.41244815418342529</c:v>
                </c:pt>
                <c:pt idx="5">
                  <c:v>0.42109895827119576</c:v>
                </c:pt>
                <c:pt idx="6">
                  <c:v>0.44429612075837049</c:v>
                </c:pt>
                <c:pt idx="7">
                  <c:v>0.45798222777948161</c:v>
                </c:pt>
                <c:pt idx="8">
                  <c:v>0.52103197422580472</c:v>
                </c:pt>
                <c:pt idx="9">
                  <c:v>0.59993179114928674</c:v>
                </c:pt>
                <c:pt idx="10">
                  <c:v>0.72662416139794617</c:v>
                </c:pt>
                <c:pt idx="11">
                  <c:v>1.0000000000000002</c:v>
                </c:pt>
              </c:numCache>
            </c:numRef>
          </c:xVal>
          <c:yVal>
            <c:numRef>
              <c:f>Gini_2015!$G$136:$G$147</c:f>
              <c:numCache>
                <c:formatCode>0.00</c:formatCode>
                <c:ptCount val="12"/>
                <c:pt idx="0">
                  <c:v>0</c:v>
                </c:pt>
                <c:pt idx="1">
                  <c:v>0</c:v>
                </c:pt>
                <c:pt idx="2">
                  <c:v>0</c:v>
                </c:pt>
                <c:pt idx="3">
                  <c:v>0</c:v>
                </c:pt>
                <c:pt idx="4">
                  <c:v>3.0276913068604406E-3</c:v>
                </c:pt>
                <c:pt idx="5">
                  <c:v>6.5453653844608599E-3</c:v>
                </c:pt>
                <c:pt idx="6">
                  <c:v>1.777579587081618E-2</c:v>
                </c:pt>
                <c:pt idx="7">
                  <c:v>3.9490230748750368E-2</c:v>
                </c:pt>
                <c:pt idx="8">
                  <c:v>0.15746865197712906</c:v>
                </c:pt>
                <c:pt idx="9">
                  <c:v>0.40096081933828909</c:v>
                </c:pt>
                <c:pt idx="10">
                  <c:v>0.67599744094182612</c:v>
                </c:pt>
                <c:pt idx="11">
                  <c:v>1</c:v>
                </c:pt>
              </c:numCache>
            </c:numRef>
          </c:yVal>
          <c:smooth val="0"/>
          <c:extLst>
            <c:ext xmlns:c16="http://schemas.microsoft.com/office/drawing/2014/chart" uri="{C3380CC4-5D6E-409C-BE32-E72D297353CC}">
              <c16:uniqueId val="{00000002-A286-44AC-9778-160D6042BCD5}"/>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Available Water</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Gini_2015!$H$157:$H$168</c:f>
              <c:numCache>
                <c:formatCode>0.00</c:formatCode>
                <c:ptCount val="12"/>
                <c:pt idx="0">
                  <c:v>0</c:v>
                </c:pt>
                <c:pt idx="1">
                  <c:v>8.3030863015460567E-3</c:v>
                </c:pt>
                <c:pt idx="2">
                  <c:v>1.6953890389316533E-2</c:v>
                </c:pt>
                <c:pt idx="3">
                  <c:v>3.0639997410427677E-2</c:v>
                </c:pt>
                <c:pt idx="4">
                  <c:v>5.3837159897602418E-2</c:v>
                </c:pt>
                <c:pt idx="5">
                  <c:v>0.11688690634392547</c:v>
                </c:pt>
                <c:pt idx="6">
                  <c:v>0.13224198964071543</c:v>
                </c:pt>
                <c:pt idx="7">
                  <c:v>0.45945156349730343</c:v>
                </c:pt>
                <c:pt idx="8">
                  <c:v>0.53835138042078534</c:v>
                </c:pt>
                <c:pt idx="9">
                  <c:v>0.59993179114928663</c:v>
                </c:pt>
                <c:pt idx="10">
                  <c:v>0.87330762975134069</c:v>
                </c:pt>
                <c:pt idx="11">
                  <c:v>1.0000000000000002</c:v>
                </c:pt>
              </c:numCache>
            </c:numRef>
          </c:xVal>
          <c:yVal>
            <c:numRef>
              <c:f>Gini_2015!$H$157:$H$168</c:f>
              <c:numCache>
                <c:formatCode>0.00</c:formatCode>
                <c:ptCount val="12"/>
                <c:pt idx="0">
                  <c:v>0</c:v>
                </c:pt>
                <c:pt idx="1">
                  <c:v>8.3030863015460567E-3</c:v>
                </c:pt>
                <c:pt idx="2">
                  <c:v>1.6953890389316533E-2</c:v>
                </c:pt>
                <c:pt idx="3">
                  <c:v>3.0639997410427677E-2</c:v>
                </c:pt>
                <c:pt idx="4">
                  <c:v>5.3837159897602418E-2</c:v>
                </c:pt>
                <c:pt idx="5">
                  <c:v>0.11688690634392547</c:v>
                </c:pt>
                <c:pt idx="6">
                  <c:v>0.13224198964071543</c:v>
                </c:pt>
                <c:pt idx="7">
                  <c:v>0.45945156349730343</c:v>
                </c:pt>
                <c:pt idx="8">
                  <c:v>0.53835138042078534</c:v>
                </c:pt>
                <c:pt idx="9">
                  <c:v>0.59993179114928663</c:v>
                </c:pt>
                <c:pt idx="10">
                  <c:v>0.87330762975134069</c:v>
                </c:pt>
                <c:pt idx="11">
                  <c:v>1.0000000000000002</c:v>
                </c:pt>
              </c:numCache>
            </c:numRef>
          </c:yVal>
          <c:smooth val="1"/>
          <c:extLst>
            <c:ext xmlns:c16="http://schemas.microsoft.com/office/drawing/2014/chart" uri="{C3380CC4-5D6E-409C-BE32-E72D297353CC}">
              <c16:uniqueId val="{00000000-56FD-4F04-8510-17538664603E}"/>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56FD-4F04-8510-17538664603E}"/>
              </c:ext>
            </c:extLst>
          </c:dPt>
          <c:xVal>
            <c:numRef>
              <c:f>Gini_2015!$H$157:$H$168</c:f>
              <c:numCache>
                <c:formatCode>0.00</c:formatCode>
                <c:ptCount val="12"/>
                <c:pt idx="0">
                  <c:v>0</c:v>
                </c:pt>
                <c:pt idx="1">
                  <c:v>8.3030863015460567E-3</c:v>
                </c:pt>
                <c:pt idx="2">
                  <c:v>1.6953890389316533E-2</c:v>
                </c:pt>
                <c:pt idx="3">
                  <c:v>3.0639997410427677E-2</c:v>
                </c:pt>
                <c:pt idx="4">
                  <c:v>5.3837159897602418E-2</c:v>
                </c:pt>
                <c:pt idx="5">
                  <c:v>0.11688690634392547</c:v>
                </c:pt>
                <c:pt idx="6">
                  <c:v>0.13224198964071543</c:v>
                </c:pt>
                <c:pt idx="7">
                  <c:v>0.45945156349730343</c:v>
                </c:pt>
                <c:pt idx="8">
                  <c:v>0.53835138042078534</c:v>
                </c:pt>
                <c:pt idx="9">
                  <c:v>0.59993179114928663</c:v>
                </c:pt>
                <c:pt idx="10">
                  <c:v>0.87330762975134069</c:v>
                </c:pt>
                <c:pt idx="11">
                  <c:v>1.0000000000000002</c:v>
                </c:pt>
              </c:numCache>
            </c:numRef>
          </c:xVal>
          <c:yVal>
            <c:numRef>
              <c:f>Gini_2015!$G$157:$G$168</c:f>
              <c:numCache>
                <c:formatCode>0.00</c:formatCode>
                <c:ptCount val="12"/>
                <c:pt idx="0">
                  <c:v>0</c:v>
                </c:pt>
                <c:pt idx="1">
                  <c:v>1.7286755850994459E-3</c:v>
                </c:pt>
                <c:pt idx="2">
                  <c:v>3.7371092984394812E-3</c:v>
                </c:pt>
                <c:pt idx="3">
                  <c:v>1.6135075145440197E-2</c:v>
                </c:pt>
                <c:pt idx="4">
                  <c:v>3.4301802610804816E-2</c:v>
                </c:pt>
                <c:pt idx="5">
                  <c:v>0.10166217580471483</c:v>
                </c:pt>
                <c:pt idx="6">
                  <c:v>0.17435544734552078</c:v>
                </c:pt>
                <c:pt idx="7">
                  <c:v>0.27891002513612678</c:v>
                </c:pt>
                <c:pt idx="8">
                  <c:v>0.41793310319115373</c:v>
                </c:pt>
                <c:pt idx="9">
                  <c:v>0.59270628795947444</c:v>
                </c:pt>
                <c:pt idx="10">
                  <c:v>0.77769717923180715</c:v>
                </c:pt>
                <c:pt idx="11">
                  <c:v>1</c:v>
                </c:pt>
              </c:numCache>
            </c:numRef>
          </c:yVal>
          <c:smooth val="0"/>
          <c:extLst>
            <c:ext xmlns:c16="http://schemas.microsoft.com/office/drawing/2014/chart" uri="{C3380CC4-5D6E-409C-BE32-E72D297353CC}">
              <c16:uniqueId val="{00000002-56FD-4F04-8510-17538664603E}"/>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 total</a:t>
                </a:r>
                <a:r>
                  <a:rPr lang="en-US" baseline="0"/>
                  <a:t> available water</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0-CA00-43DF-A611-ECBDB4E46574}"/>
              </c:ext>
            </c:extLst>
          </c:dPt>
          <c:xVal>
            <c:numRef>
              <c:f>Gini_2015!$H$6:$H$17</c:f>
              <c:numCache>
                <c:formatCode>0.00</c:formatCode>
                <c:ptCount val="12"/>
                <c:pt idx="0">
                  <c:v>0</c:v>
                </c:pt>
                <c:pt idx="1">
                  <c:v>0.32166049724589169</c:v>
                </c:pt>
                <c:pt idx="2">
                  <c:v>0.32673438500712265</c:v>
                </c:pt>
                <c:pt idx="3">
                  <c:v>0.34905277009432356</c:v>
                </c:pt>
                <c:pt idx="4">
                  <c:v>0.39148691546649972</c:v>
                </c:pt>
                <c:pt idx="5">
                  <c:v>0.40545818806777134</c:v>
                </c:pt>
                <c:pt idx="6">
                  <c:v>0.47985789031610226</c:v>
                </c:pt>
                <c:pt idx="7">
                  <c:v>0.52354955131601888</c:v>
                </c:pt>
                <c:pt idx="8">
                  <c:v>0.67372622067321064</c:v>
                </c:pt>
                <c:pt idx="9">
                  <c:v>0.81214475712805356</c:v>
                </c:pt>
                <c:pt idx="10">
                  <c:v>0.9566402625446867</c:v>
                </c:pt>
                <c:pt idx="11">
                  <c:v>1.0000000000000002</c:v>
                </c:pt>
              </c:numCache>
            </c:numRef>
          </c:xVal>
          <c:yVal>
            <c:numRef>
              <c:f>Gini_2015!$G$6:$G$17</c:f>
              <c:numCache>
                <c:formatCode>0.00</c:formatCode>
                <c:ptCount val="12"/>
                <c:pt idx="0">
                  <c:v>0</c:v>
                </c:pt>
                <c:pt idx="1">
                  <c:v>1.6552375726116638E-3</c:v>
                </c:pt>
                <c:pt idx="2">
                  <c:v>7.700647191336122E-3</c:v>
                </c:pt>
                <c:pt idx="3">
                  <c:v>1.6121823446447359E-2</c:v>
                </c:pt>
                <c:pt idx="4">
                  <c:v>2.6899784350148663E-2</c:v>
                </c:pt>
                <c:pt idx="5">
                  <c:v>3.99097250221589E-2</c:v>
                </c:pt>
                <c:pt idx="6">
                  <c:v>7.7745780171758164E-2</c:v>
                </c:pt>
                <c:pt idx="7">
                  <c:v>0.15304254436300546</c:v>
                </c:pt>
                <c:pt idx="8">
                  <c:v>0.31033901282605264</c:v>
                </c:pt>
                <c:pt idx="9">
                  <c:v>0.47755215678348217</c:v>
                </c:pt>
                <c:pt idx="10">
                  <c:v>0.68677113241604104</c:v>
                </c:pt>
                <c:pt idx="11">
                  <c:v>1</c:v>
                </c:pt>
              </c:numCache>
            </c:numRef>
          </c:yVal>
          <c:smooth val="1"/>
          <c:extLst>
            <c:ext xmlns:c16="http://schemas.microsoft.com/office/drawing/2014/chart" uri="{C3380CC4-5D6E-409C-BE32-E72D297353CC}">
              <c16:uniqueId val="{00000001-CA00-43DF-A611-ECBDB4E46574}"/>
            </c:ext>
          </c:extLst>
        </c:ser>
        <c:ser>
          <c:idx val="1"/>
          <c:order val="1"/>
          <c:tx>
            <c:v>Equality Line</c:v>
          </c:tx>
          <c:spPr>
            <a:ln w="19050" cap="rnd">
              <a:solidFill>
                <a:schemeClr val="accent2"/>
              </a:solidFill>
              <a:round/>
            </a:ln>
            <a:effectLst/>
          </c:spPr>
          <c:marker>
            <c:symbol val="none"/>
          </c:marker>
          <c:xVal>
            <c:numRef>
              <c:f>Gini_2015!$H$6:$H$17</c:f>
              <c:numCache>
                <c:formatCode>0.00</c:formatCode>
                <c:ptCount val="12"/>
                <c:pt idx="0">
                  <c:v>0</c:v>
                </c:pt>
                <c:pt idx="1">
                  <c:v>0.32166049724589169</c:v>
                </c:pt>
                <c:pt idx="2">
                  <c:v>0.32673438500712265</c:v>
                </c:pt>
                <c:pt idx="3">
                  <c:v>0.34905277009432356</c:v>
                </c:pt>
                <c:pt idx="4">
                  <c:v>0.39148691546649972</c:v>
                </c:pt>
                <c:pt idx="5">
                  <c:v>0.40545818806777134</c:v>
                </c:pt>
                <c:pt idx="6">
                  <c:v>0.47985789031610226</c:v>
                </c:pt>
                <c:pt idx="7">
                  <c:v>0.52354955131601888</c:v>
                </c:pt>
                <c:pt idx="8">
                  <c:v>0.67372622067321064</c:v>
                </c:pt>
                <c:pt idx="9">
                  <c:v>0.81214475712805356</c:v>
                </c:pt>
                <c:pt idx="10">
                  <c:v>0.9566402625446867</c:v>
                </c:pt>
                <c:pt idx="11">
                  <c:v>1.0000000000000002</c:v>
                </c:pt>
              </c:numCache>
            </c:numRef>
          </c:xVal>
          <c:yVal>
            <c:numRef>
              <c:f>Gini_2015!$H$6:$H$17</c:f>
              <c:numCache>
                <c:formatCode>0.00</c:formatCode>
                <c:ptCount val="12"/>
                <c:pt idx="0">
                  <c:v>0</c:v>
                </c:pt>
                <c:pt idx="1">
                  <c:v>0.32166049724589169</c:v>
                </c:pt>
                <c:pt idx="2">
                  <c:v>0.32673438500712265</c:v>
                </c:pt>
                <c:pt idx="3">
                  <c:v>0.34905277009432356</c:v>
                </c:pt>
                <c:pt idx="4">
                  <c:v>0.39148691546649972</c:v>
                </c:pt>
                <c:pt idx="5">
                  <c:v>0.40545818806777134</c:v>
                </c:pt>
                <c:pt idx="6">
                  <c:v>0.47985789031610226</c:v>
                </c:pt>
                <c:pt idx="7">
                  <c:v>0.52354955131601888</c:v>
                </c:pt>
                <c:pt idx="8">
                  <c:v>0.67372622067321064</c:v>
                </c:pt>
                <c:pt idx="9">
                  <c:v>0.81214475712805356</c:v>
                </c:pt>
                <c:pt idx="10">
                  <c:v>0.9566402625446867</c:v>
                </c:pt>
                <c:pt idx="11">
                  <c:v>1.0000000000000002</c:v>
                </c:pt>
              </c:numCache>
            </c:numRef>
          </c:yVal>
          <c:smooth val="1"/>
          <c:extLst>
            <c:ext xmlns:c16="http://schemas.microsoft.com/office/drawing/2014/chart" uri="{C3380CC4-5D6E-409C-BE32-E72D297353CC}">
              <c16:uniqueId val="{00000002-CA00-43DF-A611-ECBDB4E46574}"/>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Population</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Precipitation</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0-60CC-4989-BE43-7DED11F26E78}"/>
              </c:ext>
            </c:extLst>
          </c:dPt>
          <c:xVal>
            <c:numRef>
              <c:f>Gini_2015!$H$27:$H$38</c:f>
              <c:numCache>
                <c:formatCode>0.00</c:formatCode>
                <c:ptCount val="12"/>
                <c:pt idx="0">
                  <c:v>0</c:v>
                </c:pt>
                <c:pt idx="1">
                  <c:v>5.0738877612309437E-3</c:v>
                </c:pt>
                <c:pt idx="2">
                  <c:v>2.7392272848431869E-2</c:v>
                </c:pt>
                <c:pt idx="3">
                  <c:v>6.9826418220608033E-2</c:v>
                </c:pt>
                <c:pt idx="4">
                  <c:v>8.3797690821879656E-2</c:v>
                </c:pt>
                <c:pt idx="5">
                  <c:v>0.15819739307021058</c:v>
                </c:pt>
                <c:pt idx="6">
                  <c:v>0.47985789031610226</c:v>
                </c:pt>
                <c:pt idx="7">
                  <c:v>0.52354955131601888</c:v>
                </c:pt>
                <c:pt idx="8">
                  <c:v>0.67372622067321064</c:v>
                </c:pt>
                <c:pt idx="9">
                  <c:v>0.81822172608984378</c:v>
                </c:pt>
                <c:pt idx="10">
                  <c:v>0.9566402625446867</c:v>
                </c:pt>
                <c:pt idx="11">
                  <c:v>1.0000000000000002</c:v>
                </c:pt>
              </c:numCache>
            </c:numRef>
          </c:xVal>
          <c:yVal>
            <c:numRef>
              <c:f>Gini_2015!$G$27:$G$38</c:f>
              <c:numCache>
                <c:formatCode>0.00</c:formatCode>
                <c:ptCount val="12"/>
                <c:pt idx="0">
                  <c:v>0</c:v>
                </c:pt>
                <c:pt idx="1">
                  <c:v>5.3287344942383437E-3</c:v>
                </c:pt>
                <c:pt idx="2">
                  <c:v>1.1267809536730008E-2</c:v>
                </c:pt>
                <c:pt idx="3">
                  <c:v>2.0343335348527263E-2</c:v>
                </c:pt>
                <c:pt idx="4">
                  <c:v>3.2238007866616208E-2</c:v>
                </c:pt>
                <c:pt idx="5">
                  <c:v>5.7847922689035394E-2</c:v>
                </c:pt>
                <c:pt idx="6">
                  <c:v>8.731758774745868E-2</c:v>
                </c:pt>
                <c:pt idx="7">
                  <c:v>0.14236816025984944</c:v>
                </c:pt>
                <c:pt idx="8">
                  <c:v>0.26892737193030403</c:v>
                </c:pt>
                <c:pt idx="9">
                  <c:v>0.43519916920567492</c:v>
                </c:pt>
                <c:pt idx="10">
                  <c:v>0.63325673185699138</c:v>
                </c:pt>
                <c:pt idx="11">
                  <c:v>1</c:v>
                </c:pt>
              </c:numCache>
            </c:numRef>
          </c:yVal>
          <c:smooth val="1"/>
          <c:extLst>
            <c:ext xmlns:c16="http://schemas.microsoft.com/office/drawing/2014/chart" uri="{C3380CC4-5D6E-409C-BE32-E72D297353CC}">
              <c16:uniqueId val="{00000001-60CC-4989-BE43-7DED11F26E78}"/>
            </c:ext>
          </c:extLst>
        </c:ser>
        <c:ser>
          <c:idx val="2"/>
          <c:order val="1"/>
          <c:tx>
            <c:v>Equality Line</c:v>
          </c:tx>
          <c:spPr>
            <a:ln w="19050" cap="rnd">
              <a:solidFill>
                <a:schemeClr val="accent2"/>
              </a:solidFill>
              <a:round/>
            </a:ln>
            <a:effectLst/>
          </c:spPr>
          <c:marker>
            <c:symbol val="none"/>
          </c:marker>
          <c:xVal>
            <c:numRef>
              <c:f>Gini_2015!$H$27:$H$38</c:f>
              <c:numCache>
                <c:formatCode>0.00</c:formatCode>
                <c:ptCount val="12"/>
                <c:pt idx="0">
                  <c:v>0</c:v>
                </c:pt>
                <c:pt idx="1">
                  <c:v>5.0738877612309437E-3</c:v>
                </c:pt>
                <c:pt idx="2">
                  <c:v>2.7392272848431869E-2</c:v>
                </c:pt>
                <c:pt idx="3">
                  <c:v>6.9826418220608033E-2</c:v>
                </c:pt>
                <c:pt idx="4">
                  <c:v>8.3797690821879656E-2</c:v>
                </c:pt>
                <c:pt idx="5">
                  <c:v>0.15819739307021058</c:v>
                </c:pt>
                <c:pt idx="6">
                  <c:v>0.47985789031610226</c:v>
                </c:pt>
                <c:pt idx="7">
                  <c:v>0.52354955131601888</c:v>
                </c:pt>
                <c:pt idx="8">
                  <c:v>0.67372622067321064</c:v>
                </c:pt>
                <c:pt idx="9">
                  <c:v>0.81822172608984378</c:v>
                </c:pt>
                <c:pt idx="10">
                  <c:v>0.9566402625446867</c:v>
                </c:pt>
                <c:pt idx="11">
                  <c:v>1.0000000000000002</c:v>
                </c:pt>
              </c:numCache>
            </c:numRef>
          </c:xVal>
          <c:yVal>
            <c:numRef>
              <c:f>Gini_2015!$H$27:$H$38</c:f>
              <c:numCache>
                <c:formatCode>0.00</c:formatCode>
                <c:ptCount val="12"/>
                <c:pt idx="0">
                  <c:v>0</c:v>
                </c:pt>
                <c:pt idx="1">
                  <c:v>5.0738877612309437E-3</c:v>
                </c:pt>
                <c:pt idx="2">
                  <c:v>2.7392272848431869E-2</c:v>
                </c:pt>
                <c:pt idx="3">
                  <c:v>6.9826418220608033E-2</c:v>
                </c:pt>
                <c:pt idx="4">
                  <c:v>8.3797690821879656E-2</c:v>
                </c:pt>
                <c:pt idx="5">
                  <c:v>0.15819739307021058</c:v>
                </c:pt>
                <c:pt idx="6">
                  <c:v>0.47985789031610226</c:v>
                </c:pt>
                <c:pt idx="7">
                  <c:v>0.52354955131601888</c:v>
                </c:pt>
                <c:pt idx="8">
                  <c:v>0.67372622067321064</c:v>
                </c:pt>
                <c:pt idx="9">
                  <c:v>0.81822172608984378</c:v>
                </c:pt>
                <c:pt idx="10">
                  <c:v>0.9566402625446867</c:v>
                </c:pt>
                <c:pt idx="11">
                  <c:v>1.0000000000000002</c:v>
                </c:pt>
              </c:numCache>
            </c:numRef>
          </c:yVal>
          <c:smooth val="1"/>
          <c:extLst>
            <c:ext xmlns:c16="http://schemas.microsoft.com/office/drawing/2014/chart" uri="{C3380CC4-5D6E-409C-BE32-E72D297353CC}">
              <c16:uniqueId val="{00000002-60CC-4989-BE43-7DED11F26E78}"/>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Population</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ETa</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Gini_2015!$H$49:$H$60</c:f>
              <c:numCache>
                <c:formatCode>0.00</c:formatCode>
                <c:ptCount val="12"/>
                <c:pt idx="0">
                  <c:v>0</c:v>
                </c:pt>
                <c:pt idx="1">
                  <c:v>0.32166049724589163</c:v>
                </c:pt>
                <c:pt idx="2">
                  <c:v>0.4600790337007345</c:v>
                </c:pt>
                <c:pt idx="3">
                  <c:v>0.50343877115604796</c:v>
                </c:pt>
                <c:pt idx="4">
                  <c:v>0.51741004375731958</c:v>
                </c:pt>
                <c:pt idx="5">
                  <c:v>0.52248393151855055</c:v>
                </c:pt>
                <c:pt idx="6">
                  <c:v>0.56491807689072671</c:v>
                </c:pt>
                <c:pt idx="7">
                  <c:v>0.58723646197792767</c:v>
                </c:pt>
                <c:pt idx="8">
                  <c:v>0.66163616422625859</c:v>
                </c:pt>
                <c:pt idx="9">
                  <c:v>0.70532782522617521</c:v>
                </c:pt>
                <c:pt idx="10">
                  <c:v>0.85550449458336697</c:v>
                </c:pt>
                <c:pt idx="11">
                  <c:v>1</c:v>
                </c:pt>
              </c:numCache>
            </c:numRef>
          </c:xVal>
          <c:yVal>
            <c:numRef>
              <c:f>Gini_2015!$H$49:$H$60</c:f>
              <c:numCache>
                <c:formatCode>0.00</c:formatCode>
                <c:ptCount val="12"/>
                <c:pt idx="0">
                  <c:v>0</c:v>
                </c:pt>
                <c:pt idx="1">
                  <c:v>0.32166049724589163</c:v>
                </c:pt>
                <c:pt idx="2">
                  <c:v>0.4600790337007345</c:v>
                </c:pt>
                <c:pt idx="3">
                  <c:v>0.50343877115604796</c:v>
                </c:pt>
                <c:pt idx="4">
                  <c:v>0.51741004375731958</c:v>
                </c:pt>
                <c:pt idx="5">
                  <c:v>0.52248393151855055</c:v>
                </c:pt>
                <c:pt idx="6">
                  <c:v>0.56491807689072671</c:v>
                </c:pt>
                <c:pt idx="7">
                  <c:v>0.58723646197792767</c:v>
                </c:pt>
                <c:pt idx="8">
                  <c:v>0.66163616422625859</c:v>
                </c:pt>
                <c:pt idx="9">
                  <c:v>0.70532782522617521</c:v>
                </c:pt>
                <c:pt idx="10">
                  <c:v>0.85550449458336697</c:v>
                </c:pt>
                <c:pt idx="11">
                  <c:v>1</c:v>
                </c:pt>
              </c:numCache>
            </c:numRef>
          </c:yVal>
          <c:smooth val="1"/>
          <c:extLst>
            <c:ext xmlns:c16="http://schemas.microsoft.com/office/drawing/2014/chart" uri="{C3380CC4-5D6E-409C-BE32-E72D297353CC}">
              <c16:uniqueId val="{00000000-F7B8-4630-92C2-6E84E5EA0ADE}"/>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F7B8-4630-92C2-6E84E5EA0ADE}"/>
              </c:ext>
            </c:extLst>
          </c:dPt>
          <c:xVal>
            <c:numRef>
              <c:f>Gini_2015!$H$49:$H$60</c:f>
              <c:numCache>
                <c:formatCode>0.00</c:formatCode>
                <c:ptCount val="12"/>
                <c:pt idx="0">
                  <c:v>0</c:v>
                </c:pt>
                <c:pt idx="1">
                  <c:v>0.32166049724589163</c:v>
                </c:pt>
                <c:pt idx="2">
                  <c:v>0.4600790337007345</c:v>
                </c:pt>
                <c:pt idx="3">
                  <c:v>0.50343877115604796</c:v>
                </c:pt>
                <c:pt idx="4">
                  <c:v>0.51741004375731958</c:v>
                </c:pt>
                <c:pt idx="5">
                  <c:v>0.52248393151855055</c:v>
                </c:pt>
                <c:pt idx="6">
                  <c:v>0.56491807689072671</c:v>
                </c:pt>
                <c:pt idx="7">
                  <c:v>0.58723646197792767</c:v>
                </c:pt>
                <c:pt idx="8">
                  <c:v>0.66163616422625859</c:v>
                </c:pt>
                <c:pt idx="9">
                  <c:v>0.70532782522617521</c:v>
                </c:pt>
                <c:pt idx="10">
                  <c:v>0.85550449458336697</c:v>
                </c:pt>
                <c:pt idx="11">
                  <c:v>1</c:v>
                </c:pt>
              </c:numCache>
            </c:numRef>
          </c:xVal>
          <c:yVal>
            <c:numRef>
              <c:f>Gini_2015!$G$49:$G$60</c:f>
              <c:numCache>
                <c:formatCode>0.00</c:formatCode>
                <c:ptCount val="12"/>
                <c:pt idx="0">
                  <c:v>0</c:v>
                </c:pt>
                <c:pt idx="1">
                  <c:v>0</c:v>
                </c:pt>
                <c:pt idx="2">
                  <c:v>0</c:v>
                </c:pt>
                <c:pt idx="3">
                  <c:v>0</c:v>
                </c:pt>
                <c:pt idx="4">
                  <c:v>3.0276913068604406E-3</c:v>
                </c:pt>
                <c:pt idx="5">
                  <c:v>6.5453653844608599E-3</c:v>
                </c:pt>
                <c:pt idx="6">
                  <c:v>1.777579587081618E-2</c:v>
                </c:pt>
                <c:pt idx="7">
                  <c:v>3.9490230748750368E-2</c:v>
                </c:pt>
                <c:pt idx="8">
                  <c:v>0.15746865197712906</c:v>
                </c:pt>
                <c:pt idx="9">
                  <c:v>0.40096081933828909</c:v>
                </c:pt>
                <c:pt idx="10">
                  <c:v>0.67599744094182612</c:v>
                </c:pt>
                <c:pt idx="11">
                  <c:v>1</c:v>
                </c:pt>
              </c:numCache>
            </c:numRef>
          </c:yVal>
          <c:smooth val="0"/>
          <c:extLst>
            <c:ext xmlns:c16="http://schemas.microsoft.com/office/drawing/2014/chart" uri="{C3380CC4-5D6E-409C-BE32-E72D297353CC}">
              <c16:uniqueId val="{00000002-F7B8-4630-92C2-6E84E5EA0ADE}"/>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Population</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Available Water</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Gini_2015!$H$70:$H$81</c:f>
              <c:numCache>
                <c:formatCode>0.00</c:formatCode>
                <c:ptCount val="12"/>
                <c:pt idx="0">
                  <c:v>0</c:v>
                </c:pt>
                <c:pt idx="1">
                  <c:v>1.3971272601271614E-2</c:v>
                </c:pt>
                <c:pt idx="2">
                  <c:v>1.9045160362502558E-2</c:v>
                </c:pt>
                <c:pt idx="3">
                  <c:v>4.1363545449703484E-2</c:v>
                </c:pt>
                <c:pt idx="4">
                  <c:v>8.3797690821879628E-2</c:v>
                </c:pt>
                <c:pt idx="5">
                  <c:v>0.15819739307021052</c:v>
                </c:pt>
                <c:pt idx="6">
                  <c:v>0.20155713052552393</c:v>
                </c:pt>
                <c:pt idx="7">
                  <c:v>0.3399756669803668</c:v>
                </c:pt>
                <c:pt idx="8">
                  <c:v>0.38366732798028341</c:v>
                </c:pt>
                <c:pt idx="9">
                  <c:v>0.70532782522617499</c:v>
                </c:pt>
                <c:pt idx="10">
                  <c:v>0.84982333064280813</c:v>
                </c:pt>
                <c:pt idx="11">
                  <c:v>0.99999999999999989</c:v>
                </c:pt>
              </c:numCache>
            </c:numRef>
          </c:xVal>
          <c:yVal>
            <c:numRef>
              <c:f>Gini_2015!$H$70:$H$81</c:f>
              <c:numCache>
                <c:formatCode>0.00</c:formatCode>
                <c:ptCount val="12"/>
                <c:pt idx="0">
                  <c:v>0</c:v>
                </c:pt>
                <c:pt idx="1">
                  <c:v>1.3971272601271614E-2</c:v>
                </c:pt>
                <c:pt idx="2">
                  <c:v>1.9045160362502558E-2</c:v>
                </c:pt>
                <c:pt idx="3">
                  <c:v>4.1363545449703484E-2</c:v>
                </c:pt>
                <c:pt idx="4">
                  <c:v>8.3797690821879628E-2</c:v>
                </c:pt>
                <c:pt idx="5">
                  <c:v>0.15819739307021052</c:v>
                </c:pt>
                <c:pt idx="6">
                  <c:v>0.20155713052552393</c:v>
                </c:pt>
                <c:pt idx="7">
                  <c:v>0.3399756669803668</c:v>
                </c:pt>
                <c:pt idx="8">
                  <c:v>0.38366732798028341</c:v>
                </c:pt>
                <c:pt idx="9">
                  <c:v>0.70532782522617499</c:v>
                </c:pt>
                <c:pt idx="10">
                  <c:v>0.84982333064280813</c:v>
                </c:pt>
                <c:pt idx="11">
                  <c:v>0.99999999999999989</c:v>
                </c:pt>
              </c:numCache>
            </c:numRef>
          </c:yVal>
          <c:smooth val="1"/>
          <c:extLst>
            <c:ext xmlns:c16="http://schemas.microsoft.com/office/drawing/2014/chart" uri="{C3380CC4-5D6E-409C-BE32-E72D297353CC}">
              <c16:uniqueId val="{00000000-0395-4654-AC8C-E559A656A8F0}"/>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0395-4654-AC8C-E559A656A8F0}"/>
              </c:ext>
            </c:extLst>
          </c:dPt>
          <c:xVal>
            <c:numRef>
              <c:f>Gini_2015!$H$70:$H$81</c:f>
              <c:numCache>
                <c:formatCode>0.00</c:formatCode>
                <c:ptCount val="12"/>
                <c:pt idx="0">
                  <c:v>0</c:v>
                </c:pt>
                <c:pt idx="1">
                  <c:v>1.3971272601271614E-2</c:v>
                </c:pt>
                <c:pt idx="2">
                  <c:v>1.9045160362502558E-2</c:v>
                </c:pt>
                <c:pt idx="3">
                  <c:v>4.1363545449703484E-2</c:v>
                </c:pt>
                <c:pt idx="4">
                  <c:v>8.3797690821879628E-2</c:v>
                </c:pt>
                <c:pt idx="5">
                  <c:v>0.15819739307021052</c:v>
                </c:pt>
                <c:pt idx="6">
                  <c:v>0.20155713052552393</c:v>
                </c:pt>
                <c:pt idx="7">
                  <c:v>0.3399756669803668</c:v>
                </c:pt>
                <c:pt idx="8">
                  <c:v>0.38366732798028341</c:v>
                </c:pt>
                <c:pt idx="9">
                  <c:v>0.70532782522617499</c:v>
                </c:pt>
                <c:pt idx="10">
                  <c:v>0.84982333064280813</c:v>
                </c:pt>
                <c:pt idx="11">
                  <c:v>0.99999999999999989</c:v>
                </c:pt>
              </c:numCache>
            </c:numRef>
          </c:xVal>
          <c:yVal>
            <c:numRef>
              <c:f>Gini_2015!$G$70:$G$81</c:f>
              <c:numCache>
                <c:formatCode>0.00</c:formatCode>
                <c:ptCount val="12"/>
                <c:pt idx="0">
                  <c:v>0</c:v>
                </c:pt>
                <c:pt idx="1">
                  <c:v>1.7286755850994459E-3</c:v>
                </c:pt>
                <c:pt idx="2">
                  <c:v>3.7371092984394812E-3</c:v>
                </c:pt>
                <c:pt idx="3">
                  <c:v>1.6135075145440197E-2</c:v>
                </c:pt>
                <c:pt idx="4">
                  <c:v>3.4301802610804816E-2</c:v>
                </c:pt>
                <c:pt idx="5">
                  <c:v>0.10166217580471483</c:v>
                </c:pt>
                <c:pt idx="6">
                  <c:v>0.17435544734552078</c:v>
                </c:pt>
                <c:pt idx="7">
                  <c:v>0.27891002513612678</c:v>
                </c:pt>
                <c:pt idx="8">
                  <c:v>0.41793310319115373</c:v>
                </c:pt>
                <c:pt idx="9">
                  <c:v>0.59270628795947444</c:v>
                </c:pt>
                <c:pt idx="10">
                  <c:v>0.77769717923180715</c:v>
                </c:pt>
                <c:pt idx="11">
                  <c:v>1</c:v>
                </c:pt>
              </c:numCache>
            </c:numRef>
          </c:yVal>
          <c:smooth val="0"/>
          <c:extLst>
            <c:ext xmlns:c16="http://schemas.microsoft.com/office/drawing/2014/chart" uri="{C3380CC4-5D6E-409C-BE32-E72D297353CC}">
              <c16:uniqueId val="{00000002-0395-4654-AC8C-E559A656A8F0}"/>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Population</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total available water</a:t>
                </a:r>
                <a:endParaRPr lang="en-US"/>
              </a:p>
            </c:rich>
          </c:tx>
          <c:layout>
            <c:manualLayout>
              <c:xMode val="edge"/>
              <c:yMode val="edge"/>
              <c:x val="1.6122160326311905E-2"/>
              <c:y val="0.14339278018953905"/>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Gini_2015!$H$94:$H$105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xVal>
          <c:yVal>
            <c:numRef>
              <c:f>Gini_2015!$H$94:$H$105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yVal>
          <c:smooth val="1"/>
          <c:extLst>
            <c:ext xmlns:c16="http://schemas.microsoft.com/office/drawing/2014/chart" uri="{C3380CC4-5D6E-409C-BE32-E72D297353CC}">
              <c16:uniqueId val="{00000000-9059-4DAD-A8B6-374EE296C8EE}"/>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9059-4DAD-A8B6-374EE296C8EE}"/>
              </c:ext>
            </c:extLst>
          </c:dPt>
          <c:xVal>
            <c:numRef>
              <c:f>Gini_2015!$H$178:$H$189</c:f>
              <c:numCache>
                <c:formatCode>0.00</c:formatCode>
                <c:ptCount val="12"/>
                <c:pt idx="0">
                  <c:v>0</c:v>
                </c:pt>
                <c:pt idx="1">
                  <c:v>8.2249727275718124E-2</c:v>
                </c:pt>
                <c:pt idx="2">
                  <c:v>9.0263247322775519E-2</c:v>
                </c:pt>
                <c:pt idx="3">
                  <c:v>9.4581027823807909E-2</c:v>
                </c:pt>
                <c:pt idx="4">
                  <c:v>0.1013971131412383</c:v>
                </c:pt>
                <c:pt idx="5">
                  <c:v>0.10808687676914244</c:v>
                </c:pt>
                <c:pt idx="6">
                  <c:v>0.12427174144854033</c:v>
                </c:pt>
                <c:pt idx="7">
                  <c:v>0.16345651867644251</c:v>
                </c:pt>
                <c:pt idx="8">
                  <c:v>0.24099269172425059</c:v>
                </c:pt>
                <c:pt idx="9">
                  <c:v>0.67926609315684749</c:v>
                </c:pt>
                <c:pt idx="10">
                  <c:v>0.79811612788873898</c:v>
                </c:pt>
                <c:pt idx="11">
                  <c:v>1</c:v>
                </c:pt>
              </c:numCache>
            </c:numRef>
          </c:xVal>
          <c:yVal>
            <c:numRef>
              <c:f>Gini_2015!$G$178:$G$189</c:f>
              <c:numCache>
                <c:formatCode>0.00</c:formatCode>
                <c:ptCount val="12"/>
                <c:pt idx="0">
                  <c:v>0</c:v>
                </c:pt>
                <c:pt idx="1">
                  <c:v>1.6552375726116638E-3</c:v>
                </c:pt>
                <c:pt idx="2">
                  <c:v>7.700647191336122E-3</c:v>
                </c:pt>
                <c:pt idx="3">
                  <c:v>1.6121823446447359E-2</c:v>
                </c:pt>
                <c:pt idx="4">
                  <c:v>2.6899784350148663E-2</c:v>
                </c:pt>
                <c:pt idx="5">
                  <c:v>3.99097250221589E-2</c:v>
                </c:pt>
                <c:pt idx="6">
                  <c:v>7.7745780171758164E-2</c:v>
                </c:pt>
                <c:pt idx="7">
                  <c:v>0.15304254436300546</c:v>
                </c:pt>
                <c:pt idx="8">
                  <c:v>0.31033901282605264</c:v>
                </c:pt>
                <c:pt idx="9">
                  <c:v>0.47755215678348217</c:v>
                </c:pt>
                <c:pt idx="10">
                  <c:v>0.68677113241604104</c:v>
                </c:pt>
                <c:pt idx="11">
                  <c:v>1</c:v>
                </c:pt>
              </c:numCache>
            </c:numRef>
          </c:yVal>
          <c:smooth val="0"/>
          <c:extLst>
            <c:ext xmlns:c16="http://schemas.microsoft.com/office/drawing/2014/chart" uri="{C3380CC4-5D6E-409C-BE32-E72D297353CC}">
              <c16:uniqueId val="{00000002-9059-4DAD-A8B6-374EE296C8EE}"/>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Precipitation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301861863580613"/>
          <c:y val="0.1566342980154827"/>
          <c:w val="0.54960252622417904"/>
          <c:h val="0.65904922055244786"/>
        </c:manualLayout>
      </c:layout>
      <c:scatterChart>
        <c:scatterStyle val="smoothMarker"/>
        <c:varyColors val="0"/>
        <c:ser>
          <c:idx val="1"/>
          <c:order val="1"/>
          <c:tx>
            <c:v>Equality Line</c:v>
          </c:tx>
          <c:spPr>
            <a:ln w="19050" cap="rnd">
              <a:solidFill>
                <a:schemeClr val="accent2"/>
              </a:solidFill>
              <a:round/>
            </a:ln>
            <a:effectLst/>
          </c:spPr>
          <c:marker>
            <c:symbol val="none"/>
          </c:marker>
          <c:xVal>
            <c:numRef>
              <c:f>Gini_2015!$H$115:$H$126</c:f>
              <c:numCache>
                <c:formatCode>0.00</c:formatCode>
                <c:ptCount val="12"/>
                <c:pt idx="0">
                  <c:v>0</c:v>
                </c:pt>
                <c:pt idx="1">
                  <c:v>8.6508040877704764E-3</c:v>
                </c:pt>
                <c:pt idx="2">
                  <c:v>2.233691110888162E-2</c:v>
                </c:pt>
                <c:pt idx="3">
                  <c:v>4.5534073596056365E-2</c:v>
                </c:pt>
                <c:pt idx="4">
                  <c:v>5.3837159897602418E-2</c:v>
                </c:pt>
                <c:pt idx="5">
                  <c:v>0.11688690634392547</c:v>
                </c:pt>
                <c:pt idx="6">
                  <c:v>0.17846731707242672</c:v>
                </c:pt>
                <c:pt idx="7">
                  <c:v>0.25736713399590871</c:v>
                </c:pt>
                <c:pt idx="8">
                  <c:v>0.38405950424456814</c:v>
                </c:pt>
                <c:pt idx="9">
                  <c:v>0.65743534284662219</c:v>
                </c:pt>
                <c:pt idx="10">
                  <c:v>0.98464491670321019</c:v>
                </c:pt>
                <c:pt idx="11">
                  <c:v>1.0000000000000002</c:v>
                </c:pt>
              </c:numCache>
            </c:numRef>
          </c:xVal>
          <c:yVal>
            <c:numRef>
              <c:f>Gini_2015!$H$115:$H$126</c:f>
              <c:numCache>
                <c:formatCode>0.00</c:formatCode>
                <c:ptCount val="12"/>
                <c:pt idx="0">
                  <c:v>0</c:v>
                </c:pt>
                <c:pt idx="1">
                  <c:v>8.6508040877704764E-3</c:v>
                </c:pt>
                <c:pt idx="2">
                  <c:v>2.233691110888162E-2</c:v>
                </c:pt>
                <c:pt idx="3">
                  <c:v>4.5534073596056365E-2</c:v>
                </c:pt>
                <c:pt idx="4">
                  <c:v>5.3837159897602418E-2</c:v>
                </c:pt>
                <c:pt idx="5">
                  <c:v>0.11688690634392547</c:v>
                </c:pt>
                <c:pt idx="6">
                  <c:v>0.17846731707242672</c:v>
                </c:pt>
                <c:pt idx="7">
                  <c:v>0.25736713399590871</c:v>
                </c:pt>
                <c:pt idx="8">
                  <c:v>0.38405950424456814</c:v>
                </c:pt>
                <c:pt idx="9">
                  <c:v>0.65743534284662219</c:v>
                </c:pt>
                <c:pt idx="10">
                  <c:v>0.98464491670321019</c:v>
                </c:pt>
                <c:pt idx="11">
                  <c:v>1.0000000000000002</c:v>
                </c:pt>
              </c:numCache>
            </c:numRef>
          </c:yVal>
          <c:smooth val="1"/>
          <c:extLst>
            <c:ext xmlns:c16="http://schemas.microsoft.com/office/drawing/2014/chart" uri="{C3380CC4-5D6E-409C-BE32-E72D297353CC}">
              <c16:uniqueId val="{00000000-E6AA-4FA1-9526-7B7CC1C97AF2}"/>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E6AA-4FA1-9526-7B7CC1C97AF2}"/>
              </c:ext>
            </c:extLst>
          </c:dPt>
          <c:xVal>
            <c:numRef>
              <c:f>Gini_2015!$H$199:$H$210</c:f>
              <c:numCache>
                <c:formatCode>0.00</c:formatCode>
                <c:ptCount val="12"/>
                <c:pt idx="0">
                  <c:v>0</c:v>
                </c:pt>
                <c:pt idx="1">
                  <c:v>8.0135200470573958E-3</c:v>
                </c:pt>
                <c:pt idx="2">
                  <c:v>1.2331300548089792E-2</c:v>
                </c:pt>
                <c:pt idx="3">
                  <c:v>1.9147385865520176E-2</c:v>
                </c:pt>
                <c:pt idx="4">
                  <c:v>2.5837149493424316E-2</c:v>
                </c:pt>
                <c:pt idx="5">
                  <c:v>4.2022014172822211E-2</c:v>
                </c:pt>
                <c:pt idx="6">
                  <c:v>0.12427174144854033</c:v>
                </c:pt>
                <c:pt idx="7">
                  <c:v>0.16345651867644251</c:v>
                </c:pt>
                <c:pt idx="8">
                  <c:v>0.24099269172425059</c:v>
                </c:pt>
                <c:pt idx="9">
                  <c:v>0.35984272645614207</c:v>
                </c:pt>
                <c:pt idx="10">
                  <c:v>0.79811612788873898</c:v>
                </c:pt>
                <c:pt idx="11">
                  <c:v>1</c:v>
                </c:pt>
              </c:numCache>
            </c:numRef>
          </c:xVal>
          <c:yVal>
            <c:numRef>
              <c:f>Gini_2015!$G$199:$G$210</c:f>
              <c:numCache>
                <c:formatCode>0.00</c:formatCode>
                <c:ptCount val="12"/>
                <c:pt idx="0">
                  <c:v>0</c:v>
                </c:pt>
                <c:pt idx="1">
                  <c:v>5.3287344942383437E-3</c:v>
                </c:pt>
                <c:pt idx="2">
                  <c:v>1.1267809536730008E-2</c:v>
                </c:pt>
                <c:pt idx="3">
                  <c:v>2.0343335348527263E-2</c:v>
                </c:pt>
                <c:pt idx="4">
                  <c:v>3.2238007866616208E-2</c:v>
                </c:pt>
                <c:pt idx="5">
                  <c:v>5.7847922689035394E-2</c:v>
                </c:pt>
                <c:pt idx="6">
                  <c:v>8.731758774745868E-2</c:v>
                </c:pt>
                <c:pt idx="7">
                  <c:v>0.14236816025984944</c:v>
                </c:pt>
                <c:pt idx="8">
                  <c:v>0.26892737193030403</c:v>
                </c:pt>
                <c:pt idx="9">
                  <c:v>0.43519916920567492</c:v>
                </c:pt>
                <c:pt idx="10">
                  <c:v>0.63325673185699138</c:v>
                </c:pt>
                <c:pt idx="11">
                  <c:v>1</c:v>
                </c:pt>
              </c:numCache>
            </c:numRef>
          </c:yVal>
          <c:smooth val="0"/>
          <c:extLst>
            <c:ext xmlns:c16="http://schemas.microsoft.com/office/drawing/2014/chart" uri="{C3380CC4-5D6E-409C-BE32-E72D297353CC}">
              <c16:uniqueId val="{00000002-E6AA-4FA1-9526-7B7CC1C97AF2}"/>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ETa</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Gini_2015!$H$136:$H$147</c:f>
              <c:numCache>
                <c:formatCode>0.00</c:formatCode>
                <c:ptCount val="12"/>
                <c:pt idx="0">
                  <c:v>0</c:v>
                </c:pt>
                <c:pt idx="1">
                  <c:v>6.1580410728501248E-2</c:v>
                </c:pt>
                <c:pt idx="2">
                  <c:v>0.38878998458508923</c:v>
                </c:pt>
                <c:pt idx="3">
                  <c:v>0.40414506788187921</c:v>
                </c:pt>
                <c:pt idx="4">
                  <c:v>0.41244815418342529</c:v>
                </c:pt>
                <c:pt idx="5">
                  <c:v>0.42109895827119576</c:v>
                </c:pt>
                <c:pt idx="6">
                  <c:v>0.44429612075837049</c:v>
                </c:pt>
                <c:pt idx="7">
                  <c:v>0.45798222777948161</c:v>
                </c:pt>
                <c:pt idx="8">
                  <c:v>0.52103197422580472</c:v>
                </c:pt>
                <c:pt idx="9">
                  <c:v>0.59993179114928674</c:v>
                </c:pt>
                <c:pt idx="10">
                  <c:v>0.72662416139794617</c:v>
                </c:pt>
                <c:pt idx="11">
                  <c:v>1.0000000000000002</c:v>
                </c:pt>
              </c:numCache>
            </c:numRef>
          </c:xVal>
          <c:yVal>
            <c:numRef>
              <c:f>Gini_2015!$H$136:$H$147</c:f>
              <c:numCache>
                <c:formatCode>0.00</c:formatCode>
                <c:ptCount val="12"/>
                <c:pt idx="0">
                  <c:v>0</c:v>
                </c:pt>
                <c:pt idx="1">
                  <c:v>6.1580410728501248E-2</c:v>
                </c:pt>
                <c:pt idx="2">
                  <c:v>0.38878998458508923</c:v>
                </c:pt>
                <c:pt idx="3">
                  <c:v>0.40414506788187921</c:v>
                </c:pt>
                <c:pt idx="4">
                  <c:v>0.41244815418342529</c:v>
                </c:pt>
                <c:pt idx="5">
                  <c:v>0.42109895827119576</c:v>
                </c:pt>
                <c:pt idx="6">
                  <c:v>0.44429612075837049</c:v>
                </c:pt>
                <c:pt idx="7">
                  <c:v>0.45798222777948161</c:v>
                </c:pt>
                <c:pt idx="8">
                  <c:v>0.52103197422580472</c:v>
                </c:pt>
                <c:pt idx="9">
                  <c:v>0.59993179114928674</c:v>
                </c:pt>
                <c:pt idx="10">
                  <c:v>0.72662416139794617</c:v>
                </c:pt>
                <c:pt idx="11">
                  <c:v>1.0000000000000002</c:v>
                </c:pt>
              </c:numCache>
            </c:numRef>
          </c:yVal>
          <c:smooth val="1"/>
          <c:extLst>
            <c:ext xmlns:c16="http://schemas.microsoft.com/office/drawing/2014/chart" uri="{C3380CC4-5D6E-409C-BE32-E72D297353CC}">
              <c16:uniqueId val="{00000000-4217-4505-95D4-869CE7DF4ADB}"/>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4217-4505-95D4-869CE7DF4ADB}"/>
              </c:ext>
            </c:extLst>
          </c:dPt>
          <c:xVal>
            <c:numRef>
              <c:f>Gini_2015!$H$220:$H$231</c:f>
              <c:numCache>
                <c:formatCode>0.00</c:formatCode>
                <c:ptCount val="12"/>
                <c:pt idx="0">
                  <c:v>0</c:v>
                </c:pt>
                <c:pt idx="1">
                  <c:v>8.2249727275718124E-2</c:v>
                </c:pt>
                <c:pt idx="2">
                  <c:v>0.52052312870831507</c:v>
                </c:pt>
                <c:pt idx="3">
                  <c:v>0.7224070008195761</c:v>
                </c:pt>
                <c:pt idx="4">
                  <c:v>0.72909676444748028</c:v>
                </c:pt>
                <c:pt idx="5">
                  <c:v>0.73711028449453764</c:v>
                </c:pt>
                <c:pt idx="6">
                  <c:v>0.74392636981196802</c:v>
                </c:pt>
                <c:pt idx="7">
                  <c:v>0.7482441503130004</c:v>
                </c:pt>
                <c:pt idx="8">
                  <c:v>0.76442901499239835</c:v>
                </c:pt>
                <c:pt idx="9">
                  <c:v>0.80361379222030049</c:v>
                </c:pt>
                <c:pt idx="10">
                  <c:v>0.88114996526810863</c:v>
                </c:pt>
                <c:pt idx="11">
                  <c:v>1.0000000000000002</c:v>
                </c:pt>
              </c:numCache>
            </c:numRef>
          </c:xVal>
          <c:yVal>
            <c:numRef>
              <c:f>Gini_2015!$G$220:$G$231</c:f>
              <c:numCache>
                <c:formatCode>0.00</c:formatCode>
                <c:ptCount val="12"/>
                <c:pt idx="0">
                  <c:v>0</c:v>
                </c:pt>
                <c:pt idx="1">
                  <c:v>0</c:v>
                </c:pt>
                <c:pt idx="2">
                  <c:v>0</c:v>
                </c:pt>
                <c:pt idx="3">
                  <c:v>0</c:v>
                </c:pt>
                <c:pt idx="4">
                  <c:v>3.0276913068604406E-3</c:v>
                </c:pt>
                <c:pt idx="5">
                  <c:v>6.5453653844608599E-3</c:v>
                </c:pt>
                <c:pt idx="6">
                  <c:v>1.777579587081618E-2</c:v>
                </c:pt>
                <c:pt idx="7">
                  <c:v>3.9490230748750368E-2</c:v>
                </c:pt>
                <c:pt idx="8">
                  <c:v>0.15746865197712906</c:v>
                </c:pt>
                <c:pt idx="9">
                  <c:v>0.40096081933828909</c:v>
                </c:pt>
                <c:pt idx="10">
                  <c:v>0.67599744094182612</c:v>
                </c:pt>
                <c:pt idx="11">
                  <c:v>1</c:v>
                </c:pt>
              </c:numCache>
            </c:numRef>
          </c:yVal>
          <c:smooth val="0"/>
          <c:extLst>
            <c:ext xmlns:c16="http://schemas.microsoft.com/office/drawing/2014/chart" uri="{C3380CC4-5D6E-409C-BE32-E72D297353CC}">
              <c16:uniqueId val="{00000002-4217-4505-95D4-869CE7DF4ADB}"/>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Available Water</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Gini_2015!$H$157:$H$168</c:f>
              <c:numCache>
                <c:formatCode>0.00</c:formatCode>
                <c:ptCount val="12"/>
                <c:pt idx="0">
                  <c:v>0</c:v>
                </c:pt>
                <c:pt idx="1">
                  <c:v>8.3030863015460567E-3</c:v>
                </c:pt>
                <c:pt idx="2">
                  <c:v>1.6953890389316533E-2</c:v>
                </c:pt>
                <c:pt idx="3">
                  <c:v>3.0639997410427677E-2</c:v>
                </c:pt>
                <c:pt idx="4">
                  <c:v>5.3837159897602418E-2</c:v>
                </c:pt>
                <c:pt idx="5">
                  <c:v>0.11688690634392547</c:v>
                </c:pt>
                <c:pt idx="6">
                  <c:v>0.13224198964071543</c:v>
                </c:pt>
                <c:pt idx="7">
                  <c:v>0.45945156349730343</c:v>
                </c:pt>
                <c:pt idx="8">
                  <c:v>0.53835138042078534</c:v>
                </c:pt>
                <c:pt idx="9">
                  <c:v>0.59993179114928663</c:v>
                </c:pt>
                <c:pt idx="10">
                  <c:v>0.87330762975134069</c:v>
                </c:pt>
                <c:pt idx="11">
                  <c:v>1.0000000000000002</c:v>
                </c:pt>
              </c:numCache>
            </c:numRef>
          </c:xVal>
          <c:yVal>
            <c:numRef>
              <c:f>Gini_2015!$H$157:$H$168</c:f>
              <c:numCache>
                <c:formatCode>0.00</c:formatCode>
                <c:ptCount val="12"/>
                <c:pt idx="0">
                  <c:v>0</c:v>
                </c:pt>
                <c:pt idx="1">
                  <c:v>8.3030863015460567E-3</c:v>
                </c:pt>
                <c:pt idx="2">
                  <c:v>1.6953890389316533E-2</c:v>
                </c:pt>
                <c:pt idx="3">
                  <c:v>3.0639997410427677E-2</c:v>
                </c:pt>
                <c:pt idx="4">
                  <c:v>5.3837159897602418E-2</c:v>
                </c:pt>
                <c:pt idx="5">
                  <c:v>0.11688690634392547</c:v>
                </c:pt>
                <c:pt idx="6">
                  <c:v>0.13224198964071543</c:v>
                </c:pt>
                <c:pt idx="7">
                  <c:v>0.45945156349730343</c:v>
                </c:pt>
                <c:pt idx="8">
                  <c:v>0.53835138042078534</c:v>
                </c:pt>
                <c:pt idx="9">
                  <c:v>0.59993179114928663</c:v>
                </c:pt>
                <c:pt idx="10">
                  <c:v>0.87330762975134069</c:v>
                </c:pt>
                <c:pt idx="11">
                  <c:v>1.0000000000000002</c:v>
                </c:pt>
              </c:numCache>
            </c:numRef>
          </c:yVal>
          <c:smooth val="1"/>
          <c:extLst>
            <c:ext xmlns:c16="http://schemas.microsoft.com/office/drawing/2014/chart" uri="{C3380CC4-5D6E-409C-BE32-E72D297353CC}">
              <c16:uniqueId val="{00000000-1A88-4EBD-AED8-3794D766CB86}"/>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1A88-4EBD-AED8-3794D766CB86}"/>
              </c:ext>
            </c:extLst>
          </c:dPt>
          <c:xVal>
            <c:numRef>
              <c:f>Gini_2015!$H$241:$H$252</c:f>
              <c:numCache>
                <c:formatCode>0.00</c:formatCode>
                <c:ptCount val="12"/>
                <c:pt idx="0">
                  <c:v>0</c:v>
                </c:pt>
                <c:pt idx="1">
                  <c:v>6.6897636279041406E-3</c:v>
                </c:pt>
                <c:pt idx="2">
                  <c:v>1.4703283674961536E-2</c:v>
                </c:pt>
                <c:pt idx="3">
                  <c:v>1.9021064175993932E-2</c:v>
                </c:pt>
                <c:pt idx="4">
                  <c:v>2.5837149493424316E-2</c:v>
                </c:pt>
                <c:pt idx="5">
                  <c:v>4.2022014172822211E-2</c:v>
                </c:pt>
                <c:pt idx="6">
                  <c:v>0.24390588628408322</c:v>
                </c:pt>
                <c:pt idx="7">
                  <c:v>0.68217928771668013</c:v>
                </c:pt>
                <c:pt idx="8">
                  <c:v>0.72136406494458227</c:v>
                </c:pt>
                <c:pt idx="9">
                  <c:v>0.80361379222030038</c:v>
                </c:pt>
                <c:pt idx="10">
                  <c:v>0.92246382695219187</c:v>
                </c:pt>
                <c:pt idx="11">
                  <c:v>1</c:v>
                </c:pt>
              </c:numCache>
            </c:numRef>
          </c:xVal>
          <c:yVal>
            <c:numRef>
              <c:f>Gini_2015!$G$241:$G$252</c:f>
              <c:numCache>
                <c:formatCode>0.00</c:formatCode>
                <c:ptCount val="12"/>
                <c:pt idx="0">
                  <c:v>0</c:v>
                </c:pt>
                <c:pt idx="1">
                  <c:v>1.7286755850994459E-3</c:v>
                </c:pt>
                <c:pt idx="2">
                  <c:v>3.7371092984394812E-3</c:v>
                </c:pt>
                <c:pt idx="3">
                  <c:v>1.6135075145440197E-2</c:v>
                </c:pt>
                <c:pt idx="4">
                  <c:v>3.4301802610804816E-2</c:v>
                </c:pt>
                <c:pt idx="5">
                  <c:v>0.10166217580471483</c:v>
                </c:pt>
                <c:pt idx="6">
                  <c:v>0.17435544734552078</c:v>
                </c:pt>
                <c:pt idx="7">
                  <c:v>0.27891002513612678</c:v>
                </c:pt>
                <c:pt idx="8">
                  <c:v>0.41793310319115373</c:v>
                </c:pt>
                <c:pt idx="9">
                  <c:v>0.59270628795947444</c:v>
                </c:pt>
                <c:pt idx="10">
                  <c:v>0.77769717923180715</c:v>
                </c:pt>
                <c:pt idx="11">
                  <c:v>1</c:v>
                </c:pt>
              </c:numCache>
            </c:numRef>
          </c:yVal>
          <c:smooth val="0"/>
          <c:extLst>
            <c:ext xmlns:c16="http://schemas.microsoft.com/office/drawing/2014/chart" uri="{C3380CC4-5D6E-409C-BE32-E72D297353CC}">
              <c16:uniqueId val="{00000002-1A88-4EBD-AED8-3794D766CB86}"/>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 total</a:t>
                </a:r>
                <a:r>
                  <a:rPr lang="en-US" baseline="0"/>
                  <a:t> available water</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 based on population of each country in the basin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Gini_2015!$H$6:$H$17</c:f>
              <c:numCache>
                <c:formatCode>0.00</c:formatCode>
                <c:ptCount val="12"/>
                <c:pt idx="0">
                  <c:v>0</c:v>
                </c:pt>
                <c:pt idx="1">
                  <c:v>0.32166049724589169</c:v>
                </c:pt>
                <c:pt idx="2">
                  <c:v>0.32673438500712265</c:v>
                </c:pt>
                <c:pt idx="3">
                  <c:v>0.34905277009432356</c:v>
                </c:pt>
                <c:pt idx="4">
                  <c:v>0.39148691546649972</c:v>
                </c:pt>
                <c:pt idx="5">
                  <c:v>0.40545818806777134</c:v>
                </c:pt>
                <c:pt idx="6">
                  <c:v>0.47985789031610226</c:v>
                </c:pt>
                <c:pt idx="7">
                  <c:v>0.52354955131601888</c:v>
                </c:pt>
                <c:pt idx="8">
                  <c:v>0.67372622067321064</c:v>
                </c:pt>
                <c:pt idx="9">
                  <c:v>0.81214475712805356</c:v>
                </c:pt>
                <c:pt idx="10">
                  <c:v>0.9566402625446867</c:v>
                </c:pt>
                <c:pt idx="11">
                  <c:v>1.0000000000000002</c:v>
                </c:pt>
              </c:numCache>
            </c:numRef>
          </c:xVal>
          <c:yVal>
            <c:numRef>
              <c:f>Gini_2015!$H$6:$H$17</c:f>
              <c:numCache>
                <c:formatCode>0.00</c:formatCode>
                <c:ptCount val="12"/>
                <c:pt idx="0">
                  <c:v>0</c:v>
                </c:pt>
                <c:pt idx="1">
                  <c:v>0.32166049724589169</c:v>
                </c:pt>
                <c:pt idx="2">
                  <c:v>0.32673438500712265</c:v>
                </c:pt>
                <c:pt idx="3">
                  <c:v>0.34905277009432356</c:v>
                </c:pt>
                <c:pt idx="4">
                  <c:v>0.39148691546649972</c:v>
                </c:pt>
                <c:pt idx="5">
                  <c:v>0.40545818806777134</c:v>
                </c:pt>
                <c:pt idx="6">
                  <c:v>0.47985789031610226</c:v>
                </c:pt>
                <c:pt idx="7">
                  <c:v>0.52354955131601888</c:v>
                </c:pt>
                <c:pt idx="8">
                  <c:v>0.67372622067321064</c:v>
                </c:pt>
                <c:pt idx="9">
                  <c:v>0.81214475712805356</c:v>
                </c:pt>
                <c:pt idx="10">
                  <c:v>0.9566402625446867</c:v>
                </c:pt>
                <c:pt idx="11">
                  <c:v>1.0000000000000002</c:v>
                </c:pt>
              </c:numCache>
            </c:numRef>
          </c:yVal>
          <c:smooth val="1"/>
          <c:extLst>
            <c:ext xmlns:c16="http://schemas.microsoft.com/office/drawing/2014/chart" uri="{C3380CC4-5D6E-409C-BE32-E72D297353CC}">
              <c16:uniqueId val="{00000000-444D-4261-BC71-8419D8481D6D}"/>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Precipitation</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444D-4261-BC71-8419D8481D6D}"/>
              </c:ext>
            </c:extLst>
          </c:dPt>
          <c:xVal>
            <c:numRef>
              <c:f>Gini_2015!$H$6:$H$17</c:f>
              <c:numCache>
                <c:formatCode>0.00</c:formatCode>
                <c:ptCount val="12"/>
                <c:pt idx="0">
                  <c:v>0</c:v>
                </c:pt>
                <c:pt idx="1">
                  <c:v>0.32166049724589169</c:v>
                </c:pt>
                <c:pt idx="2">
                  <c:v>0.32673438500712265</c:v>
                </c:pt>
                <c:pt idx="3">
                  <c:v>0.34905277009432356</c:v>
                </c:pt>
                <c:pt idx="4">
                  <c:v>0.39148691546649972</c:v>
                </c:pt>
                <c:pt idx="5">
                  <c:v>0.40545818806777134</c:v>
                </c:pt>
                <c:pt idx="6">
                  <c:v>0.47985789031610226</c:v>
                </c:pt>
                <c:pt idx="7">
                  <c:v>0.52354955131601888</c:v>
                </c:pt>
                <c:pt idx="8">
                  <c:v>0.67372622067321064</c:v>
                </c:pt>
                <c:pt idx="9">
                  <c:v>0.81214475712805356</c:v>
                </c:pt>
                <c:pt idx="10">
                  <c:v>0.9566402625446867</c:v>
                </c:pt>
                <c:pt idx="11">
                  <c:v>1.0000000000000002</c:v>
                </c:pt>
              </c:numCache>
            </c:numRef>
          </c:xVal>
          <c:yVal>
            <c:numRef>
              <c:f>Gini_2015!$G$6:$G$17</c:f>
              <c:numCache>
                <c:formatCode>0.00</c:formatCode>
                <c:ptCount val="12"/>
                <c:pt idx="0">
                  <c:v>0</c:v>
                </c:pt>
                <c:pt idx="1">
                  <c:v>1.6552375726116638E-3</c:v>
                </c:pt>
                <c:pt idx="2">
                  <c:v>7.700647191336122E-3</c:v>
                </c:pt>
                <c:pt idx="3">
                  <c:v>1.6121823446447359E-2</c:v>
                </c:pt>
                <c:pt idx="4">
                  <c:v>2.6899784350148663E-2</c:v>
                </c:pt>
                <c:pt idx="5">
                  <c:v>3.99097250221589E-2</c:v>
                </c:pt>
                <c:pt idx="6">
                  <c:v>7.7745780171758164E-2</c:v>
                </c:pt>
                <c:pt idx="7">
                  <c:v>0.15304254436300546</c:v>
                </c:pt>
                <c:pt idx="8">
                  <c:v>0.31033901282605264</c:v>
                </c:pt>
                <c:pt idx="9">
                  <c:v>0.47755215678348217</c:v>
                </c:pt>
                <c:pt idx="10">
                  <c:v>0.68677113241604104</c:v>
                </c:pt>
                <c:pt idx="11">
                  <c:v>1</c:v>
                </c:pt>
              </c:numCache>
            </c:numRef>
          </c:yVal>
          <c:smooth val="0"/>
          <c:extLst>
            <c:ext xmlns:c16="http://schemas.microsoft.com/office/drawing/2014/chart" uri="{C3380CC4-5D6E-409C-BE32-E72D297353CC}">
              <c16:uniqueId val="{00000002-444D-4261-BC71-8419D8481D6D}"/>
            </c:ext>
          </c:extLst>
        </c:ser>
        <c:ser>
          <c:idx val="2"/>
          <c:order val="2"/>
          <c:tx>
            <c:v>ETa</c:v>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Gini_2015!$H$27:$H$38</c:f>
              <c:numCache>
                <c:formatCode>0.00</c:formatCode>
                <c:ptCount val="12"/>
                <c:pt idx="0">
                  <c:v>0</c:v>
                </c:pt>
                <c:pt idx="1">
                  <c:v>5.0738877612309437E-3</c:v>
                </c:pt>
                <c:pt idx="2">
                  <c:v>2.7392272848431869E-2</c:v>
                </c:pt>
                <c:pt idx="3">
                  <c:v>6.9826418220608033E-2</c:v>
                </c:pt>
                <c:pt idx="4">
                  <c:v>8.3797690821879656E-2</c:v>
                </c:pt>
                <c:pt idx="5">
                  <c:v>0.15819739307021058</c:v>
                </c:pt>
                <c:pt idx="6">
                  <c:v>0.47985789031610226</c:v>
                </c:pt>
                <c:pt idx="7">
                  <c:v>0.52354955131601888</c:v>
                </c:pt>
                <c:pt idx="8">
                  <c:v>0.67372622067321064</c:v>
                </c:pt>
                <c:pt idx="9">
                  <c:v>0.81822172608984378</c:v>
                </c:pt>
                <c:pt idx="10">
                  <c:v>0.9566402625446867</c:v>
                </c:pt>
                <c:pt idx="11">
                  <c:v>1.0000000000000002</c:v>
                </c:pt>
              </c:numCache>
            </c:numRef>
          </c:xVal>
          <c:yVal>
            <c:numRef>
              <c:f>Gini_2015!$G$27:$G$38</c:f>
              <c:numCache>
                <c:formatCode>0.00</c:formatCode>
                <c:ptCount val="12"/>
                <c:pt idx="0">
                  <c:v>0</c:v>
                </c:pt>
                <c:pt idx="1">
                  <c:v>5.3287344942383437E-3</c:v>
                </c:pt>
                <c:pt idx="2">
                  <c:v>1.1267809536730008E-2</c:v>
                </c:pt>
                <c:pt idx="3">
                  <c:v>2.0343335348527263E-2</c:v>
                </c:pt>
                <c:pt idx="4">
                  <c:v>3.2238007866616208E-2</c:v>
                </c:pt>
                <c:pt idx="5">
                  <c:v>5.7847922689035394E-2</c:v>
                </c:pt>
                <c:pt idx="6">
                  <c:v>8.731758774745868E-2</c:v>
                </c:pt>
                <c:pt idx="7">
                  <c:v>0.14236816025984944</c:v>
                </c:pt>
                <c:pt idx="8">
                  <c:v>0.26892737193030403</c:v>
                </c:pt>
                <c:pt idx="9">
                  <c:v>0.43519916920567492</c:v>
                </c:pt>
                <c:pt idx="10">
                  <c:v>0.63325673185699138</c:v>
                </c:pt>
                <c:pt idx="11">
                  <c:v>1</c:v>
                </c:pt>
              </c:numCache>
            </c:numRef>
          </c:yVal>
          <c:smooth val="0"/>
          <c:extLst>
            <c:ext xmlns:c16="http://schemas.microsoft.com/office/drawing/2014/chart" uri="{C3380CC4-5D6E-409C-BE32-E72D297353CC}">
              <c16:uniqueId val="{00000003-444D-4261-BC71-8419D8481D6D}"/>
            </c:ext>
          </c:extLst>
        </c:ser>
        <c:ser>
          <c:idx val="3"/>
          <c:order val="3"/>
          <c:tx>
            <c:v>Internal AW</c:v>
          </c:tx>
          <c:spPr>
            <a:ln w="19050" cap="rnd">
              <a:solidFill>
                <a:schemeClr val="accent4"/>
              </a:solidFill>
              <a:round/>
            </a:ln>
            <a:effectLst/>
          </c:spPr>
          <c:marker>
            <c:symbol val="circle"/>
            <c:size val="5"/>
            <c:spPr>
              <a:solidFill>
                <a:schemeClr val="accent4"/>
              </a:solidFill>
              <a:ln w="9525">
                <a:solidFill>
                  <a:schemeClr val="accent4"/>
                </a:solidFill>
              </a:ln>
              <a:effectLst/>
            </c:spPr>
          </c:marker>
          <c:xVal>
            <c:numRef>
              <c:f>Gini_2015!$H$49:$H$60</c:f>
              <c:numCache>
                <c:formatCode>0.00</c:formatCode>
                <c:ptCount val="12"/>
                <c:pt idx="0">
                  <c:v>0</c:v>
                </c:pt>
                <c:pt idx="1">
                  <c:v>0.32166049724589163</c:v>
                </c:pt>
                <c:pt idx="2">
                  <c:v>0.4600790337007345</c:v>
                </c:pt>
                <c:pt idx="3">
                  <c:v>0.50343877115604796</c:v>
                </c:pt>
                <c:pt idx="4">
                  <c:v>0.51741004375731958</c:v>
                </c:pt>
                <c:pt idx="5">
                  <c:v>0.52248393151855055</c:v>
                </c:pt>
                <c:pt idx="6">
                  <c:v>0.56491807689072671</c:v>
                </c:pt>
                <c:pt idx="7">
                  <c:v>0.58723646197792767</c:v>
                </c:pt>
                <c:pt idx="8">
                  <c:v>0.66163616422625859</c:v>
                </c:pt>
                <c:pt idx="9">
                  <c:v>0.70532782522617521</c:v>
                </c:pt>
                <c:pt idx="10">
                  <c:v>0.85550449458336697</c:v>
                </c:pt>
                <c:pt idx="11">
                  <c:v>1</c:v>
                </c:pt>
              </c:numCache>
            </c:numRef>
          </c:xVal>
          <c:yVal>
            <c:numRef>
              <c:f>Gini_2015!$G$49:$G$60</c:f>
              <c:numCache>
                <c:formatCode>0.00</c:formatCode>
                <c:ptCount val="12"/>
                <c:pt idx="0">
                  <c:v>0</c:v>
                </c:pt>
                <c:pt idx="1">
                  <c:v>0</c:v>
                </c:pt>
                <c:pt idx="2">
                  <c:v>0</c:v>
                </c:pt>
                <c:pt idx="3">
                  <c:v>0</c:v>
                </c:pt>
                <c:pt idx="4">
                  <c:v>3.0276913068604406E-3</c:v>
                </c:pt>
                <c:pt idx="5">
                  <c:v>6.5453653844608599E-3</c:v>
                </c:pt>
                <c:pt idx="6">
                  <c:v>1.777579587081618E-2</c:v>
                </c:pt>
                <c:pt idx="7">
                  <c:v>3.9490230748750368E-2</c:v>
                </c:pt>
                <c:pt idx="8">
                  <c:v>0.15746865197712906</c:v>
                </c:pt>
                <c:pt idx="9">
                  <c:v>0.40096081933828909</c:v>
                </c:pt>
                <c:pt idx="10">
                  <c:v>0.67599744094182612</c:v>
                </c:pt>
                <c:pt idx="11">
                  <c:v>1</c:v>
                </c:pt>
              </c:numCache>
            </c:numRef>
          </c:yVal>
          <c:smooth val="0"/>
          <c:extLst>
            <c:ext xmlns:c16="http://schemas.microsoft.com/office/drawing/2014/chart" uri="{C3380CC4-5D6E-409C-BE32-E72D297353CC}">
              <c16:uniqueId val="{00000004-444D-4261-BC71-8419D8481D6D}"/>
            </c:ext>
          </c:extLst>
        </c:ser>
        <c:ser>
          <c:idx val="4"/>
          <c:order val="4"/>
          <c:tx>
            <c:v>Total AW</c:v>
          </c:tx>
          <c:spPr>
            <a:ln w="19050" cap="rnd">
              <a:solidFill>
                <a:schemeClr val="accent5"/>
              </a:solidFill>
              <a:round/>
            </a:ln>
            <a:effectLst/>
          </c:spPr>
          <c:marker>
            <c:symbol val="circle"/>
            <c:size val="5"/>
            <c:spPr>
              <a:solidFill>
                <a:schemeClr val="accent5"/>
              </a:solidFill>
              <a:ln w="9525">
                <a:solidFill>
                  <a:schemeClr val="accent5"/>
                </a:solidFill>
              </a:ln>
              <a:effectLst/>
            </c:spPr>
          </c:marker>
          <c:xVal>
            <c:numRef>
              <c:f>Gini_2015!$H$70:$H$81</c:f>
              <c:numCache>
                <c:formatCode>0.00</c:formatCode>
                <c:ptCount val="12"/>
                <c:pt idx="0">
                  <c:v>0</c:v>
                </c:pt>
                <c:pt idx="1">
                  <c:v>1.3971272601271614E-2</c:v>
                </c:pt>
                <c:pt idx="2">
                  <c:v>1.9045160362502558E-2</c:v>
                </c:pt>
                <c:pt idx="3">
                  <c:v>4.1363545449703484E-2</c:v>
                </c:pt>
                <c:pt idx="4">
                  <c:v>8.3797690821879628E-2</c:v>
                </c:pt>
                <c:pt idx="5">
                  <c:v>0.15819739307021052</c:v>
                </c:pt>
                <c:pt idx="6">
                  <c:v>0.20155713052552393</c:v>
                </c:pt>
                <c:pt idx="7">
                  <c:v>0.3399756669803668</c:v>
                </c:pt>
                <c:pt idx="8">
                  <c:v>0.38366732798028341</c:v>
                </c:pt>
                <c:pt idx="9">
                  <c:v>0.70532782522617499</c:v>
                </c:pt>
                <c:pt idx="10">
                  <c:v>0.84982333064280813</c:v>
                </c:pt>
                <c:pt idx="11">
                  <c:v>0.99999999999999989</c:v>
                </c:pt>
              </c:numCache>
            </c:numRef>
          </c:xVal>
          <c:yVal>
            <c:numRef>
              <c:f>Gini_2015!$G$70:$G$81</c:f>
              <c:numCache>
                <c:formatCode>0.00</c:formatCode>
                <c:ptCount val="12"/>
                <c:pt idx="0">
                  <c:v>0</c:v>
                </c:pt>
                <c:pt idx="1">
                  <c:v>1.7286755850994459E-3</c:v>
                </c:pt>
                <c:pt idx="2">
                  <c:v>3.7371092984394812E-3</c:v>
                </c:pt>
                <c:pt idx="3">
                  <c:v>1.6135075145440197E-2</c:v>
                </c:pt>
                <c:pt idx="4">
                  <c:v>3.4301802610804816E-2</c:v>
                </c:pt>
                <c:pt idx="5">
                  <c:v>0.10166217580471483</c:v>
                </c:pt>
                <c:pt idx="6">
                  <c:v>0.17435544734552078</c:v>
                </c:pt>
                <c:pt idx="7">
                  <c:v>0.27891002513612678</c:v>
                </c:pt>
                <c:pt idx="8">
                  <c:v>0.41793310319115373</c:v>
                </c:pt>
                <c:pt idx="9">
                  <c:v>0.59270628795947444</c:v>
                </c:pt>
                <c:pt idx="10">
                  <c:v>0.77769717923180715</c:v>
                </c:pt>
                <c:pt idx="11">
                  <c:v>1</c:v>
                </c:pt>
              </c:numCache>
            </c:numRef>
          </c:yVal>
          <c:smooth val="0"/>
          <c:extLst>
            <c:ext xmlns:c16="http://schemas.microsoft.com/office/drawing/2014/chart" uri="{C3380CC4-5D6E-409C-BE32-E72D297353CC}">
              <c16:uniqueId val="{00000005-444D-4261-BC71-8419D8481D6D}"/>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Criteria </a:t>
                </a:r>
                <a:endParaRPr lang="en-US"/>
              </a:p>
            </c:rich>
          </c:tx>
          <c:layout>
            <c:manualLayout>
              <c:xMode val="edge"/>
              <c:yMode val="edge"/>
              <c:x val="0.30931893106762737"/>
              <c:y val="0.8987774266708676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variables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 based on cropland area in each country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650902999652733"/>
          <c:y val="0.18478675798830643"/>
          <c:w val="0.64746825356505833"/>
          <c:h val="0.67073597635553017"/>
        </c:manualLayout>
      </c:layout>
      <c:scatterChart>
        <c:scatterStyle val="smoothMarker"/>
        <c:varyColors val="0"/>
        <c:ser>
          <c:idx val="1"/>
          <c:order val="1"/>
          <c:tx>
            <c:v>Equality Line</c:v>
          </c:tx>
          <c:spPr>
            <a:ln w="19050" cap="rnd">
              <a:solidFill>
                <a:schemeClr val="accent2"/>
              </a:solidFill>
              <a:round/>
            </a:ln>
            <a:effectLst/>
          </c:spPr>
          <c:marker>
            <c:symbol val="none"/>
          </c:marker>
          <c:xVal>
            <c:numRef>
              <c:f>Gini_2015!$H$94:$H$105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xVal>
          <c:yVal>
            <c:numRef>
              <c:f>Gini_2015!$H$94:$H$105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yVal>
          <c:smooth val="1"/>
          <c:extLst>
            <c:ext xmlns:c16="http://schemas.microsoft.com/office/drawing/2014/chart" uri="{C3380CC4-5D6E-409C-BE32-E72D297353CC}">
              <c16:uniqueId val="{00000000-66CB-49DF-8691-ACF46A5C32D9}"/>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Precipitation</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66CB-49DF-8691-ACF46A5C32D9}"/>
              </c:ext>
            </c:extLst>
          </c:dPt>
          <c:xVal>
            <c:numRef>
              <c:f>Gini_2015!$H$94:$H$105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xVal>
          <c:yVal>
            <c:numRef>
              <c:f>Gini_2015!$G$94:$G$105</c:f>
              <c:numCache>
                <c:formatCode>0.00</c:formatCode>
                <c:ptCount val="12"/>
                <c:pt idx="0">
                  <c:v>0</c:v>
                </c:pt>
                <c:pt idx="1">
                  <c:v>1.6552375726116638E-3</c:v>
                </c:pt>
                <c:pt idx="2">
                  <c:v>7.700647191336122E-3</c:v>
                </c:pt>
                <c:pt idx="3">
                  <c:v>1.6121823446447359E-2</c:v>
                </c:pt>
                <c:pt idx="4">
                  <c:v>2.6899784350148663E-2</c:v>
                </c:pt>
                <c:pt idx="5">
                  <c:v>3.99097250221589E-2</c:v>
                </c:pt>
                <c:pt idx="6">
                  <c:v>7.7745780171758164E-2</c:v>
                </c:pt>
                <c:pt idx="7">
                  <c:v>0.15304254436300546</c:v>
                </c:pt>
                <c:pt idx="8">
                  <c:v>0.31033901282605264</c:v>
                </c:pt>
                <c:pt idx="9">
                  <c:v>0.47755215678348217</c:v>
                </c:pt>
                <c:pt idx="10">
                  <c:v>0.68677113241604104</c:v>
                </c:pt>
                <c:pt idx="11">
                  <c:v>1</c:v>
                </c:pt>
              </c:numCache>
            </c:numRef>
          </c:yVal>
          <c:smooth val="0"/>
          <c:extLst>
            <c:ext xmlns:c16="http://schemas.microsoft.com/office/drawing/2014/chart" uri="{C3380CC4-5D6E-409C-BE32-E72D297353CC}">
              <c16:uniqueId val="{00000002-66CB-49DF-8691-ACF46A5C32D9}"/>
            </c:ext>
          </c:extLst>
        </c:ser>
        <c:ser>
          <c:idx val="2"/>
          <c:order val="2"/>
          <c:tx>
            <c:v>ETa</c:v>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Gini_2015!$H$115:$H$126</c:f>
              <c:numCache>
                <c:formatCode>0.00</c:formatCode>
                <c:ptCount val="12"/>
                <c:pt idx="0">
                  <c:v>0</c:v>
                </c:pt>
                <c:pt idx="1">
                  <c:v>8.6508040877704764E-3</c:v>
                </c:pt>
                <c:pt idx="2">
                  <c:v>2.233691110888162E-2</c:v>
                </c:pt>
                <c:pt idx="3">
                  <c:v>4.5534073596056365E-2</c:v>
                </c:pt>
                <c:pt idx="4">
                  <c:v>5.3837159897602418E-2</c:v>
                </c:pt>
                <c:pt idx="5">
                  <c:v>0.11688690634392547</c:v>
                </c:pt>
                <c:pt idx="6">
                  <c:v>0.17846731707242672</c:v>
                </c:pt>
                <c:pt idx="7">
                  <c:v>0.25736713399590871</c:v>
                </c:pt>
                <c:pt idx="8">
                  <c:v>0.38405950424456814</c:v>
                </c:pt>
                <c:pt idx="9">
                  <c:v>0.65743534284662219</c:v>
                </c:pt>
                <c:pt idx="10">
                  <c:v>0.98464491670321019</c:v>
                </c:pt>
                <c:pt idx="11">
                  <c:v>1.0000000000000002</c:v>
                </c:pt>
              </c:numCache>
            </c:numRef>
          </c:xVal>
          <c:yVal>
            <c:numRef>
              <c:f>Gini_2015!$G$115:$G$126</c:f>
              <c:numCache>
                <c:formatCode>0.00</c:formatCode>
                <c:ptCount val="12"/>
                <c:pt idx="0">
                  <c:v>0</c:v>
                </c:pt>
                <c:pt idx="1">
                  <c:v>5.3287344942383437E-3</c:v>
                </c:pt>
                <c:pt idx="2">
                  <c:v>1.1267809536730008E-2</c:v>
                </c:pt>
                <c:pt idx="3">
                  <c:v>2.0343335348527263E-2</c:v>
                </c:pt>
                <c:pt idx="4">
                  <c:v>3.2238007866616208E-2</c:v>
                </c:pt>
                <c:pt idx="5">
                  <c:v>5.7847922689035394E-2</c:v>
                </c:pt>
                <c:pt idx="6">
                  <c:v>8.731758774745868E-2</c:v>
                </c:pt>
                <c:pt idx="7">
                  <c:v>0.14236816025984944</c:v>
                </c:pt>
                <c:pt idx="8">
                  <c:v>0.26892737193030403</c:v>
                </c:pt>
                <c:pt idx="9">
                  <c:v>0.43519916920567492</c:v>
                </c:pt>
                <c:pt idx="10">
                  <c:v>0.63325673185699138</c:v>
                </c:pt>
                <c:pt idx="11">
                  <c:v>1</c:v>
                </c:pt>
              </c:numCache>
            </c:numRef>
          </c:yVal>
          <c:smooth val="0"/>
          <c:extLst>
            <c:ext xmlns:c16="http://schemas.microsoft.com/office/drawing/2014/chart" uri="{C3380CC4-5D6E-409C-BE32-E72D297353CC}">
              <c16:uniqueId val="{00000003-66CB-49DF-8691-ACF46A5C32D9}"/>
            </c:ext>
          </c:extLst>
        </c:ser>
        <c:ser>
          <c:idx val="3"/>
          <c:order val="3"/>
          <c:tx>
            <c:v>Internal AW</c:v>
          </c:tx>
          <c:spPr>
            <a:ln w="19050" cap="rnd">
              <a:solidFill>
                <a:schemeClr val="accent4"/>
              </a:solidFill>
              <a:round/>
            </a:ln>
            <a:effectLst/>
          </c:spPr>
          <c:marker>
            <c:symbol val="circle"/>
            <c:size val="5"/>
            <c:spPr>
              <a:solidFill>
                <a:schemeClr val="accent4"/>
              </a:solidFill>
              <a:ln w="9525">
                <a:solidFill>
                  <a:schemeClr val="accent4"/>
                </a:solidFill>
              </a:ln>
              <a:effectLst/>
            </c:spPr>
          </c:marker>
          <c:xVal>
            <c:numRef>
              <c:f>Gini_2015!$H$136:$H$147</c:f>
              <c:numCache>
                <c:formatCode>0.00</c:formatCode>
                <c:ptCount val="12"/>
                <c:pt idx="0">
                  <c:v>0</c:v>
                </c:pt>
                <c:pt idx="1">
                  <c:v>6.1580410728501248E-2</c:v>
                </c:pt>
                <c:pt idx="2">
                  <c:v>0.38878998458508923</c:v>
                </c:pt>
                <c:pt idx="3">
                  <c:v>0.40414506788187921</c:v>
                </c:pt>
                <c:pt idx="4">
                  <c:v>0.41244815418342529</c:v>
                </c:pt>
                <c:pt idx="5">
                  <c:v>0.42109895827119576</c:v>
                </c:pt>
                <c:pt idx="6">
                  <c:v>0.44429612075837049</c:v>
                </c:pt>
                <c:pt idx="7">
                  <c:v>0.45798222777948161</c:v>
                </c:pt>
                <c:pt idx="8">
                  <c:v>0.52103197422580472</c:v>
                </c:pt>
                <c:pt idx="9">
                  <c:v>0.59993179114928674</c:v>
                </c:pt>
                <c:pt idx="10">
                  <c:v>0.72662416139794617</c:v>
                </c:pt>
                <c:pt idx="11">
                  <c:v>1.0000000000000002</c:v>
                </c:pt>
              </c:numCache>
            </c:numRef>
          </c:xVal>
          <c:yVal>
            <c:numRef>
              <c:f>Gini_2015!$G$136:$G$147</c:f>
              <c:numCache>
                <c:formatCode>0.00</c:formatCode>
                <c:ptCount val="12"/>
                <c:pt idx="0">
                  <c:v>0</c:v>
                </c:pt>
                <c:pt idx="1">
                  <c:v>0</c:v>
                </c:pt>
                <c:pt idx="2">
                  <c:v>0</c:v>
                </c:pt>
                <c:pt idx="3">
                  <c:v>0</c:v>
                </c:pt>
                <c:pt idx="4">
                  <c:v>3.0276913068604406E-3</c:v>
                </c:pt>
                <c:pt idx="5">
                  <c:v>6.5453653844608599E-3</c:v>
                </c:pt>
                <c:pt idx="6">
                  <c:v>1.777579587081618E-2</c:v>
                </c:pt>
                <c:pt idx="7">
                  <c:v>3.9490230748750368E-2</c:v>
                </c:pt>
                <c:pt idx="8">
                  <c:v>0.15746865197712906</c:v>
                </c:pt>
                <c:pt idx="9">
                  <c:v>0.40096081933828909</c:v>
                </c:pt>
                <c:pt idx="10">
                  <c:v>0.67599744094182612</c:v>
                </c:pt>
                <c:pt idx="11">
                  <c:v>1</c:v>
                </c:pt>
              </c:numCache>
            </c:numRef>
          </c:yVal>
          <c:smooth val="0"/>
          <c:extLst>
            <c:ext xmlns:c16="http://schemas.microsoft.com/office/drawing/2014/chart" uri="{C3380CC4-5D6E-409C-BE32-E72D297353CC}">
              <c16:uniqueId val="{00000004-66CB-49DF-8691-ACF46A5C32D9}"/>
            </c:ext>
          </c:extLst>
        </c:ser>
        <c:ser>
          <c:idx val="4"/>
          <c:order val="4"/>
          <c:tx>
            <c:v>Total AW</c:v>
          </c:tx>
          <c:spPr>
            <a:ln w="19050" cap="rnd">
              <a:solidFill>
                <a:schemeClr val="accent5"/>
              </a:solidFill>
              <a:round/>
            </a:ln>
            <a:effectLst/>
          </c:spPr>
          <c:marker>
            <c:symbol val="circle"/>
            <c:size val="5"/>
            <c:spPr>
              <a:solidFill>
                <a:schemeClr val="accent5"/>
              </a:solidFill>
              <a:ln w="9525">
                <a:solidFill>
                  <a:schemeClr val="accent5"/>
                </a:solidFill>
              </a:ln>
              <a:effectLst/>
            </c:spPr>
          </c:marker>
          <c:xVal>
            <c:numRef>
              <c:f>Gini_2015!$H$157:$H$168</c:f>
              <c:numCache>
                <c:formatCode>0.00</c:formatCode>
                <c:ptCount val="12"/>
                <c:pt idx="0">
                  <c:v>0</c:v>
                </c:pt>
                <c:pt idx="1">
                  <c:v>8.3030863015460567E-3</c:v>
                </c:pt>
                <c:pt idx="2">
                  <c:v>1.6953890389316533E-2</c:v>
                </c:pt>
                <c:pt idx="3">
                  <c:v>3.0639997410427677E-2</c:v>
                </c:pt>
                <c:pt idx="4">
                  <c:v>5.3837159897602418E-2</c:v>
                </c:pt>
                <c:pt idx="5">
                  <c:v>0.11688690634392547</c:v>
                </c:pt>
                <c:pt idx="6">
                  <c:v>0.13224198964071543</c:v>
                </c:pt>
                <c:pt idx="7">
                  <c:v>0.45945156349730343</c:v>
                </c:pt>
                <c:pt idx="8">
                  <c:v>0.53835138042078534</c:v>
                </c:pt>
                <c:pt idx="9">
                  <c:v>0.59993179114928663</c:v>
                </c:pt>
                <c:pt idx="10">
                  <c:v>0.87330762975134069</c:v>
                </c:pt>
                <c:pt idx="11">
                  <c:v>1.0000000000000002</c:v>
                </c:pt>
              </c:numCache>
            </c:numRef>
          </c:xVal>
          <c:yVal>
            <c:numRef>
              <c:f>Gini_2015!$G$157:$G$168</c:f>
              <c:numCache>
                <c:formatCode>0.00</c:formatCode>
                <c:ptCount val="12"/>
                <c:pt idx="0">
                  <c:v>0</c:v>
                </c:pt>
                <c:pt idx="1">
                  <c:v>1.7286755850994459E-3</c:v>
                </c:pt>
                <c:pt idx="2">
                  <c:v>3.7371092984394812E-3</c:v>
                </c:pt>
                <c:pt idx="3">
                  <c:v>1.6135075145440197E-2</c:v>
                </c:pt>
                <c:pt idx="4">
                  <c:v>3.4301802610804816E-2</c:v>
                </c:pt>
                <c:pt idx="5">
                  <c:v>0.10166217580471483</c:v>
                </c:pt>
                <c:pt idx="6">
                  <c:v>0.17435544734552078</c:v>
                </c:pt>
                <c:pt idx="7">
                  <c:v>0.27891002513612678</c:v>
                </c:pt>
                <c:pt idx="8">
                  <c:v>0.41793310319115373</c:v>
                </c:pt>
                <c:pt idx="9">
                  <c:v>0.59270628795947444</c:v>
                </c:pt>
                <c:pt idx="10">
                  <c:v>0.77769717923180715</c:v>
                </c:pt>
                <c:pt idx="11">
                  <c:v>1</c:v>
                </c:pt>
              </c:numCache>
            </c:numRef>
          </c:yVal>
          <c:smooth val="0"/>
          <c:extLst>
            <c:ext xmlns:c16="http://schemas.microsoft.com/office/drawing/2014/chart" uri="{C3380CC4-5D6E-409C-BE32-E72D297353CC}">
              <c16:uniqueId val="{00000005-66CB-49DF-8691-ACF46A5C32D9}"/>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t>
                </a:r>
                <a:r>
                  <a:rPr lang="en-US" sz="1000" b="0" i="0" u="none" strike="noStrike" baseline="0">
                    <a:effectLst/>
                  </a:rPr>
                  <a:t>Criteria</a:t>
                </a:r>
                <a:endParaRPr lang="en-US" baseline="0"/>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variables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 based on area of each country in the basin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457098300252266"/>
          <c:y val="0.16423456145227788"/>
          <c:w val="0.69762923864608828"/>
          <c:h val="0.66127160527769036"/>
        </c:manualLayout>
      </c:layout>
      <c:scatterChart>
        <c:scatterStyle val="smoothMarker"/>
        <c:varyColors val="0"/>
        <c:ser>
          <c:idx val="1"/>
          <c:order val="1"/>
          <c:tx>
            <c:v>Equality Line</c:v>
          </c:tx>
          <c:spPr>
            <a:ln w="19050" cap="rnd">
              <a:solidFill>
                <a:schemeClr val="accent2"/>
              </a:solidFill>
              <a:round/>
            </a:ln>
            <a:effectLst/>
          </c:spPr>
          <c:marker>
            <c:symbol val="none"/>
          </c:marker>
          <c:xVal>
            <c:numRef>
              <c:f>Gini_2015!$H$94:$H$105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xVal>
          <c:yVal>
            <c:numRef>
              <c:f>Gini_2015!$H$94:$H$105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yVal>
          <c:smooth val="1"/>
          <c:extLst>
            <c:ext xmlns:c16="http://schemas.microsoft.com/office/drawing/2014/chart" uri="{C3380CC4-5D6E-409C-BE32-E72D297353CC}">
              <c16:uniqueId val="{00000000-2DC2-4F25-9094-F1D6F09AAC58}"/>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Precipitation</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2DC2-4F25-9094-F1D6F09AAC58}"/>
              </c:ext>
            </c:extLst>
          </c:dPt>
          <c:xVal>
            <c:numRef>
              <c:f>Gini_2015!$H$178:$H$189</c:f>
              <c:numCache>
                <c:formatCode>0.00</c:formatCode>
                <c:ptCount val="12"/>
                <c:pt idx="0">
                  <c:v>0</c:v>
                </c:pt>
                <c:pt idx="1">
                  <c:v>8.2249727275718124E-2</c:v>
                </c:pt>
                <c:pt idx="2">
                  <c:v>9.0263247322775519E-2</c:v>
                </c:pt>
                <c:pt idx="3">
                  <c:v>9.4581027823807909E-2</c:v>
                </c:pt>
                <c:pt idx="4">
                  <c:v>0.1013971131412383</c:v>
                </c:pt>
                <c:pt idx="5">
                  <c:v>0.10808687676914244</c:v>
                </c:pt>
                <c:pt idx="6">
                  <c:v>0.12427174144854033</c:v>
                </c:pt>
                <c:pt idx="7">
                  <c:v>0.16345651867644251</c:v>
                </c:pt>
                <c:pt idx="8">
                  <c:v>0.24099269172425059</c:v>
                </c:pt>
                <c:pt idx="9">
                  <c:v>0.67926609315684749</c:v>
                </c:pt>
                <c:pt idx="10">
                  <c:v>0.79811612788873898</c:v>
                </c:pt>
                <c:pt idx="11">
                  <c:v>1</c:v>
                </c:pt>
              </c:numCache>
            </c:numRef>
          </c:xVal>
          <c:yVal>
            <c:numRef>
              <c:f>Gini_2015!$G$178:$G$189</c:f>
              <c:numCache>
                <c:formatCode>0.00</c:formatCode>
                <c:ptCount val="12"/>
                <c:pt idx="0">
                  <c:v>0</c:v>
                </c:pt>
                <c:pt idx="1">
                  <c:v>1.6552375726116638E-3</c:v>
                </c:pt>
                <c:pt idx="2">
                  <c:v>7.700647191336122E-3</c:v>
                </c:pt>
                <c:pt idx="3">
                  <c:v>1.6121823446447359E-2</c:v>
                </c:pt>
                <c:pt idx="4">
                  <c:v>2.6899784350148663E-2</c:v>
                </c:pt>
                <c:pt idx="5">
                  <c:v>3.99097250221589E-2</c:v>
                </c:pt>
                <c:pt idx="6">
                  <c:v>7.7745780171758164E-2</c:v>
                </c:pt>
                <c:pt idx="7">
                  <c:v>0.15304254436300546</c:v>
                </c:pt>
                <c:pt idx="8">
                  <c:v>0.31033901282605264</c:v>
                </c:pt>
                <c:pt idx="9">
                  <c:v>0.47755215678348217</c:v>
                </c:pt>
                <c:pt idx="10">
                  <c:v>0.68677113241604104</c:v>
                </c:pt>
                <c:pt idx="11">
                  <c:v>1</c:v>
                </c:pt>
              </c:numCache>
            </c:numRef>
          </c:yVal>
          <c:smooth val="0"/>
          <c:extLst>
            <c:ext xmlns:c16="http://schemas.microsoft.com/office/drawing/2014/chart" uri="{C3380CC4-5D6E-409C-BE32-E72D297353CC}">
              <c16:uniqueId val="{00000002-2DC2-4F25-9094-F1D6F09AAC58}"/>
            </c:ext>
          </c:extLst>
        </c:ser>
        <c:ser>
          <c:idx val="2"/>
          <c:order val="2"/>
          <c:tx>
            <c:v>ETa</c:v>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Gini_2015!$H$199:$H$210</c:f>
              <c:numCache>
                <c:formatCode>0.00</c:formatCode>
                <c:ptCount val="12"/>
                <c:pt idx="0">
                  <c:v>0</c:v>
                </c:pt>
                <c:pt idx="1">
                  <c:v>8.0135200470573958E-3</c:v>
                </c:pt>
                <c:pt idx="2">
                  <c:v>1.2331300548089792E-2</c:v>
                </c:pt>
                <c:pt idx="3">
                  <c:v>1.9147385865520176E-2</c:v>
                </c:pt>
                <c:pt idx="4">
                  <c:v>2.5837149493424316E-2</c:v>
                </c:pt>
                <c:pt idx="5">
                  <c:v>4.2022014172822211E-2</c:v>
                </c:pt>
                <c:pt idx="6">
                  <c:v>0.12427174144854033</c:v>
                </c:pt>
                <c:pt idx="7">
                  <c:v>0.16345651867644251</c:v>
                </c:pt>
                <c:pt idx="8">
                  <c:v>0.24099269172425059</c:v>
                </c:pt>
                <c:pt idx="9">
                  <c:v>0.35984272645614207</c:v>
                </c:pt>
                <c:pt idx="10">
                  <c:v>0.79811612788873898</c:v>
                </c:pt>
                <c:pt idx="11">
                  <c:v>1</c:v>
                </c:pt>
              </c:numCache>
            </c:numRef>
          </c:xVal>
          <c:yVal>
            <c:numRef>
              <c:f>Gini_2015!$G$199:$G$210</c:f>
              <c:numCache>
                <c:formatCode>0.00</c:formatCode>
                <c:ptCount val="12"/>
                <c:pt idx="0">
                  <c:v>0</c:v>
                </c:pt>
                <c:pt idx="1">
                  <c:v>5.3287344942383437E-3</c:v>
                </c:pt>
                <c:pt idx="2">
                  <c:v>1.1267809536730008E-2</c:v>
                </c:pt>
                <c:pt idx="3">
                  <c:v>2.0343335348527263E-2</c:v>
                </c:pt>
                <c:pt idx="4">
                  <c:v>3.2238007866616208E-2</c:v>
                </c:pt>
                <c:pt idx="5">
                  <c:v>5.7847922689035394E-2</c:v>
                </c:pt>
                <c:pt idx="6">
                  <c:v>8.731758774745868E-2</c:v>
                </c:pt>
                <c:pt idx="7">
                  <c:v>0.14236816025984944</c:v>
                </c:pt>
                <c:pt idx="8">
                  <c:v>0.26892737193030403</c:v>
                </c:pt>
                <c:pt idx="9">
                  <c:v>0.43519916920567492</c:v>
                </c:pt>
                <c:pt idx="10">
                  <c:v>0.63325673185699138</c:v>
                </c:pt>
                <c:pt idx="11">
                  <c:v>1</c:v>
                </c:pt>
              </c:numCache>
            </c:numRef>
          </c:yVal>
          <c:smooth val="0"/>
          <c:extLst>
            <c:ext xmlns:c16="http://schemas.microsoft.com/office/drawing/2014/chart" uri="{C3380CC4-5D6E-409C-BE32-E72D297353CC}">
              <c16:uniqueId val="{00000003-2DC2-4F25-9094-F1D6F09AAC58}"/>
            </c:ext>
          </c:extLst>
        </c:ser>
        <c:ser>
          <c:idx val="3"/>
          <c:order val="3"/>
          <c:tx>
            <c:v>Internal AW</c:v>
          </c:tx>
          <c:spPr>
            <a:ln w="19050" cap="rnd">
              <a:solidFill>
                <a:schemeClr val="accent4"/>
              </a:solidFill>
              <a:round/>
            </a:ln>
            <a:effectLst/>
          </c:spPr>
          <c:marker>
            <c:symbol val="circle"/>
            <c:size val="5"/>
            <c:spPr>
              <a:solidFill>
                <a:schemeClr val="accent4"/>
              </a:solidFill>
              <a:ln w="9525">
                <a:solidFill>
                  <a:schemeClr val="accent4"/>
                </a:solidFill>
              </a:ln>
              <a:effectLst/>
            </c:spPr>
          </c:marker>
          <c:xVal>
            <c:numRef>
              <c:f>Gini_2015!$H$220:$H$231</c:f>
              <c:numCache>
                <c:formatCode>0.00</c:formatCode>
                <c:ptCount val="12"/>
                <c:pt idx="0">
                  <c:v>0</c:v>
                </c:pt>
                <c:pt idx="1">
                  <c:v>8.2249727275718124E-2</c:v>
                </c:pt>
                <c:pt idx="2">
                  <c:v>0.52052312870831507</c:v>
                </c:pt>
                <c:pt idx="3">
                  <c:v>0.7224070008195761</c:v>
                </c:pt>
                <c:pt idx="4">
                  <c:v>0.72909676444748028</c:v>
                </c:pt>
                <c:pt idx="5">
                  <c:v>0.73711028449453764</c:v>
                </c:pt>
                <c:pt idx="6">
                  <c:v>0.74392636981196802</c:v>
                </c:pt>
                <c:pt idx="7">
                  <c:v>0.7482441503130004</c:v>
                </c:pt>
                <c:pt idx="8">
                  <c:v>0.76442901499239835</c:v>
                </c:pt>
                <c:pt idx="9">
                  <c:v>0.80361379222030049</c:v>
                </c:pt>
                <c:pt idx="10">
                  <c:v>0.88114996526810863</c:v>
                </c:pt>
                <c:pt idx="11">
                  <c:v>1.0000000000000002</c:v>
                </c:pt>
              </c:numCache>
            </c:numRef>
          </c:xVal>
          <c:yVal>
            <c:numRef>
              <c:f>Gini_2015!$G$220:$G$231</c:f>
              <c:numCache>
                <c:formatCode>0.00</c:formatCode>
                <c:ptCount val="12"/>
                <c:pt idx="0">
                  <c:v>0</c:v>
                </c:pt>
                <c:pt idx="1">
                  <c:v>0</c:v>
                </c:pt>
                <c:pt idx="2">
                  <c:v>0</c:v>
                </c:pt>
                <c:pt idx="3">
                  <c:v>0</c:v>
                </c:pt>
                <c:pt idx="4">
                  <c:v>3.0276913068604406E-3</c:v>
                </c:pt>
                <c:pt idx="5">
                  <c:v>6.5453653844608599E-3</c:v>
                </c:pt>
                <c:pt idx="6">
                  <c:v>1.777579587081618E-2</c:v>
                </c:pt>
                <c:pt idx="7">
                  <c:v>3.9490230748750368E-2</c:v>
                </c:pt>
                <c:pt idx="8">
                  <c:v>0.15746865197712906</c:v>
                </c:pt>
                <c:pt idx="9">
                  <c:v>0.40096081933828909</c:v>
                </c:pt>
                <c:pt idx="10">
                  <c:v>0.67599744094182612</c:v>
                </c:pt>
                <c:pt idx="11">
                  <c:v>1</c:v>
                </c:pt>
              </c:numCache>
            </c:numRef>
          </c:yVal>
          <c:smooth val="0"/>
          <c:extLst>
            <c:ext xmlns:c16="http://schemas.microsoft.com/office/drawing/2014/chart" uri="{C3380CC4-5D6E-409C-BE32-E72D297353CC}">
              <c16:uniqueId val="{00000004-2DC2-4F25-9094-F1D6F09AAC58}"/>
            </c:ext>
          </c:extLst>
        </c:ser>
        <c:ser>
          <c:idx val="4"/>
          <c:order val="4"/>
          <c:tx>
            <c:v>Total AW</c:v>
          </c:tx>
          <c:spPr>
            <a:ln w="19050" cap="rnd">
              <a:solidFill>
                <a:schemeClr val="accent5"/>
              </a:solidFill>
              <a:round/>
            </a:ln>
            <a:effectLst/>
          </c:spPr>
          <c:marker>
            <c:symbol val="circle"/>
            <c:size val="5"/>
            <c:spPr>
              <a:solidFill>
                <a:schemeClr val="accent5"/>
              </a:solidFill>
              <a:ln w="9525">
                <a:solidFill>
                  <a:schemeClr val="accent5"/>
                </a:solidFill>
              </a:ln>
              <a:effectLst/>
            </c:spPr>
          </c:marker>
          <c:xVal>
            <c:numRef>
              <c:f>Gini_2015!$H$241:$H$252</c:f>
              <c:numCache>
                <c:formatCode>0.00</c:formatCode>
                <c:ptCount val="12"/>
                <c:pt idx="0">
                  <c:v>0</c:v>
                </c:pt>
                <c:pt idx="1">
                  <c:v>6.6897636279041406E-3</c:v>
                </c:pt>
                <c:pt idx="2">
                  <c:v>1.4703283674961536E-2</c:v>
                </c:pt>
                <c:pt idx="3">
                  <c:v>1.9021064175993932E-2</c:v>
                </c:pt>
                <c:pt idx="4">
                  <c:v>2.5837149493424316E-2</c:v>
                </c:pt>
                <c:pt idx="5">
                  <c:v>4.2022014172822211E-2</c:v>
                </c:pt>
                <c:pt idx="6">
                  <c:v>0.24390588628408322</c:v>
                </c:pt>
                <c:pt idx="7">
                  <c:v>0.68217928771668013</c:v>
                </c:pt>
                <c:pt idx="8">
                  <c:v>0.72136406494458227</c:v>
                </c:pt>
                <c:pt idx="9">
                  <c:v>0.80361379222030038</c:v>
                </c:pt>
                <c:pt idx="10">
                  <c:v>0.92246382695219187</c:v>
                </c:pt>
                <c:pt idx="11">
                  <c:v>1</c:v>
                </c:pt>
              </c:numCache>
            </c:numRef>
          </c:xVal>
          <c:yVal>
            <c:numRef>
              <c:f>Gini_2015!$G$241:$G$252</c:f>
              <c:numCache>
                <c:formatCode>0.00</c:formatCode>
                <c:ptCount val="12"/>
                <c:pt idx="0">
                  <c:v>0</c:v>
                </c:pt>
                <c:pt idx="1">
                  <c:v>1.7286755850994459E-3</c:v>
                </c:pt>
                <c:pt idx="2">
                  <c:v>3.7371092984394812E-3</c:v>
                </c:pt>
                <c:pt idx="3">
                  <c:v>1.6135075145440197E-2</c:v>
                </c:pt>
                <c:pt idx="4">
                  <c:v>3.4301802610804816E-2</c:v>
                </c:pt>
                <c:pt idx="5">
                  <c:v>0.10166217580471483</c:v>
                </c:pt>
                <c:pt idx="6">
                  <c:v>0.17435544734552078</c:v>
                </c:pt>
                <c:pt idx="7">
                  <c:v>0.27891002513612678</c:v>
                </c:pt>
                <c:pt idx="8">
                  <c:v>0.41793310319115373</c:v>
                </c:pt>
                <c:pt idx="9">
                  <c:v>0.59270628795947444</c:v>
                </c:pt>
                <c:pt idx="10">
                  <c:v>0.77769717923180715</c:v>
                </c:pt>
                <c:pt idx="11">
                  <c:v>1</c:v>
                </c:pt>
              </c:numCache>
            </c:numRef>
          </c:yVal>
          <c:smooth val="0"/>
          <c:extLst>
            <c:ext xmlns:c16="http://schemas.microsoft.com/office/drawing/2014/chart" uri="{C3380CC4-5D6E-409C-BE32-E72D297353CC}">
              <c16:uniqueId val="{00000005-2DC2-4F25-9094-F1D6F09AAC58}"/>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t>
                </a:r>
                <a:r>
                  <a:rPr lang="en-US" sz="1000" b="0" i="0" u="none" strike="noStrike" baseline="0">
                    <a:effectLst/>
                  </a:rPr>
                  <a:t>Criteria</a:t>
                </a:r>
                <a:endParaRPr lang="en-US" baseline="0"/>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variables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layout>
        <c:manualLayout>
          <c:xMode val="edge"/>
          <c:yMode val="edge"/>
          <c:x val="0.81944879380053437"/>
          <c:y val="0.38221744320590534"/>
          <c:w val="0.18021896777407129"/>
          <c:h val="0.349143219407329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Gini_2016!$H$94:$H$105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xVal>
          <c:yVal>
            <c:numRef>
              <c:f>Gini_2016!$H$94:$H$105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yVal>
          <c:smooth val="1"/>
          <c:extLst>
            <c:ext xmlns:c16="http://schemas.microsoft.com/office/drawing/2014/chart" uri="{C3380CC4-5D6E-409C-BE32-E72D297353CC}">
              <c16:uniqueId val="{00000000-8B08-4C16-9CEA-C214FCC9926B}"/>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8B08-4C16-9CEA-C214FCC9926B}"/>
              </c:ext>
            </c:extLst>
          </c:dPt>
          <c:xVal>
            <c:numRef>
              <c:f>Gini_2016!$H$94:$H$105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xVal>
          <c:yVal>
            <c:numRef>
              <c:f>Gini_2016!$G$94:$G$105</c:f>
              <c:numCache>
                <c:formatCode>0.00</c:formatCode>
                <c:ptCount val="12"/>
                <c:pt idx="0">
                  <c:v>0</c:v>
                </c:pt>
                <c:pt idx="1">
                  <c:v>3.1349739129321592E-3</c:v>
                </c:pt>
                <c:pt idx="2">
                  <c:v>9.8318337416622992E-3</c:v>
                </c:pt>
                <c:pt idx="3">
                  <c:v>1.7895180768675793E-2</c:v>
                </c:pt>
                <c:pt idx="4">
                  <c:v>2.9284369859248531E-2</c:v>
                </c:pt>
                <c:pt idx="5">
                  <c:v>4.2067458990586205E-2</c:v>
                </c:pt>
                <c:pt idx="6">
                  <c:v>7.445965352965464E-2</c:v>
                </c:pt>
                <c:pt idx="7">
                  <c:v>0.13600922188005207</c:v>
                </c:pt>
                <c:pt idx="8">
                  <c:v>0.27310899331631933</c:v>
                </c:pt>
                <c:pt idx="9">
                  <c:v>0.4601123760377257</c:v>
                </c:pt>
                <c:pt idx="10">
                  <c:v>0.68902644485704645</c:v>
                </c:pt>
                <c:pt idx="11">
                  <c:v>1</c:v>
                </c:pt>
              </c:numCache>
            </c:numRef>
          </c:yVal>
          <c:smooth val="0"/>
          <c:extLst>
            <c:ext xmlns:c16="http://schemas.microsoft.com/office/drawing/2014/chart" uri="{C3380CC4-5D6E-409C-BE32-E72D297353CC}">
              <c16:uniqueId val="{00000002-8B08-4C16-9CEA-C214FCC9926B}"/>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Precipitation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301861863580613"/>
          <c:y val="0.1566342980154827"/>
          <c:w val="0.54960252622417904"/>
          <c:h val="0.65904922055244786"/>
        </c:manualLayout>
      </c:layout>
      <c:scatterChart>
        <c:scatterStyle val="smoothMarker"/>
        <c:varyColors val="0"/>
        <c:ser>
          <c:idx val="1"/>
          <c:order val="1"/>
          <c:tx>
            <c:v>Equality Line</c:v>
          </c:tx>
          <c:spPr>
            <a:ln w="19050" cap="rnd">
              <a:solidFill>
                <a:schemeClr val="accent2"/>
              </a:solidFill>
              <a:round/>
            </a:ln>
            <a:effectLst/>
          </c:spPr>
          <c:marker>
            <c:symbol val="none"/>
          </c:marker>
          <c:xVal>
            <c:numRef>
              <c:f>Gini_2016!$H$115:$H$126</c:f>
              <c:numCache>
                <c:formatCode>0.00</c:formatCode>
                <c:ptCount val="12"/>
                <c:pt idx="0">
                  <c:v>0</c:v>
                </c:pt>
                <c:pt idx="1">
                  <c:v>8.6508040877704764E-3</c:v>
                </c:pt>
                <c:pt idx="2">
                  <c:v>2.233691110888162E-2</c:v>
                </c:pt>
                <c:pt idx="3">
                  <c:v>4.5534073596056365E-2</c:v>
                </c:pt>
                <c:pt idx="4">
                  <c:v>5.3837159897602418E-2</c:v>
                </c:pt>
                <c:pt idx="5">
                  <c:v>0.11688690634392547</c:v>
                </c:pt>
                <c:pt idx="6">
                  <c:v>0.17846731707242672</c:v>
                </c:pt>
                <c:pt idx="7">
                  <c:v>0.25736713399590871</c:v>
                </c:pt>
                <c:pt idx="8">
                  <c:v>0.38405950424456814</c:v>
                </c:pt>
                <c:pt idx="9">
                  <c:v>0.65743534284662219</c:v>
                </c:pt>
                <c:pt idx="10">
                  <c:v>0.98464491670321019</c:v>
                </c:pt>
                <c:pt idx="11">
                  <c:v>1.0000000000000002</c:v>
                </c:pt>
              </c:numCache>
            </c:numRef>
          </c:xVal>
          <c:yVal>
            <c:numRef>
              <c:f>Gini_2016!$H$115:$H$126</c:f>
              <c:numCache>
                <c:formatCode>0.00</c:formatCode>
                <c:ptCount val="12"/>
                <c:pt idx="0">
                  <c:v>0</c:v>
                </c:pt>
                <c:pt idx="1">
                  <c:v>8.6508040877704764E-3</c:v>
                </c:pt>
                <c:pt idx="2">
                  <c:v>2.233691110888162E-2</c:v>
                </c:pt>
                <c:pt idx="3">
                  <c:v>4.5534073596056365E-2</c:v>
                </c:pt>
                <c:pt idx="4">
                  <c:v>5.3837159897602418E-2</c:v>
                </c:pt>
                <c:pt idx="5">
                  <c:v>0.11688690634392547</c:v>
                </c:pt>
                <c:pt idx="6">
                  <c:v>0.17846731707242672</c:v>
                </c:pt>
                <c:pt idx="7">
                  <c:v>0.25736713399590871</c:v>
                </c:pt>
                <c:pt idx="8">
                  <c:v>0.38405950424456814</c:v>
                </c:pt>
                <c:pt idx="9">
                  <c:v>0.65743534284662219</c:v>
                </c:pt>
                <c:pt idx="10">
                  <c:v>0.98464491670321019</c:v>
                </c:pt>
                <c:pt idx="11">
                  <c:v>1.0000000000000002</c:v>
                </c:pt>
              </c:numCache>
            </c:numRef>
          </c:yVal>
          <c:smooth val="1"/>
          <c:extLst>
            <c:ext xmlns:c16="http://schemas.microsoft.com/office/drawing/2014/chart" uri="{C3380CC4-5D6E-409C-BE32-E72D297353CC}">
              <c16:uniqueId val="{00000000-2792-49E6-A508-641564F5329F}"/>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2792-49E6-A508-641564F5329F}"/>
              </c:ext>
            </c:extLst>
          </c:dPt>
          <c:xVal>
            <c:numRef>
              <c:f>Gini_2016!$H$115:$H$126</c:f>
              <c:numCache>
                <c:formatCode>0.00</c:formatCode>
                <c:ptCount val="12"/>
                <c:pt idx="0">
                  <c:v>0</c:v>
                </c:pt>
                <c:pt idx="1">
                  <c:v>8.6508040877704764E-3</c:v>
                </c:pt>
                <c:pt idx="2">
                  <c:v>2.233691110888162E-2</c:v>
                </c:pt>
                <c:pt idx="3">
                  <c:v>4.5534073596056365E-2</c:v>
                </c:pt>
                <c:pt idx="4">
                  <c:v>5.3837159897602418E-2</c:v>
                </c:pt>
                <c:pt idx="5">
                  <c:v>0.11688690634392547</c:v>
                </c:pt>
                <c:pt idx="6">
                  <c:v>0.17846731707242672</c:v>
                </c:pt>
                <c:pt idx="7">
                  <c:v>0.25736713399590871</c:v>
                </c:pt>
                <c:pt idx="8">
                  <c:v>0.38405950424456814</c:v>
                </c:pt>
                <c:pt idx="9">
                  <c:v>0.65743534284662219</c:v>
                </c:pt>
                <c:pt idx="10">
                  <c:v>0.98464491670321019</c:v>
                </c:pt>
                <c:pt idx="11">
                  <c:v>1.0000000000000002</c:v>
                </c:pt>
              </c:numCache>
            </c:numRef>
          </c:xVal>
          <c:yVal>
            <c:numRef>
              <c:f>Gini_2016!$G$115:$G$126</c:f>
              <c:numCache>
                <c:formatCode>0.00</c:formatCode>
                <c:ptCount val="12"/>
                <c:pt idx="0">
                  <c:v>0</c:v>
                </c:pt>
                <c:pt idx="1">
                  <c:v>5.3657375780652326E-3</c:v>
                </c:pt>
                <c:pt idx="2">
                  <c:v>1.1041902665028754E-2</c:v>
                </c:pt>
                <c:pt idx="3">
                  <c:v>1.9982340750526361E-2</c:v>
                </c:pt>
                <c:pt idx="4">
                  <c:v>3.2265147121524042E-2</c:v>
                </c:pt>
                <c:pt idx="5">
                  <c:v>5.8426557035122187E-2</c:v>
                </c:pt>
                <c:pt idx="6">
                  <c:v>8.7385491466809379E-2</c:v>
                </c:pt>
                <c:pt idx="7">
                  <c:v>0.14191745168999531</c:v>
                </c:pt>
                <c:pt idx="8">
                  <c:v>0.27288850872289716</c:v>
                </c:pt>
                <c:pt idx="9">
                  <c:v>0.43697858025179592</c:v>
                </c:pt>
                <c:pt idx="10">
                  <c:v>0.64716397626293776</c:v>
                </c:pt>
                <c:pt idx="11">
                  <c:v>1</c:v>
                </c:pt>
              </c:numCache>
            </c:numRef>
          </c:yVal>
          <c:smooth val="0"/>
          <c:extLst>
            <c:ext xmlns:c16="http://schemas.microsoft.com/office/drawing/2014/chart" uri="{C3380CC4-5D6E-409C-BE32-E72D297353CC}">
              <c16:uniqueId val="{00000002-2792-49E6-A508-641564F5329F}"/>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ETa</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Gini_2016!$H$136:$H$147</c:f>
              <c:numCache>
                <c:formatCode>0.00</c:formatCode>
                <c:ptCount val="12"/>
                <c:pt idx="0">
                  <c:v>0</c:v>
                </c:pt>
                <c:pt idx="1">
                  <c:v>8.3030863015460567E-3</c:v>
                </c:pt>
                <c:pt idx="2">
                  <c:v>6.9883497030047301E-2</c:v>
                </c:pt>
                <c:pt idx="3">
                  <c:v>0.39709307088663531</c:v>
                </c:pt>
                <c:pt idx="4">
                  <c:v>0.41244815418342529</c:v>
                </c:pt>
                <c:pt idx="5">
                  <c:v>0.53914052443208471</c:v>
                </c:pt>
                <c:pt idx="6">
                  <c:v>0.54779132851985524</c:v>
                </c:pt>
                <c:pt idx="7">
                  <c:v>0.57098849100702997</c:v>
                </c:pt>
                <c:pt idx="8">
                  <c:v>0.58467459802814115</c:v>
                </c:pt>
                <c:pt idx="9">
                  <c:v>0.64772434447446425</c:v>
                </c:pt>
                <c:pt idx="10">
                  <c:v>0.72662416139794628</c:v>
                </c:pt>
                <c:pt idx="11">
                  <c:v>1.0000000000000002</c:v>
                </c:pt>
              </c:numCache>
            </c:numRef>
          </c:xVal>
          <c:yVal>
            <c:numRef>
              <c:f>Gini_2016!$H$136:$H$147</c:f>
              <c:numCache>
                <c:formatCode>0.00</c:formatCode>
                <c:ptCount val="12"/>
                <c:pt idx="0">
                  <c:v>0</c:v>
                </c:pt>
                <c:pt idx="1">
                  <c:v>8.3030863015460567E-3</c:v>
                </c:pt>
                <c:pt idx="2">
                  <c:v>6.9883497030047301E-2</c:v>
                </c:pt>
                <c:pt idx="3">
                  <c:v>0.39709307088663531</c:v>
                </c:pt>
                <c:pt idx="4">
                  <c:v>0.41244815418342529</c:v>
                </c:pt>
                <c:pt idx="5">
                  <c:v>0.53914052443208471</c:v>
                </c:pt>
                <c:pt idx="6">
                  <c:v>0.54779132851985524</c:v>
                </c:pt>
                <c:pt idx="7">
                  <c:v>0.57098849100702997</c:v>
                </c:pt>
                <c:pt idx="8">
                  <c:v>0.58467459802814115</c:v>
                </c:pt>
                <c:pt idx="9">
                  <c:v>0.64772434447446425</c:v>
                </c:pt>
                <c:pt idx="10">
                  <c:v>0.72662416139794628</c:v>
                </c:pt>
                <c:pt idx="11">
                  <c:v>1.0000000000000002</c:v>
                </c:pt>
              </c:numCache>
            </c:numRef>
          </c:yVal>
          <c:smooth val="1"/>
          <c:extLst>
            <c:ext xmlns:c16="http://schemas.microsoft.com/office/drawing/2014/chart" uri="{C3380CC4-5D6E-409C-BE32-E72D297353CC}">
              <c16:uniqueId val="{00000000-CA3D-4D75-87CD-CBA898C5CDB9}"/>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CA3D-4D75-87CD-CBA898C5CDB9}"/>
              </c:ext>
            </c:extLst>
          </c:dPt>
          <c:xVal>
            <c:numRef>
              <c:f>Gini_2016!$H$136:$H$147</c:f>
              <c:numCache>
                <c:formatCode>0.00</c:formatCode>
                <c:ptCount val="12"/>
                <c:pt idx="0">
                  <c:v>0</c:v>
                </c:pt>
                <c:pt idx="1">
                  <c:v>8.3030863015460567E-3</c:v>
                </c:pt>
                <c:pt idx="2">
                  <c:v>6.9883497030047301E-2</c:v>
                </c:pt>
                <c:pt idx="3">
                  <c:v>0.39709307088663531</c:v>
                </c:pt>
                <c:pt idx="4">
                  <c:v>0.41244815418342529</c:v>
                </c:pt>
                <c:pt idx="5">
                  <c:v>0.53914052443208471</c:v>
                </c:pt>
                <c:pt idx="6">
                  <c:v>0.54779132851985524</c:v>
                </c:pt>
                <c:pt idx="7">
                  <c:v>0.57098849100702997</c:v>
                </c:pt>
                <c:pt idx="8">
                  <c:v>0.58467459802814115</c:v>
                </c:pt>
                <c:pt idx="9">
                  <c:v>0.64772434447446425</c:v>
                </c:pt>
                <c:pt idx="10">
                  <c:v>0.72662416139794628</c:v>
                </c:pt>
                <c:pt idx="11">
                  <c:v>1.0000000000000002</c:v>
                </c:pt>
              </c:numCache>
            </c:numRef>
          </c:xVal>
          <c:yVal>
            <c:numRef>
              <c:f>Gini_2016!$G$136:$G$147</c:f>
              <c:numCache>
                <c:formatCode>0.00</c:formatCode>
                <c:ptCount val="12"/>
                <c:pt idx="0">
                  <c:v>0</c:v>
                </c:pt>
                <c:pt idx="1">
                  <c:v>0</c:v>
                </c:pt>
                <c:pt idx="2">
                  <c:v>0</c:v>
                </c:pt>
                <c:pt idx="3">
                  <c:v>0</c:v>
                </c:pt>
                <c:pt idx="4">
                  <c:v>0</c:v>
                </c:pt>
                <c:pt idx="5">
                  <c:v>0</c:v>
                </c:pt>
                <c:pt idx="6">
                  <c:v>1.2534928538947977E-2</c:v>
                </c:pt>
                <c:pt idx="7">
                  <c:v>3.6799179238237847E-2</c:v>
                </c:pt>
                <c:pt idx="8">
                  <c:v>6.3807615248225355E-2</c:v>
                </c:pt>
                <c:pt idx="9">
                  <c:v>0.13368953959285057</c:v>
                </c:pt>
                <c:pt idx="10">
                  <c:v>0.27851498290066962</c:v>
                </c:pt>
                <c:pt idx="11">
                  <c:v>1</c:v>
                </c:pt>
              </c:numCache>
            </c:numRef>
          </c:yVal>
          <c:smooth val="0"/>
          <c:extLst>
            <c:ext xmlns:c16="http://schemas.microsoft.com/office/drawing/2014/chart" uri="{C3380CC4-5D6E-409C-BE32-E72D297353CC}">
              <c16:uniqueId val="{00000002-CA3D-4D75-87CD-CBA898C5CDB9}"/>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Available Water</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Gini_2016!$H$157:$H$168</c:f>
              <c:numCache>
                <c:formatCode>0.00</c:formatCode>
                <c:ptCount val="12"/>
                <c:pt idx="0">
                  <c:v>0</c:v>
                </c:pt>
                <c:pt idx="1">
                  <c:v>8.3030863015460567E-3</c:v>
                </c:pt>
                <c:pt idx="2">
                  <c:v>1.6953890389316533E-2</c:v>
                </c:pt>
                <c:pt idx="3">
                  <c:v>3.0639997410427677E-2</c:v>
                </c:pt>
                <c:pt idx="4">
                  <c:v>5.3837159897602418E-2</c:v>
                </c:pt>
                <c:pt idx="5">
                  <c:v>0.11688690634392547</c:v>
                </c:pt>
                <c:pt idx="6">
                  <c:v>0.19578672326740743</c:v>
                </c:pt>
                <c:pt idx="7">
                  <c:v>0.32247909351606685</c:v>
                </c:pt>
                <c:pt idx="8">
                  <c:v>0.33783417681285682</c:v>
                </c:pt>
                <c:pt idx="9">
                  <c:v>0.66504375066944488</c:v>
                </c:pt>
                <c:pt idx="10">
                  <c:v>0.72662416139794617</c:v>
                </c:pt>
                <c:pt idx="11">
                  <c:v>1.0000000000000002</c:v>
                </c:pt>
              </c:numCache>
            </c:numRef>
          </c:xVal>
          <c:yVal>
            <c:numRef>
              <c:f>Gini_2016!$H$157:$H$168</c:f>
              <c:numCache>
                <c:formatCode>0.00</c:formatCode>
                <c:ptCount val="12"/>
                <c:pt idx="0">
                  <c:v>0</c:v>
                </c:pt>
                <c:pt idx="1">
                  <c:v>8.3030863015460567E-3</c:v>
                </c:pt>
                <c:pt idx="2">
                  <c:v>1.6953890389316533E-2</c:v>
                </c:pt>
                <c:pt idx="3">
                  <c:v>3.0639997410427677E-2</c:v>
                </c:pt>
                <c:pt idx="4">
                  <c:v>5.3837159897602418E-2</c:v>
                </c:pt>
                <c:pt idx="5">
                  <c:v>0.11688690634392547</c:v>
                </c:pt>
                <c:pt idx="6">
                  <c:v>0.19578672326740743</c:v>
                </c:pt>
                <c:pt idx="7">
                  <c:v>0.32247909351606685</c:v>
                </c:pt>
                <c:pt idx="8">
                  <c:v>0.33783417681285682</c:v>
                </c:pt>
                <c:pt idx="9">
                  <c:v>0.66504375066944488</c:v>
                </c:pt>
                <c:pt idx="10">
                  <c:v>0.72662416139794617</c:v>
                </c:pt>
                <c:pt idx="11">
                  <c:v>1.0000000000000002</c:v>
                </c:pt>
              </c:numCache>
            </c:numRef>
          </c:yVal>
          <c:smooth val="1"/>
          <c:extLst>
            <c:ext xmlns:c16="http://schemas.microsoft.com/office/drawing/2014/chart" uri="{C3380CC4-5D6E-409C-BE32-E72D297353CC}">
              <c16:uniqueId val="{00000000-A1B9-4317-AD97-4F2C777042CE}"/>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A1B9-4317-AD97-4F2C777042CE}"/>
              </c:ext>
            </c:extLst>
          </c:dPt>
          <c:xVal>
            <c:numRef>
              <c:f>Gini_2016!$H$157:$H$168</c:f>
              <c:numCache>
                <c:formatCode>0.00</c:formatCode>
                <c:ptCount val="12"/>
                <c:pt idx="0">
                  <c:v>0</c:v>
                </c:pt>
                <c:pt idx="1">
                  <c:v>8.3030863015460567E-3</c:v>
                </c:pt>
                <c:pt idx="2">
                  <c:v>1.6953890389316533E-2</c:v>
                </c:pt>
                <c:pt idx="3">
                  <c:v>3.0639997410427677E-2</c:v>
                </c:pt>
                <c:pt idx="4">
                  <c:v>5.3837159897602418E-2</c:v>
                </c:pt>
                <c:pt idx="5">
                  <c:v>0.11688690634392547</c:v>
                </c:pt>
                <c:pt idx="6">
                  <c:v>0.19578672326740743</c:v>
                </c:pt>
                <c:pt idx="7">
                  <c:v>0.32247909351606685</c:v>
                </c:pt>
                <c:pt idx="8">
                  <c:v>0.33783417681285682</c:v>
                </c:pt>
                <c:pt idx="9">
                  <c:v>0.66504375066944488</c:v>
                </c:pt>
                <c:pt idx="10">
                  <c:v>0.72662416139794617</c:v>
                </c:pt>
                <c:pt idx="11">
                  <c:v>1.0000000000000002</c:v>
                </c:pt>
              </c:numCache>
            </c:numRef>
          </c:xVal>
          <c:yVal>
            <c:numRef>
              <c:f>Gini_2016!$G$157:$G$168</c:f>
              <c:numCache>
                <c:formatCode>0.00</c:formatCode>
                <c:ptCount val="12"/>
                <c:pt idx="0">
                  <c:v>0</c:v>
                </c:pt>
                <c:pt idx="1">
                  <c:v>0</c:v>
                </c:pt>
                <c:pt idx="2">
                  <c:v>6.2417053793151073E-3</c:v>
                </c:pt>
                <c:pt idx="3">
                  <c:v>1.9690421884289714E-2</c:v>
                </c:pt>
                <c:pt idx="4">
                  <c:v>4.5527615608622118E-2</c:v>
                </c:pt>
                <c:pt idx="5">
                  <c:v>8.0324972589433941E-2</c:v>
                </c:pt>
                <c:pt idx="6">
                  <c:v>0.15244008244007023</c:v>
                </c:pt>
                <c:pt idx="7">
                  <c:v>0.22881614478253665</c:v>
                </c:pt>
                <c:pt idx="8">
                  <c:v>0.3138795317516343</c:v>
                </c:pt>
                <c:pt idx="9">
                  <c:v>0.43622602024335771</c:v>
                </c:pt>
                <c:pt idx="10">
                  <c:v>0.64074012082863507</c:v>
                </c:pt>
                <c:pt idx="11">
                  <c:v>1</c:v>
                </c:pt>
              </c:numCache>
            </c:numRef>
          </c:yVal>
          <c:smooth val="0"/>
          <c:extLst>
            <c:ext xmlns:c16="http://schemas.microsoft.com/office/drawing/2014/chart" uri="{C3380CC4-5D6E-409C-BE32-E72D297353CC}">
              <c16:uniqueId val="{00000002-A1B9-4317-AD97-4F2C777042CE}"/>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 total</a:t>
                </a:r>
                <a:r>
                  <a:rPr lang="en-US" baseline="0"/>
                  <a:t> available water</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0-B1CC-4739-8FD8-159ED8B7A215}"/>
              </c:ext>
            </c:extLst>
          </c:dPt>
          <c:xVal>
            <c:numRef>
              <c:f>Gini_2016!$H$6:$H$17</c:f>
              <c:numCache>
                <c:formatCode>0.00</c:formatCode>
                <c:ptCount val="12"/>
                <c:pt idx="0">
                  <c:v>0</c:v>
                </c:pt>
                <c:pt idx="1">
                  <c:v>0.32009922079686637</c:v>
                </c:pt>
                <c:pt idx="2">
                  <c:v>0.32512222911640537</c:v>
                </c:pt>
                <c:pt idx="3">
                  <c:v>0.34758937626986258</c:v>
                </c:pt>
                <c:pt idx="4">
                  <c:v>0.39008267176198369</c:v>
                </c:pt>
                <c:pt idx="5">
                  <c:v>0.40415661637906769</c:v>
                </c:pt>
                <c:pt idx="6">
                  <c:v>0.47844213771284266</c:v>
                </c:pt>
                <c:pt idx="7">
                  <c:v>0.52236531027354838</c:v>
                </c:pt>
                <c:pt idx="8">
                  <c:v>0.67383618188195338</c:v>
                </c:pt>
                <c:pt idx="9">
                  <c:v>0.81223146333337448</c:v>
                </c:pt>
                <c:pt idx="10">
                  <c:v>0.95716818298002382</c:v>
                </c:pt>
                <c:pt idx="11">
                  <c:v>0.99999999999999989</c:v>
                </c:pt>
              </c:numCache>
            </c:numRef>
          </c:xVal>
          <c:yVal>
            <c:numRef>
              <c:f>Gini_2016!$G$6:$G$17</c:f>
              <c:numCache>
                <c:formatCode>0.00</c:formatCode>
                <c:ptCount val="12"/>
                <c:pt idx="0">
                  <c:v>0</c:v>
                </c:pt>
                <c:pt idx="1">
                  <c:v>3.1349739129321592E-3</c:v>
                </c:pt>
                <c:pt idx="2">
                  <c:v>9.8318337416622992E-3</c:v>
                </c:pt>
                <c:pt idx="3">
                  <c:v>1.7895180768675793E-2</c:v>
                </c:pt>
                <c:pt idx="4">
                  <c:v>2.9284369859248531E-2</c:v>
                </c:pt>
                <c:pt idx="5">
                  <c:v>4.2067458990586205E-2</c:v>
                </c:pt>
                <c:pt idx="6">
                  <c:v>7.445965352965464E-2</c:v>
                </c:pt>
                <c:pt idx="7">
                  <c:v>0.13600922188005207</c:v>
                </c:pt>
                <c:pt idx="8">
                  <c:v>0.27310899331631933</c:v>
                </c:pt>
                <c:pt idx="9">
                  <c:v>0.4601123760377257</c:v>
                </c:pt>
                <c:pt idx="10">
                  <c:v>0.68902644485704645</c:v>
                </c:pt>
                <c:pt idx="11">
                  <c:v>1</c:v>
                </c:pt>
              </c:numCache>
            </c:numRef>
          </c:yVal>
          <c:smooth val="1"/>
          <c:extLst>
            <c:ext xmlns:c16="http://schemas.microsoft.com/office/drawing/2014/chart" uri="{C3380CC4-5D6E-409C-BE32-E72D297353CC}">
              <c16:uniqueId val="{00000001-B1CC-4739-8FD8-159ED8B7A215}"/>
            </c:ext>
          </c:extLst>
        </c:ser>
        <c:ser>
          <c:idx val="1"/>
          <c:order val="1"/>
          <c:tx>
            <c:v>Equality Line</c:v>
          </c:tx>
          <c:spPr>
            <a:ln w="19050" cap="rnd">
              <a:solidFill>
                <a:schemeClr val="accent2"/>
              </a:solidFill>
              <a:round/>
            </a:ln>
            <a:effectLst/>
          </c:spPr>
          <c:marker>
            <c:symbol val="none"/>
          </c:marker>
          <c:xVal>
            <c:numRef>
              <c:f>Gini_2016!$H$6:$H$17</c:f>
              <c:numCache>
                <c:formatCode>0.00</c:formatCode>
                <c:ptCount val="12"/>
                <c:pt idx="0">
                  <c:v>0</c:v>
                </c:pt>
                <c:pt idx="1">
                  <c:v>0.32009922079686637</c:v>
                </c:pt>
                <c:pt idx="2">
                  <c:v>0.32512222911640537</c:v>
                </c:pt>
                <c:pt idx="3">
                  <c:v>0.34758937626986258</c:v>
                </c:pt>
                <c:pt idx="4">
                  <c:v>0.39008267176198369</c:v>
                </c:pt>
                <c:pt idx="5">
                  <c:v>0.40415661637906769</c:v>
                </c:pt>
                <c:pt idx="6">
                  <c:v>0.47844213771284266</c:v>
                </c:pt>
                <c:pt idx="7">
                  <c:v>0.52236531027354838</c:v>
                </c:pt>
                <c:pt idx="8">
                  <c:v>0.67383618188195338</c:v>
                </c:pt>
                <c:pt idx="9">
                  <c:v>0.81223146333337448</c:v>
                </c:pt>
                <c:pt idx="10">
                  <c:v>0.95716818298002382</c:v>
                </c:pt>
                <c:pt idx="11">
                  <c:v>0.99999999999999989</c:v>
                </c:pt>
              </c:numCache>
            </c:numRef>
          </c:xVal>
          <c:yVal>
            <c:numRef>
              <c:f>Gini_2016!$H$6:$H$17</c:f>
              <c:numCache>
                <c:formatCode>0.00</c:formatCode>
                <c:ptCount val="12"/>
                <c:pt idx="0">
                  <c:v>0</c:v>
                </c:pt>
                <c:pt idx="1">
                  <c:v>0.32009922079686637</c:v>
                </c:pt>
                <c:pt idx="2">
                  <c:v>0.32512222911640537</c:v>
                </c:pt>
                <c:pt idx="3">
                  <c:v>0.34758937626986258</c:v>
                </c:pt>
                <c:pt idx="4">
                  <c:v>0.39008267176198369</c:v>
                </c:pt>
                <c:pt idx="5">
                  <c:v>0.40415661637906769</c:v>
                </c:pt>
                <c:pt idx="6">
                  <c:v>0.47844213771284266</c:v>
                </c:pt>
                <c:pt idx="7">
                  <c:v>0.52236531027354838</c:v>
                </c:pt>
                <c:pt idx="8">
                  <c:v>0.67383618188195338</c:v>
                </c:pt>
                <c:pt idx="9">
                  <c:v>0.81223146333337448</c:v>
                </c:pt>
                <c:pt idx="10">
                  <c:v>0.95716818298002382</c:v>
                </c:pt>
                <c:pt idx="11">
                  <c:v>0.99999999999999989</c:v>
                </c:pt>
              </c:numCache>
            </c:numRef>
          </c:yVal>
          <c:smooth val="1"/>
          <c:extLst>
            <c:ext xmlns:c16="http://schemas.microsoft.com/office/drawing/2014/chart" uri="{C3380CC4-5D6E-409C-BE32-E72D297353CC}">
              <c16:uniqueId val="{00000002-B1CC-4739-8FD8-159ED8B7A215}"/>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Population</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Precipitation</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0-9EFB-4278-8CD3-2FA58B278049}"/>
              </c:ext>
            </c:extLst>
          </c:dPt>
          <c:xVal>
            <c:numRef>
              <c:f>Gini_2016!$H$27:$H$38</c:f>
              <c:numCache>
                <c:formatCode>0.00</c:formatCode>
                <c:ptCount val="12"/>
                <c:pt idx="0">
                  <c:v>0</c:v>
                </c:pt>
                <c:pt idx="1">
                  <c:v>5.0230083195390062E-3</c:v>
                </c:pt>
                <c:pt idx="2">
                  <c:v>2.7490155472996207E-2</c:v>
                </c:pt>
                <c:pt idx="3">
                  <c:v>6.9983450965117308E-2</c:v>
                </c:pt>
                <c:pt idx="4">
                  <c:v>8.4057395582201294E-2</c:v>
                </c:pt>
                <c:pt idx="5">
                  <c:v>0.1583429169159763</c:v>
                </c:pt>
                <c:pt idx="6">
                  <c:v>0.47844213771284266</c:v>
                </c:pt>
                <c:pt idx="7">
                  <c:v>0.52236531027354838</c:v>
                </c:pt>
                <c:pt idx="8">
                  <c:v>0.67383618188195338</c:v>
                </c:pt>
                <c:pt idx="9">
                  <c:v>0.81877290152860271</c:v>
                </c:pt>
                <c:pt idx="10">
                  <c:v>0.95716818298002393</c:v>
                </c:pt>
                <c:pt idx="11">
                  <c:v>1</c:v>
                </c:pt>
              </c:numCache>
            </c:numRef>
          </c:xVal>
          <c:yVal>
            <c:numRef>
              <c:f>Gini_2016!$G$27:$G$38</c:f>
              <c:numCache>
                <c:formatCode>0.00</c:formatCode>
                <c:ptCount val="12"/>
                <c:pt idx="0">
                  <c:v>0</c:v>
                </c:pt>
                <c:pt idx="1">
                  <c:v>5.3657375780652326E-3</c:v>
                </c:pt>
                <c:pt idx="2">
                  <c:v>1.1041902665028754E-2</c:v>
                </c:pt>
                <c:pt idx="3">
                  <c:v>1.9982340750526361E-2</c:v>
                </c:pt>
                <c:pt idx="4">
                  <c:v>3.2265147121524042E-2</c:v>
                </c:pt>
                <c:pt idx="5">
                  <c:v>5.8426557035122187E-2</c:v>
                </c:pt>
                <c:pt idx="6">
                  <c:v>8.7385491466809379E-2</c:v>
                </c:pt>
                <c:pt idx="7">
                  <c:v>0.14191745168999531</c:v>
                </c:pt>
                <c:pt idx="8">
                  <c:v>0.27288850872289716</c:v>
                </c:pt>
                <c:pt idx="9">
                  <c:v>0.43697858025179592</c:v>
                </c:pt>
                <c:pt idx="10">
                  <c:v>0.64716397626293776</c:v>
                </c:pt>
                <c:pt idx="11">
                  <c:v>1</c:v>
                </c:pt>
              </c:numCache>
            </c:numRef>
          </c:yVal>
          <c:smooth val="1"/>
          <c:extLst>
            <c:ext xmlns:c16="http://schemas.microsoft.com/office/drawing/2014/chart" uri="{C3380CC4-5D6E-409C-BE32-E72D297353CC}">
              <c16:uniqueId val="{00000001-9EFB-4278-8CD3-2FA58B278049}"/>
            </c:ext>
          </c:extLst>
        </c:ser>
        <c:ser>
          <c:idx val="2"/>
          <c:order val="1"/>
          <c:tx>
            <c:v>Equality Line</c:v>
          </c:tx>
          <c:spPr>
            <a:ln w="19050" cap="rnd">
              <a:solidFill>
                <a:schemeClr val="accent2"/>
              </a:solidFill>
              <a:round/>
            </a:ln>
            <a:effectLst/>
          </c:spPr>
          <c:marker>
            <c:symbol val="none"/>
          </c:marker>
          <c:xVal>
            <c:numRef>
              <c:f>Gini_2016!$H$27:$H$38</c:f>
              <c:numCache>
                <c:formatCode>0.00</c:formatCode>
                <c:ptCount val="12"/>
                <c:pt idx="0">
                  <c:v>0</c:v>
                </c:pt>
                <c:pt idx="1">
                  <c:v>5.0230083195390062E-3</c:v>
                </c:pt>
                <c:pt idx="2">
                  <c:v>2.7490155472996207E-2</c:v>
                </c:pt>
                <c:pt idx="3">
                  <c:v>6.9983450965117308E-2</c:v>
                </c:pt>
                <c:pt idx="4">
                  <c:v>8.4057395582201294E-2</c:v>
                </c:pt>
                <c:pt idx="5">
                  <c:v>0.1583429169159763</c:v>
                </c:pt>
                <c:pt idx="6">
                  <c:v>0.47844213771284266</c:v>
                </c:pt>
                <c:pt idx="7">
                  <c:v>0.52236531027354838</c:v>
                </c:pt>
                <c:pt idx="8">
                  <c:v>0.67383618188195338</c:v>
                </c:pt>
                <c:pt idx="9">
                  <c:v>0.81877290152860271</c:v>
                </c:pt>
                <c:pt idx="10">
                  <c:v>0.95716818298002393</c:v>
                </c:pt>
                <c:pt idx="11">
                  <c:v>1</c:v>
                </c:pt>
              </c:numCache>
            </c:numRef>
          </c:xVal>
          <c:yVal>
            <c:numRef>
              <c:f>Gini_2016!$H$27:$H$38</c:f>
              <c:numCache>
                <c:formatCode>0.00</c:formatCode>
                <c:ptCount val="12"/>
                <c:pt idx="0">
                  <c:v>0</c:v>
                </c:pt>
                <c:pt idx="1">
                  <c:v>5.0230083195390062E-3</c:v>
                </c:pt>
                <c:pt idx="2">
                  <c:v>2.7490155472996207E-2</c:v>
                </c:pt>
                <c:pt idx="3">
                  <c:v>6.9983450965117308E-2</c:v>
                </c:pt>
                <c:pt idx="4">
                  <c:v>8.4057395582201294E-2</c:v>
                </c:pt>
                <c:pt idx="5">
                  <c:v>0.1583429169159763</c:v>
                </c:pt>
                <c:pt idx="6">
                  <c:v>0.47844213771284266</c:v>
                </c:pt>
                <c:pt idx="7">
                  <c:v>0.52236531027354838</c:v>
                </c:pt>
                <c:pt idx="8">
                  <c:v>0.67383618188195338</c:v>
                </c:pt>
                <c:pt idx="9">
                  <c:v>0.81877290152860271</c:v>
                </c:pt>
                <c:pt idx="10">
                  <c:v>0.95716818298002393</c:v>
                </c:pt>
                <c:pt idx="11">
                  <c:v>1</c:v>
                </c:pt>
              </c:numCache>
            </c:numRef>
          </c:yVal>
          <c:smooth val="1"/>
          <c:extLst>
            <c:ext xmlns:c16="http://schemas.microsoft.com/office/drawing/2014/chart" uri="{C3380CC4-5D6E-409C-BE32-E72D297353CC}">
              <c16:uniqueId val="{00000002-9EFB-4278-8CD3-2FA58B278049}"/>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Population</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ETa</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Gini_2016!$H$49:$H$60</c:f>
              <c:numCache>
                <c:formatCode>0.00</c:formatCode>
                <c:ptCount val="12"/>
                <c:pt idx="0">
                  <c:v>0</c:v>
                </c:pt>
                <c:pt idx="1">
                  <c:v>1.4073944617083984E-2</c:v>
                </c:pt>
                <c:pt idx="2">
                  <c:v>0.33417316541395037</c:v>
                </c:pt>
                <c:pt idx="3">
                  <c:v>0.47256844686537158</c:v>
                </c:pt>
                <c:pt idx="4">
                  <c:v>0.51540026388534765</c:v>
                </c:pt>
                <c:pt idx="5">
                  <c:v>0.66687113549375265</c:v>
                </c:pt>
                <c:pt idx="6">
                  <c:v>0.67189414381329171</c:v>
                </c:pt>
                <c:pt idx="7">
                  <c:v>0.71438743930541282</c:v>
                </c:pt>
                <c:pt idx="8">
                  <c:v>0.73685458645887003</c:v>
                </c:pt>
                <c:pt idx="9">
                  <c:v>0.811140107792645</c:v>
                </c:pt>
                <c:pt idx="10">
                  <c:v>0.85506328035335077</c:v>
                </c:pt>
                <c:pt idx="11">
                  <c:v>1</c:v>
                </c:pt>
              </c:numCache>
            </c:numRef>
          </c:xVal>
          <c:yVal>
            <c:numRef>
              <c:f>Gini_2016!$H$49:$H$60</c:f>
              <c:numCache>
                <c:formatCode>0.00</c:formatCode>
                <c:ptCount val="12"/>
                <c:pt idx="0">
                  <c:v>0</c:v>
                </c:pt>
                <c:pt idx="1">
                  <c:v>1.4073944617083984E-2</c:v>
                </c:pt>
                <c:pt idx="2">
                  <c:v>0.33417316541395037</c:v>
                </c:pt>
                <c:pt idx="3">
                  <c:v>0.47256844686537158</c:v>
                </c:pt>
                <c:pt idx="4">
                  <c:v>0.51540026388534765</c:v>
                </c:pt>
                <c:pt idx="5">
                  <c:v>0.66687113549375265</c:v>
                </c:pt>
                <c:pt idx="6">
                  <c:v>0.67189414381329171</c:v>
                </c:pt>
                <c:pt idx="7">
                  <c:v>0.71438743930541282</c:v>
                </c:pt>
                <c:pt idx="8">
                  <c:v>0.73685458645887003</c:v>
                </c:pt>
                <c:pt idx="9">
                  <c:v>0.811140107792645</c:v>
                </c:pt>
                <c:pt idx="10">
                  <c:v>0.85506328035335077</c:v>
                </c:pt>
                <c:pt idx="11">
                  <c:v>1</c:v>
                </c:pt>
              </c:numCache>
            </c:numRef>
          </c:yVal>
          <c:smooth val="1"/>
          <c:extLst>
            <c:ext xmlns:c16="http://schemas.microsoft.com/office/drawing/2014/chart" uri="{C3380CC4-5D6E-409C-BE32-E72D297353CC}">
              <c16:uniqueId val="{00000000-277F-462A-B5A8-8F1DD794332A}"/>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277F-462A-B5A8-8F1DD794332A}"/>
              </c:ext>
            </c:extLst>
          </c:dPt>
          <c:xVal>
            <c:numRef>
              <c:f>Gini_2016!$H$49:$H$60</c:f>
              <c:numCache>
                <c:formatCode>0.00</c:formatCode>
                <c:ptCount val="12"/>
                <c:pt idx="0">
                  <c:v>0</c:v>
                </c:pt>
                <c:pt idx="1">
                  <c:v>1.4073944617083984E-2</c:v>
                </c:pt>
                <c:pt idx="2">
                  <c:v>0.33417316541395037</c:v>
                </c:pt>
                <c:pt idx="3">
                  <c:v>0.47256844686537158</c:v>
                </c:pt>
                <c:pt idx="4">
                  <c:v>0.51540026388534765</c:v>
                </c:pt>
                <c:pt idx="5">
                  <c:v>0.66687113549375265</c:v>
                </c:pt>
                <c:pt idx="6">
                  <c:v>0.67189414381329171</c:v>
                </c:pt>
                <c:pt idx="7">
                  <c:v>0.71438743930541282</c:v>
                </c:pt>
                <c:pt idx="8">
                  <c:v>0.73685458645887003</c:v>
                </c:pt>
                <c:pt idx="9">
                  <c:v>0.811140107792645</c:v>
                </c:pt>
                <c:pt idx="10">
                  <c:v>0.85506328035335077</c:v>
                </c:pt>
                <c:pt idx="11">
                  <c:v>1</c:v>
                </c:pt>
              </c:numCache>
            </c:numRef>
          </c:xVal>
          <c:yVal>
            <c:numRef>
              <c:f>Gini_2016!$G$49:$G$60</c:f>
              <c:numCache>
                <c:formatCode>0.00</c:formatCode>
                <c:ptCount val="12"/>
                <c:pt idx="0">
                  <c:v>0</c:v>
                </c:pt>
                <c:pt idx="1">
                  <c:v>0</c:v>
                </c:pt>
                <c:pt idx="2">
                  <c:v>0</c:v>
                </c:pt>
                <c:pt idx="3">
                  <c:v>0</c:v>
                </c:pt>
                <c:pt idx="4">
                  <c:v>0</c:v>
                </c:pt>
                <c:pt idx="5">
                  <c:v>0</c:v>
                </c:pt>
                <c:pt idx="6">
                  <c:v>1.2534928538947977E-2</c:v>
                </c:pt>
                <c:pt idx="7">
                  <c:v>3.6799179238237847E-2</c:v>
                </c:pt>
                <c:pt idx="8">
                  <c:v>6.3807615248225355E-2</c:v>
                </c:pt>
                <c:pt idx="9">
                  <c:v>0.13368953959285057</c:v>
                </c:pt>
                <c:pt idx="10">
                  <c:v>0.27851498290066962</c:v>
                </c:pt>
                <c:pt idx="11">
                  <c:v>1</c:v>
                </c:pt>
              </c:numCache>
            </c:numRef>
          </c:yVal>
          <c:smooth val="0"/>
          <c:extLst>
            <c:ext xmlns:c16="http://schemas.microsoft.com/office/drawing/2014/chart" uri="{C3380CC4-5D6E-409C-BE32-E72D297353CC}">
              <c16:uniqueId val="{00000002-277F-462A-B5A8-8F1DD794332A}"/>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Population</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Available Water</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Gini_2016!$H$70:$H$81</c:f>
              <c:numCache>
                <c:formatCode>0.00</c:formatCode>
                <c:ptCount val="12"/>
                <c:pt idx="0">
                  <c:v>0</c:v>
                </c:pt>
                <c:pt idx="1">
                  <c:v>1.4073944617083984E-2</c:v>
                </c:pt>
                <c:pt idx="2">
                  <c:v>1.9096952936622991E-2</c:v>
                </c:pt>
                <c:pt idx="3">
                  <c:v>4.1564100090080193E-2</c:v>
                </c:pt>
                <c:pt idx="4">
                  <c:v>8.4057395582201294E-2</c:v>
                </c:pt>
                <c:pt idx="5">
                  <c:v>0.1583429169159763</c:v>
                </c:pt>
                <c:pt idx="6">
                  <c:v>0.20226608947668204</c:v>
                </c:pt>
                <c:pt idx="7">
                  <c:v>0.35373696108508701</c:v>
                </c:pt>
                <c:pt idx="8">
                  <c:v>0.39656877810506308</c:v>
                </c:pt>
                <c:pt idx="9">
                  <c:v>0.53496405955648429</c:v>
                </c:pt>
                <c:pt idx="10">
                  <c:v>0.85506328035335066</c:v>
                </c:pt>
                <c:pt idx="11">
                  <c:v>1</c:v>
                </c:pt>
              </c:numCache>
            </c:numRef>
          </c:xVal>
          <c:yVal>
            <c:numRef>
              <c:f>Gini_2016!$H$70:$H$81</c:f>
              <c:numCache>
                <c:formatCode>0.00</c:formatCode>
                <c:ptCount val="12"/>
                <c:pt idx="0">
                  <c:v>0</c:v>
                </c:pt>
                <c:pt idx="1">
                  <c:v>1.4073944617083984E-2</c:v>
                </c:pt>
                <c:pt idx="2">
                  <c:v>1.9096952936622991E-2</c:v>
                </c:pt>
                <c:pt idx="3">
                  <c:v>4.1564100090080193E-2</c:v>
                </c:pt>
                <c:pt idx="4">
                  <c:v>8.4057395582201294E-2</c:v>
                </c:pt>
                <c:pt idx="5">
                  <c:v>0.1583429169159763</c:v>
                </c:pt>
                <c:pt idx="6">
                  <c:v>0.20226608947668204</c:v>
                </c:pt>
                <c:pt idx="7">
                  <c:v>0.35373696108508701</c:v>
                </c:pt>
                <c:pt idx="8">
                  <c:v>0.39656877810506308</c:v>
                </c:pt>
                <c:pt idx="9">
                  <c:v>0.53496405955648429</c:v>
                </c:pt>
                <c:pt idx="10">
                  <c:v>0.85506328035335066</c:v>
                </c:pt>
                <c:pt idx="11">
                  <c:v>1</c:v>
                </c:pt>
              </c:numCache>
            </c:numRef>
          </c:yVal>
          <c:smooth val="1"/>
          <c:extLst>
            <c:ext xmlns:c16="http://schemas.microsoft.com/office/drawing/2014/chart" uri="{C3380CC4-5D6E-409C-BE32-E72D297353CC}">
              <c16:uniqueId val="{00000000-3364-4AB5-9D2A-4A8C3B372F54}"/>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3364-4AB5-9D2A-4A8C3B372F54}"/>
              </c:ext>
            </c:extLst>
          </c:dPt>
          <c:xVal>
            <c:numRef>
              <c:f>Gini_2016!$H$70:$H$81</c:f>
              <c:numCache>
                <c:formatCode>0.00</c:formatCode>
                <c:ptCount val="12"/>
                <c:pt idx="0">
                  <c:v>0</c:v>
                </c:pt>
                <c:pt idx="1">
                  <c:v>1.4073944617083984E-2</c:v>
                </c:pt>
                <c:pt idx="2">
                  <c:v>1.9096952936622991E-2</c:v>
                </c:pt>
                <c:pt idx="3">
                  <c:v>4.1564100090080193E-2</c:v>
                </c:pt>
                <c:pt idx="4">
                  <c:v>8.4057395582201294E-2</c:v>
                </c:pt>
                <c:pt idx="5">
                  <c:v>0.1583429169159763</c:v>
                </c:pt>
                <c:pt idx="6">
                  <c:v>0.20226608947668204</c:v>
                </c:pt>
                <c:pt idx="7">
                  <c:v>0.35373696108508701</c:v>
                </c:pt>
                <c:pt idx="8">
                  <c:v>0.39656877810506308</c:v>
                </c:pt>
                <c:pt idx="9">
                  <c:v>0.53496405955648429</c:v>
                </c:pt>
                <c:pt idx="10">
                  <c:v>0.85506328035335066</c:v>
                </c:pt>
                <c:pt idx="11">
                  <c:v>1</c:v>
                </c:pt>
              </c:numCache>
            </c:numRef>
          </c:xVal>
          <c:yVal>
            <c:numRef>
              <c:f>Gini_2016!$G$70:$G$81</c:f>
              <c:numCache>
                <c:formatCode>0.00</c:formatCode>
                <c:ptCount val="12"/>
                <c:pt idx="0">
                  <c:v>0</c:v>
                </c:pt>
                <c:pt idx="1">
                  <c:v>0</c:v>
                </c:pt>
                <c:pt idx="2">
                  <c:v>6.2417053793151073E-3</c:v>
                </c:pt>
                <c:pt idx="3">
                  <c:v>1.9690421884289714E-2</c:v>
                </c:pt>
                <c:pt idx="4">
                  <c:v>4.5527615608622118E-2</c:v>
                </c:pt>
                <c:pt idx="5">
                  <c:v>8.0324972589433941E-2</c:v>
                </c:pt>
                <c:pt idx="6">
                  <c:v>0.15244008244007023</c:v>
                </c:pt>
                <c:pt idx="7">
                  <c:v>0.22881614478253665</c:v>
                </c:pt>
                <c:pt idx="8">
                  <c:v>0.3138795317516343</c:v>
                </c:pt>
                <c:pt idx="9">
                  <c:v>0.43622602024335771</c:v>
                </c:pt>
                <c:pt idx="10">
                  <c:v>0.64074012082863507</c:v>
                </c:pt>
                <c:pt idx="11">
                  <c:v>1</c:v>
                </c:pt>
              </c:numCache>
            </c:numRef>
          </c:yVal>
          <c:smooth val="0"/>
          <c:extLst>
            <c:ext xmlns:c16="http://schemas.microsoft.com/office/drawing/2014/chart" uri="{C3380CC4-5D6E-409C-BE32-E72D297353CC}">
              <c16:uniqueId val="{00000002-3364-4AB5-9D2A-4A8C3B372F54}"/>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Population</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total available water</a:t>
                </a:r>
                <a:endParaRPr lang="en-US"/>
              </a:p>
            </c:rich>
          </c:tx>
          <c:layout>
            <c:manualLayout>
              <c:xMode val="edge"/>
              <c:yMode val="edge"/>
              <c:x val="1.6122160326311905E-2"/>
              <c:y val="0.14339278018953905"/>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Gini_2016!$H$94:$H$105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xVal>
          <c:yVal>
            <c:numRef>
              <c:f>Gini_2016!$H$94:$H$105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yVal>
          <c:smooth val="1"/>
          <c:extLst>
            <c:ext xmlns:c16="http://schemas.microsoft.com/office/drawing/2014/chart" uri="{C3380CC4-5D6E-409C-BE32-E72D297353CC}">
              <c16:uniqueId val="{00000000-3956-42FA-972F-8C1AA7CCF08D}"/>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3956-42FA-972F-8C1AA7CCF08D}"/>
              </c:ext>
            </c:extLst>
          </c:dPt>
          <c:xVal>
            <c:numRef>
              <c:f>Gini_2016!$H$178:$H$189</c:f>
              <c:numCache>
                <c:formatCode>0.00</c:formatCode>
                <c:ptCount val="12"/>
                <c:pt idx="0">
                  <c:v>0</c:v>
                </c:pt>
                <c:pt idx="1">
                  <c:v>8.2249727275718124E-2</c:v>
                </c:pt>
                <c:pt idx="2">
                  <c:v>9.0263247322775519E-2</c:v>
                </c:pt>
                <c:pt idx="3">
                  <c:v>9.4581027823807909E-2</c:v>
                </c:pt>
                <c:pt idx="4">
                  <c:v>0.1013971131412383</c:v>
                </c:pt>
                <c:pt idx="5">
                  <c:v>0.10808687676914244</c:v>
                </c:pt>
                <c:pt idx="6">
                  <c:v>0.12427174144854033</c:v>
                </c:pt>
                <c:pt idx="7">
                  <c:v>0.16345651867644251</c:v>
                </c:pt>
                <c:pt idx="8">
                  <c:v>0.24099269172425059</c:v>
                </c:pt>
                <c:pt idx="9">
                  <c:v>0.67926609315684749</c:v>
                </c:pt>
                <c:pt idx="10">
                  <c:v>0.79811612788873898</c:v>
                </c:pt>
                <c:pt idx="11">
                  <c:v>1</c:v>
                </c:pt>
              </c:numCache>
            </c:numRef>
          </c:xVal>
          <c:yVal>
            <c:numRef>
              <c:f>Gini_2016!$G$178:$G$189</c:f>
              <c:numCache>
                <c:formatCode>0.00</c:formatCode>
                <c:ptCount val="12"/>
                <c:pt idx="0">
                  <c:v>0</c:v>
                </c:pt>
                <c:pt idx="1">
                  <c:v>3.1349739129321592E-3</c:v>
                </c:pt>
                <c:pt idx="2">
                  <c:v>9.8318337416622992E-3</c:v>
                </c:pt>
                <c:pt idx="3">
                  <c:v>1.7895180768675793E-2</c:v>
                </c:pt>
                <c:pt idx="4">
                  <c:v>2.9284369859248531E-2</c:v>
                </c:pt>
                <c:pt idx="5">
                  <c:v>4.2067458990586205E-2</c:v>
                </c:pt>
                <c:pt idx="6">
                  <c:v>7.445965352965464E-2</c:v>
                </c:pt>
                <c:pt idx="7">
                  <c:v>0.13600922188005207</c:v>
                </c:pt>
                <c:pt idx="8">
                  <c:v>0.27310899331631933</c:v>
                </c:pt>
                <c:pt idx="9">
                  <c:v>0.4601123760377257</c:v>
                </c:pt>
                <c:pt idx="10">
                  <c:v>0.68902644485704645</c:v>
                </c:pt>
                <c:pt idx="11">
                  <c:v>1</c:v>
                </c:pt>
              </c:numCache>
            </c:numRef>
          </c:yVal>
          <c:smooth val="0"/>
          <c:extLst>
            <c:ext xmlns:c16="http://schemas.microsoft.com/office/drawing/2014/chart" uri="{C3380CC4-5D6E-409C-BE32-E72D297353CC}">
              <c16:uniqueId val="{00000002-3956-42FA-972F-8C1AA7CCF08D}"/>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Precipitation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301861863580613"/>
          <c:y val="0.1566342980154827"/>
          <c:w val="0.54960252622417904"/>
          <c:h val="0.65904922055244786"/>
        </c:manualLayout>
      </c:layout>
      <c:scatterChart>
        <c:scatterStyle val="smoothMarker"/>
        <c:varyColors val="0"/>
        <c:ser>
          <c:idx val="1"/>
          <c:order val="1"/>
          <c:tx>
            <c:v>Equality Line</c:v>
          </c:tx>
          <c:spPr>
            <a:ln w="19050" cap="rnd">
              <a:solidFill>
                <a:schemeClr val="accent2"/>
              </a:solidFill>
              <a:round/>
            </a:ln>
            <a:effectLst/>
          </c:spPr>
          <c:marker>
            <c:symbol val="none"/>
          </c:marker>
          <c:xVal>
            <c:numRef>
              <c:f>Gini_2016!$H$115:$H$126</c:f>
              <c:numCache>
                <c:formatCode>0.00</c:formatCode>
                <c:ptCount val="12"/>
                <c:pt idx="0">
                  <c:v>0</c:v>
                </c:pt>
                <c:pt idx="1">
                  <c:v>8.6508040877704764E-3</c:v>
                </c:pt>
                <c:pt idx="2">
                  <c:v>2.233691110888162E-2</c:v>
                </c:pt>
                <c:pt idx="3">
                  <c:v>4.5534073596056365E-2</c:v>
                </c:pt>
                <c:pt idx="4">
                  <c:v>5.3837159897602418E-2</c:v>
                </c:pt>
                <c:pt idx="5">
                  <c:v>0.11688690634392547</c:v>
                </c:pt>
                <c:pt idx="6">
                  <c:v>0.17846731707242672</c:v>
                </c:pt>
                <c:pt idx="7">
                  <c:v>0.25736713399590871</c:v>
                </c:pt>
                <c:pt idx="8">
                  <c:v>0.38405950424456814</c:v>
                </c:pt>
                <c:pt idx="9">
                  <c:v>0.65743534284662219</c:v>
                </c:pt>
                <c:pt idx="10">
                  <c:v>0.98464491670321019</c:v>
                </c:pt>
                <c:pt idx="11">
                  <c:v>1.0000000000000002</c:v>
                </c:pt>
              </c:numCache>
            </c:numRef>
          </c:xVal>
          <c:yVal>
            <c:numRef>
              <c:f>Gini_2016!$H$115:$H$126</c:f>
              <c:numCache>
                <c:formatCode>0.00</c:formatCode>
                <c:ptCount val="12"/>
                <c:pt idx="0">
                  <c:v>0</c:v>
                </c:pt>
                <c:pt idx="1">
                  <c:v>8.6508040877704764E-3</c:v>
                </c:pt>
                <c:pt idx="2">
                  <c:v>2.233691110888162E-2</c:v>
                </c:pt>
                <c:pt idx="3">
                  <c:v>4.5534073596056365E-2</c:v>
                </c:pt>
                <c:pt idx="4">
                  <c:v>5.3837159897602418E-2</c:v>
                </c:pt>
                <c:pt idx="5">
                  <c:v>0.11688690634392547</c:v>
                </c:pt>
                <c:pt idx="6">
                  <c:v>0.17846731707242672</c:v>
                </c:pt>
                <c:pt idx="7">
                  <c:v>0.25736713399590871</c:v>
                </c:pt>
                <c:pt idx="8">
                  <c:v>0.38405950424456814</c:v>
                </c:pt>
                <c:pt idx="9">
                  <c:v>0.65743534284662219</c:v>
                </c:pt>
                <c:pt idx="10">
                  <c:v>0.98464491670321019</c:v>
                </c:pt>
                <c:pt idx="11">
                  <c:v>1.0000000000000002</c:v>
                </c:pt>
              </c:numCache>
            </c:numRef>
          </c:yVal>
          <c:smooth val="1"/>
          <c:extLst>
            <c:ext xmlns:c16="http://schemas.microsoft.com/office/drawing/2014/chart" uri="{C3380CC4-5D6E-409C-BE32-E72D297353CC}">
              <c16:uniqueId val="{00000000-99C7-4BA0-92D8-89CFEA71DB74}"/>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99C7-4BA0-92D8-89CFEA71DB74}"/>
              </c:ext>
            </c:extLst>
          </c:dPt>
          <c:xVal>
            <c:numRef>
              <c:f>Gini_2016!$H$199:$H$210</c:f>
              <c:numCache>
                <c:formatCode>0.00</c:formatCode>
                <c:ptCount val="12"/>
                <c:pt idx="0">
                  <c:v>0</c:v>
                </c:pt>
                <c:pt idx="1">
                  <c:v>8.0135200470573958E-3</c:v>
                </c:pt>
                <c:pt idx="2">
                  <c:v>1.2331300548089792E-2</c:v>
                </c:pt>
                <c:pt idx="3">
                  <c:v>1.9147385865520176E-2</c:v>
                </c:pt>
                <c:pt idx="4">
                  <c:v>2.5837149493424316E-2</c:v>
                </c:pt>
                <c:pt idx="5">
                  <c:v>4.2022014172822211E-2</c:v>
                </c:pt>
                <c:pt idx="6">
                  <c:v>0.12427174144854033</c:v>
                </c:pt>
                <c:pt idx="7">
                  <c:v>0.16345651867644251</c:v>
                </c:pt>
                <c:pt idx="8">
                  <c:v>0.24099269172425059</c:v>
                </c:pt>
                <c:pt idx="9">
                  <c:v>0.35984272645614207</c:v>
                </c:pt>
                <c:pt idx="10">
                  <c:v>0.79811612788873898</c:v>
                </c:pt>
                <c:pt idx="11">
                  <c:v>1</c:v>
                </c:pt>
              </c:numCache>
            </c:numRef>
          </c:xVal>
          <c:yVal>
            <c:numRef>
              <c:f>Gini_2016!$G$199:$G$210</c:f>
              <c:numCache>
                <c:formatCode>0.00</c:formatCode>
                <c:ptCount val="12"/>
                <c:pt idx="0">
                  <c:v>0</c:v>
                </c:pt>
                <c:pt idx="1">
                  <c:v>5.3657375780652326E-3</c:v>
                </c:pt>
                <c:pt idx="2">
                  <c:v>1.1041902665028754E-2</c:v>
                </c:pt>
                <c:pt idx="3">
                  <c:v>1.9982340750526361E-2</c:v>
                </c:pt>
                <c:pt idx="4">
                  <c:v>3.2265147121524042E-2</c:v>
                </c:pt>
                <c:pt idx="5">
                  <c:v>5.8426557035122187E-2</c:v>
                </c:pt>
                <c:pt idx="6">
                  <c:v>8.7385491466809379E-2</c:v>
                </c:pt>
                <c:pt idx="7">
                  <c:v>0.14191745168999531</c:v>
                </c:pt>
                <c:pt idx="8">
                  <c:v>0.27288850872289716</c:v>
                </c:pt>
                <c:pt idx="9">
                  <c:v>0.43697858025179592</c:v>
                </c:pt>
                <c:pt idx="10">
                  <c:v>0.64716397626293776</c:v>
                </c:pt>
                <c:pt idx="11">
                  <c:v>1</c:v>
                </c:pt>
              </c:numCache>
            </c:numRef>
          </c:yVal>
          <c:smooth val="0"/>
          <c:extLst>
            <c:ext xmlns:c16="http://schemas.microsoft.com/office/drawing/2014/chart" uri="{C3380CC4-5D6E-409C-BE32-E72D297353CC}">
              <c16:uniqueId val="{00000002-99C7-4BA0-92D8-89CFEA71DB74}"/>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ETa</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Gini_2016!$H$136:$H$147</c:f>
              <c:numCache>
                <c:formatCode>0.00</c:formatCode>
                <c:ptCount val="12"/>
                <c:pt idx="0">
                  <c:v>0</c:v>
                </c:pt>
                <c:pt idx="1">
                  <c:v>8.3030863015460567E-3</c:v>
                </c:pt>
                <c:pt idx="2">
                  <c:v>6.9883497030047301E-2</c:v>
                </c:pt>
                <c:pt idx="3">
                  <c:v>0.39709307088663531</c:v>
                </c:pt>
                <c:pt idx="4">
                  <c:v>0.41244815418342529</c:v>
                </c:pt>
                <c:pt idx="5">
                  <c:v>0.53914052443208471</c:v>
                </c:pt>
                <c:pt idx="6">
                  <c:v>0.54779132851985524</c:v>
                </c:pt>
                <c:pt idx="7">
                  <c:v>0.57098849100702997</c:v>
                </c:pt>
                <c:pt idx="8">
                  <c:v>0.58467459802814115</c:v>
                </c:pt>
                <c:pt idx="9">
                  <c:v>0.64772434447446425</c:v>
                </c:pt>
                <c:pt idx="10">
                  <c:v>0.72662416139794628</c:v>
                </c:pt>
                <c:pt idx="11">
                  <c:v>1.0000000000000002</c:v>
                </c:pt>
              </c:numCache>
            </c:numRef>
          </c:xVal>
          <c:yVal>
            <c:numRef>
              <c:f>Gini_2016!$H$136:$H$147</c:f>
              <c:numCache>
                <c:formatCode>0.00</c:formatCode>
                <c:ptCount val="12"/>
                <c:pt idx="0">
                  <c:v>0</c:v>
                </c:pt>
                <c:pt idx="1">
                  <c:v>8.3030863015460567E-3</c:v>
                </c:pt>
                <c:pt idx="2">
                  <c:v>6.9883497030047301E-2</c:v>
                </c:pt>
                <c:pt idx="3">
                  <c:v>0.39709307088663531</c:v>
                </c:pt>
                <c:pt idx="4">
                  <c:v>0.41244815418342529</c:v>
                </c:pt>
                <c:pt idx="5">
                  <c:v>0.53914052443208471</c:v>
                </c:pt>
                <c:pt idx="6">
                  <c:v>0.54779132851985524</c:v>
                </c:pt>
                <c:pt idx="7">
                  <c:v>0.57098849100702997</c:v>
                </c:pt>
                <c:pt idx="8">
                  <c:v>0.58467459802814115</c:v>
                </c:pt>
                <c:pt idx="9">
                  <c:v>0.64772434447446425</c:v>
                </c:pt>
                <c:pt idx="10">
                  <c:v>0.72662416139794628</c:v>
                </c:pt>
                <c:pt idx="11">
                  <c:v>1.0000000000000002</c:v>
                </c:pt>
              </c:numCache>
            </c:numRef>
          </c:yVal>
          <c:smooth val="1"/>
          <c:extLst>
            <c:ext xmlns:c16="http://schemas.microsoft.com/office/drawing/2014/chart" uri="{C3380CC4-5D6E-409C-BE32-E72D297353CC}">
              <c16:uniqueId val="{00000000-B106-49A9-B467-9C2F1EBEDA0B}"/>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B106-49A9-B467-9C2F1EBEDA0B}"/>
              </c:ext>
            </c:extLst>
          </c:dPt>
          <c:xVal>
            <c:numRef>
              <c:f>Gini_2016!$H$220:$H$231</c:f>
              <c:numCache>
                <c:formatCode>0.00</c:formatCode>
                <c:ptCount val="12"/>
                <c:pt idx="0">
                  <c:v>0</c:v>
                </c:pt>
                <c:pt idx="1">
                  <c:v>6.6897636279041406E-3</c:v>
                </c:pt>
                <c:pt idx="2">
                  <c:v>8.893949090362227E-2</c:v>
                </c:pt>
                <c:pt idx="3">
                  <c:v>0.52721289233621915</c:v>
                </c:pt>
                <c:pt idx="4">
                  <c:v>0.72909676444748017</c:v>
                </c:pt>
                <c:pt idx="5">
                  <c:v>0.8066329374952883</c:v>
                </c:pt>
                <c:pt idx="6">
                  <c:v>0.81464645754234566</c:v>
                </c:pt>
                <c:pt idx="7">
                  <c:v>0.82146254285977605</c:v>
                </c:pt>
                <c:pt idx="8">
                  <c:v>0.82578032336080842</c:v>
                </c:pt>
                <c:pt idx="9">
                  <c:v>0.84196518804020637</c:v>
                </c:pt>
                <c:pt idx="10">
                  <c:v>0.88114996526810851</c:v>
                </c:pt>
                <c:pt idx="11">
                  <c:v>1</c:v>
                </c:pt>
              </c:numCache>
            </c:numRef>
          </c:xVal>
          <c:yVal>
            <c:numRef>
              <c:f>Gini_2016!$G$220:$G$231</c:f>
              <c:numCache>
                <c:formatCode>0.00</c:formatCode>
                <c:ptCount val="12"/>
                <c:pt idx="0">
                  <c:v>0</c:v>
                </c:pt>
                <c:pt idx="1">
                  <c:v>0</c:v>
                </c:pt>
                <c:pt idx="2">
                  <c:v>0</c:v>
                </c:pt>
                <c:pt idx="3">
                  <c:v>0</c:v>
                </c:pt>
                <c:pt idx="4">
                  <c:v>0</c:v>
                </c:pt>
                <c:pt idx="5">
                  <c:v>0</c:v>
                </c:pt>
                <c:pt idx="6">
                  <c:v>1.2534928538947977E-2</c:v>
                </c:pt>
                <c:pt idx="7">
                  <c:v>3.6799179238237847E-2</c:v>
                </c:pt>
                <c:pt idx="8">
                  <c:v>6.3807615248225355E-2</c:v>
                </c:pt>
                <c:pt idx="9">
                  <c:v>0.13368953959285057</c:v>
                </c:pt>
                <c:pt idx="10">
                  <c:v>0.27851498290066962</c:v>
                </c:pt>
                <c:pt idx="11">
                  <c:v>1</c:v>
                </c:pt>
              </c:numCache>
            </c:numRef>
          </c:yVal>
          <c:smooth val="0"/>
          <c:extLst>
            <c:ext xmlns:c16="http://schemas.microsoft.com/office/drawing/2014/chart" uri="{C3380CC4-5D6E-409C-BE32-E72D297353CC}">
              <c16:uniqueId val="{00000002-B106-49A9-B467-9C2F1EBEDA0B}"/>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Available Water</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Gini_2016!$H$157:$H$168</c:f>
              <c:numCache>
                <c:formatCode>0.00</c:formatCode>
                <c:ptCount val="12"/>
                <c:pt idx="0">
                  <c:v>0</c:v>
                </c:pt>
                <c:pt idx="1">
                  <c:v>8.3030863015460567E-3</c:v>
                </c:pt>
                <c:pt idx="2">
                  <c:v>1.6953890389316533E-2</c:v>
                </c:pt>
                <c:pt idx="3">
                  <c:v>3.0639997410427677E-2</c:v>
                </c:pt>
                <c:pt idx="4">
                  <c:v>5.3837159897602418E-2</c:v>
                </c:pt>
                <c:pt idx="5">
                  <c:v>0.11688690634392547</c:v>
                </c:pt>
                <c:pt idx="6">
                  <c:v>0.19578672326740743</c:v>
                </c:pt>
                <c:pt idx="7">
                  <c:v>0.32247909351606685</c:v>
                </c:pt>
                <c:pt idx="8">
                  <c:v>0.33783417681285682</c:v>
                </c:pt>
                <c:pt idx="9">
                  <c:v>0.66504375066944488</c:v>
                </c:pt>
                <c:pt idx="10">
                  <c:v>0.72662416139794617</c:v>
                </c:pt>
                <c:pt idx="11">
                  <c:v>1.0000000000000002</c:v>
                </c:pt>
              </c:numCache>
            </c:numRef>
          </c:xVal>
          <c:yVal>
            <c:numRef>
              <c:f>Gini_2016!$H$157:$H$168</c:f>
              <c:numCache>
                <c:formatCode>0.00</c:formatCode>
                <c:ptCount val="12"/>
                <c:pt idx="0">
                  <c:v>0</c:v>
                </c:pt>
                <c:pt idx="1">
                  <c:v>8.3030863015460567E-3</c:v>
                </c:pt>
                <c:pt idx="2">
                  <c:v>1.6953890389316533E-2</c:v>
                </c:pt>
                <c:pt idx="3">
                  <c:v>3.0639997410427677E-2</c:v>
                </c:pt>
                <c:pt idx="4">
                  <c:v>5.3837159897602418E-2</c:v>
                </c:pt>
                <c:pt idx="5">
                  <c:v>0.11688690634392547</c:v>
                </c:pt>
                <c:pt idx="6">
                  <c:v>0.19578672326740743</c:v>
                </c:pt>
                <c:pt idx="7">
                  <c:v>0.32247909351606685</c:v>
                </c:pt>
                <c:pt idx="8">
                  <c:v>0.33783417681285682</c:v>
                </c:pt>
                <c:pt idx="9">
                  <c:v>0.66504375066944488</c:v>
                </c:pt>
                <c:pt idx="10">
                  <c:v>0.72662416139794617</c:v>
                </c:pt>
                <c:pt idx="11">
                  <c:v>1.0000000000000002</c:v>
                </c:pt>
              </c:numCache>
            </c:numRef>
          </c:yVal>
          <c:smooth val="1"/>
          <c:extLst>
            <c:ext xmlns:c16="http://schemas.microsoft.com/office/drawing/2014/chart" uri="{C3380CC4-5D6E-409C-BE32-E72D297353CC}">
              <c16:uniqueId val="{00000000-9496-4E4F-A50C-9EC32DB7D58E}"/>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9496-4E4F-A50C-9EC32DB7D58E}"/>
              </c:ext>
            </c:extLst>
          </c:dPt>
          <c:xVal>
            <c:numRef>
              <c:f>Gini_2016!$H$241:$H$252</c:f>
              <c:numCache>
                <c:formatCode>0.00</c:formatCode>
                <c:ptCount val="12"/>
                <c:pt idx="0">
                  <c:v>0</c:v>
                </c:pt>
                <c:pt idx="1">
                  <c:v>6.6897636279041389E-3</c:v>
                </c:pt>
                <c:pt idx="2">
                  <c:v>1.4703283674961532E-2</c:v>
                </c:pt>
                <c:pt idx="3">
                  <c:v>1.9021064175993925E-2</c:v>
                </c:pt>
                <c:pt idx="4">
                  <c:v>2.5837149493424309E-2</c:v>
                </c:pt>
                <c:pt idx="5">
                  <c:v>4.2022014172822197E-2</c:v>
                </c:pt>
                <c:pt idx="6">
                  <c:v>8.1206791400724371E-2</c:v>
                </c:pt>
                <c:pt idx="7">
                  <c:v>0.15874296444853245</c:v>
                </c:pt>
                <c:pt idx="8">
                  <c:v>0.36062683655979344</c:v>
                </c:pt>
                <c:pt idx="9">
                  <c:v>0.79890023799239029</c:v>
                </c:pt>
                <c:pt idx="10">
                  <c:v>0.8811499652681084</c:v>
                </c:pt>
                <c:pt idx="11">
                  <c:v>0.99999999999999989</c:v>
                </c:pt>
              </c:numCache>
            </c:numRef>
          </c:xVal>
          <c:yVal>
            <c:numRef>
              <c:f>Gini_2016!$G$241:$G$252</c:f>
              <c:numCache>
                <c:formatCode>0.00</c:formatCode>
                <c:ptCount val="12"/>
                <c:pt idx="0">
                  <c:v>0</c:v>
                </c:pt>
                <c:pt idx="1">
                  <c:v>0</c:v>
                </c:pt>
                <c:pt idx="2">
                  <c:v>6.2417053793151073E-3</c:v>
                </c:pt>
                <c:pt idx="3">
                  <c:v>1.9690421884289714E-2</c:v>
                </c:pt>
                <c:pt idx="4">
                  <c:v>4.5527615608622118E-2</c:v>
                </c:pt>
                <c:pt idx="5">
                  <c:v>8.0324972589433941E-2</c:v>
                </c:pt>
                <c:pt idx="6">
                  <c:v>0.15244008244007023</c:v>
                </c:pt>
                <c:pt idx="7">
                  <c:v>0.22881614478253665</c:v>
                </c:pt>
                <c:pt idx="8">
                  <c:v>0.3138795317516343</c:v>
                </c:pt>
                <c:pt idx="9">
                  <c:v>0.43622602024335771</c:v>
                </c:pt>
                <c:pt idx="10">
                  <c:v>0.64074012082863507</c:v>
                </c:pt>
                <c:pt idx="11">
                  <c:v>1</c:v>
                </c:pt>
              </c:numCache>
            </c:numRef>
          </c:yVal>
          <c:smooth val="0"/>
          <c:extLst>
            <c:ext xmlns:c16="http://schemas.microsoft.com/office/drawing/2014/chart" uri="{C3380CC4-5D6E-409C-BE32-E72D297353CC}">
              <c16:uniqueId val="{00000002-9496-4E4F-A50C-9EC32DB7D58E}"/>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 total</a:t>
                </a:r>
                <a:r>
                  <a:rPr lang="en-US" baseline="0"/>
                  <a:t> available water</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 based on population of each country in the basin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Gini_2016!$H$6:$H$17</c:f>
              <c:numCache>
                <c:formatCode>0.00</c:formatCode>
                <c:ptCount val="12"/>
                <c:pt idx="0">
                  <c:v>0</c:v>
                </c:pt>
                <c:pt idx="1">
                  <c:v>0.32009922079686637</c:v>
                </c:pt>
                <c:pt idx="2">
                  <c:v>0.32512222911640537</c:v>
                </c:pt>
                <c:pt idx="3">
                  <c:v>0.34758937626986258</c:v>
                </c:pt>
                <c:pt idx="4">
                  <c:v>0.39008267176198369</c:v>
                </c:pt>
                <c:pt idx="5">
                  <c:v>0.40415661637906769</c:v>
                </c:pt>
                <c:pt idx="6">
                  <c:v>0.47844213771284266</c:v>
                </c:pt>
                <c:pt idx="7">
                  <c:v>0.52236531027354838</c:v>
                </c:pt>
                <c:pt idx="8">
                  <c:v>0.67383618188195338</c:v>
                </c:pt>
                <c:pt idx="9">
                  <c:v>0.81223146333337448</c:v>
                </c:pt>
                <c:pt idx="10">
                  <c:v>0.95716818298002382</c:v>
                </c:pt>
                <c:pt idx="11">
                  <c:v>0.99999999999999989</c:v>
                </c:pt>
              </c:numCache>
            </c:numRef>
          </c:xVal>
          <c:yVal>
            <c:numRef>
              <c:f>Gini_2016!$H$6:$H$17</c:f>
              <c:numCache>
                <c:formatCode>0.00</c:formatCode>
                <c:ptCount val="12"/>
                <c:pt idx="0">
                  <c:v>0</c:v>
                </c:pt>
                <c:pt idx="1">
                  <c:v>0.32009922079686637</c:v>
                </c:pt>
                <c:pt idx="2">
                  <c:v>0.32512222911640537</c:v>
                </c:pt>
                <c:pt idx="3">
                  <c:v>0.34758937626986258</c:v>
                </c:pt>
                <c:pt idx="4">
                  <c:v>0.39008267176198369</c:v>
                </c:pt>
                <c:pt idx="5">
                  <c:v>0.40415661637906769</c:v>
                </c:pt>
                <c:pt idx="6">
                  <c:v>0.47844213771284266</c:v>
                </c:pt>
                <c:pt idx="7">
                  <c:v>0.52236531027354838</c:v>
                </c:pt>
                <c:pt idx="8">
                  <c:v>0.67383618188195338</c:v>
                </c:pt>
                <c:pt idx="9">
                  <c:v>0.81223146333337448</c:v>
                </c:pt>
                <c:pt idx="10">
                  <c:v>0.95716818298002382</c:v>
                </c:pt>
                <c:pt idx="11">
                  <c:v>0.99999999999999989</c:v>
                </c:pt>
              </c:numCache>
            </c:numRef>
          </c:yVal>
          <c:smooth val="1"/>
          <c:extLst>
            <c:ext xmlns:c16="http://schemas.microsoft.com/office/drawing/2014/chart" uri="{C3380CC4-5D6E-409C-BE32-E72D297353CC}">
              <c16:uniqueId val="{00000000-05A3-4DEA-9013-CC2E0B7B63F8}"/>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Precipitation</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05A3-4DEA-9013-CC2E0B7B63F8}"/>
              </c:ext>
            </c:extLst>
          </c:dPt>
          <c:xVal>
            <c:numRef>
              <c:f>Gini_2016!$H$6:$H$17</c:f>
              <c:numCache>
                <c:formatCode>0.00</c:formatCode>
                <c:ptCount val="12"/>
                <c:pt idx="0">
                  <c:v>0</c:v>
                </c:pt>
                <c:pt idx="1">
                  <c:v>0.32009922079686637</c:v>
                </c:pt>
                <c:pt idx="2">
                  <c:v>0.32512222911640537</c:v>
                </c:pt>
                <c:pt idx="3">
                  <c:v>0.34758937626986258</c:v>
                </c:pt>
                <c:pt idx="4">
                  <c:v>0.39008267176198369</c:v>
                </c:pt>
                <c:pt idx="5">
                  <c:v>0.40415661637906769</c:v>
                </c:pt>
                <c:pt idx="6">
                  <c:v>0.47844213771284266</c:v>
                </c:pt>
                <c:pt idx="7">
                  <c:v>0.52236531027354838</c:v>
                </c:pt>
                <c:pt idx="8">
                  <c:v>0.67383618188195338</c:v>
                </c:pt>
                <c:pt idx="9">
                  <c:v>0.81223146333337448</c:v>
                </c:pt>
                <c:pt idx="10">
                  <c:v>0.95716818298002382</c:v>
                </c:pt>
                <c:pt idx="11">
                  <c:v>0.99999999999999989</c:v>
                </c:pt>
              </c:numCache>
            </c:numRef>
          </c:xVal>
          <c:yVal>
            <c:numRef>
              <c:f>Gini_2016!$G$6:$G$17</c:f>
              <c:numCache>
                <c:formatCode>0.00</c:formatCode>
                <c:ptCount val="12"/>
                <c:pt idx="0">
                  <c:v>0</c:v>
                </c:pt>
                <c:pt idx="1">
                  <c:v>3.1349739129321592E-3</c:v>
                </c:pt>
                <c:pt idx="2">
                  <c:v>9.8318337416622992E-3</c:v>
                </c:pt>
                <c:pt idx="3">
                  <c:v>1.7895180768675793E-2</c:v>
                </c:pt>
                <c:pt idx="4">
                  <c:v>2.9284369859248531E-2</c:v>
                </c:pt>
                <c:pt idx="5">
                  <c:v>4.2067458990586205E-2</c:v>
                </c:pt>
                <c:pt idx="6">
                  <c:v>7.445965352965464E-2</c:v>
                </c:pt>
                <c:pt idx="7">
                  <c:v>0.13600922188005207</c:v>
                </c:pt>
                <c:pt idx="8">
                  <c:v>0.27310899331631933</c:v>
                </c:pt>
                <c:pt idx="9">
                  <c:v>0.4601123760377257</c:v>
                </c:pt>
                <c:pt idx="10">
                  <c:v>0.68902644485704645</c:v>
                </c:pt>
                <c:pt idx="11">
                  <c:v>1</c:v>
                </c:pt>
              </c:numCache>
            </c:numRef>
          </c:yVal>
          <c:smooth val="0"/>
          <c:extLst>
            <c:ext xmlns:c16="http://schemas.microsoft.com/office/drawing/2014/chart" uri="{C3380CC4-5D6E-409C-BE32-E72D297353CC}">
              <c16:uniqueId val="{00000002-05A3-4DEA-9013-CC2E0B7B63F8}"/>
            </c:ext>
          </c:extLst>
        </c:ser>
        <c:ser>
          <c:idx val="2"/>
          <c:order val="2"/>
          <c:tx>
            <c:v>ETa</c:v>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Gini_2016!$H$27:$H$38</c:f>
              <c:numCache>
                <c:formatCode>0.00</c:formatCode>
                <c:ptCount val="12"/>
                <c:pt idx="0">
                  <c:v>0</c:v>
                </c:pt>
                <c:pt idx="1">
                  <c:v>5.0230083195390062E-3</c:v>
                </c:pt>
                <c:pt idx="2">
                  <c:v>2.7490155472996207E-2</c:v>
                </c:pt>
                <c:pt idx="3">
                  <c:v>6.9983450965117308E-2</c:v>
                </c:pt>
                <c:pt idx="4">
                  <c:v>8.4057395582201294E-2</c:v>
                </c:pt>
                <c:pt idx="5">
                  <c:v>0.1583429169159763</c:v>
                </c:pt>
                <c:pt idx="6">
                  <c:v>0.47844213771284266</c:v>
                </c:pt>
                <c:pt idx="7">
                  <c:v>0.52236531027354838</c:v>
                </c:pt>
                <c:pt idx="8">
                  <c:v>0.67383618188195338</c:v>
                </c:pt>
                <c:pt idx="9">
                  <c:v>0.81877290152860271</c:v>
                </c:pt>
                <c:pt idx="10">
                  <c:v>0.95716818298002393</c:v>
                </c:pt>
                <c:pt idx="11">
                  <c:v>1</c:v>
                </c:pt>
              </c:numCache>
            </c:numRef>
          </c:xVal>
          <c:yVal>
            <c:numRef>
              <c:f>Gini_2016!$G$27:$G$38</c:f>
              <c:numCache>
                <c:formatCode>0.00</c:formatCode>
                <c:ptCount val="12"/>
                <c:pt idx="0">
                  <c:v>0</c:v>
                </c:pt>
                <c:pt idx="1">
                  <c:v>5.3657375780652326E-3</c:v>
                </c:pt>
                <c:pt idx="2">
                  <c:v>1.1041902665028754E-2</c:v>
                </c:pt>
                <c:pt idx="3">
                  <c:v>1.9982340750526361E-2</c:v>
                </c:pt>
                <c:pt idx="4">
                  <c:v>3.2265147121524042E-2</c:v>
                </c:pt>
                <c:pt idx="5">
                  <c:v>5.8426557035122187E-2</c:v>
                </c:pt>
                <c:pt idx="6">
                  <c:v>8.7385491466809379E-2</c:v>
                </c:pt>
                <c:pt idx="7">
                  <c:v>0.14191745168999531</c:v>
                </c:pt>
                <c:pt idx="8">
                  <c:v>0.27288850872289716</c:v>
                </c:pt>
                <c:pt idx="9">
                  <c:v>0.43697858025179592</c:v>
                </c:pt>
                <c:pt idx="10">
                  <c:v>0.64716397626293776</c:v>
                </c:pt>
                <c:pt idx="11">
                  <c:v>1</c:v>
                </c:pt>
              </c:numCache>
            </c:numRef>
          </c:yVal>
          <c:smooth val="0"/>
          <c:extLst>
            <c:ext xmlns:c16="http://schemas.microsoft.com/office/drawing/2014/chart" uri="{C3380CC4-5D6E-409C-BE32-E72D297353CC}">
              <c16:uniqueId val="{00000003-05A3-4DEA-9013-CC2E0B7B63F8}"/>
            </c:ext>
          </c:extLst>
        </c:ser>
        <c:ser>
          <c:idx val="3"/>
          <c:order val="3"/>
          <c:tx>
            <c:v>Internal AW</c:v>
          </c:tx>
          <c:spPr>
            <a:ln w="19050" cap="rnd">
              <a:solidFill>
                <a:schemeClr val="accent4"/>
              </a:solidFill>
              <a:round/>
            </a:ln>
            <a:effectLst/>
          </c:spPr>
          <c:marker>
            <c:symbol val="circle"/>
            <c:size val="5"/>
            <c:spPr>
              <a:solidFill>
                <a:schemeClr val="accent4"/>
              </a:solidFill>
              <a:ln w="9525">
                <a:solidFill>
                  <a:schemeClr val="accent4"/>
                </a:solidFill>
              </a:ln>
              <a:effectLst/>
            </c:spPr>
          </c:marker>
          <c:xVal>
            <c:numRef>
              <c:f>Gini_2016!$H$49:$H$60</c:f>
              <c:numCache>
                <c:formatCode>0.00</c:formatCode>
                <c:ptCount val="12"/>
                <c:pt idx="0">
                  <c:v>0</c:v>
                </c:pt>
                <c:pt idx="1">
                  <c:v>1.4073944617083984E-2</c:v>
                </c:pt>
                <c:pt idx="2">
                  <c:v>0.33417316541395037</c:v>
                </c:pt>
                <c:pt idx="3">
                  <c:v>0.47256844686537158</c:v>
                </c:pt>
                <c:pt idx="4">
                  <c:v>0.51540026388534765</c:v>
                </c:pt>
                <c:pt idx="5">
                  <c:v>0.66687113549375265</c:v>
                </c:pt>
                <c:pt idx="6">
                  <c:v>0.67189414381329171</c:v>
                </c:pt>
                <c:pt idx="7">
                  <c:v>0.71438743930541282</c:v>
                </c:pt>
                <c:pt idx="8">
                  <c:v>0.73685458645887003</c:v>
                </c:pt>
                <c:pt idx="9">
                  <c:v>0.811140107792645</c:v>
                </c:pt>
                <c:pt idx="10">
                  <c:v>0.85506328035335077</c:v>
                </c:pt>
                <c:pt idx="11">
                  <c:v>1</c:v>
                </c:pt>
              </c:numCache>
            </c:numRef>
          </c:xVal>
          <c:yVal>
            <c:numRef>
              <c:f>Gini_2016!$G$49:$G$60</c:f>
              <c:numCache>
                <c:formatCode>0.00</c:formatCode>
                <c:ptCount val="12"/>
                <c:pt idx="0">
                  <c:v>0</c:v>
                </c:pt>
                <c:pt idx="1">
                  <c:v>0</c:v>
                </c:pt>
                <c:pt idx="2">
                  <c:v>0</c:v>
                </c:pt>
                <c:pt idx="3">
                  <c:v>0</c:v>
                </c:pt>
                <c:pt idx="4">
                  <c:v>0</c:v>
                </c:pt>
                <c:pt idx="5">
                  <c:v>0</c:v>
                </c:pt>
                <c:pt idx="6">
                  <c:v>1.2534928538947977E-2</c:v>
                </c:pt>
                <c:pt idx="7">
                  <c:v>3.6799179238237847E-2</c:v>
                </c:pt>
                <c:pt idx="8">
                  <c:v>6.3807615248225355E-2</c:v>
                </c:pt>
                <c:pt idx="9">
                  <c:v>0.13368953959285057</c:v>
                </c:pt>
                <c:pt idx="10">
                  <c:v>0.27851498290066962</c:v>
                </c:pt>
                <c:pt idx="11">
                  <c:v>1</c:v>
                </c:pt>
              </c:numCache>
            </c:numRef>
          </c:yVal>
          <c:smooth val="0"/>
          <c:extLst>
            <c:ext xmlns:c16="http://schemas.microsoft.com/office/drawing/2014/chart" uri="{C3380CC4-5D6E-409C-BE32-E72D297353CC}">
              <c16:uniqueId val="{00000004-05A3-4DEA-9013-CC2E0B7B63F8}"/>
            </c:ext>
          </c:extLst>
        </c:ser>
        <c:ser>
          <c:idx val="4"/>
          <c:order val="4"/>
          <c:tx>
            <c:v>Total AW</c:v>
          </c:tx>
          <c:spPr>
            <a:ln w="19050" cap="rnd">
              <a:solidFill>
                <a:schemeClr val="accent5"/>
              </a:solidFill>
              <a:round/>
            </a:ln>
            <a:effectLst/>
          </c:spPr>
          <c:marker>
            <c:symbol val="circle"/>
            <c:size val="5"/>
            <c:spPr>
              <a:solidFill>
                <a:schemeClr val="accent5"/>
              </a:solidFill>
              <a:ln w="9525">
                <a:solidFill>
                  <a:schemeClr val="accent5"/>
                </a:solidFill>
              </a:ln>
              <a:effectLst/>
            </c:spPr>
          </c:marker>
          <c:xVal>
            <c:numRef>
              <c:f>Gini_2016!$H$70:$H$81</c:f>
              <c:numCache>
                <c:formatCode>0.00</c:formatCode>
                <c:ptCount val="12"/>
                <c:pt idx="0">
                  <c:v>0</c:v>
                </c:pt>
                <c:pt idx="1">
                  <c:v>1.4073944617083984E-2</c:v>
                </c:pt>
                <c:pt idx="2">
                  <c:v>1.9096952936622991E-2</c:v>
                </c:pt>
                <c:pt idx="3">
                  <c:v>4.1564100090080193E-2</c:v>
                </c:pt>
                <c:pt idx="4">
                  <c:v>8.4057395582201294E-2</c:v>
                </c:pt>
                <c:pt idx="5">
                  <c:v>0.1583429169159763</c:v>
                </c:pt>
                <c:pt idx="6">
                  <c:v>0.20226608947668204</c:v>
                </c:pt>
                <c:pt idx="7">
                  <c:v>0.35373696108508701</c:v>
                </c:pt>
                <c:pt idx="8">
                  <c:v>0.39656877810506308</c:v>
                </c:pt>
                <c:pt idx="9">
                  <c:v>0.53496405955648429</c:v>
                </c:pt>
                <c:pt idx="10">
                  <c:v>0.85506328035335066</c:v>
                </c:pt>
                <c:pt idx="11">
                  <c:v>1</c:v>
                </c:pt>
              </c:numCache>
            </c:numRef>
          </c:xVal>
          <c:yVal>
            <c:numRef>
              <c:f>Gini_2016!$G$70:$G$81</c:f>
              <c:numCache>
                <c:formatCode>0.00</c:formatCode>
                <c:ptCount val="12"/>
                <c:pt idx="0">
                  <c:v>0</c:v>
                </c:pt>
                <c:pt idx="1">
                  <c:v>0</c:v>
                </c:pt>
                <c:pt idx="2">
                  <c:v>6.2417053793151073E-3</c:v>
                </c:pt>
                <c:pt idx="3">
                  <c:v>1.9690421884289714E-2</c:v>
                </c:pt>
                <c:pt idx="4">
                  <c:v>4.5527615608622118E-2</c:v>
                </c:pt>
                <c:pt idx="5">
                  <c:v>8.0324972589433941E-2</c:v>
                </c:pt>
                <c:pt idx="6">
                  <c:v>0.15244008244007023</c:v>
                </c:pt>
                <c:pt idx="7">
                  <c:v>0.22881614478253665</c:v>
                </c:pt>
                <c:pt idx="8">
                  <c:v>0.3138795317516343</c:v>
                </c:pt>
                <c:pt idx="9">
                  <c:v>0.43622602024335771</c:v>
                </c:pt>
                <c:pt idx="10">
                  <c:v>0.64074012082863507</c:v>
                </c:pt>
                <c:pt idx="11">
                  <c:v>1</c:v>
                </c:pt>
              </c:numCache>
            </c:numRef>
          </c:yVal>
          <c:smooth val="0"/>
          <c:extLst>
            <c:ext xmlns:c16="http://schemas.microsoft.com/office/drawing/2014/chart" uri="{C3380CC4-5D6E-409C-BE32-E72D297353CC}">
              <c16:uniqueId val="{00000005-05A3-4DEA-9013-CC2E0B7B63F8}"/>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Criteria </a:t>
                </a:r>
                <a:endParaRPr lang="en-US"/>
              </a:p>
            </c:rich>
          </c:tx>
          <c:layout>
            <c:manualLayout>
              <c:xMode val="edge"/>
              <c:yMode val="edge"/>
              <c:x val="0.30931893106762737"/>
              <c:y val="0.8987774266708676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variables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 based on cropland area in each country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650902999652733"/>
          <c:y val="0.18478675798830643"/>
          <c:w val="0.64746825356505833"/>
          <c:h val="0.67073597635553017"/>
        </c:manualLayout>
      </c:layout>
      <c:scatterChart>
        <c:scatterStyle val="smoothMarker"/>
        <c:varyColors val="0"/>
        <c:ser>
          <c:idx val="1"/>
          <c:order val="1"/>
          <c:tx>
            <c:v>Equality Line</c:v>
          </c:tx>
          <c:spPr>
            <a:ln w="19050" cap="rnd">
              <a:solidFill>
                <a:schemeClr val="accent2"/>
              </a:solidFill>
              <a:round/>
            </a:ln>
            <a:effectLst/>
          </c:spPr>
          <c:marker>
            <c:symbol val="none"/>
          </c:marker>
          <c:xVal>
            <c:numRef>
              <c:f>Gini_2016!$H$94:$H$105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xVal>
          <c:yVal>
            <c:numRef>
              <c:f>Gini_2016!$H$94:$H$105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yVal>
          <c:smooth val="1"/>
          <c:extLst>
            <c:ext xmlns:c16="http://schemas.microsoft.com/office/drawing/2014/chart" uri="{C3380CC4-5D6E-409C-BE32-E72D297353CC}">
              <c16:uniqueId val="{00000000-907D-4255-BCF6-EBE97888D2F3}"/>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Precipitation</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907D-4255-BCF6-EBE97888D2F3}"/>
              </c:ext>
            </c:extLst>
          </c:dPt>
          <c:xVal>
            <c:numRef>
              <c:f>Gini_2016!$H$94:$H$105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xVal>
          <c:yVal>
            <c:numRef>
              <c:f>Gini_2016!$G$94:$G$105</c:f>
              <c:numCache>
                <c:formatCode>0.00</c:formatCode>
                <c:ptCount val="12"/>
                <c:pt idx="0">
                  <c:v>0</c:v>
                </c:pt>
                <c:pt idx="1">
                  <c:v>3.1349739129321592E-3</c:v>
                </c:pt>
                <c:pt idx="2">
                  <c:v>9.8318337416622992E-3</c:v>
                </c:pt>
                <c:pt idx="3">
                  <c:v>1.7895180768675793E-2</c:v>
                </c:pt>
                <c:pt idx="4">
                  <c:v>2.9284369859248531E-2</c:v>
                </c:pt>
                <c:pt idx="5">
                  <c:v>4.2067458990586205E-2</c:v>
                </c:pt>
                <c:pt idx="6">
                  <c:v>7.445965352965464E-2</c:v>
                </c:pt>
                <c:pt idx="7">
                  <c:v>0.13600922188005207</c:v>
                </c:pt>
                <c:pt idx="8">
                  <c:v>0.27310899331631933</c:v>
                </c:pt>
                <c:pt idx="9">
                  <c:v>0.4601123760377257</c:v>
                </c:pt>
                <c:pt idx="10">
                  <c:v>0.68902644485704645</c:v>
                </c:pt>
                <c:pt idx="11">
                  <c:v>1</c:v>
                </c:pt>
              </c:numCache>
            </c:numRef>
          </c:yVal>
          <c:smooth val="0"/>
          <c:extLst>
            <c:ext xmlns:c16="http://schemas.microsoft.com/office/drawing/2014/chart" uri="{C3380CC4-5D6E-409C-BE32-E72D297353CC}">
              <c16:uniqueId val="{00000002-907D-4255-BCF6-EBE97888D2F3}"/>
            </c:ext>
          </c:extLst>
        </c:ser>
        <c:ser>
          <c:idx val="2"/>
          <c:order val="2"/>
          <c:tx>
            <c:v>ETa</c:v>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Gini_2016!$H$115:$H$126</c:f>
              <c:numCache>
                <c:formatCode>0.00</c:formatCode>
                <c:ptCount val="12"/>
                <c:pt idx="0">
                  <c:v>0</c:v>
                </c:pt>
                <c:pt idx="1">
                  <c:v>8.6508040877704764E-3</c:v>
                </c:pt>
                <c:pt idx="2">
                  <c:v>2.233691110888162E-2</c:v>
                </c:pt>
                <c:pt idx="3">
                  <c:v>4.5534073596056365E-2</c:v>
                </c:pt>
                <c:pt idx="4">
                  <c:v>5.3837159897602418E-2</c:v>
                </c:pt>
                <c:pt idx="5">
                  <c:v>0.11688690634392547</c:v>
                </c:pt>
                <c:pt idx="6">
                  <c:v>0.17846731707242672</c:v>
                </c:pt>
                <c:pt idx="7">
                  <c:v>0.25736713399590871</c:v>
                </c:pt>
                <c:pt idx="8">
                  <c:v>0.38405950424456814</c:v>
                </c:pt>
                <c:pt idx="9">
                  <c:v>0.65743534284662219</c:v>
                </c:pt>
                <c:pt idx="10">
                  <c:v>0.98464491670321019</c:v>
                </c:pt>
                <c:pt idx="11">
                  <c:v>1.0000000000000002</c:v>
                </c:pt>
              </c:numCache>
            </c:numRef>
          </c:xVal>
          <c:yVal>
            <c:numRef>
              <c:f>Gini_2016!$G$115:$G$126</c:f>
              <c:numCache>
                <c:formatCode>0.00</c:formatCode>
                <c:ptCount val="12"/>
                <c:pt idx="0">
                  <c:v>0</c:v>
                </c:pt>
                <c:pt idx="1">
                  <c:v>5.3657375780652326E-3</c:v>
                </c:pt>
                <c:pt idx="2">
                  <c:v>1.1041902665028754E-2</c:v>
                </c:pt>
                <c:pt idx="3">
                  <c:v>1.9982340750526361E-2</c:v>
                </c:pt>
                <c:pt idx="4">
                  <c:v>3.2265147121524042E-2</c:v>
                </c:pt>
                <c:pt idx="5">
                  <c:v>5.8426557035122187E-2</c:v>
                </c:pt>
                <c:pt idx="6">
                  <c:v>8.7385491466809379E-2</c:v>
                </c:pt>
                <c:pt idx="7">
                  <c:v>0.14191745168999531</c:v>
                </c:pt>
                <c:pt idx="8">
                  <c:v>0.27288850872289716</c:v>
                </c:pt>
                <c:pt idx="9">
                  <c:v>0.43697858025179592</c:v>
                </c:pt>
                <c:pt idx="10">
                  <c:v>0.64716397626293776</c:v>
                </c:pt>
                <c:pt idx="11">
                  <c:v>1</c:v>
                </c:pt>
              </c:numCache>
            </c:numRef>
          </c:yVal>
          <c:smooth val="0"/>
          <c:extLst>
            <c:ext xmlns:c16="http://schemas.microsoft.com/office/drawing/2014/chart" uri="{C3380CC4-5D6E-409C-BE32-E72D297353CC}">
              <c16:uniqueId val="{00000003-907D-4255-BCF6-EBE97888D2F3}"/>
            </c:ext>
          </c:extLst>
        </c:ser>
        <c:ser>
          <c:idx val="3"/>
          <c:order val="3"/>
          <c:tx>
            <c:v>Internal AW</c:v>
          </c:tx>
          <c:spPr>
            <a:ln w="19050" cap="rnd">
              <a:solidFill>
                <a:schemeClr val="accent4"/>
              </a:solidFill>
              <a:round/>
            </a:ln>
            <a:effectLst/>
          </c:spPr>
          <c:marker>
            <c:symbol val="circle"/>
            <c:size val="5"/>
            <c:spPr>
              <a:solidFill>
                <a:schemeClr val="accent4"/>
              </a:solidFill>
              <a:ln w="9525">
                <a:solidFill>
                  <a:schemeClr val="accent4"/>
                </a:solidFill>
              </a:ln>
              <a:effectLst/>
            </c:spPr>
          </c:marker>
          <c:xVal>
            <c:numRef>
              <c:f>Gini_2016!$H$136:$H$147</c:f>
              <c:numCache>
                <c:formatCode>0.00</c:formatCode>
                <c:ptCount val="12"/>
                <c:pt idx="0">
                  <c:v>0</c:v>
                </c:pt>
                <c:pt idx="1">
                  <c:v>8.3030863015460567E-3</c:v>
                </c:pt>
                <c:pt idx="2">
                  <c:v>6.9883497030047301E-2</c:v>
                </c:pt>
                <c:pt idx="3">
                  <c:v>0.39709307088663531</c:v>
                </c:pt>
                <c:pt idx="4">
                  <c:v>0.41244815418342529</c:v>
                </c:pt>
                <c:pt idx="5">
                  <c:v>0.53914052443208471</c:v>
                </c:pt>
                <c:pt idx="6">
                  <c:v>0.54779132851985524</c:v>
                </c:pt>
                <c:pt idx="7">
                  <c:v>0.57098849100702997</c:v>
                </c:pt>
                <c:pt idx="8">
                  <c:v>0.58467459802814115</c:v>
                </c:pt>
                <c:pt idx="9">
                  <c:v>0.64772434447446425</c:v>
                </c:pt>
                <c:pt idx="10">
                  <c:v>0.72662416139794628</c:v>
                </c:pt>
                <c:pt idx="11">
                  <c:v>1.0000000000000002</c:v>
                </c:pt>
              </c:numCache>
            </c:numRef>
          </c:xVal>
          <c:yVal>
            <c:numRef>
              <c:f>Gini_2016!$G$136:$G$147</c:f>
              <c:numCache>
                <c:formatCode>0.00</c:formatCode>
                <c:ptCount val="12"/>
                <c:pt idx="0">
                  <c:v>0</c:v>
                </c:pt>
                <c:pt idx="1">
                  <c:v>0</c:v>
                </c:pt>
                <c:pt idx="2">
                  <c:v>0</c:v>
                </c:pt>
                <c:pt idx="3">
                  <c:v>0</c:v>
                </c:pt>
                <c:pt idx="4">
                  <c:v>0</c:v>
                </c:pt>
                <c:pt idx="5">
                  <c:v>0</c:v>
                </c:pt>
                <c:pt idx="6">
                  <c:v>1.2534928538947977E-2</c:v>
                </c:pt>
                <c:pt idx="7">
                  <c:v>3.6799179238237847E-2</c:v>
                </c:pt>
                <c:pt idx="8">
                  <c:v>6.3807615248225355E-2</c:v>
                </c:pt>
                <c:pt idx="9">
                  <c:v>0.13368953959285057</c:v>
                </c:pt>
                <c:pt idx="10">
                  <c:v>0.27851498290066962</c:v>
                </c:pt>
                <c:pt idx="11">
                  <c:v>1</c:v>
                </c:pt>
              </c:numCache>
            </c:numRef>
          </c:yVal>
          <c:smooth val="0"/>
          <c:extLst>
            <c:ext xmlns:c16="http://schemas.microsoft.com/office/drawing/2014/chart" uri="{C3380CC4-5D6E-409C-BE32-E72D297353CC}">
              <c16:uniqueId val="{00000004-907D-4255-BCF6-EBE97888D2F3}"/>
            </c:ext>
          </c:extLst>
        </c:ser>
        <c:ser>
          <c:idx val="4"/>
          <c:order val="4"/>
          <c:tx>
            <c:v>Total AW</c:v>
          </c:tx>
          <c:spPr>
            <a:ln w="19050" cap="rnd">
              <a:solidFill>
                <a:schemeClr val="accent5"/>
              </a:solidFill>
              <a:round/>
            </a:ln>
            <a:effectLst/>
          </c:spPr>
          <c:marker>
            <c:symbol val="circle"/>
            <c:size val="5"/>
            <c:spPr>
              <a:solidFill>
                <a:schemeClr val="accent5"/>
              </a:solidFill>
              <a:ln w="9525">
                <a:solidFill>
                  <a:schemeClr val="accent5"/>
                </a:solidFill>
              </a:ln>
              <a:effectLst/>
            </c:spPr>
          </c:marker>
          <c:xVal>
            <c:numRef>
              <c:f>Gini_2016!$H$157:$H$168</c:f>
              <c:numCache>
                <c:formatCode>0.00</c:formatCode>
                <c:ptCount val="12"/>
                <c:pt idx="0">
                  <c:v>0</c:v>
                </c:pt>
                <c:pt idx="1">
                  <c:v>8.3030863015460567E-3</c:v>
                </c:pt>
                <c:pt idx="2">
                  <c:v>1.6953890389316533E-2</c:v>
                </c:pt>
                <c:pt idx="3">
                  <c:v>3.0639997410427677E-2</c:v>
                </c:pt>
                <c:pt idx="4">
                  <c:v>5.3837159897602418E-2</c:v>
                </c:pt>
                <c:pt idx="5">
                  <c:v>0.11688690634392547</c:v>
                </c:pt>
                <c:pt idx="6">
                  <c:v>0.19578672326740743</c:v>
                </c:pt>
                <c:pt idx="7">
                  <c:v>0.32247909351606685</c:v>
                </c:pt>
                <c:pt idx="8">
                  <c:v>0.33783417681285682</c:v>
                </c:pt>
                <c:pt idx="9">
                  <c:v>0.66504375066944488</c:v>
                </c:pt>
                <c:pt idx="10">
                  <c:v>0.72662416139794617</c:v>
                </c:pt>
                <c:pt idx="11">
                  <c:v>1.0000000000000002</c:v>
                </c:pt>
              </c:numCache>
            </c:numRef>
          </c:xVal>
          <c:yVal>
            <c:numRef>
              <c:f>Gini_2016!$G$157:$G$168</c:f>
              <c:numCache>
                <c:formatCode>0.00</c:formatCode>
                <c:ptCount val="12"/>
                <c:pt idx="0">
                  <c:v>0</c:v>
                </c:pt>
                <c:pt idx="1">
                  <c:v>0</c:v>
                </c:pt>
                <c:pt idx="2">
                  <c:v>6.2417053793151073E-3</c:v>
                </c:pt>
                <c:pt idx="3">
                  <c:v>1.9690421884289714E-2</c:v>
                </c:pt>
                <c:pt idx="4">
                  <c:v>4.5527615608622118E-2</c:v>
                </c:pt>
                <c:pt idx="5">
                  <c:v>8.0324972589433941E-2</c:v>
                </c:pt>
                <c:pt idx="6">
                  <c:v>0.15244008244007023</c:v>
                </c:pt>
                <c:pt idx="7">
                  <c:v>0.22881614478253665</c:v>
                </c:pt>
                <c:pt idx="8">
                  <c:v>0.3138795317516343</c:v>
                </c:pt>
                <c:pt idx="9">
                  <c:v>0.43622602024335771</c:v>
                </c:pt>
                <c:pt idx="10">
                  <c:v>0.64074012082863507</c:v>
                </c:pt>
                <c:pt idx="11">
                  <c:v>1</c:v>
                </c:pt>
              </c:numCache>
            </c:numRef>
          </c:yVal>
          <c:smooth val="0"/>
          <c:extLst>
            <c:ext xmlns:c16="http://schemas.microsoft.com/office/drawing/2014/chart" uri="{C3380CC4-5D6E-409C-BE32-E72D297353CC}">
              <c16:uniqueId val="{00000005-907D-4255-BCF6-EBE97888D2F3}"/>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t>
                </a:r>
                <a:r>
                  <a:rPr lang="en-US" sz="1000" b="0" i="0" u="none" strike="noStrike" baseline="0">
                    <a:effectLst/>
                  </a:rPr>
                  <a:t>Criteria</a:t>
                </a:r>
                <a:endParaRPr lang="en-US" baseline="0"/>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variables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 based on area of each country in the basin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457098300252266"/>
          <c:y val="0.16423456145227788"/>
          <c:w val="0.69762923864608828"/>
          <c:h val="0.66127160527769036"/>
        </c:manualLayout>
      </c:layout>
      <c:scatterChart>
        <c:scatterStyle val="smoothMarker"/>
        <c:varyColors val="0"/>
        <c:ser>
          <c:idx val="1"/>
          <c:order val="1"/>
          <c:tx>
            <c:v>Equality Line</c:v>
          </c:tx>
          <c:spPr>
            <a:ln w="19050" cap="rnd">
              <a:solidFill>
                <a:schemeClr val="accent2"/>
              </a:solidFill>
              <a:round/>
            </a:ln>
            <a:effectLst/>
          </c:spPr>
          <c:marker>
            <c:symbol val="none"/>
          </c:marker>
          <c:xVal>
            <c:numRef>
              <c:f>Gini_2016!$H$94:$H$105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xVal>
          <c:yVal>
            <c:numRef>
              <c:f>Gini_2016!$H$94:$H$105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yVal>
          <c:smooth val="1"/>
          <c:extLst>
            <c:ext xmlns:c16="http://schemas.microsoft.com/office/drawing/2014/chart" uri="{C3380CC4-5D6E-409C-BE32-E72D297353CC}">
              <c16:uniqueId val="{00000000-00C2-4AA8-9151-20612F79E2B5}"/>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Precipitation</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00C2-4AA8-9151-20612F79E2B5}"/>
              </c:ext>
            </c:extLst>
          </c:dPt>
          <c:xVal>
            <c:numRef>
              <c:f>Gini_2016!$H$178:$H$189</c:f>
              <c:numCache>
                <c:formatCode>0.00</c:formatCode>
                <c:ptCount val="12"/>
                <c:pt idx="0">
                  <c:v>0</c:v>
                </c:pt>
                <c:pt idx="1">
                  <c:v>8.2249727275718124E-2</c:v>
                </c:pt>
                <c:pt idx="2">
                  <c:v>9.0263247322775519E-2</c:v>
                </c:pt>
                <c:pt idx="3">
                  <c:v>9.4581027823807909E-2</c:v>
                </c:pt>
                <c:pt idx="4">
                  <c:v>0.1013971131412383</c:v>
                </c:pt>
                <c:pt idx="5">
                  <c:v>0.10808687676914244</c:v>
                </c:pt>
                <c:pt idx="6">
                  <c:v>0.12427174144854033</c:v>
                </c:pt>
                <c:pt idx="7">
                  <c:v>0.16345651867644251</c:v>
                </c:pt>
                <c:pt idx="8">
                  <c:v>0.24099269172425059</c:v>
                </c:pt>
                <c:pt idx="9">
                  <c:v>0.67926609315684749</c:v>
                </c:pt>
                <c:pt idx="10">
                  <c:v>0.79811612788873898</c:v>
                </c:pt>
                <c:pt idx="11">
                  <c:v>1</c:v>
                </c:pt>
              </c:numCache>
            </c:numRef>
          </c:xVal>
          <c:yVal>
            <c:numRef>
              <c:f>Gini_2016!$G$178:$G$189</c:f>
              <c:numCache>
                <c:formatCode>0.00</c:formatCode>
                <c:ptCount val="12"/>
                <c:pt idx="0">
                  <c:v>0</c:v>
                </c:pt>
                <c:pt idx="1">
                  <c:v>3.1349739129321592E-3</c:v>
                </c:pt>
                <c:pt idx="2">
                  <c:v>9.8318337416622992E-3</c:v>
                </c:pt>
                <c:pt idx="3">
                  <c:v>1.7895180768675793E-2</c:v>
                </c:pt>
                <c:pt idx="4">
                  <c:v>2.9284369859248531E-2</c:v>
                </c:pt>
                <c:pt idx="5">
                  <c:v>4.2067458990586205E-2</c:v>
                </c:pt>
                <c:pt idx="6">
                  <c:v>7.445965352965464E-2</c:v>
                </c:pt>
                <c:pt idx="7">
                  <c:v>0.13600922188005207</c:v>
                </c:pt>
                <c:pt idx="8">
                  <c:v>0.27310899331631933</c:v>
                </c:pt>
                <c:pt idx="9">
                  <c:v>0.4601123760377257</c:v>
                </c:pt>
                <c:pt idx="10">
                  <c:v>0.68902644485704645</c:v>
                </c:pt>
                <c:pt idx="11">
                  <c:v>1</c:v>
                </c:pt>
              </c:numCache>
            </c:numRef>
          </c:yVal>
          <c:smooth val="0"/>
          <c:extLst>
            <c:ext xmlns:c16="http://schemas.microsoft.com/office/drawing/2014/chart" uri="{C3380CC4-5D6E-409C-BE32-E72D297353CC}">
              <c16:uniqueId val="{00000002-00C2-4AA8-9151-20612F79E2B5}"/>
            </c:ext>
          </c:extLst>
        </c:ser>
        <c:ser>
          <c:idx val="2"/>
          <c:order val="2"/>
          <c:tx>
            <c:v>ETa</c:v>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Gini_2016!$H$199:$H$210</c:f>
              <c:numCache>
                <c:formatCode>0.00</c:formatCode>
                <c:ptCount val="12"/>
                <c:pt idx="0">
                  <c:v>0</c:v>
                </c:pt>
                <c:pt idx="1">
                  <c:v>8.0135200470573958E-3</c:v>
                </c:pt>
                <c:pt idx="2">
                  <c:v>1.2331300548089792E-2</c:v>
                </c:pt>
                <c:pt idx="3">
                  <c:v>1.9147385865520176E-2</c:v>
                </c:pt>
                <c:pt idx="4">
                  <c:v>2.5837149493424316E-2</c:v>
                </c:pt>
                <c:pt idx="5">
                  <c:v>4.2022014172822211E-2</c:v>
                </c:pt>
                <c:pt idx="6">
                  <c:v>0.12427174144854033</c:v>
                </c:pt>
                <c:pt idx="7">
                  <c:v>0.16345651867644251</c:v>
                </c:pt>
                <c:pt idx="8">
                  <c:v>0.24099269172425059</c:v>
                </c:pt>
                <c:pt idx="9">
                  <c:v>0.35984272645614207</c:v>
                </c:pt>
                <c:pt idx="10">
                  <c:v>0.79811612788873898</c:v>
                </c:pt>
                <c:pt idx="11">
                  <c:v>1</c:v>
                </c:pt>
              </c:numCache>
            </c:numRef>
          </c:xVal>
          <c:yVal>
            <c:numRef>
              <c:f>Gini_2016!$G$199:$G$210</c:f>
              <c:numCache>
                <c:formatCode>0.00</c:formatCode>
                <c:ptCount val="12"/>
                <c:pt idx="0">
                  <c:v>0</c:v>
                </c:pt>
                <c:pt idx="1">
                  <c:v>5.3657375780652326E-3</c:v>
                </c:pt>
                <c:pt idx="2">
                  <c:v>1.1041902665028754E-2</c:v>
                </c:pt>
                <c:pt idx="3">
                  <c:v>1.9982340750526361E-2</c:v>
                </c:pt>
                <c:pt idx="4">
                  <c:v>3.2265147121524042E-2</c:v>
                </c:pt>
                <c:pt idx="5">
                  <c:v>5.8426557035122187E-2</c:v>
                </c:pt>
                <c:pt idx="6">
                  <c:v>8.7385491466809379E-2</c:v>
                </c:pt>
                <c:pt idx="7">
                  <c:v>0.14191745168999531</c:v>
                </c:pt>
                <c:pt idx="8">
                  <c:v>0.27288850872289716</c:v>
                </c:pt>
                <c:pt idx="9">
                  <c:v>0.43697858025179592</c:v>
                </c:pt>
                <c:pt idx="10">
                  <c:v>0.64716397626293776</c:v>
                </c:pt>
                <c:pt idx="11">
                  <c:v>1</c:v>
                </c:pt>
              </c:numCache>
            </c:numRef>
          </c:yVal>
          <c:smooth val="0"/>
          <c:extLst>
            <c:ext xmlns:c16="http://schemas.microsoft.com/office/drawing/2014/chart" uri="{C3380CC4-5D6E-409C-BE32-E72D297353CC}">
              <c16:uniqueId val="{00000003-00C2-4AA8-9151-20612F79E2B5}"/>
            </c:ext>
          </c:extLst>
        </c:ser>
        <c:ser>
          <c:idx val="3"/>
          <c:order val="3"/>
          <c:tx>
            <c:v>Internal AW</c:v>
          </c:tx>
          <c:spPr>
            <a:ln w="19050" cap="rnd">
              <a:solidFill>
                <a:schemeClr val="accent4"/>
              </a:solidFill>
              <a:round/>
            </a:ln>
            <a:effectLst/>
          </c:spPr>
          <c:marker>
            <c:symbol val="circle"/>
            <c:size val="5"/>
            <c:spPr>
              <a:solidFill>
                <a:schemeClr val="accent4"/>
              </a:solidFill>
              <a:ln w="9525">
                <a:solidFill>
                  <a:schemeClr val="accent4"/>
                </a:solidFill>
              </a:ln>
              <a:effectLst/>
            </c:spPr>
          </c:marker>
          <c:xVal>
            <c:numRef>
              <c:f>Gini_2016!$H$220:$H$231</c:f>
              <c:numCache>
                <c:formatCode>0.00</c:formatCode>
                <c:ptCount val="12"/>
                <c:pt idx="0">
                  <c:v>0</c:v>
                </c:pt>
                <c:pt idx="1">
                  <c:v>6.6897636279041406E-3</c:v>
                </c:pt>
                <c:pt idx="2">
                  <c:v>8.893949090362227E-2</c:v>
                </c:pt>
                <c:pt idx="3">
                  <c:v>0.52721289233621915</c:v>
                </c:pt>
                <c:pt idx="4">
                  <c:v>0.72909676444748017</c:v>
                </c:pt>
                <c:pt idx="5">
                  <c:v>0.8066329374952883</c:v>
                </c:pt>
                <c:pt idx="6">
                  <c:v>0.81464645754234566</c:v>
                </c:pt>
                <c:pt idx="7">
                  <c:v>0.82146254285977605</c:v>
                </c:pt>
                <c:pt idx="8">
                  <c:v>0.82578032336080842</c:v>
                </c:pt>
                <c:pt idx="9">
                  <c:v>0.84196518804020637</c:v>
                </c:pt>
                <c:pt idx="10">
                  <c:v>0.88114996526810851</c:v>
                </c:pt>
                <c:pt idx="11">
                  <c:v>1</c:v>
                </c:pt>
              </c:numCache>
            </c:numRef>
          </c:xVal>
          <c:yVal>
            <c:numRef>
              <c:f>Gini_2016!$G$220:$G$231</c:f>
              <c:numCache>
                <c:formatCode>0.00</c:formatCode>
                <c:ptCount val="12"/>
                <c:pt idx="0">
                  <c:v>0</c:v>
                </c:pt>
                <c:pt idx="1">
                  <c:v>0</c:v>
                </c:pt>
                <c:pt idx="2">
                  <c:v>0</c:v>
                </c:pt>
                <c:pt idx="3">
                  <c:v>0</c:v>
                </c:pt>
                <c:pt idx="4">
                  <c:v>0</c:v>
                </c:pt>
                <c:pt idx="5">
                  <c:v>0</c:v>
                </c:pt>
                <c:pt idx="6">
                  <c:v>1.2534928538947977E-2</c:v>
                </c:pt>
                <c:pt idx="7">
                  <c:v>3.6799179238237847E-2</c:v>
                </c:pt>
                <c:pt idx="8">
                  <c:v>6.3807615248225355E-2</c:v>
                </c:pt>
                <c:pt idx="9">
                  <c:v>0.13368953959285057</c:v>
                </c:pt>
                <c:pt idx="10">
                  <c:v>0.27851498290066962</c:v>
                </c:pt>
                <c:pt idx="11">
                  <c:v>1</c:v>
                </c:pt>
              </c:numCache>
            </c:numRef>
          </c:yVal>
          <c:smooth val="0"/>
          <c:extLst>
            <c:ext xmlns:c16="http://schemas.microsoft.com/office/drawing/2014/chart" uri="{C3380CC4-5D6E-409C-BE32-E72D297353CC}">
              <c16:uniqueId val="{00000004-00C2-4AA8-9151-20612F79E2B5}"/>
            </c:ext>
          </c:extLst>
        </c:ser>
        <c:ser>
          <c:idx val="4"/>
          <c:order val="4"/>
          <c:tx>
            <c:v>Total AW</c:v>
          </c:tx>
          <c:spPr>
            <a:ln w="19050" cap="rnd">
              <a:solidFill>
                <a:schemeClr val="accent5"/>
              </a:solidFill>
              <a:round/>
            </a:ln>
            <a:effectLst/>
          </c:spPr>
          <c:marker>
            <c:symbol val="circle"/>
            <c:size val="5"/>
            <c:spPr>
              <a:solidFill>
                <a:schemeClr val="accent5"/>
              </a:solidFill>
              <a:ln w="9525">
                <a:solidFill>
                  <a:schemeClr val="accent5"/>
                </a:solidFill>
              </a:ln>
              <a:effectLst/>
            </c:spPr>
          </c:marker>
          <c:xVal>
            <c:numRef>
              <c:f>Gini_2016!$H$241:$H$252</c:f>
              <c:numCache>
                <c:formatCode>0.00</c:formatCode>
                <c:ptCount val="12"/>
                <c:pt idx="0">
                  <c:v>0</c:v>
                </c:pt>
                <c:pt idx="1">
                  <c:v>6.6897636279041389E-3</c:v>
                </c:pt>
                <c:pt idx="2">
                  <c:v>1.4703283674961532E-2</c:v>
                </c:pt>
                <c:pt idx="3">
                  <c:v>1.9021064175993925E-2</c:v>
                </c:pt>
                <c:pt idx="4">
                  <c:v>2.5837149493424309E-2</c:v>
                </c:pt>
                <c:pt idx="5">
                  <c:v>4.2022014172822197E-2</c:v>
                </c:pt>
                <c:pt idx="6">
                  <c:v>8.1206791400724371E-2</c:v>
                </c:pt>
                <c:pt idx="7">
                  <c:v>0.15874296444853245</c:v>
                </c:pt>
                <c:pt idx="8">
                  <c:v>0.36062683655979344</c:v>
                </c:pt>
                <c:pt idx="9">
                  <c:v>0.79890023799239029</c:v>
                </c:pt>
                <c:pt idx="10">
                  <c:v>0.8811499652681084</c:v>
                </c:pt>
                <c:pt idx="11">
                  <c:v>0.99999999999999989</c:v>
                </c:pt>
              </c:numCache>
            </c:numRef>
          </c:xVal>
          <c:yVal>
            <c:numRef>
              <c:f>Gini_2016!$G$241:$G$252</c:f>
              <c:numCache>
                <c:formatCode>0.00</c:formatCode>
                <c:ptCount val="12"/>
                <c:pt idx="0">
                  <c:v>0</c:v>
                </c:pt>
                <c:pt idx="1">
                  <c:v>0</c:v>
                </c:pt>
                <c:pt idx="2">
                  <c:v>6.2417053793151073E-3</c:v>
                </c:pt>
                <c:pt idx="3">
                  <c:v>1.9690421884289714E-2</c:v>
                </c:pt>
                <c:pt idx="4">
                  <c:v>4.5527615608622118E-2</c:v>
                </c:pt>
                <c:pt idx="5">
                  <c:v>8.0324972589433941E-2</c:v>
                </c:pt>
                <c:pt idx="6">
                  <c:v>0.15244008244007023</c:v>
                </c:pt>
                <c:pt idx="7">
                  <c:v>0.22881614478253665</c:v>
                </c:pt>
                <c:pt idx="8">
                  <c:v>0.3138795317516343</c:v>
                </c:pt>
                <c:pt idx="9">
                  <c:v>0.43622602024335771</c:v>
                </c:pt>
                <c:pt idx="10">
                  <c:v>0.64074012082863507</c:v>
                </c:pt>
                <c:pt idx="11">
                  <c:v>1</c:v>
                </c:pt>
              </c:numCache>
            </c:numRef>
          </c:yVal>
          <c:smooth val="0"/>
          <c:extLst>
            <c:ext xmlns:c16="http://schemas.microsoft.com/office/drawing/2014/chart" uri="{C3380CC4-5D6E-409C-BE32-E72D297353CC}">
              <c16:uniqueId val="{00000005-00C2-4AA8-9151-20612F79E2B5}"/>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t>
                </a:r>
                <a:r>
                  <a:rPr lang="en-US" sz="1000" b="0" i="0" u="none" strike="noStrike" baseline="0">
                    <a:effectLst/>
                  </a:rPr>
                  <a:t>Criteria</a:t>
                </a:r>
                <a:endParaRPr lang="en-US" baseline="0"/>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variables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layout>
        <c:manualLayout>
          <c:xMode val="edge"/>
          <c:yMode val="edge"/>
          <c:x val="0.81944879380053437"/>
          <c:y val="0.38221744320590534"/>
          <c:w val="0.18021896777407129"/>
          <c:h val="0.349143219407329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Gini_2017!$H$94:$H$105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xVal>
          <c:yVal>
            <c:numRef>
              <c:f>Gini_2017!$H$94:$H$105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yVal>
          <c:smooth val="1"/>
          <c:extLst>
            <c:ext xmlns:c16="http://schemas.microsoft.com/office/drawing/2014/chart" uri="{C3380CC4-5D6E-409C-BE32-E72D297353CC}">
              <c16:uniqueId val="{00000000-8C1C-4281-8ED6-7ADDC48CC845}"/>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8C1C-4281-8ED6-7ADDC48CC845}"/>
              </c:ext>
            </c:extLst>
          </c:dPt>
          <c:xVal>
            <c:numRef>
              <c:f>Gini_2017!$H$94:$H$105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xVal>
          <c:yVal>
            <c:numRef>
              <c:f>Gini_2017!$G$94:$G$105</c:f>
              <c:numCache>
                <c:formatCode>0.00</c:formatCode>
                <c:ptCount val="12"/>
                <c:pt idx="0">
                  <c:v>0</c:v>
                </c:pt>
                <c:pt idx="1">
                  <c:v>1.6224065801728926E-3</c:v>
                </c:pt>
                <c:pt idx="2">
                  <c:v>8.5337488862051308E-3</c:v>
                </c:pt>
                <c:pt idx="3">
                  <c:v>1.6015984339316631E-2</c:v>
                </c:pt>
                <c:pt idx="4">
                  <c:v>2.6254221901517355E-2</c:v>
                </c:pt>
                <c:pt idx="5">
                  <c:v>3.7640558755767384E-2</c:v>
                </c:pt>
                <c:pt idx="6">
                  <c:v>7.2667451991973026E-2</c:v>
                </c:pt>
                <c:pt idx="7">
                  <c:v>0.13524129298114196</c:v>
                </c:pt>
                <c:pt idx="8">
                  <c:v>0.2757067296209304</c:v>
                </c:pt>
                <c:pt idx="9">
                  <c:v>0.46965007539927839</c:v>
                </c:pt>
                <c:pt idx="10">
                  <c:v>0.70197873421734569</c:v>
                </c:pt>
                <c:pt idx="11">
                  <c:v>0.99999999999999989</c:v>
                </c:pt>
              </c:numCache>
            </c:numRef>
          </c:yVal>
          <c:smooth val="0"/>
          <c:extLst>
            <c:ext xmlns:c16="http://schemas.microsoft.com/office/drawing/2014/chart" uri="{C3380CC4-5D6E-409C-BE32-E72D297353CC}">
              <c16:uniqueId val="{00000002-8C1C-4281-8ED6-7ADDC48CC845}"/>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Precipitation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301861863580613"/>
          <c:y val="0.1566342980154827"/>
          <c:w val="0.54960252622417904"/>
          <c:h val="0.65904922055244786"/>
        </c:manualLayout>
      </c:layout>
      <c:scatterChart>
        <c:scatterStyle val="smoothMarker"/>
        <c:varyColors val="0"/>
        <c:ser>
          <c:idx val="1"/>
          <c:order val="1"/>
          <c:tx>
            <c:v>Equality Line</c:v>
          </c:tx>
          <c:spPr>
            <a:ln w="19050" cap="rnd">
              <a:solidFill>
                <a:schemeClr val="accent2"/>
              </a:solidFill>
              <a:round/>
            </a:ln>
            <a:effectLst/>
          </c:spPr>
          <c:marker>
            <c:symbol val="none"/>
          </c:marker>
          <c:xVal>
            <c:numRef>
              <c:f>Gini_2017!$H$115:$H$126</c:f>
              <c:numCache>
                <c:formatCode>0.00</c:formatCode>
                <c:ptCount val="12"/>
                <c:pt idx="0">
                  <c:v>0</c:v>
                </c:pt>
                <c:pt idx="1">
                  <c:v>8.6508040877704764E-3</c:v>
                </c:pt>
                <c:pt idx="2">
                  <c:v>2.233691110888162E-2</c:v>
                </c:pt>
                <c:pt idx="3">
                  <c:v>4.5534073596056365E-2</c:v>
                </c:pt>
                <c:pt idx="4">
                  <c:v>5.3837159897602418E-2</c:v>
                </c:pt>
                <c:pt idx="5">
                  <c:v>0.11688690634392547</c:v>
                </c:pt>
                <c:pt idx="6">
                  <c:v>0.17846731707242672</c:v>
                </c:pt>
                <c:pt idx="7">
                  <c:v>0.25736713399590871</c:v>
                </c:pt>
                <c:pt idx="8">
                  <c:v>0.38405950424456814</c:v>
                </c:pt>
                <c:pt idx="9">
                  <c:v>0.65743534284662219</c:v>
                </c:pt>
                <c:pt idx="10">
                  <c:v>0.98464491670321019</c:v>
                </c:pt>
                <c:pt idx="11">
                  <c:v>1.0000000000000002</c:v>
                </c:pt>
              </c:numCache>
            </c:numRef>
          </c:xVal>
          <c:yVal>
            <c:numRef>
              <c:f>Gini_2017!$H$115:$H$126</c:f>
              <c:numCache>
                <c:formatCode>0.00</c:formatCode>
                <c:ptCount val="12"/>
                <c:pt idx="0">
                  <c:v>0</c:v>
                </c:pt>
                <c:pt idx="1">
                  <c:v>8.6508040877704764E-3</c:v>
                </c:pt>
                <c:pt idx="2">
                  <c:v>2.233691110888162E-2</c:v>
                </c:pt>
                <c:pt idx="3">
                  <c:v>4.5534073596056365E-2</c:v>
                </c:pt>
                <c:pt idx="4">
                  <c:v>5.3837159897602418E-2</c:v>
                </c:pt>
                <c:pt idx="5">
                  <c:v>0.11688690634392547</c:v>
                </c:pt>
                <c:pt idx="6">
                  <c:v>0.17846731707242672</c:v>
                </c:pt>
                <c:pt idx="7">
                  <c:v>0.25736713399590871</c:v>
                </c:pt>
                <c:pt idx="8">
                  <c:v>0.38405950424456814</c:v>
                </c:pt>
                <c:pt idx="9">
                  <c:v>0.65743534284662219</c:v>
                </c:pt>
                <c:pt idx="10">
                  <c:v>0.98464491670321019</c:v>
                </c:pt>
                <c:pt idx="11">
                  <c:v>1.0000000000000002</c:v>
                </c:pt>
              </c:numCache>
            </c:numRef>
          </c:yVal>
          <c:smooth val="1"/>
          <c:extLst>
            <c:ext xmlns:c16="http://schemas.microsoft.com/office/drawing/2014/chart" uri="{C3380CC4-5D6E-409C-BE32-E72D297353CC}">
              <c16:uniqueId val="{00000000-F152-4A64-A1E7-98CBE421418D}"/>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F152-4A64-A1E7-98CBE421418D}"/>
              </c:ext>
            </c:extLst>
          </c:dPt>
          <c:xVal>
            <c:numRef>
              <c:f>Gini_2017!$H$115:$H$126</c:f>
              <c:numCache>
                <c:formatCode>0.00</c:formatCode>
                <c:ptCount val="12"/>
                <c:pt idx="0">
                  <c:v>0</c:v>
                </c:pt>
                <c:pt idx="1">
                  <c:v>8.6508040877704764E-3</c:v>
                </c:pt>
                <c:pt idx="2">
                  <c:v>2.233691110888162E-2</c:v>
                </c:pt>
                <c:pt idx="3">
                  <c:v>4.5534073596056365E-2</c:v>
                </c:pt>
                <c:pt idx="4">
                  <c:v>5.3837159897602418E-2</c:v>
                </c:pt>
                <c:pt idx="5">
                  <c:v>0.11688690634392547</c:v>
                </c:pt>
                <c:pt idx="6">
                  <c:v>0.17846731707242672</c:v>
                </c:pt>
                <c:pt idx="7">
                  <c:v>0.25736713399590871</c:v>
                </c:pt>
                <c:pt idx="8">
                  <c:v>0.38405950424456814</c:v>
                </c:pt>
                <c:pt idx="9">
                  <c:v>0.65743534284662219</c:v>
                </c:pt>
                <c:pt idx="10">
                  <c:v>0.98464491670321019</c:v>
                </c:pt>
                <c:pt idx="11">
                  <c:v>1.0000000000000002</c:v>
                </c:pt>
              </c:numCache>
            </c:numRef>
          </c:xVal>
          <c:yVal>
            <c:numRef>
              <c:f>Gini_2017!$G$115:$G$126</c:f>
              <c:numCache>
                <c:formatCode>0.00</c:formatCode>
                <c:ptCount val="12"/>
                <c:pt idx="0">
                  <c:v>0</c:v>
                </c:pt>
                <c:pt idx="1">
                  <c:v>5.2999093049631314E-3</c:v>
                </c:pt>
                <c:pt idx="2">
                  <c:v>1.1764115874623525E-2</c:v>
                </c:pt>
                <c:pt idx="3">
                  <c:v>2.1200626048673787E-2</c:v>
                </c:pt>
                <c:pt idx="4">
                  <c:v>3.3560975242154255E-2</c:v>
                </c:pt>
                <c:pt idx="5">
                  <c:v>6.1108530255808799E-2</c:v>
                </c:pt>
                <c:pt idx="6">
                  <c:v>9.109586517054033E-2</c:v>
                </c:pt>
                <c:pt idx="7">
                  <c:v>0.14509025520478358</c:v>
                </c:pt>
                <c:pt idx="8">
                  <c:v>0.27648140963360179</c:v>
                </c:pt>
                <c:pt idx="9">
                  <c:v>0.44423734960873451</c:v>
                </c:pt>
                <c:pt idx="10">
                  <c:v>0.65136000022667062</c:v>
                </c:pt>
                <c:pt idx="11">
                  <c:v>1</c:v>
                </c:pt>
              </c:numCache>
            </c:numRef>
          </c:yVal>
          <c:smooth val="0"/>
          <c:extLst>
            <c:ext xmlns:c16="http://schemas.microsoft.com/office/drawing/2014/chart" uri="{C3380CC4-5D6E-409C-BE32-E72D297353CC}">
              <c16:uniqueId val="{00000002-F152-4A64-A1E7-98CBE421418D}"/>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ETa</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Gini_2017!$H$136:$H$147</c:f>
              <c:numCache>
                <c:formatCode>0.00</c:formatCode>
                <c:ptCount val="12"/>
                <c:pt idx="0">
                  <c:v>0</c:v>
                </c:pt>
                <c:pt idx="1">
                  <c:v>8.3030863015460567E-3</c:v>
                </c:pt>
                <c:pt idx="2">
                  <c:v>6.9883497030047301E-2</c:v>
                </c:pt>
                <c:pt idx="3">
                  <c:v>0.39709307088663531</c:v>
                </c:pt>
                <c:pt idx="4">
                  <c:v>0.41244815418342529</c:v>
                </c:pt>
                <c:pt idx="5">
                  <c:v>0.43564531667060002</c:v>
                </c:pt>
                <c:pt idx="6">
                  <c:v>0.4493314236917112</c:v>
                </c:pt>
                <c:pt idx="7">
                  <c:v>0.45798222777948167</c:v>
                </c:pt>
                <c:pt idx="8">
                  <c:v>0.52103197422580472</c:v>
                </c:pt>
                <c:pt idx="9">
                  <c:v>0.64772434447446414</c:v>
                </c:pt>
                <c:pt idx="10">
                  <c:v>0.72662416139794606</c:v>
                </c:pt>
                <c:pt idx="11">
                  <c:v>1</c:v>
                </c:pt>
              </c:numCache>
            </c:numRef>
          </c:xVal>
          <c:yVal>
            <c:numRef>
              <c:f>Gini_2017!$H$136:$H$147</c:f>
              <c:numCache>
                <c:formatCode>0.00</c:formatCode>
                <c:ptCount val="12"/>
                <c:pt idx="0">
                  <c:v>0</c:v>
                </c:pt>
                <c:pt idx="1">
                  <c:v>8.3030863015460567E-3</c:v>
                </c:pt>
                <c:pt idx="2">
                  <c:v>6.9883497030047301E-2</c:v>
                </c:pt>
                <c:pt idx="3">
                  <c:v>0.39709307088663531</c:v>
                </c:pt>
                <c:pt idx="4">
                  <c:v>0.41244815418342529</c:v>
                </c:pt>
                <c:pt idx="5">
                  <c:v>0.43564531667060002</c:v>
                </c:pt>
                <c:pt idx="6">
                  <c:v>0.4493314236917112</c:v>
                </c:pt>
                <c:pt idx="7">
                  <c:v>0.45798222777948167</c:v>
                </c:pt>
                <c:pt idx="8">
                  <c:v>0.52103197422580472</c:v>
                </c:pt>
                <c:pt idx="9">
                  <c:v>0.64772434447446414</c:v>
                </c:pt>
                <c:pt idx="10">
                  <c:v>0.72662416139794606</c:v>
                </c:pt>
                <c:pt idx="11">
                  <c:v>1</c:v>
                </c:pt>
              </c:numCache>
            </c:numRef>
          </c:yVal>
          <c:smooth val="1"/>
          <c:extLst>
            <c:ext xmlns:c16="http://schemas.microsoft.com/office/drawing/2014/chart" uri="{C3380CC4-5D6E-409C-BE32-E72D297353CC}">
              <c16:uniqueId val="{00000000-562E-4563-AFA3-2B5F8603C47F}"/>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562E-4563-AFA3-2B5F8603C47F}"/>
              </c:ext>
            </c:extLst>
          </c:dPt>
          <c:xVal>
            <c:numRef>
              <c:f>Gini_2017!$H$136:$H$147</c:f>
              <c:numCache>
                <c:formatCode>0.00</c:formatCode>
                <c:ptCount val="12"/>
                <c:pt idx="0">
                  <c:v>0</c:v>
                </c:pt>
                <c:pt idx="1">
                  <c:v>8.3030863015460567E-3</c:v>
                </c:pt>
                <c:pt idx="2">
                  <c:v>6.9883497030047301E-2</c:v>
                </c:pt>
                <c:pt idx="3">
                  <c:v>0.39709307088663531</c:v>
                </c:pt>
                <c:pt idx="4">
                  <c:v>0.41244815418342529</c:v>
                </c:pt>
                <c:pt idx="5">
                  <c:v>0.43564531667060002</c:v>
                </c:pt>
                <c:pt idx="6">
                  <c:v>0.4493314236917112</c:v>
                </c:pt>
                <c:pt idx="7">
                  <c:v>0.45798222777948167</c:v>
                </c:pt>
                <c:pt idx="8">
                  <c:v>0.52103197422580472</c:v>
                </c:pt>
                <c:pt idx="9">
                  <c:v>0.64772434447446414</c:v>
                </c:pt>
                <c:pt idx="10">
                  <c:v>0.72662416139794606</c:v>
                </c:pt>
                <c:pt idx="11">
                  <c:v>1</c:v>
                </c:pt>
              </c:numCache>
            </c:numRef>
          </c:xVal>
          <c:yVal>
            <c:numRef>
              <c:f>Gini_2017!$G$136:$G$147</c:f>
              <c:numCache>
                <c:formatCode>0.00</c:formatCode>
                <c:ptCount val="12"/>
                <c:pt idx="0">
                  <c:v>0</c:v>
                </c:pt>
                <c:pt idx="1">
                  <c:v>0</c:v>
                </c:pt>
                <c:pt idx="2">
                  <c:v>0</c:v>
                </c:pt>
                <c:pt idx="3">
                  <c:v>0</c:v>
                </c:pt>
                <c:pt idx="4">
                  <c:v>0</c:v>
                </c:pt>
                <c:pt idx="5">
                  <c:v>7.5433856413997481E-3</c:v>
                </c:pt>
                <c:pt idx="6">
                  <c:v>1.7266325876753193E-2</c:v>
                </c:pt>
                <c:pt idx="7">
                  <c:v>3.3322901571884077E-2</c:v>
                </c:pt>
                <c:pt idx="8">
                  <c:v>0.11202401131199832</c:v>
                </c:pt>
                <c:pt idx="9">
                  <c:v>0.22111542998848044</c:v>
                </c:pt>
                <c:pt idx="10">
                  <c:v>0.35758044200230887</c:v>
                </c:pt>
                <c:pt idx="11">
                  <c:v>1</c:v>
                </c:pt>
              </c:numCache>
            </c:numRef>
          </c:yVal>
          <c:smooth val="0"/>
          <c:extLst>
            <c:ext xmlns:c16="http://schemas.microsoft.com/office/drawing/2014/chart" uri="{C3380CC4-5D6E-409C-BE32-E72D297353CC}">
              <c16:uniqueId val="{00000002-562E-4563-AFA3-2B5F8603C47F}"/>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Available Water</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Gini_2017!$H$157:$H$168</c:f>
              <c:numCache>
                <c:formatCode>0.00</c:formatCode>
                <c:ptCount val="12"/>
                <c:pt idx="0">
                  <c:v>0</c:v>
                </c:pt>
                <c:pt idx="1">
                  <c:v>8.3030863015460567E-3</c:v>
                </c:pt>
                <c:pt idx="2">
                  <c:v>2.19891933226572E-2</c:v>
                </c:pt>
                <c:pt idx="3">
                  <c:v>3.0639997410427677E-2</c:v>
                </c:pt>
                <c:pt idx="4">
                  <c:v>5.3837159897602418E-2</c:v>
                </c:pt>
                <c:pt idx="5">
                  <c:v>0.11688690634392547</c:v>
                </c:pt>
                <c:pt idx="6">
                  <c:v>0.13224198964071543</c:v>
                </c:pt>
                <c:pt idx="7">
                  <c:v>0.2111418065641974</c:v>
                </c:pt>
                <c:pt idx="8">
                  <c:v>0.53835138042078534</c:v>
                </c:pt>
                <c:pt idx="9">
                  <c:v>0.66504375066944477</c:v>
                </c:pt>
                <c:pt idx="10">
                  <c:v>0.72662416139794606</c:v>
                </c:pt>
                <c:pt idx="11">
                  <c:v>1</c:v>
                </c:pt>
              </c:numCache>
            </c:numRef>
          </c:xVal>
          <c:yVal>
            <c:numRef>
              <c:f>Gini_2017!$H$157:$H$168</c:f>
              <c:numCache>
                <c:formatCode>0.00</c:formatCode>
                <c:ptCount val="12"/>
                <c:pt idx="0">
                  <c:v>0</c:v>
                </c:pt>
                <c:pt idx="1">
                  <c:v>8.3030863015460567E-3</c:v>
                </c:pt>
                <c:pt idx="2">
                  <c:v>2.19891933226572E-2</c:v>
                </c:pt>
                <c:pt idx="3">
                  <c:v>3.0639997410427677E-2</c:v>
                </c:pt>
                <c:pt idx="4">
                  <c:v>5.3837159897602418E-2</c:v>
                </c:pt>
                <c:pt idx="5">
                  <c:v>0.11688690634392547</c:v>
                </c:pt>
                <c:pt idx="6">
                  <c:v>0.13224198964071543</c:v>
                </c:pt>
                <c:pt idx="7">
                  <c:v>0.2111418065641974</c:v>
                </c:pt>
                <c:pt idx="8">
                  <c:v>0.53835138042078534</c:v>
                </c:pt>
                <c:pt idx="9">
                  <c:v>0.66504375066944477</c:v>
                </c:pt>
                <c:pt idx="10">
                  <c:v>0.72662416139794606</c:v>
                </c:pt>
                <c:pt idx="11">
                  <c:v>1</c:v>
                </c:pt>
              </c:numCache>
            </c:numRef>
          </c:yVal>
          <c:smooth val="1"/>
          <c:extLst>
            <c:ext xmlns:c16="http://schemas.microsoft.com/office/drawing/2014/chart" uri="{C3380CC4-5D6E-409C-BE32-E72D297353CC}">
              <c16:uniqueId val="{00000000-51F1-47FE-B5B6-DDB2320DF26D}"/>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51F1-47FE-B5B6-DDB2320DF26D}"/>
              </c:ext>
            </c:extLst>
          </c:dPt>
          <c:xVal>
            <c:numRef>
              <c:f>Gini_2017!$H$157:$H$168</c:f>
              <c:numCache>
                <c:formatCode>0.00</c:formatCode>
                <c:ptCount val="12"/>
                <c:pt idx="0">
                  <c:v>0</c:v>
                </c:pt>
                <c:pt idx="1">
                  <c:v>8.3030863015460567E-3</c:v>
                </c:pt>
                <c:pt idx="2">
                  <c:v>2.19891933226572E-2</c:v>
                </c:pt>
                <c:pt idx="3">
                  <c:v>3.0639997410427677E-2</c:v>
                </c:pt>
                <c:pt idx="4">
                  <c:v>5.3837159897602418E-2</c:v>
                </c:pt>
                <c:pt idx="5">
                  <c:v>0.11688690634392547</c:v>
                </c:pt>
                <c:pt idx="6">
                  <c:v>0.13224198964071543</c:v>
                </c:pt>
                <c:pt idx="7">
                  <c:v>0.2111418065641974</c:v>
                </c:pt>
                <c:pt idx="8">
                  <c:v>0.53835138042078534</c:v>
                </c:pt>
                <c:pt idx="9">
                  <c:v>0.66504375066944477</c:v>
                </c:pt>
                <c:pt idx="10">
                  <c:v>0.72662416139794606</c:v>
                </c:pt>
                <c:pt idx="11">
                  <c:v>1</c:v>
                </c:pt>
              </c:numCache>
            </c:numRef>
          </c:xVal>
          <c:yVal>
            <c:numRef>
              <c:f>Gini_2017!$G$157:$G$168</c:f>
              <c:numCache>
                <c:formatCode>0.00</c:formatCode>
                <c:ptCount val="12"/>
                <c:pt idx="0">
                  <c:v>0</c:v>
                </c:pt>
                <c:pt idx="1">
                  <c:v>0</c:v>
                </c:pt>
                <c:pt idx="2">
                  <c:v>5.7874802204534925E-3</c:v>
                </c:pt>
                <c:pt idx="3">
                  <c:v>1.5344991836733241E-2</c:v>
                </c:pt>
                <c:pt idx="4">
                  <c:v>3.0924437339246248E-2</c:v>
                </c:pt>
                <c:pt idx="5">
                  <c:v>7.7770463841855264E-2</c:v>
                </c:pt>
                <c:pt idx="6">
                  <c:v>0.14634917030763622</c:v>
                </c:pt>
                <c:pt idx="7">
                  <c:v>0.22757856580903418</c:v>
                </c:pt>
                <c:pt idx="8">
                  <c:v>0.32621517340662548</c:v>
                </c:pt>
                <c:pt idx="9">
                  <c:v>0.45272564256021913</c:v>
                </c:pt>
                <c:pt idx="10">
                  <c:v>0.61760636236092648</c:v>
                </c:pt>
                <c:pt idx="11">
                  <c:v>1</c:v>
                </c:pt>
              </c:numCache>
            </c:numRef>
          </c:yVal>
          <c:smooth val="0"/>
          <c:extLst>
            <c:ext xmlns:c16="http://schemas.microsoft.com/office/drawing/2014/chart" uri="{C3380CC4-5D6E-409C-BE32-E72D297353CC}">
              <c16:uniqueId val="{00000002-51F1-47FE-B5B6-DDB2320DF26D}"/>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 total</a:t>
                </a:r>
                <a:r>
                  <a:rPr lang="en-US" baseline="0"/>
                  <a:t> available water</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0-DFEC-43C1-9E00-DA6D5111D11E}"/>
              </c:ext>
            </c:extLst>
          </c:dPt>
          <c:xVal>
            <c:numRef>
              <c:f>Gini_2017!$H$6:$H$17</c:f>
              <c:numCache>
                <c:formatCode>0.00</c:formatCode>
                <c:ptCount val="12"/>
                <c:pt idx="0">
                  <c:v>0</c:v>
                </c:pt>
                <c:pt idx="1">
                  <c:v>0.31853588649418857</c:v>
                </c:pt>
                <c:pt idx="2">
                  <c:v>0.32350837515398684</c:v>
                </c:pt>
                <c:pt idx="3">
                  <c:v>0.3461245917799835</c:v>
                </c:pt>
                <c:pt idx="4">
                  <c:v>0.38867583263188904</c:v>
                </c:pt>
                <c:pt idx="5">
                  <c:v>0.40285277491583221</c:v>
                </c:pt>
                <c:pt idx="6">
                  <c:v>0.47702204688462524</c:v>
                </c:pt>
                <c:pt idx="7">
                  <c:v>0.52117662201661585</c:v>
                </c:pt>
                <c:pt idx="8">
                  <c:v>0.67394822766573681</c:v>
                </c:pt>
                <c:pt idx="9">
                  <c:v>0.81231607227600211</c:v>
                </c:pt>
                <c:pt idx="10">
                  <c:v>0.95769095567822338</c:v>
                </c:pt>
                <c:pt idx="11">
                  <c:v>0.99999999999999978</c:v>
                </c:pt>
              </c:numCache>
            </c:numRef>
          </c:xVal>
          <c:yVal>
            <c:numRef>
              <c:f>Gini_2017!$G$6:$G$17</c:f>
              <c:numCache>
                <c:formatCode>0.00</c:formatCode>
                <c:ptCount val="12"/>
                <c:pt idx="0">
                  <c:v>0</c:v>
                </c:pt>
                <c:pt idx="1">
                  <c:v>1.6224065801728926E-3</c:v>
                </c:pt>
                <c:pt idx="2">
                  <c:v>8.5337488862051308E-3</c:v>
                </c:pt>
                <c:pt idx="3">
                  <c:v>1.6015984339316631E-2</c:v>
                </c:pt>
                <c:pt idx="4">
                  <c:v>2.6254221901517355E-2</c:v>
                </c:pt>
                <c:pt idx="5">
                  <c:v>3.7640558755767384E-2</c:v>
                </c:pt>
                <c:pt idx="6">
                  <c:v>7.2667451991973026E-2</c:v>
                </c:pt>
                <c:pt idx="7">
                  <c:v>0.13524129298114196</c:v>
                </c:pt>
                <c:pt idx="8">
                  <c:v>0.2757067296209304</c:v>
                </c:pt>
                <c:pt idx="9">
                  <c:v>0.46965007539927839</c:v>
                </c:pt>
                <c:pt idx="10">
                  <c:v>0.70197873421734569</c:v>
                </c:pt>
                <c:pt idx="11">
                  <c:v>0.99999999999999989</c:v>
                </c:pt>
              </c:numCache>
            </c:numRef>
          </c:yVal>
          <c:smooth val="1"/>
          <c:extLst>
            <c:ext xmlns:c16="http://schemas.microsoft.com/office/drawing/2014/chart" uri="{C3380CC4-5D6E-409C-BE32-E72D297353CC}">
              <c16:uniqueId val="{00000001-DFEC-43C1-9E00-DA6D5111D11E}"/>
            </c:ext>
          </c:extLst>
        </c:ser>
        <c:ser>
          <c:idx val="1"/>
          <c:order val="1"/>
          <c:tx>
            <c:v>Equality Line</c:v>
          </c:tx>
          <c:spPr>
            <a:ln w="19050" cap="rnd">
              <a:solidFill>
                <a:schemeClr val="accent2"/>
              </a:solidFill>
              <a:round/>
            </a:ln>
            <a:effectLst/>
          </c:spPr>
          <c:marker>
            <c:symbol val="none"/>
          </c:marker>
          <c:xVal>
            <c:numRef>
              <c:f>Gini_2017!$H$6:$H$17</c:f>
              <c:numCache>
                <c:formatCode>0.00</c:formatCode>
                <c:ptCount val="12"/>
                <c:pt idx="0">
                  <c:v>0</c:v>
                </c:pt>
                <c:pt idx="1">
                  <c:v>0.31853588649418857</c:v>
                </c:pt>
                <c:pt idx="2">
                  <c:v>0.32350837515398684</c:v>
                </c:pt>
                <c:pt idx="3">
                  <c:v>0.3461245917799835</c:v>
                </c:pt>
                <c:pt idx="4">
                  <c:v>0.38867583263188904</c:v>
                </c:pt>
                <c:pt idx="5">
                  <c:v>0.40285277491583221</c:v>
                </c:pt>
                <c:pt idx="6">
                  <c:v>0.47702204688462524</c:v>
                </c:pt>
                <c:pt idx="7">
                  <c:v>0.52117662201661585</c:v>
                </c:pt>
                <c:pt idx="8">
                  <c:v>0.67394822766573681</c:v>
                </c:pt>
                <c:pt idx="9">
                  <c:v>0.81231607227600211</c:v>
                </c:pt>
                <c:pt idx="10">
                  <c:v>0.95769095567822338</c:v>
                </c:pt>
                <c:pt idx="11">
                  <c:v>0.99999999999999978</c:v>
                </c:pt>
              </c:numCache>
            </c:numRef>
          </c:xVal>
          <c:yVal>
            <c:numRef>
              <c:f>Gini_2017!$H$6:$H$17</c:f>
              <c:numCache>
                <c:formatCode>0.00</c:formatCode>
                <c:ptCount val="12"/>
                <c:pt idx="0">
                  <c:v>0</c:v>
                </c:pt>
                <c:pt idx="1">
                  <c:v>0.31853588649418857</c:v>
                </c:pt>
                <c:pt idx="2">
                  <c:v>0.32350837515398684</c:v>
                </c:pt>
                <c:pt idx="3">
                  <c:v>0.3461245917799835</c:v>
                </c:pt>
                <c:pt idx="4">
                  <c:v>0.38867583263188904</c:v>
                </c:pt>
                <c:pt idx="5">
                  <c:v>0.40285277491583221</c:v>
                </c:pt>
                <c:pt idx="6">
                  <c:v>0.47702204688462524</c:v>
                </c:pt>
                <c:pt idx="7">
                  <c:v>0.52117662201661585</c:v>
                </c:pt>
                <c:pt idx="8">
                  <c:v>0.67394822766573681</c:v>
                </c:pt>
                <c:pt idx="9">
                  <c:v>0.81231607227600211</c:v>
                </c:pt>
                <c:pt idx="10">
                  <c:v>0.95769095567822338</c:v>
                </c:pt>
                <c:pt idx="11">
                  <c:v>0.99999999999999978</c:v>
                </c:pt>
              </c:numCache>
            </c:numRef>
          </c:yVal>
          <c:smooth val="1"/>
          <c:extLst>
            <c:ext xmlns:c16="http://schemas.microsoft.com/office/drawing/2014/chart" uri="{C3380CC4-5D6E-409C-BE32-E72D297353CC}">
              <c16:uniqueId val="{00000002-DFEC-43C1-9E00-DA6D5111D11E}"/>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Population</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Precipitation</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0-B064-402A-825A-E3FE1B950372}"/>
              </c:ext>
            </c:extLst>
          </c:dPt>
          <c:xVal>
            <c:numRef>
              <c:f>Gini_2017!$H$27:$H$38</c:f>
              <c:numCache>
                <c:formatCode>0.00</c:formatCode>
                <c:ptCount val="12"/>
                <c:pt idx="0">
                  <c:v>0</c:v>
                </c:pt>
                <c:pt idx="1">
                  <c:v>4.9724886597982782E-3</c:v>
                </c:pt>
                <c:pt idx="2">
                  <c:v>2.7588705285794969E-2</c:v>
                </c:pt>
                <c:pt idx="3">
                  <c:v>7.0139946137700526E-2</c:v>
                </c:pt>
                <c:pt idx="4">
                  <c:v>8.4316888421643726E-2</c:v>
                </c:pt>
                <c:pt idx="5">
                  <c:v>0.15848616039043678</c:v>
                </c:pt>
                <c:pt idx="6">
                  <c:v>0.47702204688462535</c:v>
                </c:pt>
                <c:pt idx="7">
                  <c:v>0.52117662201661596</c:v>
                </c:pt>
                <c:pt idx="8">
                  <c:v>0.67394822766573692</c:v>
                </c:pt>
                <c:pt idx="9">
                  <c:v>0.81932311106795819</c:v>
                </c:pt>
                <c:pt idx="10">
                  <c:v>0.95769095567822349</c:v>
                </c:pt>
                <c:pt idx="11">
                  <c:v>0.99999999999999989</c:v>
                </c:pt>
              </c:numCache>
            </c:numRef>
          </c:xVal>
          <c:yVal>
            <c:numRef>
              <c:f>Gini_2017!$G$27:$G$38</c:f>
              <c:numCache>
                <c:formatCode>0.00</c:formatCode>
                <c:ptCount val="12"/>
                <c:pt idx="0">
                  <c:v>0</c:v>
                </c:pt>
                <c:pt idx="1">
                  <c:v>5.2999093049631314E-3</c:v>
                </c:pt>
                <c:pt idx="2">
                  <c:v>1.1764115874623525E-2</c:v>
                </c:pt>
                <c:pt idx="3">
                  <c:v>2.1200626048673787E-2</c:v>
                </c:pt>
                <c:pt idx="4">
                  <c:v>3.3560975242154255E-2</c:v>
                </c:pt>
                <c:pt idx="5">
                  <c:v>6.1108530255808799E-2</c:v>
                </c:pt>
                <c:pt idx="6">
                  <c:v>9.109586517054033E-2</c:v>
                </c:pt>
                <c:pt idx="7">
                  <c:v>0.14509025520478358</c:v>
                </c:pt>
                <c:pt idx="8">
                  <c:v>0.27648140963360179</c:v>
                </c:pt>
                <c:pt idx="9">
                  <c:v>0.44423734960873451</c:v>
                </c:pt>
                <c:pt idx="10">
                  <c:v>0.65136000022667062</c:v>
                </c:pt>
                <c:pt idx="11">
                  <c:v>1</c:v>
                </c:pt>
              </c:numCache>
            </c:numRef>
          </c:yVal>
          <c:smooth val="1"/>
          <c:extLst>
            <c:ext xmlns:c16="http://schemas.microsoft.com/office/drawing/2014/chart" uri="{C3380CC4-5D6E-409C-BE32-E72D297353CC}">
              <c16:uniqueId val="{00000001-B064-402A-825A-E3FE1B950372}"/>
            </c:ext>
          </c:extLst>
        </c:ser>
        <c:ser>
          <c:idx val="2"/>
          <c:order val="1"/>
          <c:tx>
            <c:v>Equality Line</c:v>
          </c:tx>
          <c:spPr>
            <a:ln w="19050" cap="rnd">
              <a:solidFill>
                <a:schemeClr val="accent2"/>
              </a:solidFill>
              <a:round/>
            </a:ln>
            <a:effectLst/>
          </c:spPr>
          <c:marker>
            <c:symbol val="none"/>
          </c:marker>
          <c:xVal>
            <c:numRef>
              <c:f>Gini_2017!$H$27:$H$38</c:f>
              <c:numCache>
                <c:formatCode>0.00</c:formatCode>
                <c:ptCount val="12"/>
                <c:pt idx="0">
                  <c:v>0</c:v>
                </c:pt>
                <c:pt idx="1">
                  <c:v>4.9724886597982782E-3</c:v>
                </c:pt>
                <c:pt idx="2">
                  <c:v>2.7588705285794969E-2</c:v>
                </c:pt>
                <c:pt idx="3">
                  <c:v>7.0139946137700526E-2</c:v>
                </c:pt>
                <c:pt idx="4">
                  <c:v>8.4316888421643726E-2</c:v>
                </c:pt>
                <c:pt idx="5">
                  <c:v>0.15848616039043678</c:v>
                </c:pt>
                <c:pt idx="6">
                  <c:v>0.47702204688462535</c:v>
                </c:pt>
                <c:pt idx="7">
                  <c:v>0.52117662201661596</c:v>
                </c:pt>
                <c:pt idx="8">
                  <c:v>0.67394822766573692</c:v>
                </c:pt>
                <c:pt idx="9">
                  <c:v>0.81932311106795819</c:v>
                </c:pt>
                <c:pt idx="10">
                  <c:v>0.95769095567822349</c:v>
                </c:pt>
                <c:pt idx="11">
                  <c:v>0.99999999999999989</c:v>
                </c:pt>
              </c:numCache>
            </c:numRef>
          </c:xVal>
          <c:yVal>
            <c:numRef>
              <c:f>Gini_2017!$H$27:$H$38</c:f>
              <c:numCache>
                <c:formatCode>0.00</c:formatCode>
                <c:ptCount val="12"/>
                <c:pt idx="0">
                  <c:v>0</c:v>
                </c:pt>
                <c:pt idx="1">
                  <c:v>4.9724886597982782E-3</c:v>
                </c:pt>
                <c:pt idx="2">
                  <c:v>2.7588705285794969E-2</c:v>
                </c:pt>
                <c:pt idx="3">
                  <c:v>7.0139946137700526E-2</c:v>
                </c:pt>
                <c:pt idx="4">
                  <c:v>8.4316888421643726E-2</c:v>
                </c:pt>
                <c:pt idx="5">
                  <c:v>0.15848616039043678</c:v>
                </c:pt>
                <c:pt idx="6">
                  <c:v>0.47702204688462535</c:v>
                </c:pt>
                <c:pt idx="7">
                  <c:v>0.52117662201661596</c:v>
                </c:pt>
                <c:pt idx="8">
                  <c:v>0.67394822766573692</c:v>
                </c:pt>
                <c:pt idx="9">
                  <c:v>0.81932311106795819</c:v>
                </c:pt>
                <c:pt idx="10">
                  <c:v>0.95769095567822349</c:v>
                </c:pt>
                <c:pt idx="11">
                  <c:v>0.99999999999999989</c:v>
                </c:pt>
              </c:numCache>
            </c:numRef>
          </c:yVal>
          <c:smooth val="1"/>
          <c:extLst>
            <c:ext xmlns:c16="http://schemas.microsoft.com/office/drawing/2014/chart" uri="{C3380CC4-5D6E-409C-BE32-E72D297353CC}">
              <c16:uniqueId val="{00000002-B064-402A-825A-E3FE1B950372}"/>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Population</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ETa</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Gini_2017!$H$49:$H$60</c:f>
              <c:numCache>
                <c:formatCode>0.00</c:formatCode>
                <c:ptCount val="12"/>
                <c:pt idx="0">
                  <c:v>0</c:v>
                </c:pt>
                <c:pt idx="1">
                  <c:v>1.4176942283943195E-2</c:v>
                </c:pt>
                <c:pt idx="2">
                  <c:v>0.33271282877813174</c:v>
                </c:pt>
                <c:pt idx="3">
                  <c:v>0.47108067338839704</c:v>
                </c:pt>
                <c:pt idx="4">
                  <c:v>0.51338971771017339</c:v>
                </c:pt>
                <c:pt idx="5">
                  <c:v>0.55594095856207892</c:v>
                </c:pt>
                <c:pt idx="6">
                  <c:v>0.57855717518807559</c:v>
                </c:pt>
                <c:pt idx="7">
                  <c:v>0.58352966384787386</c:v>
                </c:pt>
                <c:pt idx="8">
                  <c:v>0.65769893581666694</c:v>
                </c:pt>
                <c:pt idx="9">
                  <c:v>0.8104705414657879</c:v>
                </c:pt>
                <c:pt idx="10">
                  <c:v>0.85462511659777851</c:v>
                </c:pt>
                <c:pt idx="11">
                  <c:v>0.99999999999999978</c:v>
                </c:pt>
              </c:numCache>
            </c:numRef>
          </c:xVal>
          <c:yVal>
            <c:numRef>
              <c:f>Gini_2017!$H$49:$H$60</c:f>
              <c:numCache>
                <c:formatCode>0.00</c:formatCode>
                <c:ptCount val="12"/>
                <c:pt idx="0">
                  <c:v>0</c:v>
                </c:pt>
                <c:pt idx="1">
                  <c:v>1.4176942283943195E-2</c:v>
                </c:pt>
                <c:pt idx="2">
                  <c:v>0.33271282877813174</c:v>
                </c:pt>
                <c:pt idx="3">
                  <c:v>0.47108067338839704</c:v>
                </c:pt>
                <c:pt idx="4">
                  <c:v>0.51338971771017339</c:v>
                </c:pt>
                <c:pt idx="5">
                  <c:v>0.55594095856207892</c:v>
                </c:pt>
                <c:pt idx="6">
                  <c:v>0.57855717518807559</c:v>
                </c:pt>
                <c:pt idx="7">
                  <c:v>0.58352966384787386</c:v>
                </c:pt>
                <c:pt idx="8">
                  <c:v>0.65769893581666694</c:v>
                </c:pt>
                <c:pt idx="9">
                  <c:v>0.8104705414657879</c:v>
                </c:pt>
                <c:pt idx="10">
                  <c:v>0.85462511659777851</c:v>
                </c:pt>
                <c:pt idx="11">
                  <c:v>0.99999999999999978</c:v>
                </c:pt>
              </c:numCache>
            </c:numRef>
          </c:yVal>
          <c:smooth val="1"/>
          <c:extLst>
            <c:ext xmlns:c16="http://schemas.microsoft.com/office/drawing/2014/chart" uri="{C3380CC4-5D6E-409C-BE32-E72D297353CC}">
              <c16:uniqueId val="{00000000-83EB-4E2A-8356-967986C0D695}"/>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83EB-4E2A-8356-967986C0D695}"/>
              </c:ext>
            </c:extLst>
          </c:dPt>
          <c:xVal>
            <c:numRef>
              <c:f>Gini_2017!$H$49:$H$60</c:f>
              <c:numCache>
                <c:formatCode>0.00</c:formatCode>
                <c:ptCount val="12"/>
                <c:pt idx="0">
                  <c:v>0</c:v>
                </c:pt>
                <c:pt idx="1">
                  <c:v>1.4176942283943195E-2</c:v>
                </c:pt>
                <c:pt idx="2">
                  <c:v>0.33271282877813174</c:v>
                </c:pt>
                <c:pt idx="3">
                  <c:v>0.47108067338839704</c:v>
                </c:pt>
                <c:pt idx="4">
                  <c:v>0.51338971771017339</c:v>
                </c:pt>
                <c:pt idx="5">
                  <c:v>0.55594095856207892</c:v>
                </c:pt>
                <c:pt idx="6">
                  <c:v>0.57855717518807559</c:v>
                </c:pt>
                <c:pt idx="7">
                  <c:v>0.58352966384787386</c:v>
                </c:pt>
                <c:pt idx="8">
                  <c:v>0.65769893581666694</c:v>
                </c:pt>
                <c:pt idx="9">
                  <c:v>0.8104705414657879</c:v>
                </c:pt>
                <c:pt idx="10">
                  <c:v>0.85462511659777851</c:v>
                </c:pt>
                <c:pt idx="11">
                  <c:v>0.99999999999999978</c:v>
                </c:pt>
              </c:numCache>
            </c:numRef>
          </c:xVal>
          <c:yVal>
            <c:numRef>
              <c:f>Gini_2017!$G$49:$G$60</c:f>
              <c:numCache>
                <c:formatCode>0.00</c:formatCode>
                <c:ptCount val="12"/>
                <c:pt idx="0">
                  <c:v>0</c:v>
                </c:pt>
                <c:pt idx="1">
                  <c:v>0</c:v>
                </c:pt>
                <c:pt idx="2">
                  <c:v>0</c:v>
                </c:pt>
                <c:pt idx="3">
                  <c:v>0</c:v>
                </c:pt>
                <c:pt idx="4">
                  <c:v>0</c:v>
                </c:pt>
                <c:pt idx="5">
                  <c:v>7.5433856413997481E-3</c:v>
                </c:pt>
                <c:pt idx="6">
                  <c:v>1.7266325876753193E-2</c:v>
                </c:pt>
                <c:pt idx="7">
                  <c:v>3.3322901571884077E-2</c:v>
                </c:pt>
                <c:pt idx="8">
                  <c:v>0.11202401131199832</c:v>
                </c:pt>
                <c:pt idx="9">
                  <c:v>0.22111542998848044</c:v>
                </c:pt>
                <c:pt idx="10">
                  <c:v>0.35758044200230887</c:v>
                </c:pt>
                <c:pt idx="11">
                  <c:v>1</c:v>
                </c:pt>
              </c:numCache>
            </c:numRef>
          </c:yVal>
          <c:smooth val="0"/>
          <c:extLst>
            <c:ext xmlns:c16="http://schemas.microsoft.com/office/drawing/2014/chart" uri="{C3380CC4-5D6E-409C-BE32-E72D297353CC}">
              <c16:uniqueId val="{00000002-83EB-4E2A-8356-967986C0D695}"/>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Population</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Available Water</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Gini_2017!$H$70:$H$81</c:f>
              <c:numCache>
                <c:formatCode>0.00</c:formatCode>
                <c:ptCount val="12"/>
                <c:pt idx="0">
                  <c:v>0</c:v>
                </c:pt>
                <c:pt idx="1">
                  <c:v>1.4176942283943195E-2</c:v>
                </c:pt>
                <c:pt idx="2">
                  <c:v>3.6793158909939887E-2</c:v>
                </c:pt>
                <c:pt idx="3">
                  <c:v>4.1765647569738162E-2</c:v>
                </c:pt>
                <c:pt idx="4">
                  <c:v>8.4316888421643726E-2</c:v>
                </c:pt>
                <c:pt idx="5">
                  <c:v>0.15848616039043678</c:v>
                </c:pt>
                <c:pt idx="6">
                  <c:v>0.20079520471221315</c:v>
                </c:pt>
                <c:pt idx="7">
                  <c:v>0.2449497798442038</c:v>
                </c:pt>
                <c:pt idx="8">
                  <c:v>0.3833176244544691</c:v>
                </c:pt>
                <c:pt idx="9">
                  <c:v>0.53608923010359011</c:v>
                </c:pt>
                <c:pt idx="10">
                  <c:v>0.85462511659777873</c:v>
                </c:pt>
                <c:pt idx="11">
                  <c:v>1</c:v>
                </c:pt>
              </c:numCache>
            </c:numRef>
          </c:xVal>
          <c:yVal>
            <c:numRef>
              <c:f>Gini_2017!$H$70:$H$81</c:f>
              <c:numCache>
                <c:formatCode>0.00</c:formatCode>
                <c:ptCount val="12"/>
                <c:pt idx="0">
                  <c:v>0</c:v>
                </c:pt>
                <c:pt idx="1">
                  <c:v>1.4176942283943195E-2</c:v>
                </c:pt>
                <c:pt idx="2">
                  <c:v>3.6793158909939887E-2</c:v>
                </c:pt>
                <c:pt idx="3">
                  <c:v>4.1765647569738162E-2</c:v>
                </c:pt>
                <c:pt idx="4">
                  <c:v>8.4316888421643726E-2</c:v>
                </c:pt>
                <c:pt idx="5">
                  <c:v>0.15848616039043678</c:v>
                </c:pt>
                <c:pt idx="6">
                  <c:v>0.20079520471221315</c:v>
                </c:pt>
                <c:pt idx="7">
                  <c:v>0.2449497798442038</c:v>
                </c:pt>
                <c:pt idx="8">
                  <c:v>0.3833176244544691</c:v>
                </c:pt>
                <c:pt idx="9">
                  <c:v>0.53608923010359011</c:v>
                </c:pt>
                <c:pt idx="10">
                  <c:v>0.85462511659777873</c:v>
                </c:pt>
                <c:pt idx="11">
                  <c:v>1</c:v>
                </c:pt>
              </c:numCache>
            </c:numRef>
          </c:yVal>
          <c:smooth val="1"/>
          <c:extLst>
            <c:ext xmlns:c16="http://schemas.microsoft.com/office/drawing/2014/chart" uri="{C3380CC4-5D6E-409C-BE32-E72D297353CC}">
              <c16:uniqueId val="{00000000-85FA-4ED0-AAA1-446BF0884436}"/>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85FA-4ED0-AAA1-446BF0884436}"/>
              </c:ext>
            </c:extLst>
          </c:dPt>
          <c:xVal>
            <c:numRef>
              <c:f>Gini_2017!$H$70:$H$81</c:f>
              <c:numCache>
                <c:formatCode>0.00</c:formatCode>
                <c:ptCount val="12"/>
                <c:pt idx="0">
                  <c:v>0</c:v>
                </c:pt>
                <c:pt idx="1">
                  <c:v>1.4176942283943195E-2</c:v>
                </c:pt>
                <c:pt idx="2">
                  <c:v>3.6793158909939887E-2</c:v>
                </c:pt>
                <c:pt idx="3">
                  <c:v>4.1765647569738162E-2</c:v>
                </c:pt>
                <c:pt idx="4">
                  <c:v>8.4316888421643726E-2</c:v>
                </c:pt>
                <c:pt idx="5">
                  <c:v>0.15848616039043678</c:v>
                </c:pt>
                <c:pt idx="6">
                  <c:v>0.20079520471221315</c:v>
                </c:pt>
                <c:pt idx="7">
                  <c:v>0.2449497798442038</c:v>
                </c:pt>
                <c:pt idx="8">
                  <c:v>0.3833176244544691</c:v>
                </c:pt>
                <c:pt idx="9">
                  <c:v>0.53608923010359011</c:v>
                </c:pt>
                <c:pt idx="10">
                  <c:v>0.85462511659777873</c:v>
                </c:pt>
                <c:pt idx="11">
                  <c:v>1</c:v>
                </c:pt>
              </c:numCache>
            </c:numRef>
          </c:xVal>
          <c:yVal>
            <c:numRef>
              <c:f>Gini_2017!$G$70:$G$81</c:f>
              <c:numCache>
                <c:formatCode>0.00</c:formatCode>
                <c:ptCount val="12"/>
                <c:pt idx="0">
                  <c:v>0</c:v>
                </c:pt>
                <c:pt idx="1">
                  <c:v>0</c:v>
                </c:pt>
                <c:pt idx="2">
                  <c:v>5.7874802204534925E-3</c:v>
                </c:pt>
                <c:pt idx="3">
                  <c:v>1.5344991836733241E-2</c:v>
                </c:pt>
                <c:pt idx="4">
                  <c:v>3.0924437339246248E-2</c:v>
                </c:pt>
                <c:pt idx="5">
                  <c:v>7.7770463841855264E-2</c:v>
                </c:pt>
                <c:pt idx="6">
                  <c:v>0.14634917030763622</c:v>
                </c:pt>
                <c:pt idx="7">
                  <c:v>0.22757856580903418</c:v>
                </c:pt>
                <c:pt idx="8">
                  <c:v>0.32621517340662548</c:v>
                </c:pt>
                <c:pt idx="9">
                  <c:v>0.45272564256021913</c:v>
                </c:pt>
                <c:pt idx="10">
                  <c:v>0.61760636236092648</c:v>
                </c:pt>
                <c:pt idx="11">
                  <c:v>1</c:v>
                </c:pt>
              </c:numCache>
            </c:numRef>
          </c:yVal>
          <c:smooth val="0"/>
          <c:extLst>
            <c:ext xmlns:c16="http://schemas.microsoft.com/office/drawing/2014/chart" uri="{C3380CC4-5D6E-409C-BE32-E72D297353CC}">
              <c16:uniqueId val="{00000002-85FA-4ED0-AAA1-446BF0884436}"/>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Population</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total available water</a:t>
                </a:r>
                <a:endParaRPr lang="en-US"/>
              </a:p>
            </c:rich>
          </c:tx>
          <c:layout>
            <c:manualLayout>
              <c:xMode val="edge"/>
              <c:yMode val="edge"/>
              <c:x val="1.6122160326311905E-2"/>
              <c:y val="0.14339278018953905"/>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Gini_2017!$H$94:$H$105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xVal>
          <c:yVal>
            <c:numRef>
              <c:f>Gini_2017!$H$94:$H$105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yVal>
          <c:smooth val="1"/>
          <c:extLst>
            <c:ext xmlns:c16="http://schemas.microsoft.com/office/drawing/2014/chart" uri="{C3380CC4-5D6E-409C-BE32-E72D297353CC}">
              <c16:uniqueId val="{00000000-1196-43F8-B65F-FCC75A1BCD28}"/>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1196-43F8-B65F-FCC75A1BCD28}"/>
              </c:ext>
            </c:extLst>
          </c:dPt>
          <c:xVal>
            <c:numRef>
              <c:f>Gini_2017!$H$178:$H$189</c:f>
              <c:numCache>
                <c:formatCode>0.00</c:formatCode>
                <c:ptCount val="12"/>
                <c:pt idx="0">
                  <c:v>0</c:v>
                </c:pt>
                <c:pt idx="1">
                  <c:v>8.2249727275718124E-2</c:v>
                </c:pt>
                <c:pt idx="2">
                  <c:v>9.0263247322775519E-2</c:v>
                </c:pt>
                <c:pt idx="3">
                  <c:v>9.4581027823807909E-2</c:v>
                </c:pt>
                <c:pt idx="4">
                  <c:v>0.1013971131412383</c:v>
                </c:pt>
                <c:pt idx="5">
                  <c:v>0.10808687676914244</c:v>
                </c:pt>
                <c:pt idx="6">
                  <c:v>0.12427174144854033</c:v>
                </c:pt>
                <c:pt idx="7">
                  <c:v>0.16345651867644251</c:v>
                </c:pt>
                <c:pt idx="8">
                  <c:v>0.24099269172425059</c:v>
                </c:pt>
                <c:pt idx="9">
                  <c:v>0.67926609315684749</c:v>
                </c:pt>
                <c:pt idx="10">
                  <c:v>0.79811612788873898</c:v>
                </c:pt>
                <c:pt idx="11">
                  <c:v>1</c:v>
                </c:pt>
              </c:numCache>
            </c:numRef>
          </c:xVal>
          <c:yVal>
            <c:numRef>
              <c:f>Gini_2017!$G$178:$G$189</c:f>
              <c:numCache>
                <c:formatCode>0.00</c:formatCode>
                <c:ptCount val="12"/>
                <c:pt idx="0">
                  <c:v>0</c:v>
                </c:pt>
                <c:pt idx="1">
                  <c:v>1.6224065801728926E-3</c:v>
                </c:pt>
                <c:pt idx="2">
                  <c:v>8.5337488862051308E-3</c:v>
                </c:pt>
                <c:pt idx="3">
                  <c:v>1.6015984339316631E-2</c:v>
                </c:pt>
                <c:pt idx="4">
                  <c:v>2.6254221901517355E-2</c:v>
                </c:pt>
                <c:pt idx="5">
                  <c:v>3.7640558755767384E-2</c:v>
                </c:pt>
                <c:pt idx="6">
                  <c:v>7.2667451991973026E-2</c:v>
                </c:pt>
                <c:pt idx="7">
                  <c:v>0.13524129298114196</c:v>
                </c:pt>
                <c:pt idx="8">
                  <c:v>0.2757067296209304</c:v>
                </c:pt>
                <c:pt idx="9">
                  <c:v>0.46965007539927839</c:v>
                </c:pt>
                <c:pt idx="10">
                  <c:v>0.70197873421734569</c:v>
                </c:pt>
                <c:pt idx="11">
                  <c:v>0.99999999999999989</c:v>
                </c:pt>
              </c:numCache>
            </c:numRef>
          </c:yVal>
          <c:smooth val="0"/>
          <c:extLst>
            <c:ext xmlns:c16="http://schemas.microsoft.com/office/drawing/2014/chart" uri="{C3380CC4-5D6E-409C-BE32-E72D297353CC}">
              <c16:uniqueId val="{00000002-1196-43F8-B65F-FCC75A1BCD28}"/>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Precipitation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301861863580613"/>
          <c:y val="0.1566342980154827"/>
          <c:w val="0.54960252622417904"/>
          <c:h val="0.65904922055244786"/>
        </c:manualLayout>
      </c:layout>
      <c:scatterChart>
        <c:scatterStyle val="smoothMarker"/>
        <c:varyColors val="0"/>
        <c:ser>
          <c:idx val="1"/>
          <c:order val="1"/>
          <c:tx>
            <c:v>Equality Line</c:v>
          </c:tx>
          <c:spPr>
            <a:ln w="19050" cap="rnd">
              <a:solidFill>
                <a:schemeClr val="accent2"/>
              </a:solidFill>
              <a:round/>
            </a:ln>
            <a:effectLst/>
          </c:spPr>
          <c:marker>
            <c:symbol val="none"/>
          </c:marker>
          <c:xVal>
            <c:numRef>
              <c:f>Gini_2017!$H$115:$H$126</c:f>
              <c:numCache>
                <c:formatCode>0.00</c:formatCode>
                <c:ptCount val="12"/>
                <c:pt idx="0">
                  <c:v>0</c:v>
                </c:pt>
                <c:pt idx="1">
                  <c:v>8.6508040877704764E-3</c:v>
                </c:pt>
                <c:pt idx="2">
                  <c:v>2.233691110888162E-2</c:v>
                </c:pt>
                <c:pt idx="3">
                  <c:v>4.5534073596056365E-2</c:v>
                </c:pt>
                <c:pt idx="4">
                  <c:v>5.3837159897602418E-2</c:v>
                </c:pt>
                <c:pt idx="5">
                  <c:v>0.11688690634392547</c:v>
                </c:pt>
                <c:pt idx="6">
                  <c:v>0.17846731707242672</c:v>
                </c:pt>
                <c:pt idx="7">
                  <c:v>0.25736713399590871</c:v>
                </c:pt>
                <c:pt idx="8">
                  <c:v>0.38405950424456814</c:v>
                </c:pt>
                <c:pt idx="9">
                  <c:v>0.65743534284662219</c:v>
                </c:pt>
                <c:pt idx="10">
                  <c:v>0.98464491670321019</c:v>
                </c:pt>
                <c:pt idx="11">
                  <c:v>1.0000000000000002</c:v>
                </c:pt>
              </c:numCache>
            </c:numRef>
          </c:xVal>
          <c:yVal>
            <c:numRef>
              <c:f>Gini_2017!$H$115:$H$126</c:f>
              <c:numCache>
                <c:formatCode>0.00</c:formatCode>
                <c:ptCount val="12"/>
                <c:pt idx="0">
                  <c:v>0</c:v>
                </c:pt>
                <c:pt idx="1">
                  <c:v>8.6508040877704764E-3</c:v>
                </c:pt>
                <c:pt idx="2">
                  <c:v>2.233691110888162E-2</c:v>
                </c:pt>
                <c:pt idx="3">
                  <c:v>4.5534073596056365E-2</c:v>
                </c:pt>
                <c:pt idx="4">
                  <c:v>5.3837159897602418E-2</c:v>
                </c:pt>
                <c:pt idx="5">
                  <c:v>0.11688690634392547</c:v>
                </c:pt>
                <c:pt idx="6">
                  <c:v>0.17846731707242672</c:v>
                </c:pt>
                <c:pt idx="7">
                  <c:v>0.25736713399590871</c:v>
                </c:pt>
                <c:pt idx="8">
                  <c:v>0.38405950424456814</c:v>
                </c:pt>
                <c:pt idx="9">
                  <c:v>0.65743534284662219</c:v>
                </c:pt>
                <c:pt idx="10">
                  <c:v>0.98464491670321019</c:v>
                </c:pt>
                <c:pt idx="11">
                  <c:v>1.0000000000000002</c:v>
                </c:pt>
              </c:numCache>
            </c:numRef>
          </c:yVal>
          <c:smooth val="1"/>
          <c:extLst>
            <c:ext xmlns:c16="http://schemas.microsoft.com/office/drawing/2014/chart" uri="{C3380CC4-5D6E-409C-BE32-E72D297353CC}">
              <c16:uniqueId val="{00000000-B753-454B-8745-2064FD6D867D}"/>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B753-454B-8745-2064FD6D867D}"/>
              </c:ext>
            </c:extLst>
          </c:dPt>
          <c:xVal>
            <c:numRef>
              <c:f>Gini_2017!$H$199:$H$210</c:f>
              <c:numCache>
                <c:formatCode>0.00</c:formatCode>
                <c:ptCount val="12"/>
                <c:pt idx="0">
                  <c:v>0</c:v>
                </c:pt>
                <c:pt idx="1">
                  <c:v>8.0135200470573958E-3</c:v>
                </c:pt>
                <c:pt idx="2">
                  <c:v>1.2331300548089792E-2</c:v>
                </c:pt>
                <c:pt idx="3">
                  <c:v>1.9147385865520176E-2</c:v>
                </c:pt>
                <c:pt idx="4">
                  <c:v>2.5837149493424316E-2</c:v>
                </c:pt>
                <c:pt idx="5">
                  <c:v>4.2022014172822211E-2</c:v>
                </c:pt>
                <c:pt idx="6">
                  <c:v>0.12427174144854033</c:v>
                </c:pt>
                <c:pt idx="7">
                  <c:v>0.16345651867644251</c:v>
                </c:pt>
                <c:pt idx="8">
                  <c:v>0.24099269172425059</c:v>
                </c:pt>
                <c:pt idx="9">
                  <c:v>0.35984272645614207</c:v>
                </c:pt>
                <c:pt idx="10">
                  <c:v>0.79811612788873898</c:v>
                </c:pt>
                <c:pt idx="11">
                  <c:v>1</c:v>
                </c:pt>
              </c:numCache>
            </c:numRef>
          </c:xVal>
          <c:yVal>
            <c:numRef>
              <c:f>Gini_2017!$G$199:$G$210</c:f>
              <c:numCache>
                <c:formatCode>0.00</c:formatCode>
                <c:ptCount val="12"/>
                <c:pt idx="0">
                  <c:v>0</c:v>
                </c:pt>
                <c:pt idx="1">
                  <c:v>5.2999093049631314E-3</c:v>
                </c:pt>
                <c:pt idx="2">
                  <c:v>1.1764115874623525E-2</c:v>
                </c:pt>
                <c:pt idx="3">
                  <c:v>2.1200626048673787E-2</c:v>
                </c:pt>
                <c:pt idx="4">
                  <c:v>3.3560975242154255E-2</c:v>
                </c:pt>
                <c:pt idx="5">
                  <c:v>6.1108530255808799E-2</c:v>
                </c:pt>
                <c:pt idx="6">
                  <c:v>9.109586517054033E-2</c:v>
                </c:pt>
                <c:pt idx="7">
                  <c:v>0.14509025520478358</c:v>
                </c:pt>
                <c:pt idx="8">
                  <c:v>0.27648140963360179</c:v>
                </c:pt>
                <c:pt idx="9">
                  <c:v>0.44423734960873451</c:v>
                </c:pt>
                <c:pt idx="10">
                  <c:v>0.65136000022667062</c:v>
                </c:pt>
                <c:pt idx="11">
                  <c:v>1</c:v>
                </c:pt>
              </c:numCache>
            </c:numRef>
          </c:yVal>
          <c:smooth val="0"/>
          <c:extLst>
            <c:ext xmlns:c16="http://schemas.microsoft.com/office/drawing/2014/chart" uri="{C3380CC4-5D6E-409C-BE32-E72D297353CC}">
              <c16:uniqueId val="{00000002-B753-454B-8745-2064FD6D867D}"/>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ETa</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Gini_2017!$H$136:$H$147</c:f>
              <c:numCache>
                <c:formatCode>0.00</c:formatCode>
                <c:ptCount val="12"/>
                <c:pt idx="0">
                  <c:v>0</c:v>
                </c:pt>
                <c:pt idx="1">
                  <c:v>8.3030863015460567E-3</c:v>
                </c:pt>
                <c:pt idx="2">
                  <c:v>6.9883497030047301E-2</c:v>
                </c:pt>
                <c:pt idx="3">
                  <c:v>0.39709307088663531</c:v>
                </c:pt>
                <c:pt idx="4">
                  <c:v>0.41244815418342529</c:v>
                </c:pt>
                <c:pt idx="5">
                  <c:v>0.43564531667060002</c:v>
                </c:pt>
                <c:pt idx="6">
                  <c:v>0.4493314236917112</c:v>
                </c:pt>
                <c:pt idx="7">
                  <c:v>0.45798222777948167</c:v>
                </c:pt>
                <c:pt idx="8">
                  <c:v>0.52103197422580472</c:v>
                </c:pt>
                <c:pt idx="9">
                  <c:v>0.64772434447446414</c:v>
                </c:pt>
                <c:pt idx="10">
                  <c:v>0.72662416139794606</c:v>
                </c:pt>
                <c:pt idx="11">
                  <c:v>1</c:v>
                </c:pt>
              </c:numCache>
            </c:numRef>
          </c:xVal>
          <c:yVal>
            <c:numRef>
              <c:f>Gini_2017!$H$136:$H$147</c:f>
              <c:numCache>
                <c:formatCode>0.00</c:formatCode>
                <c:ptCount val="12"/>
                <c:pt idx="0">
                  <c:v>0</c:v>
                </c:pt>
                <c:pt idx="1">
                  <c:v>8.3030863015460567E-3</c:v>
                </c:pt>
                <c:pt idx="2">
                  <c:v>6.9883497030047301E-2</c:v>
                </c:pt>
                <c:pt idx="3">
                  <c:v>0.39709307088663531</c:v>
                </c:pt>
                <c:pt idx="4">
                  <c:v>0.41244815418342529</c:v>
                </c:pt>
                <c:pt idx="5">
                  <c:v>0.43564531667060002</c:v>
                </c:pt>
                <c:pt idx="6">
                  <c:v>0.4493314236917112</c:v>
                </c:pt>
                <c:pt idx="7">
                  <c:v>0.45798222777948167</c:v>
                </c:pt>
                <c:pt idx="8">
                  <c:v>0.52103197422580472</c:v>
                </c:pt>
                <c:pt idx="9">
                  <c:v>0.64772434447446414</c:v>
                </c:pt>
                <c:pt idx="10">
                  <c:v>0.72662416139794606</c:v>
                </c:pt>
                <c:pt idx="11">
                  <c:v>1</c:v>
                </c:pt>
              </c:numCache>
            </c:numRef>
          </c:yVal>
          <c:smooth val="1"/>
          <c:extLst>
            <c:ext xmlns:c16="http://schemas.microsoft.com/office/drawing/2014/chart" uri="{C3380CC4-5D6E-409C-BE32-E72D297353CC}">
              <c16:uniqueId val="{00000000-21BE-4EC8-BFE6-49CE7A0108EF}"/>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21BE-4EC8-BFE6-49CE7A0108EF}"/>
              </c:ext>
            </c:extLst>
          </c:dPt>
          <c:xVal>
            <c:numRef>
              <c:f>Gini_2017!$H$220:$H$231</c:f>
              <c:numCache>
                <c:formatCode>0.00</c:formatCode>
                <c:ptCount val="12"/>
                <c:pt idx="0">
                  <c:v>0</c:v>
                </c:pt>
                <c:pt idx="1">
                  <c:v>6.6897636279041406E-3</c:v>
                </c:pt>
                <c:pt idx="2">
                  <c:v>8.893949090362227E-2</c:v>
                </c:pt>
                <c:pt idx="3">
                  <c:v>0.52721289233621915</c:v>
                </c:pt>
                <c:pt idx="4">
                  <c:v>0.72909676444748017</c:v>
                </c:pt>
                <c:pt idx="5">
                  <c:v>0.73591284976491056</c:v>
                </c:pt>
                <c:pt idx="6">
                  <c:v>0.74023063026594293</c:v>
                </c:pt>
                <c:pt idx="7">
                  <c:v>0.74824415031300029</c:v>
                </c:pt>
                <c:pt idx="8">
                  <c:v>0.76442901499239824</c:v>
                </c:pt>
                <c:pt idx="9">
                  <c:v>0.84196518804020637</c:v>
                </c:pt>
                <c:pt idx="10">
                  <c:v>0.88114996526810851</c:v>
                </c:pt>
                <c:pt idx="11">
                  <c:v>1</c:v>
                </c:pt>
              </c:numCache>
            </c:numRef>
          </c:xVal>
          <c:yVal>
            <c:numRef>
              <c:f>Gini_2017!$G$220:$G$231</c:f>
              <c:numCache>
                <c:formatCode>0.00</c:formatCode>
                <c:ptCount val="12"/>
                <c:pt idx="0">
                  <c:v>0</c:v>
                </c:pt>
                <c:pt idx="1">
                  <c:v>0</c:v>
                </c:pt>
                <c:pt idx="2">
                  <c:v>0</c:v>
                </c:pt>
                <c:pt idx="3">
                  <c:v>0</c:v>
                </c:pt>
                <c:pt idx="4">
                  <c:v>0</c:v>
                </c:pt>
                <c:pt idx="5">
                  <c:v>7.5433856413997481E-3</c:v>
                </c:pt>
                <c:pt idx="6">
                  <c:v>1.7266325876753193E-2</c:v>
                </c:pt>
                <c:pt idx="7">
                  <c:v>3.3322901571884077E-2</c:v>
                </c:pt>
                <c:pt idx="8">
                  <c:v>0.11202401131199832</c:v>
                </c:pt>
                <c:pt idx="9">
                  <c:v>0.22111542998848044</c:v>
                </c:pt>
                <c:pt idx="10">
                  <c:v>0.35758044200230887</c:v>
                </c:pt>
                <c:pt idx="11">
                  <c:v>1</c:v>
                </c:pt>
              </c:numCache>
            </c:numRef>
          </c:yVal>
          <c:smooth val="0"/>
          <c:extLst>
            <c:ext xmlns:c16="http://schemas.microsoft.com/office/drawing/2014/chart" uri="{C3380CC4-5D6E-409C-BE32-E72D297353CC}">
              <c16:uniqueId val="{00000002-21BE-4EC8-BFE6-49CE7A0108EF}"/>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Available Water</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Gini_2017!$H$157:$H$168</c:f>
              <c:numCache>
                <c:formatCode>0.00</c:formatCode>
                <c:ptCount val="12"/>
                <c:pt idx="0">
                  <c:v>0</c:v>
                </c:pt>
                <c:pt idx="1">
                  <c:v>8.3030863015460567E-3</c:v>
                </c:pt>
                <c:pt idx="2">
                  <c:v>2.19891933226572E-2</c:v>
                </c:pt>
                <c:pt idx="3">
                  <c:v>3.0639997410427677E-2</c:v>
                </c:pt>
                <c:pt idx="4">
                  <c:v>5.3837159897602418E-2</c:v>
                </c:pt>
                <c:pt idx="5">
                  <c:v>0.11688690634392547</c:v>
                </c:pt>
                <c:pt idx="6">
                  <c:v>0.13224198964071543</c:v>
                </c:pt>
                <c:pt idx="7">
                  <c:v>0.2111418065641974</c:v>
                </c:pt>
                <c:pt idx="8">
                  <c:v>0.53835138042078534</c:v>
                </c:pt>
                <c:pt idx="9">
                  <c:v>0.66504375066944477</c:v>
                </c:pt>
                <c:pt idx="10">
                  <c:v>0.72662416139794606</c:v>
                </c:pt>
                <c:pt idx="11">
                  <c:v>1</c:v>
                </c:pt>
              </c:numCache>
            </c:numRef>
          </c:xVal>
          <c:yVal>
            <c:numRef>
              <c:f>Gini_2017!$H$157:$H$168</c:f>
              <c:numCache>
                <c:formatCode>0.00</c:formatCode>
                <c:ptCount val="12"/>
                <c:pt idx="0">
                  <c:v>0</c:v>
                </c:pt>
                <c:pt idx="1">
                  <c:v>8.3030863015460567E-3</c:v>
                </c:pt>
                <c:pt idx="2">
                  <c:v>2.19891933226572E-2</c:v>
                </c:pt>
                <c:pt idx="3">
                  <c:v>3.0639997410427677E-2</c:v>
                </c:pt>
                <c:pt idx="4">
                  <c:v>5.3837159897602418E-2</c:v>
                </c:pt>
                <c:pt idx="5">
                  <c:v>0.11688690634392547</c:v>
                </c:pt>
                <c:pt idx="6">
                  <c:v>0.13224198964071543</c:v>
                </c:pt>
                <c:pt idx="7">
                  <c:v>0.2111418065641974</c:v>
                </c:pt>
                <c:pt idx="8">
                  <c:v>0.53835138042078534</c:v>
                </c:pt>
                <c:pt idx="9">
                  <c:v>0.66504375066944477</c:v>
                </c:pt>
                <c:pt idx="10">
                  <c:v>0.72662416139794606</c:v>
                </c:pt>
                <c:pt idx="11">
                  <c:v>1</c:v>
                </c:pt>
              </c:numCache>
            </c:numRef>
          </c:yVal>
          <c:smooth val="1"/>
          <c:extLst>
            <c:ext xmlns:c16="http://schemas.microsoft.com/office/drawing/2014/chart" uri="{C3380CC4-5D6E-409C-BE32-E72D297353CC}">
              <c16:uniqueId val="{00000000-511D-428C-89E5-B975D47DF0C2}"/>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511D-428C-89E5-B975D47DF0C2}"/>
              </c:ext>
            </c:extLst>
          </c:dPt>
          <c:xVal>
            <c:numRef>
              <c:f>Gini_2017!$H$241:$H$252</c:f>
              <c:numCache>
                <c:formatCode>0.00</c:formatCode>
                <c:ptCount val="12"/>
                <c:pt idx="0">
                  <c:v>0</c:v>
                </c:pt>
                <c:pt idx="1">
                  <c:v>6.6897636279041389E-3</c:v>
                </c:pt>
                <c:pt idx="2">
                  <c:v>1.1007544128936533E-2</c:v>
                </c:pt>
                <c:pt idx="3">
                  <c:v>1.9021064175993925E-2</c:v>
                </c:pt>
                <c:pt idx="4">
                  <c:v>2.5837149493424309E-2</c:v>
                </c:pt>
                <c:pt idx="5">
                  <c:v>4.2022014172822197E-2</c:v>
                </c:pt>
                <c:pt idx="6">
                  <c:v>0.24390588628408319</c:v>
                </c:pt>
                <c:pt idx="7">
                  <c:v>0.28309066351198536</c:v>
                </c:pt>
                <c:pt idx="8">
                  <c:v>0.72136406494458227</c:v>
                </c:pt>
                <c:pt idx="9">
                  <c:v>0.79890023799239041</c:v>
                </c:pt>
                <c:pt idx="10">
                  <c:v>0.88114996526810851</c:v>
                </c:pt>
                <c:pt idx="11">
                  <c:v>1</c:v>
                </c:pt>
              </c:numCache>
            </c:numRef>
          </c:xVal>
          <c:yVal>
            <c:numRef>
              <c:f>Gini_2017!$G$241:$G$252</c:f>
              <c:numCache>
                <c:formatCode>0.00</c:formatCode>
                <c:ptCount val="12"/>
                <c:pt idx="0">
                  <c:v>0</c:v>
                </c:pt>
                <c:pt idx="1">
                  <c:v>0</c:v>
                </c:pt>
                <c:pt idx="2">
                  <c:v>5.7874802204534925E-3</c:v>
                </c:pt>
                <c:pt idx="3">
                  <c:v>1.5344991836733241E-2</c:v>
                </c:pt>
                <c:pt idx="4">
                  <c:v>3.0924437339246248E-2</c:v>
                </c:pt>
                <c:pt idx="5">
                  <c:v>7.7770463841855264E-2</c:v>
                </c:pt>
                <c:pt idx="6">
                  <c:v>0.14634917030763622</c:v>
                </c:pt>
                <c:pt idx="7">
                  <c:v>0.22757856580903418</c:v>
                </c:pt>
                <c:pt idx="8">
                  <c:v>0.32621517340662548</c:v>
                </c:pt>
                <c:pt idx="9">
                  <c:v>0.45272564256021913</c:v>
                </c:pt>
                <c:pt idx="10">
                  <c:v>0.61760636236092648</c:v>
                </c:pt>
                <c:pt idx="11">
                  <c:v>1</c:v>
                </c:pt>
              </c:numCache>
            </c:numRef>
          </c:yVal>
          <c:smooth val="0"/>
          <c:extLst>
            <c:ext xmlns:c16="http://schemas.microsoft.com/office/drawing/2014/chart" uri="{C3380CC4-5D6E-409C-BE32-E72D297353CC}">
              <c16:uniqueId val="{00000002-511D-428C-89E5-B975D47DF0C2}"/>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 total</a:t>
                </a:r>
                <a:r>
                  <a:rPr lang="en-US" baseline="0"/>
                  <a:t> available water</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 based on population of each country in the basin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Gini_2017!$H$6:$H$17</c:f>
              <c:numCache>
                <c:formatCode>0.00</c:formatCode>
                <c:ptCount val="12"/>
                <c:pt idx="0">
                  <c:v>0</c:v>
                </c:pt>
                <c:pt idx="1">
                  <c:v>0.31853588649418857</c:v>
                </c:pt>
                <c:pt idx="2">
                  <c:v>0.32350837515398684</c:v>
                </c:pt>
                <c:pt idx="3">
                  <c:v>0.3461245917799835</c:v>
                </c:pt>
                <c:pt idx="4">
                  <c:v>0.38867583263188904</c:v>
                </c:pt>
                <c:pt idx="5">
                  <c:v>0.40285277491583221</c:v>
                </c:pt>
                <c:pt idx="6">
                  <c:v>0.47702204688462524</c:v>
                </c:pt>
                <c:pt idx="7">
                  <c:v>0.52117662201661585</c:v>
                </c:pt>
                <c:pt idx="8">
                  <c:v>0.67394822766573681</c:v>
                </c:pt>
                <c:pt idx="9">
                  <c:v>0.81231607227600211</c:v>
                </c:pt>
                <c:pt idx="10">
                  <c:v>0.95769095567822338</c:v>
                </c:pt>
                <c:pt idx="11">
                  <c:v>0.99999999999999978</c:v>
                </c:pt>
              </c:numCache>
            </c:numRef>
          </c:xVal>
          <c:yVal>
            <c:numRef>
              <c:f>Gini_2017!$H$6:$H$17</c:f>
              <c:numCache>
                <c:formatCode>0.00</c:formatCode>
                <c:ptCount val="12"/>
                <c:pt idx="0">
                  <c:v>0</c:v>
                </c:pt>
                <c:pt idx="1">
                  <c:v>0.31853588649418857</c:v>
                </c:pt>
                <c:pt idx="2">
                  <c:v>0.32350837515398684</c:v>
                </c:pt>
                <c:pt idx="3">
                  <c:v>0.3461245917799835</c:v>
                </c:pt>
                <c:pt idx="4">
                  <c:v>0.38867583263188904</c:v>
                </c:pt>
                <c:pt idx="5">
                  <c:v>0.40285277491583221</c:v>
                </c:pt>
                <c:pt idx="6">
                  <c:v>0.47702204688462524</c:v>
                </c:pt>
                <c:pt idx="7">
                  <c:v>0.52117662201661585</c:v>
                </c:pt>
                <c:pt idx="8">
                  <c:v>0.67394822766573681</c:v>
                </c:pt>
                <c:pt idx="9">
                  <c:v>0.81231607227600211</c:v>
                </c:pt>
                <c:pt idx="10">
                  <c:v>0.95769095567822338</c:v>
                </c:pt>
                <c:pt idx="11">
                  <c:v>0.99999999999999978</c:v>
                </c:pt>
              </c:numCache>
            </c:numRef>
          </c:yVal>
          <c:smooth val="1"/>
          <c:extLst>
            <c:ext xmlns:c16="http://schemas.microsoft.com/office/drawing/2014/chart" uri="{C3380CC4-5D6E-409C-BE32-E72D297353CC}">
              <c16:uniqueId val="{00000000-6502-4F4F-8B5E-FA06E4638C41}"/>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Precipitation</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6502-4F4F-8B5E-FA06E4638C41}"/>
              </c:ext>
            </c:extLst>
          </c:dPt>
          <c:xVal>
            <c:numRef>
              <c:f>Gini_2017!$H$6:$H$17</c:f>
              <c:numCache>
                <c:formatCode>0.00</c:formatCode>
                <c:ptCount val="12"/>
                <c:pt idx="0">
                  <c:v>0</c:v>
                </c:pt>
                <c:pt idx="1">
                  <c:v>0.31853588649418857</c:v>
                </c:pt>
                <c:pt idx="2">
                  <c:v>0.32350837515398684</c:v>
                </c:pt>
                <c:pt idx="3">
                  <c:v>0.3461245917799835</c:v>
                </c:pt>
                <c:pt idx="4">
                  <c:v>0.38867583263188904</c:v>
                </c:pt>
                <c:pt idx="5">
                  <c:v>0.40285277491583221</c:v>
                </c:pt>
                <c:pt idx="6">
                  <c:v>0.47702204688462524</c:v>
                </c:pt>
                <c:pt idx="7">
                  <c:v>0.52117662201661585</c:v>
                </c:pt>
                <c:pt idx="8">
                  <c:v>0.67394822766573681</c:v>
                </c:pt>
                <c:pt idx="9">
                  <c:v>0.81231607227600211</c:v>
                </c:pt>
                <c:pt idx="10">
                  <c:v>0.95769095567822338</c:v>
                </c:pt>
                <c:pt idx="11">
                  <c:v>0.99999999999999978</c:v>
                </c:pt>
              </c:numCache>
            </c:numRef>
          </c:xVal>
          <c:yVal>
            <c:numRef>
              <c:f>Gini_2017!$G$6:$G$17</c:f>
              <c:numCache>
                <c:formatCode>0.00</c:formatCode>
                <c:ptCount val="12"/>
                <c:pt idx="0">
                  <c:v>0</c:v>
                </c:pt>
                <c:pt idx="1">
                  <c:v>1.6224065801728926E-3</c:v>
                </c:pt>
                <c:pt idx="2">
                  <c:v>8.5337488862051308E-3</c:v>
                </c:pt>
                <c:pt idx="3">
                  <c:v>1.6015984339316631E-2</c:v>
                </c:pt>
                <c:pt idx="4">
                  <c:v>2.6254221901517355E-2</c:v>
                </c:pt>
                <c:pt idx="5">
                  <c:v>3.7640558755767384E-2</c:v>
                </c:pt>
                <c:pt idx="6">
                  <c:v>7.2667451991973026E-2</c:v>
                </c:pt>
                <c:pt idx="7">
                  <c:v>0.13524129298114196</c:v>
                </c:pt>
                <c:pt idx="8">
                  <c:v>0.2757067296209304</c:v>
                </c:pt>
                <c:pt idx="9">
                  <c:v>0.46965007539927839</c:v>
                </c:pt>
                <c:pt idx="10">
                  <c:v>0.70197873421734569</c:v>
                </c:pt>
                <c:pt idx="11">
                  <c:v>0.99999999999999989</c:v>
                </c:pt>
              </c:numCache>
            </c:numRef>
          </c:yVal>
          <c:smooth val="0"/>
          <c:extLst>
            <c:ext xmlns:c16="http://schemas.microsoft.com/office/drawing/2014/chart" uri="{C3380CC4-5D6E-409C-BE32-E72D297353CC}">
              <c16:uniqueId val="{00000002-6502-4F4F-8B5E-FA06E4638C41}"/>
            </c:ext>
          </c:extLst>
        </c:ser>
        <c:ser>
          <c:idx val="2"/>
          <c:order val="2"/>
          <c:tx>
            <c:v>ETa</c:v>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Gini_2017!$H$27:$H$38</c:f>
              <c:numCache>
                <c:formatCode>0.00</c:formatCode>
                <c:ptCount val="12"/>
                <c:pt idx="0">
                  <c:v>0</c:v>
                </c:pt>
                <c:pt idx="1">
                  <c:v>4.9724886597982782E-3</c:v>
                </c:pt>
                <c:pt idx="2">
                  <c:v>2.7588705285794969E-2</c:v>
                </c:pt>
                <c:pt idx="3">
                  <c:v>7.0139946137700526E-2</c:v>
                </c:pt>
                <c:pt idx="4">
                  <c:v>8.4316888421643726E-2</c:v>
                </c:pt>
                <c:pt idx="5">
                  <c:v>0.15848616039043678</c:v>
                </c:pt>
                <c:pt idx="6">
                  <c:v>0.47702204688462535</c:v>
                </c:pt>
                <c:pt idx="7">
                  <c:v>0.52117662201661596</c:v>
                </c:pt>
                <c:pt idx="8">
                  <c:v>0.67394822766573692</c:v>
                </c:pt>
                <c:pt idx="9">
                  <c:v>0.81932311106795819</c:v>
                </c:pt>
                <c:pt idx="10">
                  <c:v>0.95769095567822349</c:v>
                </c:pt>
                <c:pt idx="11">
                  <c:v>0.99999999999999989</c:v>
                </c:pt>
              </c:numCache>
            </c:numRef>
          </c:xVal>
          <c:yVal>
            <c:numRef>
              <c:f>Gini_2017!$G$27:$G$38</c:f>
              <c:numCache>
                <c:formatCode>0.00</c:formatCode>
                <c:ptCount val="12"/>
                <c:pt idx="0">
                  <c:v>0</c:v>
                </c:pt>
                <c:pt idx="1">
                  <c:v>5.2999093049631314E-3</c:v>
                </c:pt>
                <c:pt idx="2">
                  <c:v>1.1764115874623525E-2</c:v>
                </c:pt>
                <c:pt idx="3">
                  <c:v>2.1200626048673787E-2</c:v>
                </c:pt>
                <c:pt idx="4">
                  <c:v>3.3560975242154255E-2</c:v>
                </c:pt>
                <c:pt idx="5">
                  <c:v>6.1108530255808799E-2</c:v>
                </c:pt>
                <c:pt idx="6">
                  <c:v>9.109586517054033E-2</c:v>
                </c:pt>
                <c:pt idx="7">
                  <c:v>0.14509025520478358</c:v>
                </c:pt>
                <c:pt idx="8">
                  <c:v>0.27648140963360179</c:v>
                </c:pt>
                <c:pt idx="9">
                  <c:v>0.44423734960873451</c:v>
                </c:pt>
                <c:pt idx="10">
                  <c:v>0.65136000022667062</c:v>
                </c:pt>
                <c:pt idx="11">
                  <c:v>1</c:v>
                </c:pt>
              </c:numCache>
            </c:numRef>
          </c:yVal>
          <c:smooth val="0"/>
          <c:extLst>
            <c:ext xmlns:c16="http://schemas.microsoft.com/office/drawing/2014/chart" uri="{C3380CC4-5D6E-409C-BE32-E72D297353CC}">
              <c16:uniqueId val="{00000003-6502-4F4F-8B5E-FA06E4638C41}"/>
            </c:ext>
          </c:extLst>
        </c:ser>
        <c:ser>
          <c:idx val="3"/>
          <c:order val="3"/>
          <c:tx>
            <c:v>Internal AW</c:v>
          </c:tx>
          <c:spPr>
            <a:ln w="19050" cap="rnd">
              <a:solidFill>
                <a:schemeClr val="accent4"/>
              </a:solidFill>
              <a:round/>
            </a:ln>
            <a:effectLst/>
          </c:spPr>
          <c:marker>
            <c:symbol val="circle"/>
            <c:size val="5"/>
            <c:spPr>
              <a:solidFill>
                <a:schemeClr val="accent4"/>
              </a:solidFill>
              <a:ln w="9525">
                <a:solidFill>
                  <a:schemeClr val="accent4"/>
                </a:solidFill>
              </a:ln>
              <a:effectLst/>
            </c:spPr>
          </c:marker>
          <c:xVal>
            <c:numRef>
              <c:f>Gini_2017!$H$49:$H$60</c:f>
              <c:numCache>
                <c:formatCode>0.00</c:formatCode>
                <c:ptCount val="12"/>
                <c:pt idx="0">
                  <c:v>0</c:v>
                </c:pt>
                <c:pt idx="1">
                  <c:v>1.4176942283943195E-2</c:v>
                </c:pt>
                <c:pt idx="2">
                  <c:v>0.33271282877813174</c:v>
                </c:pt>
                <c:pt idx="3">
                  <c:v>0.47108067338839704</c:v>
                </c:pt>
                <c:pt idx="4">
                  <c:v>0.51338971771017339</c:v>
                </c:pt>
                <c:pt idx="5">
                  <c:v>0.55594095856207892</c:v>
                </c:pt>
                <c:pt idx="6">
                  <c:v>0.57855717518807559</c:v>
                </c:pt>
                <c:pt idx="7">
                  <c:v>0.58352966384787386</c:v>
                </c:pt>
                <c:pt idx="8">
                  <c:v>0.65769893581666694</c:v>
                </c:pt>
                <c:pt idx="9">
                  <c:v>0.8104705414657879</c:v>
                </c:pt>
                <c:pt idx="10">
                  <c:v>0.85462511659777851</c:v>
                </c:pt>
                <c:pt idx="11">
                  <c:v>0.99999999999999978</c:v>
                </c:pt>
              </c:numCache>
            </c:numRef>
          </c:xVal>
          <c:yVal>
            <c:numRef>
              <c:f>Gini_2017!$G$49:$G$60</c:f>
              <c:numCache>
                <c:formatCode>0.00</c:formatCode>
                <c:ptCount val="12"/>
                <c:pt idx="0">
                  <c:v>0</c:v>
                </c:pt>
                <c:pt idx="1">
                  <c:v>0</c:v>
                </c:pt>
                <c:pt idx="2">
                  <c:v>0</c:v>
                </c:pt>
                <c:pt idx="3">
                  <c:v>0</c:v>
                </c:pt>
                <c:pt idx="4">
                  <c:v>0</c:v>
                </c:pt>
                <c:pt idx="5">
                  <c:v>7.5433856413997481E-3</c:v>
                </c:pt>
                <c:pt idx="6">
                  <c:v>1.7266325876753193E-2</c:v>
                </c:pt>
                <c:pt idx="7">
                  <c:v>3.3322901571884077E-2</c:v>
                </c:pt>
                <c:pt idx="8">
                  <c:v>0.11202401131199832</c:v>
                </c:pt>
                <c:pt idx="9">
                  <c:v>0.22111542998848044</c:v>
                </c:pt>
                <c:pt idx="10">
                  <c:v>0.35758044200230887</c:v>
                </c:pt>
                <c:pt idx="11">
                  <c:v>1</c:v>
                </c:pt>
              </c:numCache>
            </c:numRef>
          </c:yVal>
          <c:smooth val="0"/>
          <c:extLst>
            <c:ext xmlns:c16="http://schemas.microsoft.com/office/drawing/2014/chart" uri="{C3380CC4-5D6E-409C-BE32-E72D297353CC}">
              <c16:uniqueId val="{00000004-6502-4F4F-8B5E-FA06E4638C41}"/>
            </c:ext>
          </c:extLst>
        </c:ser>
        <c:ser>
          <c:idx val="4"/>
          <c:order val="4"/>
          <c:tx>
            <c:v>Total AW</c:v>
          </c:tx>
          <c:spPr>
            <a:ln w="19050" cap="rnd">
              <a:solidFill>
                <a:schemeClr val="accent5"/>
              </a:solidFill>
              <a:round/>
            </a:ln>
            <a:effectLst/>
          </c:spPr>
          <c:marker>
            <c:symbol val="circle"/>
            <c:size val="5"/>
            <c:spPr>
              <a:solidFill>
                <a:schemeClr val="accent5"/>
              </a:solidFill>
              <a:ln w="9525">
                <a:solidFill>
                  <a:schemeClr val="accent5"/>
                </a:solidFill>
              </a:ln>
              <a:effectLst/>
            </c:spPr>
          </c:marker>
          <c:xVal>
            <c:numRef>
              <c:f>Gini_2017!$H$70:$H$81</c:f>
              <c:numCache>
                <c:formatCode>0.00</c:formatCode>
                <c:ptCount val="12"/>
                <c:pt idx="0">
                  <c:v>0</c:v>
                </c:pt>
                <c:pt idx="1">
                  <c:v>1.4176942283943195E-2</c:v>
                </c:pt>
                <c:pt idx="2">
                  <c:v>3.6793158909939887E-2</c:v>
                </c:pt>
                <c:pt idx="3">
                  <c:v>4.1765647569738162E-2</c:v>
                </c:pt>
                <c:pt idx="4">
                  <c:v>8.4316888421643726E-2</c:v>
                </c:pt>
                <c:pt idx="5">
                  <c:v>0.15848616039043678</c:v>
                </c:pt>
                <c:pt idx="6">
                  <c:v>0.20079520471221315</c:v>
                </c:pt>
                <c:pt idx="7">
                  <c:v>0.2449497798442038</c:v>
                </c:pt>
                <c:pt idx="8">
                  <c:v>0.3833176244544691</c:v>
                </c:pt>
                <c:pt idx="9">
                  <c:v>0.53608923010359011</c:v>
                </c:pt>
                <c:pt idx="10">
                  <c:v>0.85462511659777873</c:v>
                </c:pt>
                <c:pt idx="11">
                  <c:v>1</c:v>
                </c:pt>
              </c:numCache>
            </c:numRef>
          </c:xVal>
          <c:yVal>
            <c:numRef>
              <c:f>Gini_2017!$G$70:$G$81</c:f>
              <c:numCache>
                <c:formatCode>0.00</c:formatCode>
                <c:ptCount val="12"/>
                <c:pt idx="0">
                  <c:v>0</c:v>
                </c:pt>
                <c:pt idx="1">
                  <c:v>0</c:v>
                </c:pt>
                <c:pt idx="2">
                  <c:v>5.7874802204534925E-3</c:v>
                </c:pt>
                <c:pt idx="3">
                  <c:v>1.5344991836733241E-2</c:v>
                </c:pt>
                <c:pt idx="4">
                  <c:v>3.0924437339246248E-2</c:v>
                </c:pt>
                <c:pt idx="5">
                  <c:v>7.7770463841855264E-2</c:v>
                </c:pt>
                <c:pt idx="6">
                  <c:v>0.14634917030763622</c:v>
                </c:pt>
                <c:pt idx="7">
                  <c:v>0.22757856580903418</c:v>
                </c:pt>
                <c:pt idx="8">
                  <c:v>0.32621517340662548</c:v>
                </c:pt>
                <c:pt idx="9">
                  <c:v>0.45272564256021913</c:v>
                </c:pt>
                <c:pt idx="10">
                  <c:v>0.61760636236092648</c:v>
                </c:pt>
                <c:pt idx="11">
                  <c:v>1</c:v>
                </c:pt>
              </c:numCache>
            </c:numRef>
          </c:yVal>
          <c:smooth val="0"/>
          <c:extLst>
            <c:ext xmlns:c16="http://schemas.microsoft.com/office/drawing/2014/chart" uri="{C3380CC4-5D6E-409C-BE32-E72D297353CC}">
              <c16:uniqueId val="{00000005-6502-4F4F-8B5E-FA06E4638C41}"/>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Criteria </a:t>
                </a:r>
                <a:endParaRPr lang="en-US"/>
              </a:p>
            </c:rich>
          </c:tx>
          <c:layout>
            <c:manualLayout>
              <c:xMode val="edge"/>
              <c:yMode val="edge"/>
              <c:x val="0.30931893106762737"/>
              <c:y val="0.8987774266708676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variables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 based on cropland area in each country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650902999652733"/>
          <c:y val="0.18478675798830643"/>
          <c:w val="0.64746825356505833"/>
          <c:h val="0.67073597635553017"/>
        </c:manualLayout>
      </c:layout>
      <c:scatterChart>
        <c:scatterStyle val="smoothMarker"/>
        <c:varyColors val="0"/>
        <c:ser>
          <c:idx val="1"/>
          <c:order val="1"/>
          <c:tx>
            <c:v>Equality Line</c:v>
          </c:tx>
          <c:spPr>
            <a:ln w="19050" cap="rnd">
              <a:solidFill>
                <a:schemeClr val="accent2"/>
              </a:solidFill>
              <a:round/>
            </a:ln>
            <a:effectLst/>
          </c:spPr>
          <c:marker>
            <c:symbol val="none"/>
          </c:marker>
          <c:xVal>
            <c:numRef>
              <c:f>Gini_2017!$H$94:$H$105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xVal>
          <c:yVal>
            <c:numRef>
              <c:f>Gini_2017!$H$94:$H$105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yVal>
          <c:smooth val="1"/>
          <c:extLst>
            <c:ext xmlns:c16="http://schemas.microsoft.com/office/drawing/2014/chart" uri="{C3380CC4-5D6E-409C-BE32-E72D297353CC}">
              <c16:uniqueId val="{00000000-DB8E-44E7-B4CD-515ABB0D05FB}"/>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Precipitation</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DB8E-44E7-B4CD-515ABB0D05FB}"/>
              </c:ext>
            </c:extLst>
          </c:dPt>
          <c:xVal>
            <c:numRef>
              <c:f>Gini_2017!$H$94:$H$105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xVal>
          <c:yVal>
            <c:numRef>
              <c:f>Gini_2017!$G$94:$G$105</c:f>
              <c:numCache>
                <c:formatCode>0.00</c:formatCode>
                <c:ptCount val="12"/>
                <c:pt idx="0">
                  <c:v>0</c:v>
                </c:pt>
                <c:pt idx="1">
                  <c:v>1.6224065801728926E-3</c:v>
                </c:pt>
                <c:pt idx="2">
                  <c:v>8.5337488862051308E-3</c:v>
                </c:pt>
                <c:pt idx="3">
                  <c:v>1.6015984339316631E-2</c:v>
                </c:pt>
                <c:pt idx="4">
                  <c:v>2.6254221901517355E-2</c:v>
                </c:pt>
                <c:pt idx="5">
                  <c:v>3.7640558755767384E-2</c:v>
                </c:pt>
                <c:pt idx="6">
                  <c:v>7.2667451991973026E-2</c:v>
                </c:pt>
                <c:pt idx="7">
                  <c:v>0.13524129298114196</c:v>
                </c:pt>
                <c:pt idx="8">
                  <c:v>0.2757067296209304</c:v>
                </c:pt>
                <c:pt idx="9">
                  <c:v>0.46965007539927839</c:v>
                </c:pt>
                <c:pt idx="10">
                  <c:v>0.70197873421734569</c:v>
                </c:pt>
                <c:pt idx="11">
                  <c:v>0.99999999999999989</c:v>
                </c:pt>
              </c:numCache>
            </c:numRef>
          </c:yVal>
          <c:smooth val="0"/>
          <c:extLst>
            <c:ext xmlns:c16="http://schemas.microsoft.com/office/drawing/2014/chart" uri="{C3380CC4-5D6E-409C-BE32-E72D297353CC}">
              <c16:uniqueId val="{00000002-DB8E-44E7-B4CD-515ABB0D05FB}"/>
            </c:ext>
          </c:extLst>
        </c:ser>
        <c:ser>
          <c:idx val="2"/>
          <c:order val="2"/>
          <c:tx>
            <c:v>ETa</c:v>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Gini_2017!$H$115:$H$126</c:f>
              <c:numCache>
                <c:formatCode>0.00</c:formatCode>
                <c:ptCount val="12"/>
                <c:pt idx="0">
                  <c:v>0</c:v>
                </c:pt>
                <c:pt idx="1">
                  <c:v>8.6508040877704764E-3</c:v>
                </c:pt>
                <c:pt idx="2">
                  <c:v>2.233691110888162E-2</c:v>
                </c:pt>
                <c:pt idx="3">
                  <c:v>4.5534073596056365E-2</c:v>
                </c:pt>
                <c:pt idx="4">
                  <c:v>5.3837159897602418E-2</c:v>
                </c:pt>
                <c:pt idx="5">
                  <c:v>0.11688690634392547</c:v>
                </c:pt>
                <c:pt idx="6">
                  <c:v>0.17846731707242672</c:v>
                </c:pt>
                <c:pt idx="7">
                  <c:v>0.25736713399590871</c:v>
                </c:pt>
                <c:pt idx="8">
                  <c:v>0.38405950424456814</c:v>
                </c:pt>
                <c:pt idx="9">
                  <c:v>0.65743534284662219</c:v>
                </c:pt>
                <c:pt idx="10">
                  <c:v>0.98464491670321019</c:v>
                </c:pt>
                <c:pt idx="11">
                  <c:v>1.0000000000000002</c:v>
                </c:pt>
              </c:numCache>
            </c:numRef>
          </c:xVal>
          <c:yVal>
            <c:numRef>
              <c:f>Gini_2017!$G$115:$G$126</c:f>
              <c:numCache>
                <c:formatCode>0.00</c:formatCode>
                <c:ptCount val="12"/>
                <c:pt idx="0">
                  <c:v>0</c:v>
                </c:pt>
                <c:pt idx="1">
                  <c:v>5.2999093049631314E-3</c:v>
                </c:pt>
                <c:pt idx="2">
                  <c:v>1.1764115874623525E-2</c:v>
                </c:pt>
                <c:pt idx="3">
                  <c:v>2.1200626048673787E-2</c:v>
                </c:pt>
                <c:pt idx="4">
                  <c:v>3.3560975242154255E-2</c:v>
                </c:pt>
                <c:pt idx="5">
                  <c:v>6.1108530255808799E-2</c:v>
                </c:pt>
                <c:pt idx="6">
                  <c:v>9.109586517054033E-2</c:v>
                </c:pt>
                <c:pt idx="7">
                  <c:v>0.14509025520478358</c:v>
                </c:pt>
                <c:pt idx="8">
                  <c:v>0.27648140963360179</c:v>
                </c:pt>
                <c:pt idx="9">
                  <c:v>0.44423734960873451</c:v>
                </c:pt>
                <c:pt idx="10">
                  <c:v>0.65136000022667062</c:v>
                </c:pt>
                <c:pt idx="11">
                  <c:v>1</c:v>
                </c:pt>
              </c:numCache>
            </c:numRef>
          </c:yVal>
          <c:smooth val="0"/>
          <c:extLst>
            <c:ext xmlns:c16="http://schemas.microsoft.com/office/drawing/2014/chart" uri="{C3380CC4-5D6E-409C-BE32-E72D297353CC}">
              <c16:uniqueId val="{00000003-DB8E-44E7-B4CD-515ABB0D05FB}"/>
            </c:ext>
          </c:extLst>
        </c:ser>
        <c:ser>
          <c:idx val="3"/>
          <c:order val="3"/>
          <c:tx>
            <c:v>Internal AW</c:v>
          </c:tx>
          <c:spPr>
            <a:ln w="19050" cap="rnd">
              <a:solidFill>
                <a:schemeClr val="accent4"/>
              </a:solidFill>
              <a:round/>
            </a:ln>
            <a:effectLst/>
          </c:spPr>
          <c:marker>
            <c:symbol val="circle"/>
            <c:size val="5"/>
            <c:spPr>
              <a:solidFill>
                <a:schemeClr val="accent4"/>
              </a:solidFill>
              <a:ln w="9525">
                <a:solidFill>
                  <a:schemeClr val="accent4"/>
                </a:solidFill>
              </a:ln>
              <a:effectLst/>
            </c:spPr>
          </c:marker>
          <c:xVal>
            <c:numRef>
              <c:f>Gini_2017!$H$136:$H$147</c:f>
              <c:numCache>
                <c:formatCode>0.00</c:formatCode>
                <c:ptCount val="12"/>
                <c:pt idx="0">
                  <c:v>0</c:v>
                </c:pt>
                <c:pt idx="1">
                  <c:v>8.3030863015460567E-3</c:v>
                </c:pt>
                <c:pt idx="2">
                  <c:v>6.9883497030047301E-2</c:v>
                </c:pt>
                <c:pt idx="3">
                  <c:v>0.39709307088663531</c:v>
                </c:pt>
                <c:pt idx="4">
                  <c:v>0.41244815418342529</c:v>
                </c:pt>
                <c:pt idx="5">
                  <c:v>0.43564531667060002</c:v>
                </c:pt>
                <c:pt idx="6">
                  <c:v>0.4493314236917112</c:v>
                </c:pt>
                <c:pt idx="7">
                  <c:v>0.45798222777948167</c:v>
                </c:pt>
                <c:pt idx="8">
                  <c:v>0.52103197422580472</c:v>
                </c:pt>
                <c:pt idx="9">
                  <c:v>0.64772434447446414</c:v>
                </c:pt>
                <c:pt idx="10">
                  <c:v>0.72662416139794606</c:v>
                </c:pt>
                <c:pt idx="11">
                  <c:v>1</c:v>
                </c:pt>
              </c:numCache>
            </c:numRef>
          </c:xVal>
          <c:yVal>
            <c:numRef>
              <c:f>Gini_2017!$G$136:$G$147</c:f>
              <c:numCache>
                <c:formatCode>0.00</c:formatCode>
                <c:ptCount val="12"/>
                <c:pt idx="0">
                  <c:v>0</c:v>
                </c:pt>
                <c:pt idx="1">
                  <c:v>0</c:v>
                </c:pt>
                <c:pt idx="2">
                  <c:v>0</c:v>
                </c:pt>
                <c:pt idx="3">
                  <c:v>0</c:v>
                </c:pt>
                <c:pt idx="4">
                  <c:v>0</c:v>
                </c:pt>
                <c:pt idx="5">
                  <c:v>7.5433856413997481E-3</c:v>
                </c:pt>
                <c:pt idx="6">
                  <c:v>1.7266325876753193E-2</c:v>
                </c:pt>
                <c:pt idx="7">
                  <c:v>3.3322901571884077E-2</c:v>
                </c:pt>
                <c:pt idx="8">
                  <c:v>0.11202401131199832</c:v>
                </c:pt>
                <c:pt idx="9">
                  <c:v>0.22111542998848044</c:v>
                </c:pt>
                <c:pt idx="10">
                  <c:v>0.35758044200230887</c:v>
                </c:pt>
                <c:pt idx="11">
                  <c:v>1</c:v>
                </c:pt>
              </c:numCache>
            </c:numRef>
          </c:yVal>
          <c:smooth val="0"/>
          <c:extLst>
            <c:ext xmlns:c16="http://schemas.microsoft.com/office/drawing/2014/chart" uri="{C3380CC4-5D6E-409C-BE32-E72D297353CC}">
              <c16:uniqueId val="{00000004-DB8E-44E7-B4CD-515ABB0D05FB}"/>
            </c:ext>
          </c:extLst>
        </c:ser>
        <c:ser>
          <c:idx val="4"/>
          <c:order val="4"/>
          <c:tx>
            <c:v>Total AW</c:v>
          </c:tx>
          <c:spPr>
            <a:ln w="19050" cap="rnd">
              <a:solidFill>
                <a:schemeClr val="accent5"/>
              </a:solidFill>
              <a:round/>
            </a:ln>
            <a:effectLst/>
          </c:spPr>
          <c:marker>
            <c:symbol val="circle"/>
            <c:size val="5"/>
            <c:spPr>
              <a:solidFill>
                <a:schemeClr val="accent5"/>
              </a:solidFill>
              <a:ln w="9525">
                <a:solidFill>
                  <a:schemeClr val="accent5"/>
                </a:solidFill>
              </a:ln>
              <a:effectLst/>
            </c:spPr>
          </c:marker>
          <c:xVal>
            <c:numRef>
              <c:f>Gini_2017!$H$157:$H$168</c:f>
              <c:numCache>
                <c:formatCode>0.00</c:formatCode>
                <c:ptCount val="12"/>
                <c:pt idx="0">
                  <c:v>0</c:v>
                </c:pt>
                <c:pt idx="1">
                  <c:v>8.3030863015460567E-3</c:v>
                </c:pt>
                <c:pt idx="2">
                  <c:v>2.19891933226572E-2</c:v>
                </c:pt>
                <c:pt idx="3">
                  <c:v>3.0639997410427677E-2</c:v>
                </c:pt>
                <c:pt idx="4">
                  <c:v>5.3837159897602418E-2</c:v>
                </c:pt>
                <c:pt idx="5">
                  <c:v>0.11688690634392547</c:v>
                </c:pt>
                <c:pt idx="6">
                  <c:v>0.13224198964071543</c:v>
                </c:pt>
                <c:pt idx="7">
                  <c:v>0.2111418065641974</c:v>
                </c:pt>
                <c:pt idx="8">
                  <c:v>0.53835138042078534</c:v>
                </c:pt>
                <c:pt idx="9">
                  <c:v>0.66504375066944477</c:v>
                </c:pt>
                <c:pt idx="10">
                  <c:v>0.72662416139794606</c:v>
                </c:pt>
                <c:pt idx="11">
                  <c:v>1</c:v>
                </c:pt>
              </c:numCache>
            </c:numRef>
          </c:xVal>
          <c:yVal>
            <c:numRef>
              <c:f>Gini_2017!$G$157:$G$168</c:f>
              <c:numCache>
                <c:formatCode>0.00</c:formatCode>
                <c:ptCount val="12"/>
                <c:pt idx="0">
                  <c:v>0</c:v>
                </c:pt>
                <c:pt idx="1">
                  <c:v>0</c:v>
                </c:pt>
                <c:pt idx="2">
                  <c:v>5.7874802204534925E-3</c:v>
                </c:pt>
                <c:pt idx="3">
                  <c:v>1.5344991836733241E-2</c:v>
                </c:pt>
                <c:pt idx="4">
                  <c:v>3.0924437339246248E-2</c:v>
                </c:pt>
                <c:pt idx="5">
                  <c:v>7.7770463841855264E-2</c:v>
                </c:pt>
                <c:pt idx="6">
                  <c:v>0.14634917030763622</c:v>
                </c:pt>
                <c:pt idx="7">
                  <c:v>0.22757856580903418</c:v>
                </c:pt>
                <c:pt idx="8">
                  <c:v>0.32621517340662548</c:v>
                </c:pt>
                <c:pt idx="9">
                  <c:v>0.45272564256021913</c:v>
                </c:pt>
                <c:pt idx="10">
                  <c:v>0.61760636236092648</c:v>
                </c:pt>
                <c:pt idx="11">
                  <c:v>1</c:v>
                </c:pt>
              </c:numCache>
            </c:numRef>
          </c:yVal>
          <c:smooth val="0"/>
          <c:extLst>
            <c:ext xmlns:c16="http://schemas.microsoft.com/office/drawing/2014/chart" uri="{C3380CC4-5D6E-409C-BE32-E72D297353CC}">
              <c16:uniqueId val="{00000005-DB8E-44E7-B4CD-515ABB0D05FB}"/>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t>
                </a:r>
                <a:r>
                  <a:rPr lang="en-US" sz="1000" b="0" i="0" u="none" strike="noStrike" baseline="0">
                    <a:effectLst/>
                  </a:rPr>
                  <a:t>Criteria</a:t>
                </a:r>
                <a:endParaRPr lang="en-US" baseline="0"/>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variables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 based on area of each country in the basin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457098300252266"/>
          <c:y val="0.16423456145227788"/>
          <c:w val="0.69762923864608828"/>
          <c:h val="0.66127160527769036"/>
        </c:manualLayout>
      </c:layout>
      <c:scatterChart>
        <c:scatterStyle val="smoothMarker"/>
        <c:varyColors val="0"/>
        <c:ser>
          <c:idx val="1"/>
          <c:order val="1"/>
          <c:tx>
            <c:v>Equality Line</c:v>
          </c:tx>
          <c:spPr>
            <a:ln w="19050" cap="rnd">
              <a:solidFill>
                <a:schemeClr val="accent2"/>
              </a:solidFill>
              <a:round/>
            </a:ln>
            <a:effectLst/>
          </c:spPr>
          <c:marker>
            <c:symbol val="none"/>
          </c:marker>
          <c:xVal>
            <c:numRef>
              <c:f>Gini_2017!$H$94:$H$105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xVal>
          <c:yVal>
            <c:numRef>
              <c:f>Gini_2017!$H$94:$H$105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yVal>
          <c:smooth val="1"/>
          <c:extLst>
            <c:ext xmlns:c16="http://schemas.microsoft.com/office/drawing/2014/chart" uri="{C3380CC4-5D6E-409C-BE32-E72D297353CC}">
              <c16:uniqueId val="{00000000-EB17-419F-9E3D-6187F2CBEB23}"/>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Precipitation</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EB17-419F-9E3D-6187F2CBEB23}"/>
              </c:ext>
            </c:extLst>
          </c:dPt>
          <c:xVal>
            <c:numRef>
              <c:f>Gini_2017!$H$178:$H$189</c:f>
              <c:numCache>
                <c:formatCode>0.00</c:formatCode>
                <c:ptCount val="12"/>
                <c:pt idx="0">
                  <c:v>0</c:v>
                </c:pt>
                <c:pt idx="1">
                  <c:v>8.2249727275718124E-2</c:v>
                </c:pt>
                <c:pt idx="2">
                  <c:v>9.0263247322775519E-2</c:v>
                </c:pt>
                <c:pt idx="3">
                  <c:v>9.4581027823807909E-2</c:v>
                </c:pt>
                <c:pt idx="4">
                  <c:v>0.1013971131412383</c:v>
                </c:pt>
                <c:pt idx="5">
                  <c:v>0.10808687676914244</c:v>
                </c:pt>
                <c:pt idx="6">
                  <c:v>0.12427174144854033</c:v>
                </c:pt>
                <c:pt idx="7">
                  <c:v>0.16345651867644251</c:v>
                </c:pt>
                <c:pt idx="8">
                  <c:v>0.24099269172425059</c:v>
                </c:pt>
                <c:pt idx="9">
                  <c:v>0.67926609315684749</c:v>
                </c:pt>
                <c:pt idx="10">
                  <c:v>0.79811612788873898</c:v>
                </c:pt>
                <c:pt idx="11">
                  <c:v>1</c:v>
                </c:pt>
              </c:numCache>
            </c:numRef>
          </c:xVal>
          <c:yVal>
            <c:numRef>
              <c:f>Gini_2017!$G$178:$G$189</c:f>
              <c:numCache>
                <c:formatCode>0.00</c:formatCode>
                <c:ptCount val="12"/>
                <c:pt idx="0">
                  <c:v>0</c:v>
                </c:pt>
                <c:pt idx="1">
                  <c:v>1.6224065801728926E-3</c:v>
                </c:pt>
                <c:pt idx="2">
                  <c:v>8.5337488862051308E-3</c:v>
                </c:pt>
                <c:pt idx="3">
                  <c:v>1.6015984339316631E-2</c:v>
                </c:pt>
                <c:pt idx="4">
                  <c:v>2.6254221901517355E-2</c:v>
                </c:pt>
                <c:pt idx="5">
                  <c:v>3.7640558755767384E-2</c:v>
                </c:pt>
                <c:pt idx="6">
                  <c:v>7.2667451991973026E-2</c:v>
                </c:pt>
                <c:pt idx="7">
                  <c:v>0.13524129298114196</c:v>
                </c:pt>
                <c:pt idx="8">
                  <c:v>0.2757067296209304</c:v>
                </c:pt>
                <c:pt idx="9">
                  <c:v>0.46965007539927839</c:v>
                </c:pt>
                <c:pt idx="10">
                  <c:v>0.70197873421734569</c:v>
                </c:pt>
                <c:pt idx="11">
                  <c:v>0.99999999999999989</c:v>
                </c:pt>
              </c:numCache>
            </c:numRef>
          </c:yVal>
          <c:smooth val="0"/>
          <c:extLst>
            <c:ext xmlns:c16="http://schemas.microsoft.com/office/drawing/2014/chart" uri="{C3380CC4-5D6E-409C-BE32-E72D297353CC}">
              <c16:uniqueId val="{00000002-EB17-419F-9E3D-6187F2CBEB23}"/>
            </c:ext>
          </c:extLst>
        </c:ser>
        <c:ser>
          <c:idx val="2"/>
          <c:order val="2"/>
          <c:tx>
            <c:v>ETa</c:v>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Gini_2017!$H$199:$H$210</c:f>
              <c:numCache>
                <c:formatCode>0.00</c:formatCode>
                <c:ptCount val="12"/>
                <c:pt idx="0">
                  <c:v>0</c:v>
                </c:pt>
                <c:pt idx="1">
                  <c:v>8.0135200470573958E-3</c:v>
                </c:pt>
                <c:pt idx="2">
                  <c:v>1.2331300548089792E-2</c:v>
                </c:pt>
                <c:pt idx="3">
                  <c:v>1.9147385865520176E-2</c:v>
                </c:pt>
                <c:pt idx="4">
                  <c:v>2.5837149493424316E-2</c:v>
                </c:pt>
                <c:pt idx="5">
                  <c:v>4.2022014172822211E-2</c:v>
                </c:pt>
                <c:pt idx="6">
                  <c:v>0.12427174144854033</c:v>
                </c:pt>
                <c:pt idx="7">
                  <c:v>0.16345651867644251</c:v>
                </c:pt>
                <c:pt idx="8">
                  <c:v>0.24099269172425059</c:v>
                </c:pt>
                <c:pt idx="9">
                  <c:v>0.35984272645614207</c:v>
                </c:pt>
                <c:pt idx="10">
                  <c:v>0.79811612788873898</c:v>
                </c:pt>
                <c:pt idx="11">
                  <c:v>1</c:v>
                </c:pt>
              </c:numCache>
            </c:numRef>
          </c:xVal>
          <c:yVal>
            <c:numRef>
              <c:f>Gini_2017!$G$199:$G$210</c:f>
              <c:numCache>
                <c:formatCode>0.00</c:formatCode>
                <c:ptCount val="12"/>
                <c:pt idx="0">
                  <c:v>0</c:v>
                </c:pt>
                <c:pt idx="1">
                  <c:v>5.2999093049631314E-3</c:v>
                </c:pt>
                <c:pt idx="2">
                  <c:v>1.1764115874623525E-2</c:v>
                </c:pt>
                <c:pt idx="3">
                  <c:v>2.1200626048673787E-2</c:v>
                </c:pt>
                <c:pt idx="4">
                  <c:v>3.3560975242154255E-2</c:v>
                </c:pt>
                <c:pt idx="5">
                  <c:v>6.1108530255808799E-2</c:v>
                </c:pt>
                <c:pt idx="6">
                  <c:v>9.109586517054033E-2</c:v>
                </c:pt>
                <c:pt idx="7">
                  <c:v>0.14509025520478358</c:v>
                </c:pt>
                <c:pt idx="8">
                  <c:v>0.27648140963360179</c:v>
                </c:pt>
                <c:pt idx="9">
                  <c:v>0.44423734960873451</c:v>
                </c:pt>
                <c:pt idx="10">
                  <c:v>0.65136000022667062</c:v>
                </c:pt>
                <c:pt idx="11">
                  <c:v>1</c:v>
                </c:pt>
              </c:numCache>
            </c:numRef>
          </c:yVal>
          <c:smooth val="0"/>
          <c:extLst>
            <c:ext xmlns:c16="http://schemas.microsoft.com/office/drawing/2014/chart" uri="{C3380CC4-5D6E-409C-BE32-E72D297353CC}">
              <c16:uniqueId val="{00000003-EB17-419F-9E3D-6187F2CBEB23}"/>
            </c:ext>
          </c:extLst>
        </c:ser>
        <c:ser>
          <c:idx val="3"/>
          <c:order val="3"/>
          <c:tx>
            <c:v>Internal AW</c:v>
          </c:tx>
          <c:spPr>
            <a:ln w="19050" cap="rnd">
              <a:solidFill>
                <a:schemeClr val="accent4"/>
              </a:solidFill>
              <a:round/>
            </a:ln>
            <a:effectLst/>
          </c:spPr>
          <c:marker>
            <c:symbol val="circle"/>
            <c:size val="5"/>
            <c:spPr>
              <a:solidFill>
                <a:schemeClr val="accent4"/>
              </a:solidFill>
              <a:ln w="9525">
                <a:solidFill>
                  <a:schemeClr val="accent4"/>
                </a:solidFill>
              </a:ln>
              <a:effectLst/>
            </c:spPr>
          </c:marker>
          <c:xVal>
            <c:numRef>
              <c:f>Gini_2017!$H$220:$H$231</c:f>
              <c:numCache>
                <c:formatCode>0.00</c:formatCode>
                <c:ptCount val="12"/>
                <c:pt idx="0">
                  <c:v>0</c:v>
                </c:pt>
                <c:pt idx="1">
                  <c:v>6.6897636279041406E-3</c:v>
                </c:pt>
                <c:pt idx="2">
                  <c:v>8.893949090362227E-2</c:v>
                </c:pt>
                <c:pt idx="3">
                  <c:v>0.52721289233621915</c:v>
                </c:pt>
                <c:pt idx="4">
                  <c:v>0.72909676444748017</c:v>
                </c:pt>
                <c:pt idx="5">
                  <c:v>0.73591284976491056</c:v>
                </c:pt>
                <c:pt idx="6">
                  <c:v>0.74023063026594293</c:v>
                </c:pt>
                <c:pt idx="7">
                  <c:v>0.74824415031300029</c:v>
                </c:pt>
                <c:pt idx="8">
                  <c:v>0.76442901499239824</c:v>
                </c:pt>
                <c:pt idx="9">
                  <c:v>0.84196518804020637</c:v>
                </c:pt>
                <c:pt idx="10">
                  <c:v>0.88114996526810851</c:v>
                </c:pt>
                <c:pt idx="11">
                  <c:v>1</c:v>
                </c:pt>
              </c:numCache>
            </c:numRef>
          </c:xVal>
          <c:yVal>
            <c:numRef>
              <c:f>Gini_2017!$G$220:$G$231</c:f>
              <c:numCache>
                <c:formatCode>0.00</c:formatCode>
                <c:ptCount val="12"/>
                <c:pt idx="0">
                  <c:v>0</c:v>
                </c:pt>
                <c:pt idx="1">
                  <c:v>0</c:v>
                </c:pt>
                <c:pt idx="2">
                  <c:v>0</c:v>
                </c:pt>
                <c:pt idx="3">
                  <c:v>0</c:v>
                </c:pt>
                <c:pt idx="4">
                  <c:v>0</c:v>
                </c:pt>
                <c:pt idx="5">
                  <c:v>7.5433856413997481E-3</c:v>
                </c:pt>
                <c:pt idx="6">
                  <c:v>1.7266325876753193E-2</c:v>
                </c:pt>
                <c:pt idx="7">
                  <c:v>3.3322901571884077E-2</c:v>
                </c:pt>
                <c:pt idx="8">
                  <c:v>0.11202401131199832</c:v>
                </c:pt>
                <c:pt idx="9">
                  <c:v>0.22111542998848044</c:v>
                </c:pt>
                <c:pt idx="10">
                  <c:v>0.35758044200230887</c:v>
                </c:pt>
                <c:pt idx="11">
                  <c:v>1</c:v>
                </c:pt>
              </c:numCache>
            </c:numRef>
          </c:yVal>
          <c:smooth val="0"/>
          <c:extLst>
            <c:ext xmlns:c16="http://schemas.microsoft.com/office/drawing/2014/chart" uri="{C3380CC4-5D6E-409C-BE32-E72D297353CC}">
              <c16:uniqueId val="{00000004-EB17-419F-9E3D-6187F2CBEB23}"/>
            </c:ext>
          </c:extLst>
        </c:ser>
        <c:ser>
          <c:idx val="4"/>
          <c:order val="4"/>
          <c:tx>
            <c:v>Total AW</c:v>
          </c:tx>
          <c:spPr>
            <a:ln w="19050" cap="rnd">
              <a:solidFill>
                <a:schemeClr val="accent5"/>
              </a:solidFill>
              <a:round/>
            </a:ln>
            <a:effectLst/>
          </c:spPr>
          <c:marker>
            <c:symbol val="circle"/>
            <c:size val="5"/>
            <c:spPr>
              <a:solidFill>
                <a:schemeClr val="accent5"/>
              </a:solidFill>
              <a:ln w="9525">
                <a:solidFill>
                  <a:schemeClr val="accent5"/>
                </a:solidFill>
              </a:ln>
              <a:effectLst/>
            </c:spPr>
          </c:marker>
          <c:xVal>
            <c:numRef>
              <c:f>Gini_2017!$H$241:$H$252</c:f>
              <c:numCache>
                <c:formatCode>0.00</c:formatCode>
                <c:ptCount val="12"/>
                <c:pt idx="0">
                  <c:v>0</c:v>
                </c:pt>
                <c:pt idx="1">
                  <c:v>6.6897636279041389E-3</c:v>
                </c:pt>
                <c:pt idx="2">
                  <c:v>1.1007544128936533E-2</c:v>
                </c:pt>
                <c:pt idx="3">
                  <c:v>1.9021064175993925E-2</c:v>
                </c:pt>
                <c:pt idx="4">
                  <c:v>2.5837149493424309E-2</c:v>
                </c:pt>
                <c:pt idx="5">
                  <c:v>4.2022014172822197E-2</c:v>
                </c:pt>
                <c:pt idx="6">
                  <c:v>0.24390588628408319</c:v>
                </c:pt>
                <c:pt idx="7">
                  <c:v>0.28309066351198536</c:v>
                </c:pt>
                <c:pt idx="8">
                  <c:v>0.72136406494458227</c:v>
                </c:pt>
                <c:pt idx="9">
                  <c:v>0.79890023799239041</c:v>
                </c:pt>
                <c:pt idx="10">
                  <c:v>0.88114996526810851</c:v>
                </c:pt>
                <c:pt idx="11">
                  <c:v>1</c:v>
                </c:pt>
              </c:numCache>
            </c:numRef>
          </c:xVal>
          <c:yVal>
            <c:numRef>
              <c:f>Gini_2017!$G$241:$G$252</c:f>
              <c:numCache>
                <c:formatCode>0.00</c:formatCode>
                <c:ptCount val="12"/>
                <c:pt idx="0">
                  <c:v>0</c:v>
                </c:pt>
                <c:pt idx="1">
                  <c:v>0</c:v>
                </c:pt>
                <c:pt idx="2">
                  <c:v>5.7874802204534925E-3</c:v>
                </c:pt>
                <c:pt idx="3">
                  <c:v>1.5344991836733241E-2</c:v>
                </c:pt>
                <c:pt idx="4">
                  <c:v>3.0924437339246248E-2</c:v>
                </c:pt>
                <c:pt idx="5">
                  <c:v>7.7770463841855264E-2</c:v>
                </c:pt>
                <c:pt idx="6">
                  <c:v>0.14634917030763622</c:v>
                </c:pt>
                <c:pt idx="7">
                  <c:v>0.22757856580903418</c:v>
                </c:pt>
                <c:pt idx="8">
                  <c:v>0.32621517340662548</c:v>
                </c:pt>
                <c:pt idx="9">
                  <c:v>0.45272564256021913</c:v>
                </c:pt>
                <c:pt idx="10">
                  <c:v>0.61760636236092648</c:v>
                </c:pt>
                <c:pt idx="11">
                  <c:v>1</c:v>
                </c:pt>
              </c:numCache>
            </c:numRef>
          </c:yVal>
          <c:smooth val="0"/>
          <c:extLst>
            <c:ext xmlns:c16="http://schemas.microsoft.com/office/drawing/2014/chart" uri="{C3380CC4-5D6E-409C-BE32-E72D297353CC}">
              <c16:uniqueId val="{00000005-EB17-419F-9E3D-6187F2CBEB23}"/>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t>
                </a:r>
                <a:r>
                  <a:rPr lang="en-US" sz="1000" b="0" i="0" u="none" strike="noStrike" baseline="0">
                    <a:effectLst/>
                  </a:rPr>
                  <a:t>Criteria</a:t>
                </a:r>
                <a:endParaRPr lang="en-US" baseline="0"/>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variables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layout>
        <c:manualLayout>
          <c:xMode val="edge"/>
          <c:yMode val="edge"/>
          <c:x val="0.81944879380053437"/>
          <c:y val="0.38221744320590534"/>
          <c:w val="0.18021896777407129"/>
          <c:h val="0.349143219407329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Gini_2018!$H$94:$H$105</c:f>
              <c:numCache>
                <c:formatCode>0.00</c:formatCode>
                <c:ptCount val="12"/>
                <c:pt idx="0">
                  <c:v>0</c:v>
                </c:pt>
                <c:pt idx="1">
                  <c:v>6.1580410728501248E-2</c:v>
                </c:pt>
                <c:pt idx="2">
                  <c:v>7.0231214816271731E-2</c:v>
                </c:pt>
                <c:pt idx="3">
                  <c:v>8.3917321837382874E-2</c:v>
                </c:pt>
                <c:pt idx="4">
                  <c:v>9.2220408138928928E-2</c:v>
                </c:pt>
                <c:pt idx="5">
                  <c:v>0.11541757062610367</c:v>
                </c:pt>
                <c:pt idx="6">
                  <c:v>0.17846731707242672</c:v>
                </c:pt>
                <c:pt idx="7">
                  <c:v>0.25736713399590871</c:v>
                </c:pt>
                <c:pt idx="8">
                  <c:v>0.38405950424456814</c:v>
                </c:pt>
                <c:pt idx="9">
                  <c:v>0.71126907810115614</c:v>
                </c:pt>
                <c:pt idx="10">
                  <c:v>0.98464491670321008</c:v>
                </c:pt>
                <c:pt idx="11">
                  <c:v>1</c:v>
                </c:pt>
              </c:numCache>
            </c:numRef>
          </c:xVal>
          <c:yVal>
            <c:numRef>
              <c:f>Gini_2018!$H$94:$H$105</c:f>
              <c:numCache>
                <c:formatCode>0.00</c:formatCode>
                <c:ptCount val="12"/>
                <c:pt idx="0">
                  <c:v>0</c:v>
                </c:pt>
                <c:pt idx="1">
                  <c:v>6.1580410728501248E-2</c:v>
                </c:pt>
                <c:pt idx="2">
                  <c:v>7.0231214816271731E-2</c:v>
                </c:pt>
                <c:pt idx="3">
                  <c:v>8.3917321837382874E-2</c:v>
                </c:pt>
                <c:pt idx="4">
                  <c:v>9.2220408138928928E-2</c:v>
                </c:pt>
                <c:pt idx="5">
                  <c:v>0.11541757062610367</c:v>
                </c:pt>
                <c:pt idx="6">
                  <c:v>0.17846731707242672</c:v>
                </c:pt>
                <c:pt idx="7">
                  <c:v>0.25736713399590871</c:v>
                </c:pt>
                <c:pt idx="8">
                  <c:v>0.38405950424456814</c:v>
                </c:pt>
                <c:pt idx="9">
                  <c:v>0.71126907810115614</c:v>
                </c:pt>
                <c:pt idx="10">
                  <c:v>0.98464491670321008</c:v>
                </c:pt>
                <c:pt idx="11">
                  <c:v>1</c:v>
                </c:pt>
              </c:numCache>
            </c:numRef>
          </c:yVal>
          <c:smooth val="1"/>
          <c:extLst>
            <c:ext xmlns:c16="http://schemas.microsoft.com/office/drawing/2014/chart" uri="{C3380CC4-5D6E-409C-BE32-E72D297353CC}">
              <c16:uniqueId val="{00000002-A3C5-4CE5-A6C7-D461424DDDCA}"/>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0-A3C5-4CE5-A6C7-D461424DDDCA}"/>
              </c:ext>
            </c:extLst>
          </c:dPt>
          <c:xVal>
            <c:numRef>
              <c:f>Gini_2018!$H$94:$H$105</c:f>
              <c:numCache>
                <c:formatCode>0.00</c:formatCode>
                <c:ptCount val="12"/>
                <c:pt idx="0">
                  <c:v>0</c:v>
                </c:pt>
                <c:pt idx="1">
                  <c:v>6.1580410728501248E-2</c:v>
                </c:pt>
                <c:pt idx="2">
                  <c:v>7.0231214816271731E-2</c:v>
                </c:pt>
                <c:pt idx="3">
                  <c:v>8.3917321837382874E-2</c:v>
                </c:pt>
                <c:pt idx="4">
                  <c:v>9.2220408138928928E-2</c:v>
                </c:pt>
                <c:pt idx="5">
                  <c:v>0.11541757062610367</c:v>
                </c:pt>
                <c:pt idx="6">
                  <c:v>0.17846731707242672</c:v>
                </c:pt>
                <c:pt idx="7">
                  <c:v>0.25736713399590871</c:v>
                </c:pt>
                <c:pt idx="8">
                  <c:v>0.38405950424456814</c:v>
                </c:pt>
                <c:pt idx="9">
                  <c:v>0.71126907810115614</c:v>
                </c:pt>
                <c:pt idx="10">
                  <c:v>0.98464491670321008</c:v>
                </c:pt>
                <c:pt idx="11">
                  <c:v>1</c:v>
                </c:pt>
              </c:numCache>
            </c:numRef>
          </c:xVal>
          <c:yVal>
            <c:numRef>
              <c:f>Gini_2018!$G$94:$G$105</c:f>
              <c:numCache>
                <c:formatCode>0.00</c:formatCode>
                <c:ptCount val="12"/>
                <c:pt idx="0">
                  <c:v>0</c:v>
                </c:pt>
                <c:pt idx="1">
                  <c:v>2.0572122059260146E-3</c:v>
                </c:pt>
                <c:pt idx="2">
                  <c:v>8.6289624421381217E-3</c:v>
                </c:pt>
                <c:pt idx="3">
                  <c:v>1.7701695815085312E-2</c:v>
                </c:pt>
                <c:pt idx="4">
                  <c:v>3.0178732413705139E-2</c:v>
                </c:pt>
                <c:pt idx="5">
                  <c:v>4.2893132745155806E-2</c:v>
                </c:pt>
                <c:pt idx="6">
                  <c:v>8.1100344412985081E-2</c:v>
                </c:pt>
                <c:pt idx="7">
                  <c:v>0.15563756621705813</c:v>
                </c:pt>
                <c:pt idx="8">
                  <c:v>0.30720643346615872</c:v>
                </c:pt>
                <c:pt idx="9">
                  <c:v>0.49808736370607998</c:v>
                </c:pt>
                <c:pt idx="10">
                  <c:v>0.70348588928344968</c:v>
                </c:pt>
                <c:pt idx="11">
                  <c:v>0.99999999999999978</c:v>
                </c:pt>
              </c:numCache>
            </c:numRef>
          </c:yVal>
          <c:smooth val="0"/>
          <c:extLst>
            <c:ext xmlns:c16="http://schemas.microsoft.com/office/drawing/2014/chart" uri="{C3380CC4-5D6E-409C-BE32-E72D297353CC}">
              <c16:uniqueId val="{00000001-A3C5-4CE5-A6C7-D461424DDDCA}"/>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Precipitation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301861863580613"/>
          <c:y val="0.1566342980154827"/>
          <c:w val="0.54960252622417904"/>
          <c:h val="0.65904922055244786"/>
        </c:manualLayout>
      </c:layout>
      <c:scatterChart>
        <c:scatterStyle val="smoothMarker"/>
        <c:varyColors val="0"/>
        <c:ser>
          <c:idx val="1"/>
          <c:order val="1"/>
          <c:tx>
            <c:v>Equality Line</c:v>
          </c:tx>
          <c:spPr>
            <a:ln w="19050" cap="rnd">
              <a:solidFill>
                <a:schemeClr val="accent2"/>
              </a:solidFill>
              <a:round/>
            </a:ln>
            <a:effectLst/>
          </c:spPr>
          <c:marker>
            <c:symbol val="none"/>
          </c:marker>
          <c:xVal>
            <c:numRef>
              <c:f>Gini_2018!$H$115:$H$126</c:f>
              <c:numCache>
                <c:formatCode>0.00</c:formatCode>
                <c:ptCount val="12"/>
                <c:pt idx="0">
                  <c:v>0</c:v>
                </c:pt>
                <c:pt idx="1">
                  <c:v>8.6508040877704764E-3</c:v>
                </c:pt>
                <c:pt idx="2">
                  <c:v>2.233691110888162E-2</c:v>
                </c:pt>
                <c:pt idx="3">
                  <c:v>4.5534073596056365E-2</c:v>
                </c:pt>
                <c:pt idx="4">
                  <c:v>5.3837159897602418E-2</c:v>
                </c:pt>
                <c:pt idx="5">
                  <c:v>0.11688690634392547</c:v>
                </c:pt>
                <c:pt idx="6">
                  <c:v>0.17846731707242672</c:v>
                </c:pt>
                <c:pt idx="7">
                  <c:v>0.25736713399590871</c:v>
                </c:pt>
                <c:pt idx="8">
                  <c:v>0.38405950424456814</c:v>
                </c:pt>
                <c:pt idx="9">
                  <c:v>0.65743534284662219</c:v>
                </c:pt>
                <c:pt idx="10">
                  <c:v>0.98464491670321019</c:v>
                </c:pt>
                <c:pt idx="11">
                  <c:v>1.0000000000000002</c:v>
                </c:pt>
              </c:numCache>
            </c:numRef>
          </c:xVal>
          <c:yVal>
            <c:numRef>
              <c:f>Gini_2018!$H$115:$H$126</c:f>
              <c:numCache>
                <c:formatCode>0.00</c:formatCode>
                <c:ptCount val="12"/>
                <c:pt idx="0">
                  <c:v>0</c:v>
                </c:pt>
                <c:pt idx="1">
                  <c:v>8.6508040877704764E-3</c:v>
                </c:pt>
                <c:pt idx="2">
                  <c:v>2.233691110888162E-2</c:v>
                </c:pt>
                <c:pt idx="3">
                  <c:v>4.5534073596056365E-2</c:v>
                </c:pt>
                <c:pt idx="4">
                  <c:v>5.3837159897602418E-2</c:v>
                </c:pt>
                <c:pt idx="5">
                  <c:v>0.11688690634392547</c:v>
                </c:pt>
                <c:pt idx="6">
                  <c:v>0.17846731707242672</c:v>
                </c:pt>
                <c:pt idx="7">
                  <c:v>0.25736713399590871</c:v>
                </c:pt>
                <c:pt idx="8">
                  <c:v>0.38405950424456814</c:v>
                </c:pt>
                <c:pt idx="9">
                  <c:v>0.65743534284662219</c:v>
                </c:pt>
                <c:pt idx="10">
                  <c:v>0.98464491670321019</c:v>
                </c:pt>
                <c:pt idx="11">
                  <c:v>1.0000000000000002</c:v>
                </c:pt>
              </c:numCache>
            </c:numRef>
          </c:yVal>
          <c:smooth val="1"/>
          <c:extLst>
            <c:ext xmlns:c16="http://schemas.microsoft.com/office/drawing/2014/chart" uri="{C3380CC4-5D6E-409C-BE32-E72D297353CC}">
              <c16:uniqueId val="{00000000-184A-43A6-BDF5-6D20B0349460}"/>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184A-43A6-BDF5-6D20B0349460}"/>
              </c:ext>
            </c:extLst>
          </c:dPt>
          <c:xVal>
            <c:numRef>
              <c:f>Gini_2018!$H$115:$H$126</c:f>
              <c:numCache>
                <c:formatCode>0.00</c:formatCode>
                <c:ptCount val="12"/>
                <c:pt idx="0">
                  <c:v>0</c:v>
                </c:pt>
                <c:pt idx="1">
                  <c:v>8.6508040877704764E-3</c:v>
                </c:pt>
                <c:pt idx="2">
                  <c:v>2.233691110888162E-2</c:v>
                </c:pt>
                <c:pt idx="3">
                  <c:v>4.5534073596056365E-2</c:v>
                </c:pt>
                <c:pt idx="4">
                  <c:v>5.3837159897602418E-2</c:v>
                </c:pt>
                <c:pt idx="5">
                  <c:v>0.11688690634392547</c:v>
                </c:pt>
                <c:pt idx="6">
                  <c:v>0.17846731707242672</c:v>
                </c:pt>
                <c:pt idx="7">
                  <c:v>0.25736713399590871</c:v>
                </c:pt>
                <c:pt idx="8">
                  <c:v>0.38405950424456814</c:v>
                </c:pt>
                <c:pt idx="9">
                  <c:v>0.65743534284662219</c:v>
                </c:pt>
                <c:pt idx="10">
                  <c:v>0.98464491670321019</c:v>
                </c:pt>
                <c:pt idx="11">
                  <c:v>1.0000000000000002</c:v>
                </c:pt>
              </c:numCache>
            </c:numRef>
          </c:xVal>
          <c:yVal>
            <c:numRef>
              <c:f>Gini_2018!$G$115:$G$126</c:f>
              <c:numCache>
                <c:formatCode>0.00</c:formatCode>
                <c:ptCount val="12"/>
                <c:pt idx="0">
                  <c:v>0</c:v>
                </c:pt>
                <c:pt idx="1">
                  <c:v>5.6387986055587242E-3</c:v>
                </c:pt>
                <c:pt idx="2">
                  <c:v>1.1360188457287819E-2</c:v>
                </c:pt>
                <c:pt idx="3">
                  <c:v>2.024176629132083E-2</c:v>
                </c:pt>
                <c:pt idx="4">
                  <c:v>3.2012888050712042E-2</c:v>
                </c:pt>
                <c:pt idx="5">
                  <c:v>5.7762823909743397E-2</c:v>
                </c:pt>
                <c:pt idx="6">
                  <c:v>8.8550981159494335E-2</c:v>
                </c:pt>
                <c:pt idx="7">
                  <c:v>0.1404898543639673</c:v>
                </c:pt>
                <c:pt idx="8">
                  <c:v>0.26486530011936027</c:v>
                </c:pt>
                <c:pt idx="9">
                  <c:v>0.43265145785843007</c:v>
                </c:pt>
                <c:pt idx="10">
                  <c:v>0.64822411816596082</c:v>
                </c:pt>
                <c:pt idx="11">
                  <c:v>1</c:v>
                </c:pt>
              </c:numCache>
            </c:numRef>
          </c:yVal>
          <c:smooth val="0"/>
          <c:extLst>
            <c:ext xmlns:c16="http://schemas.microsoft.com/office/drawing/2014/chart" uri="{C3380CC4-5D6E-409C-BE32-E72D297353CC}">
              <c16:uniqueId val="{00000002-184A-43A6-BDF5-6D20B0349460}"/>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ETa</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Gini_2018!$H$136:$H$147</c:f>
              <c:numCache>
                <c:formatCode>0.00</c:formatCode>
                <c:ptCount val="12"/>
                <c:pt idx="0">
                  <c:v>0</c:v>
                </c:pt>
                <c:pt idx="1">
                  <c:v>6.1580410728501248E-2</c:v>
                </c:pt>
                <c:pt idx="2">
                  <c:v>0.38878998458508923</c:v>
                </c:pt>
                <c:pt idx="3">
                  <c:v>0.40414506788187921</c:v>
                </c:pt>
                <c:pt idx="4">
                  <c:v>0.41244815418342529</c:v>
                </c:pt>
                <c:pt idx="5">
                  <c:v>0.42109895827119576</c:v>
                </c:pt>
                <c:pt idx="6">
                  <c:v>0.43478506529230687</c:v>
                </c:pt>
                <c:pt idx="7">
                  <c:v>0.45798222777948161</c:v>
                </c:pt>
                <c:pt idx="8">
                  <c:v>0.52103197422580472</c:v>
                </c:pt>
                <c:pt idx="9">
                  <c:v>0.59993179114928674</c:v>
                </c:pt>
                <c:pt idx="10">
                  <c:v>0.72662416139794617</c:v>
                </c:pt>
                <c:pt idx="11">
                  <c:v>1.0000000000000002</c:v>
                </c:pt>
              </c:numCache>
            </c:numRef>
          </c:xVal>
          <c:yVal>
            <c:numRef>
              <c:f>Gini_2018!$H$136:$H$147</c:f>
              <c:numCache>
                <c:formatCode>0.00</c:formatCode>
                <c:ptCount val="12"/>
                <c:pt idx="0">
                  <c:v>0</c:v>
                </c:pt>
                <c:pt idx="1">
                  <c:v>6.1580410728501248E-2</c:v>
                </c:pt>
                <c:pt idx="2">
                  <c:v>0.38878998458508923</c:v>
                </c:pt>
                <c:pt idx="3">
                  <c:v>0.40414506788187921</c:v>
                </c:pt>
                <c:pt idx="4">
                  <c:v>0.41244815418342529</c:v>
                </c:pt>
                <c:pt idx="5">
                  <c:v>0.42109895827119576</c:v>
                </c:pt>
                <c:pt idx="6">
                  <c:v>0.43478506529230687</c:v>
                </c:pt>
                <c:pt idx="7">
                  <c:v>0.45798222777948161</c:v>
                </c:pt>
                <c:pt idx="8">
                  <c:v>0.52103197422580472</c:v>
                </c:pt>
                <c:pt idx="9">
                  <c:v>0.59993179114928674</c:v>
                </c:pt>
                <c:pt idx="10">
                  <c:v>0.72662416139794617</c:v>
                </c:pt>
                <c:pt idx="11">
                  <c:v>1.0000000000000002</c:v>
                </c:pt>
              </c:numCache>
            </c:numRef>
          </c:yVal>
          <c:smooth val="1"/>
          <c:extLst>
            <c:ext xmlns:c16="http://schemas.microsoft.com/office/drawing/2014/chart" uri="{C3380CC4-5D6E-409C-BE32-E72D297353CC}">
              <c16:uniqueId val="{00000000-47D6-4554-BC36-498D6FFEDE5C}"/>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47D6-4554-BC36-498D6FFEDE5C}"/>
              </c:ext>
            </c:extLst>
          </c:dPt>
          <c:xVal>
            <c:numRef>
              <c:f>Gini_2018!$H$136:$H$147</c:f>
              <c:numCache>
                <c:formatCode>0.00</c:formatCode>
                <c:ptCount val="12"/>
                <c:pt idx="0">
                  <c:v>0</c:v>
                </c:pt>
                <c:pt idx="1">
                  <c:v>6.1580410728501248E-2</c:v>
                </c:pt>
                <c:pt idx="2">
                  <c:v>0.38878998458508923</c:v>
                </c:pt>
                <c:pt idx="3">
                  <c:v>0.40414506788187921</c:v>
                </c:pt>
                <c:pt idx="4">
                  <c:v>0.41244815418342529</c:v>
                </c:pt>
                <c:pt idx="5">
                  <c:v>0.42109895827119576</c:v>
                </c:pt>
                <c:pt idx="6">
                  <c:v>0.43478506529230687</c:v>
                </c:pt>
                <c:pt idx="7">
                  <c:v>0.45798222777948161</c:v>
                </c:pt>
                <c:pt idx="8">
                  <c:v>0.52103197422580472</c:v>
                </c:pt>
                <c:pt idx="9">
                  <c:v>0.59993179114928674</c:v>
                </c:pt>
                <c:pt idx="10">
                  <c:v>0.72662416139794617</c:v>
                </c:pt>
                <c:pt idx="11">
                  <c:v>1.0000000000000002</c:v>
                </c:pt>
              </c:numCache>
            </c:numRef>
          </c:xVal>
          <c:yVal>
            <c:numRef>
              <c:f>Gini_2018!$G$136:$G$147</c:f>
              <c:numCache>
                <c:formatCode>0.00</c:formatCode>
                <c:ptCount val="12"/>
                <c:pt idx="0">
                  <c:v>0</c:v>
                </c:pt>
                <c:pt idx="1">
                  <c:v>0</c:v>
                </c:pt>
                <c:pt idx="2">
                  <c:v>0</c:v>
                </c:pt>
                <c:pt idx="3">
                  <c:v>0</c:v>
                </c:pt>
                <c:pt idx="4">
                  <c:v>5.4290577913134646E-3</c:v>
                </c:pt>
                <c:pt idx="5">
                  <c:v>1.3271339033212672E-2</c:v>
                </c:pt>
                <c:pt idx="6">
                  <c:v>4.2635773025661156E-2</c:v>
                </c:pt>
                <c:pt idx="7">
                  <c:v>7.6185424270137081E-2</c:v>
                </c:pt>
                <c:pt idx="8">
                  <c:v>0.18981189410229665</c:v>
                </c:pt>
                <c:pt idx="9">
                  <c:v>0.43188628237804488</c:v>
                </c:pt>
                <c:pt idx="10">
                  <c:v>0.6826176704974718</c:v>
                </c:pt>
                <c:pt idx="11">
                  <c:v>1</c:v>
                </c:pt>
              </c:numCache>
            </c:numRef>
          </c:yVal>
          <c:smooth val="0"/>
          <c:extLst>
            <c:ext xmlns:c16="http://schemas.microsoft.com/office/drawing/2014/chart" uri="{C3380CC4-5D6E-409C-BE32-E72D297353CC}">
              <c16:uniqueId val="{00000002-47D6-4554-BC36-498D6FFEDE5C}"/>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Available Water</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Gini_2018!$H$157:$H$168</c:f>
              <c:numCache>
                <c:formatCode>0.00</c:formatCode>
                <c:ptCount val="12"/>
                <c:pt idx="0">
                  <c:v>0</c:v>
                </c:pt>
                <c:pt idx="1">
                  <c:v>8.3030863015460549E-3</c:v>
                </c:pt>
                <c:pt idx="2">
                  <c:v>1.695389038931653E-2</c:v>
                </c:pt>
                <c:pt idx="3">
                  <c:v>3.0639997410427673E-2</c:v>
                </c:pt>
                <c:pt idx="4">
                  <c:v>5.3837159897602418E-2</c:v>
                </c:pt>
                <c:pt idx="5">
                  <c:v>6.9192243194392378E-2</c:v>
                </c:pt>
                <c:pt idx="6">
                  <c:v>0.13224198964071543</c:v>
                </c:pt>
                <c:pt idx="7">
                  <c:v>0.45945156349730343</c:v>
                </c:pt>
                <c:pt idx="8">
                  <c:v>0.52103197422580472</c:v>
                </c:pt>
                <c:pt idx="9">
                  <c:v>0.59993179114928674</c:v>
                </c:pt>
                <c:pt idx="10">
                  <c:v>0.87330762975134069</c:v>
                </c:pt>
                <c:pt idx="11">
                  <c:v>1.0000000000000002</c:v>
                </c:pt>
              </c:numCache>
            </c:numRef>
          </c:xVal>
          <c:yVal>
            <c:numRef>
              <c:f>Gini_2018!$H$157:$H$168</c:f>
              <c:numCache>
                <c:formatCode>0.00</c:formatCode>
                <c:ptCount val="12"/>
                <c:pt idx="0">
                  <c:v>0</c:v>
                </c:pt>
                <c:pt idx="1">
                  <c:v>8.3030863015460549E-3</c:v>
                </c:pt>
                <c:pt idx="2">
                  <c:v>1.695389038931653E-2</c:v>
                </c:pt>
                <c:pt idx="3">
                  <c:v>3.0639997410427673E-2</c:v>
                </c:pt>
                <c:pt idx="4">
                  <c:v>5.3837159897602418E-2</c:v>
                </c:pt>
                <c:pt idx="5">
                  <c:v>6.9192243194392378E-2</c:v>
                </c:pt>
                <c:pt idx="6">
                  <c:v>0.13224198964071543</c:v>
                </c:pt>
                <c:pt idx="7">
                  <c:v>0.45945156349730343</c:v>
                </c:pt>
                <c:pt idx="8">
                  <c:v>0.52103197422580472</c:v>
                </c:pt>
                <c:pt idx="9">
                  <c:v>0.59993179114928674</c:v>
                </c:pt>
                <c:pt idx="10">
                  <c:v>0.87330762975134069</c:v>
                </c:pt>
                <c:pt idx="11">
                  <c:v>1.0000000000000002</c:v>
                </c:pt>
              </c:numCache>
            </c:numRef>
          </c:yVal>
          <c:smooth val="1"/>
          <c:extLst>
            <c:ext xmlns:c16="http://schemas.microsoft.com/office/drawing/2014/chart" uri="{C3380CC4-5D6E-409C-BE32-E72D297353CC}">
              <c16:uniqueId val="{00000000-6DAE-4C9F-A205-BD27FD11EF38}"/>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6DAE-4C9F-A205-BD27FD11EF38}"/>
              </c:ext>
            </c:extLst>
          </c:dPt>
          <c:xVal>
            <c:numRef>
              <c:f>Gini_2018!$H$157:$H$168</c:f>
              <c:numCache>
                <c:formatCode>0.00</c:formatCode>
                <c:ptCount val="12"/>
                <c:pt idx="0">
                  <c:v>0</c:v>
                </c:pt>
                <c:pt idx="1">
                  <c:v>8.3030863015460549E-3</c:v>
                </c:pt>
                <c:pt idx="2">
                  <c:v>1.695389038931653E-2</c:v>
                </c:pt>
                <c:pt idx="3">
                  <c:v>3.0639997410427673E-2</c:v>
                </c:pt>
                <c:pt idx="4">
                  <c:v>5.3837159897602418E-2</c:v>
                </c:pt>
                <c:pt idx="5">
                  <c:v>6.9192243194392378E-2</c:v>
                </c:pt>
                <c:pt idx="6">
                  <c:v>0.13224198964071543</c:v>
                </c:pt>
                <c:pt idx="7">
                  <c:v>0.45945156349730343</c:v>
                </c:pt>
                <c:pt idx="8">
                  <c:v>0.52103197422580472</c:v>
                </c:pt>
                <c:pt idx="9">
                  <c:v>0.59993179114928674</c:v>
                </c:pt>
                <c:pt idx="10">
                  <c:v>0.87330762975134069</c:v>
                </c:pt>
                <c:pt idx="11">
                  <c:v>1.0000000000000002</c:v>
                </c:pt>
              </c:numCache>
            </c:numRef>
          </c:xVal>
          <c:yVal>
            <c:numRef>
              <c:f>Gini_2018!$G$157:$G$168</c:f>
              <c:numCache>
                <c:formatCode>0.00</c:formatCode>
                <c:ptCount val="12"/>
                <c:pt idx="0">
                  <c:v>0</c:v>
                </c:pt>
                <c:pt idx="1">
                  <c:v>3.4593541506786328E-3</c:v>
                </c:pt>
                <c:pt idx="2">
                  <c:v>8.4563958488458896E-3</c:v>
                </c:pt>
                <c:pt idx="3">
                  <c:v>2.716718886649204E-2</c:v>
                </c:pt>
                <c:pt idx="4">
                  <c:v>5.8484705667197864E-2</c:v>
                </c:pt>
                <c:pt idx="5">
                  <c:v>0.11995535831641736</c:v>
                </c:pt>
                <c:pt idx="6">
                  <c:v>0.19235727687211288</c:v>
                </c:pt>
                <c:pt idx="7">
                  <c:v>0.2807703857888626</c:v>
                </c:pt>
                <c:pt idx="8">
                  <c:v>0.42856152939230518</c:v>
                </c:pt>
                <c:pt idx="9">
                  <c:v>0.58280948033410229</c:v>
                </c:pt>
                <c:pt idx="10">
                  <c:v>0.78504307612918367</c:v>
                </c:pt>
                <c:pt idx="11">
                  <c:v>1</c:v>
                </c:pt>
              </c:numCache>
            </c:numRef>
          </c:yVal>
          <c:smooth val="0"/>
          <c:extLst>
            <c:ext xmlns:c16="http://schemas.microsoft.com/office/drawing/2014/chart" uri="{C3380CC4-5D6E-409C-BE32-E72D297353CC}">
              <c16:uniqueId val="{00000002-6DAE-4C9F-A205-BD27FD11EF38}"/>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 total</a:t>
                </a:r>
                <a:r>
                  <a:rPr lang="en-US" baseline="0"/>
                  <a:t> available water</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0-7F21-40CC-9799-13F2DCF0EDDC}"/>
              </c:ext>
            </c:extLst>
          </c:dPt>
          <c:xVal>
            <c:numRef>
              <c:f>Gini_2018!$H$6:$H$17</c:f>
              <c:numCache>
                <c:formatCode>0.00</c:formatCode>
                <c:ptCount val="12"/>
                <c:pt idx="0">
                  <c:v>0</c:v>
                </c:pt>
                <c:pt idx="1">
                  <c:v>0.3138345928266002</c:v>
                </c:pt>
                <c:pt idx="2">
                  <c:v>0.31865767550688434</c:v>
                </c:pt>
                <c:pt idx="3">
                  <c:v>0.34172287556186176</c:v>
                </c:pt>
                <c:pt idx="4">
                  <c:v>0.35621072640357393</c:v>
                </c:pt>
                <c:pt idx="5">
                  <c:v>0.39892852569062959</c:v>
                </c:pt>
                <c:pt idx="6">
                  <c:v>0.47273674565859569</c:v>
                </c:pt>
                <c:pt idx="7">
                  <c:v>0.51758473013830564</c:v>
                </c:pt>
                <c:pt idx="8">
                  <c:v>0.67429750228954155</c:v>
                </c:pt>
                <c:pt idx="9">
                  <c:v>0.8125579783152137</c:v>
                </c:pt>
                <c:pt idx="10">
                  <c:v>0.95922869985784354</c:v>
                </c:pt>
                <c:pt idx="11">
                  <c:v>1</c:v>
                </c:pt>
              </c:numCache>
            </c:numRef>
          </c:xVal>
          <c:yVal>
            <c:numRef>
              <c:f>Gini_2018!$G$6:$G$17</c:f>
              <c:numCache>
                <c:formatCode>0.00</c:formatCode>
                <c:ptCount val="12"/>
                <c:pt idx="0">
                  <c:v>0</c:v>
                </c:pt>
                <c:pt idx="1">
                  <c:v>2.0572122059260146E-3</c:v>
                </c:pt>
                <c:pt idx="2">
                  <c:v>8.6289624421381217E-3</c:v>
                </c:pt>
                <c:pt idx="3">
                  <c:v>1.7701695815085312E-2</c:v>
                </c:pt>
                <c:pt idx="4">
                  <c:v>3.0178732413705139E-2</c:v>
                </c:pt>
                <c:pt idx="5">
                  <c:v>4.2893132745155806E-2</c:v>
                </c:pt>
                <c:pt idx="6">
                  <c:v>8.1100344412985081E-2</c:v>
                </c:pt>
                <c:pt idx="7">
                  <c:v>0.15563756621705813</c:v>
                </c:pt>
                <c:pt idx="8">
                  <c:v>0.30720643346615872</c:v>
                </c:pt>
                <c:pt idx="9">
                  <c:v>0.49808736370607998</c:v>
                </c:pt>
                <c:pt idx="10">
                  <c:v>0.70348588928344968</c:v>
                </c:pt>
                <c:pt idx="11">
                  <c:v>0.99999999999999978</c:v>
                </c:pt>
              </c:numCache>
            </c:numRef>
          </c:yVal>
          <c:smooth val="1"/>
          <c:extLst>
            <c:ext xmlns:c16="http://schemas.microsoft.com/office/drawing/2014/chart" uri="{C3380CC4-5D6E-409C-BE32-E72D297353CC}">
              <c16:uniqueId val="{00000001-7F21-40CC-9799-13F2DCF0EDDC}"/>
            </c:ext>
          </c:extLst>
        </c:ser>
        <c:ser>
          <c:idx val="1"/>
          <c:order val="1"/>
          <c:tx>
            <c:v>Equality Line</c:v>
          </c:tx>
          <c:spPr>
            <a:ln w="19050" cap="rnd">
              <a:solidFill>
                <a:schemeClr val="accent2"/>
              </a:solidFill>
              <a:round/>
            </a:ln>
            <a:effectLst/>
          </c:spPr>
          <c:marker>
            <c:symbol val="none"/>
          </c:marker>
          <c:xVal>
            <c:numRef>
              <c:f>Gini_2018!$H$6:$H$17</c:f>
              <c:numCache>
                <c:formatCode>0.00</c:formatCode>
                <c:ptCount val="12"/>
                <c:pt idx="0">
                  <c:v>0</c:v>
                </c:pt>
                <c:pt idx="1">
                  <c:v>0.3138345928266002</c:v>
                </c:pt>
                <c:pt idx="2">
                  <c:v>0.31865767550688434</c:v>
                </c:pt>
                <c:pt idx="3">
                  <c:v>0.34172287556186176</c:v>
                </c:pt>
                <c:pt idx="4">
                  <c:v>0.35621072640357393</c:v>
                </c:pt>
                <c:pt idx="5">
                  <c:v>0.39892852569062959</c:v>
                </c:pt>
                <c:pt idx="6">
                  <c:v>0.47273674565859569</c:v>
                </c:pt>
                <c:pt idx="7">
                  <c:v>0.51758473013830564</c:v>
                </c:pt>
                <c:pt idx="8">
                  <c:v>0.67429750228954155</c:v>
                </c:pt>
                <c:pt idx="9">
                  <c:v>0.8125579783152137</c:v>
                </c:pt>
                <c:pt idx="10">
                  <c:v>0.95922869985784354</c:v>
                </c:pt>
                <c:pt idx="11">
                  <c:v>1</c:v>
                </c:pt>
              </c:numCache>
            </c:numRef>
          </c:xVal>
          <c:yVal>
            <c:numRef>
              <c:f>Gini_2018!$H$6:$H$17</c:f>
              <c:numCache>
                <c:formatCode>0.00</c:formatCode>
                <c:ptCount val="12"/>
                <c:pt idx="0">
                  <c:v>0</c:v>
                </c:pt>
                <c:pt idx="1">
                  <c:v>0.3138345928266002</c:v>
                </c:pt>
                <c:pt idx="2">
                  <c:v>0.31865767550688434</c:v>
                </c:pt>
                <c:pt idx="3">
                  <c:v>0.34172287556186176</c:v>
                </c:pt>
                <c:pt idx="4">
                  <c:v>0.35621072640357393</c:v>
                </c:pt>
                <c:pt idx="5">
                  <c:v>0.39892852569062959</c:v>
                </c:pt>
                <c:pt idx="6">
                  <c:v>0.47273674565859569</c:v>
                </c:pt>
                <c:pt idx="7">
                  <c:v>0.51758473013830564</c:v>
                </c:pt>
                <c:pt idx="8">
                  <c:v>0.67429750228954155</c:v>
                </c:pt>
                <c:pt idx="9">
                  <c:v>0.8125579783152137</c:v>
                </c:pt>
                <c:pt idx="10">
                  <c:v>0.95922869985784354</c:v>
                </c:pt>
                <c:pt idx="11">
                  <c:v>1</c:v>
                </c:pt>
              </c:numCache>
            </c:numRef>
          </c:yVal>
          <c:smooth val="1"/>
          <c:extLst>
            <c:ext xmlns:c16="http://schemas.microsoft.com/office/drawing/2014/chart" uri="{C3380CC4-5D6E-409C-BE32-E72D297353CC}">
              <c16:uniqueId val="{00000002-7F21-40CC-9799-13F2DCF0EDDC}"/>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Population</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Precipitation</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0-84BE-4366-895A-648E2EE43B98}"/>
              </c:ext>
            </c:extLst>
          </c:dPt>
          <c:xVal>
            <c:numRef>
              <c:f>Gini_2018!$H$27:$H$38</c:f>
              <c:numCache>
                <c:formatCode>0.00</c:formatCode>
                <c:ptCount val="12"/>
                <c:pt idx="0">
                  <c:v>0</c:v>
                </c:pt>
                <c:pt idx="1">
                  <c:v>4.8230826802841548E-3</c:v>
                </c:pt>
                <c:pt idx="2">
                  <c:v>2.788828273526155E-2</c:v>
                </c:pt>
                <c:pt idx="3">
                  <c:v>7.0606082022317218E-2</c:v>
                </c:pt>
                <c:pt idx="4">
                  <c:v>8.5093932864029373E-2</c:v>
                </c:pt>
                <c:pt idx="5">
                  <c:v>0.15890215283199549</c:v>
                </c:pt>
                <c:pt idx="6">
                  <c:v>0.47273674565859564</c:v>
                </c:pt>
                <c:pt idx="7">
                  <c:v>0.51758473013830553</c:v>
                </c:pt>
                <c:pt idx="8">
                  <c:v>0.67429750228954144</c:v>
                </c:pt>
                <c:pt idx="9">
                  <c:v>0.82096822383217116</c:v>
                </c:pt>
                <c:pt idx="10">
                  <c:v>0.9592286998578432</c:v>
                </c:pt>
                <c:pt idx="11">
                  <c:v>0.99999999999999989</c:v>
                </c:pt>
              </c:numCache>
            </c:numRef>
          </c:xVal>
          <c:yVal>
            <c:numRef>
              <c:f>Gini_2018!$G$27:$G$38</c:f>
              <c:numCache>
                <c:formatCode>0.00</c:formatCode>
                <c:ptCount val="12"/>
                <c:pt idx="0">
                  <c:v>0</c:v>
                </c:pt>
                <c:pt idx="1">
                  <c:v>5.6387986055587242E-3</c:v>
                </c:pt>
                <c:pt idx="2">
                  <c:v>1.1360188457287819E-2</c:v>
                </c:pt>
                <c:pt idx="3">
                  <c:v>2.024176629132083E-2</c:v>
                </c:pt>
                <c:pt idx="4">
                  <c:v>3.2012888050712042E-2</c:v>
                </c:pt>
                <c:pt idx="5">
                  <c:v>5.7762823909743397E-2</c:v>
                </c:pt>
                <c:pt idx="6">
                  <c:v>8.8550981159494335E-2</c:v>
                </c:pt>
                <c:pt idx="7">
                  <c:v>0.1404898543639673</c:v>
                </c:pt>
                <c:pt idx="8">
                  <c:v>0.26486530011936027</c:v>
                </c:pt>
                <c:pt idx="9">
                  <c:v>0.43265145785843007</c:v>
                </c:pt>
                <c:pt idx="10">
                  <c:v>0.64822411816596082</c:v>
                </c:pt>
                <c:pt idx="11">
                  <c:v>1</c:v>
                </c:pt>
              </c:numCache>
            </c:numRef>
          </c:yVal>
          <c:smooth val="1"/>
          <c:extLst>
            <c:ext xmlns:c16="http://schemas.microsoft.com/office/drawing/2014/chart" uri="{C3380CC4-5D6E-409C-BE32-E72D297353CC}">
              <c16:uniqueId val="{00000001-84BE-4366-895A-648E2EE43B98}"/>
            </c:ext>
          </c:extLst>
        </c:ser>
        <c:ser>
          <c:idx val="2"/>
          <c:order val="1"/>
          <c:tx>
            <c:v>Equality Line</c:v>
          </c:tx>
          <c:spPr>
            <a:ln w="19050" cap="rnd">
              <a:solidFill>
                <a:schemeClr val="accent2"/>
              </a:solidFill>
              <a:round/>
            </a:ln>
            <a:effectLst/>
          </c:spPr>
          <c:marker>
            <c:symbol val="none"/>
          </c:marker>
          <c:xVal>
            <c:numRef>
              <c:f>Gini_2018!$H$27:$H$38</c:f>
              <c:numCache>
                <c:formatCode>0.00</c:formatCode>
                <c:ptCount val="12"/>
                <c:pt idx="0">
                  <c:v>0</c:v>
                </c:pt>
                <c:pt idx="1">
                  <c:v>4.8230826802841548E-3</c:v>
                </c:pt>
                <c:pt idx="2">
                  <c:v>2.788828273526155E-2</c:v>
                </c:pt>
                <c:pt idx="3">
                  <c:v>7.0606082022317218E-2</c:v>
                </c:pt>
                <c:pt idx="4">
                  <c:v>8.5093932864029373E-2</c:v>
                </c:pt>
                <c:pt idx="5">
                  <c:v>0.15890215283199549</c:v>
                </c:pt>
                <c:pt idx="6">
                  <c:v>0.47273674565859564</c:v>
                </c:pt>
                <c:pt idx="7">
                  <c:v>0.51758473013830553</c:v>
                </c:pt>
                <c:pt idx="8">
                  <c:v>0.67429750228954144</c:v>
                </c:pt>
                <c:pt idx="9">
                  <c:v>0.82096822383217116</c:v>
                </c:pt>
                <c:pt idx="10">
                  <c:v>0.9592286998578432</c:v>
                </c:pt>
                <c:pt idx="11">
                  <c:v>0.99999999999999989</c:v>
                </c:pt>
              </c:numCache>
            </c:numRef>
          </c:xVal>
          <c:yVal>
            <c:numRef>
              <c:f>Gini_2018!$H$27:$H$38</c:f>
              <c:numCache>
                <c:formatCode>0.00</c:formatCode>
                <c:ptCount val="12"/>
                <c:pt idx="0">
                  <c:v>0</c:v>
                </c:pt>
                <c:pt idx="1">
                  <c:v>4.8230826802841548E-3</c:v>
                </c:pt>
                <c:pt idx="2">
                  <c:v>2.788828273526155E-2</c:v>
                </c:pt>
                <c:pt idx="3">
                  <c:v>7.0606082022317218E-2</c:v>
                </c:pt>
                <c:pt idx="4">
                  <c:v>8.5093932864029373E-2</c:v>
                </c:pt>
                <c:pt idx="5">
                  <c:v>0.15890215283199549</c:v>
                </c:pt>
                <c:pt idx="6">
                  <c:v>0.47273674565859564</c:v>
                </c:pt>
                <c:pt idx="7">
                  <c:v>0.51758473013830553</c:v>
                </c:pt>
                <c:pt idx="8">
                  <c:v>0.67429750228954144</c:v>
                </c:pt>
                <c:pt idx="9">
                  <c:v>0.82096822383217116</c:v>
                </c:pt>
                <c:pt idx="10">
                  <c:v>0.9592286998578432</c:v>
                </c:pt>
                <c:pt idx="11">
                  <c:v>0.99999999999999989</c:v>
                </c:pt>
              </c:numCache>
            </c:numRef>
          </c:yVal>
          <c:smooth val="1"/>
          <c:extLst>
            <c:ext xmlns:c16="http://schemas.microsoft.com/office/drawing/2014/chart" uri="{C3380CC4-5D6E-409C-BE32-E72D297353CC}">
              <c16:uniqueId val="{00000002-84BE-4366-895A-648E2EE43B98}"/>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Population</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ETa</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#REF!$H$6:$H$17</c:f>
            </c:numRef>
          </c:xVal>
          <c:yVal>
            <c:numRef>
              <c:f>#REF!$H$6:$H$17</c:f>
              <c:numCache>
                <c:formatCode>General</c:formatCode>
                <c:ptCount val="1"/>
                <c:pt idx="0">
                  <c:v>1</c:v>
                </c:pt>
              </c:numCache>
            </c:numRef>
          </c:yVal>
          <c:smooth val="1"/>
          <c:extLst>
            <c:ext xmlns:c16="http://schemas.microsoft.com/office/drawing/2014/chart" uri="{C3380CC4-5D6E-409C-BE32-E72D297353CC}">
              <c16:uniqueId val="{00000000-4462-4D67-8912-577F85D9DD50}"/>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4462-4D67-8912-577F85D9DD50}"/>
              </c:ext>
            </c:extLst>
          </c:dPt>
          <c:xVal>
            <c:numRef>
              <c:f>#REF!$H$6:$H$17</c:f>
            </c:numRef>
          </c:xVal>
          <c:yVal>
            <c:numRef>
              <c:f>#REF!$G$6:$G$17</c:f>
              <c:numCache>
                <c:formatCode>General</c:formatCode>
                <c:ptCount val="1"/>
                <c:pt idx="0">
                  <c:v>1</c:v>
                </c:pt>
              </c:numCache>
            </c:numRef>
          </c:yVal>
          <c:smooth val="0"/>
          <c:extLst>
            <c:ext xmlns:c16="http://schemas.microsoft.com/office/drawing/2014/chart" uri="{C3380CC4-5D6E-409C-BE32-E72D297353CC}">
              <c16:uniqueId val="{00000002-4462-4D67-8912-577F85D9DD50}"/>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Population</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Camulative</a:t>
                </a:r>
                <a:r>
                  <a:rPr lang="en-US" baseline="0"/>
                  <a:t> Available Water</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Gini_2018!$H$49:$H$60</c:f>
              <c:numCache>
                <c:formatCode>0.00</c:formatCode>
                <c:ptCount val="12"/>
                <c:pt idx="0">
                  <c:v>0</c:v>
                </c:pt>
                <c:pt idx="1">
                  <c:v>0.31383459282660014</c:v>
                </c:pt>
                <c:pt idx="2">
                  <c:v>0.45209506885227224</c:v>
                </c:pt>
                <c:pt idx="3">
                  <c:v>0.49286636899442893</c:v>
                </c:pt>
                <c:pt idx="4">
                  <c:v>0.50735421983614104</c:v>
                </c:pt>
                <c:pt idx="5">
                  <c:v>0.51217730251642524</c:v>
                </c:pt>
                <c:pt idx="6">
                  <c:v>0.5352425025714026</c:v>
                </c:pt>
                <c:pt idx="7">
                  <c:v>0.57796030185845826</c:v>
                </c:pt>
                <c:pt idx="8">
                  <c:v>0.65176852182642442</c:v>
                </c:pt>
                <c:pt idx="9">
                  <c:v>0.69661650630613436</c:v>
                </c:pt>
                <c:pt idx="10">
                  <c:v>0.85332927845737028</c:v>
                </c:pt>
                <c:pt idx="11">
                  <c:v>1</c:v>
                </c:pt>
              </c:numCache>
            </c:numRef>
          </c:xVal>
          <c:yVal>
            <c:numRef>
              <c:f>Gini_2018!$H$49:$H$60</c:f>
              <c:numCache>
                <c:formatCode>0.00</c:formatCode>
                <c:ptCount val="12"/>
                <c:pt idx="0">
                  <c:v>0</c:v>
                </c:pt>
                <c:pt idx="1">
                  <c:v>0.31383459282660014</c:v>
                </c:pt>
                <c:pt idx="2">
                  <c:v>0.45209506885227224</c:v>
                </c:pt>
                <c:pt idx="3">
                  <c:v>0.49286636899442893</c:v>
                </c:pt>
                <c:pt idx="4">
                  <c:v>0.50735421983614104</c:v>
                </c:pt>
                <c:pt idx="5">
                  <c:v>0.51217730251642524</c:v>
                </c:pt>
                <c:pt idx="6">
                  <c:v>0.5352425025714026</c:v>
                </c:pt>
                <c:pt idx="7">
                  <c:v>0.57796030185845826</c:v>
                </c:pt>
                <c:pt idx="8">
                  <c:v>0.65176852182642442</c:v>
                </c:pt>
                <c:pt idx="9">
                  <c:v>0.69661650630613436</c:v>
                </c:pt>
                <c:pt idx="10">
                  <c:v>0.85332927845737028</c:v>
                </c:pt>
                <c:pt idx="11">
                  <c:v>1</c:v>
                </c:pt>
              </c:numCache>
            </c:numRef>
          </c:yVal>
          <c:smooth val="1"/>
          <c:extLst>
            <c:ext xmlns:c16="http://schemas.microsoft.com/office/drawing/2014/chart" uri="{C3380CC4-5D6E-409C-BE32-E72D297353CC}">
              <c16:uniqueId val="{00000000-264A-41BA-96B8-8B8174A82475}"/>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264A-41BA-96B8-8B8174A82475}"/>
              </c:ext>
            </c:extLst>
          </c:dPt>
          <c:xVal>
            <c:numRef>
              <c:f>Gini_2018!$H$49:$H$60</c:f>
              <c:numCache>
                <c:formatCode>0.00</c:formatCode>
                <c:ptCount val="12"/>
                <c:pt idx="0">
                  <c:v>0</c:v>
                </c:pt>
                <c:pt idx="1">
                  <c:v>0.31383459282660014</c:v>
                </c:pt>
                <c:pt idx="2">
                  <c:v>0.45209506885227224</c:v>
                </c:pt>
                <c:pt idx="3">
                  <c:v>0.49286636899442893</c:v>
                </c:pt>
                <c:pt idx="4">
                  <c:v>0.50735421983614104</c:v>
                </c:pt>
                <c:pt idx="5">
                  <c:v>0.51217730251642524</c:v>
                </c:pt>
                <c:pt idx="6">
                  <c:v>0.5352425025714026</c:v>
                </c:pt>
                <c:pt idx="7">
                  <c:v>0.57796030185845826</c:v>
                </c:pt>
                <c:pt idx="8">
                  <c:v>0.65176852182642442</c:v>
                </c:pt>
                <c:pt idx="9">
                  <c:v>0.69661650630613436</c:v>
                </c:pt>
                <c:pt idx="10">
                  <c:v>0.85332927845737028</c:v>
                </c:pt>
                <c:pt idx="11">
                  <c:v>1</c:v>
                </c:pt>
              </c:numCache>
            </c:numRef>
          </c:xVal>
          <c:yVal>
            <c:numRef>
              <c:f>Gini_2018!$G$49:$G$60</c:f>
              <c:numCache>
                <c:formatCode>0.00</c:formatCode>
                <c:ptCount val="12"/>
                <c:pt idx="0">
                  <c:v>0</c:v>
                </c:pt>
                <c:pt idx="1">
                  <c:v>0</c:v>
                </c:pt>
                <c:pt idx="2">
                  <c:v>0</c:v>
                </c:pt>
                <c:pt idx="3">
                  <c:v>0</c:v>
                </c:pt>
                <c:pt idx="4">
                  <c:v>5.4290577913134646E-3</c:v>
                </c:pt>
                <c:pt idx="5">
                  <c:v>1.3271339033212672E-2</c:v>
                </c:pt>
                <c:pt idx="6">
                  <c:v>4.2635773025661156E-2</c:v>
                </c:pt>
                <c:pt idx="7">
                  <c:v>7.6185424270137081E-2</c:v>
                </c:pt>
                <c:pt idx="8">
                  <c:v>0.18981189410229665</c:v>
                </c:pt>
                <c:pt idx="9">
                  <c:v>0.43188628237804488</c:v>
                </c:pt>
                <c:pt idx="10">
                  <c:v>0.6826176704974718</c:v>
                </c:pt>
                <c:pt idx="11">
                  <c:v>1</c:v>
                </c:pt>
              </c:numCache>
            </c:numRef>
          </c:yVal>
          <c:smooth val="0"/>
          <c:extLst>
            <c:ext xmlns:c16="http://schemas.microsoft.com/office/drawing/2014/chart" uri="{C3380CC4-5D6E-409C-BE32-E72D297353CC}">
              <c16:uniqueId val="{00000002-264A-41BA-96B8-8B8174A82475}"/>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Population</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Available Water</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Gini_2018!$H$70:$H$81</c:f>
              <c:numCache>
                <c:formatCode>0.00</c:formatCode>
                <c:ptCount val="12"/>
                <c:pt idx="0">
                  <c:v>0</c:v>
                </c:pt>
                <c:pt idx="1">
                  <c:v>1.4487850841712153E-2</c:v>
                </c:pt>
                <c:pt idx="2">
                  <c:v>1.931093352199631E-2</c:v>
                </c:pt>
                <c:pt idx="3">
                  <c:v>4.2376133576973701E-2</c:v>
                </c:pt>
                <c:pt idx="4">
                  <c:v>8.5093932864029373E-2</c:v>
                </c:pt>
                <c:pt idx="5">
                  <c:v>0.12586523300618602</c:v>
                </c:pt>
                <c:pt idx="6">
                  <c:v>0.19967345297415212</c:v>
                </c:pt>
                <c:pt idx="7">
                  <c:v>0.33793392899982422</c:v>
                </c:pt>
                <c:pt idx="8">
                  <c:v>0.65176852182642442</c:v>
                </c:pt>
                <c:pt idx="9">
                  <c:v>0.69661650630613436</c:v>
                </c:pt>
                <c:pt idx="10">
                  <c:v>0.8432872278487642</c:v>
                </c:pt>
                <c:pt idx="11">
                  <c:v>1</c:v>
                </c:pt>
              </c:numCache>
            </c:numRef>
          </c:xVal>
          <c:yVal>
            <c:numRef>
              <c:f>Gini_2018!$H$70:$H$81</c:f>
              <c:numCache>
                <c:formatCode>0.00</c:formatCode>
                <c:ptCount val="12"/>
                <c:pt idx="0">
                  <c:v>0</c:v>
                </c:pt>
                <c:pt idx="1">
                  <c:v>1.4487850841712153E-2</c:v>
                </c:pt>
                <c:pt idx="2">
                  <c:v>1.931093352199631E-2</c:v>
                </c:pt>
                <c:pt idx="3">
                  <c:v>4.2376133576973701E-2</c:v>
                </c:pt>
                <c:pt idx="4">
                  <c:v>8.5093932864029373E-2</c:v>
                </c:pt>
                <c:pt idx="5">
                  <c:v>0.12586523300618602</c:v>
                </c:pt>
                <c:pt idx="6">
                  <c:v>0.19967345297415212</c:v>
                </c:pt>
                <c:pt idx="7">
                  <c:v>0.33793392899982422</c:v>
                </c:pt>
                <c:pt idx="8">
                  <c:v>0.65176852182642442</c:v>
                </c:pt>
                <c:pt idx="9">
                  <c:v>0.69661650630613436</c:v>
                </c:pt>
                <c:pt idx="10">
                  <c:v>0.8432872278487642</c:v>
                </c:pt>
                <c:pt idx="11">
                  <c:v>1</c:v>
                </c:pt>
              </c:numCache>
            </c:numRef>
          </c:yVal>
          <c:smooth val="1"/>
          <c:extLst>
            <c:ext xmlns:c16="http://schemas.microsoft.com/office/drawing/2014/chart" uri="{C3380CC4-5D6E-409C-BE32-E72D297353CC}">
              <c16:uniqueId val="{00000000-F750-461A-980A-CDA52310A3F6}"/>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F750-461A-980A-CDA52310A3F6}"/>
              </c:ext>
            </c:extLst>
          </c:dPt>
          <c:xVal>
            <c:numRef>
              <c:f>Gini_2018!$H$70:$H$81</c:f>
              <c:numCache>
                <c:formatCode>0.00</c:formatCode>
                <c:ptCount val="12"/>
                <c:pt idx="0">
                  <c:v>0</c:v>
                </c:pt>
                <c:pt idx="1">
                  <c:v>1.4487850841712153E-2</c:v>
                </c:pt>
                <c:pt idx="2">
                  <c:v>1.931093352199631E-2</c:v>
                </c:pt>
                <c:pt idx="3">
                  <c:v>4.2376133576973701E-2</c:v>
                </c:pt>
                <c:pt idx="4">
                  <c:v>8.5093932864029373E-2</c:v>
                </c:pt>
                <c:pt idx="5">
                  <c:v>0.12586523300618602</c:v>
                </c:pt>
                <c:pt idx="6">
                  <c:v>0.19967345297415212</c:v>
                </c:pt>
                <c:pt idx="7">
                  <c:v>0.33793392899982422</c:v>
                </c:pt>
                <c:pt idx="8">
                  <c:v>0.65176852182642442</c:v>
                </c:pt>
                <c:pt idx="9">
                  <c:v>0.69661650630613436</c:v>
                </c:pt>
                <c:pt idx="10">
                  <c:v>0.8432872278487642</c:v>
                </c:pt>
                <c:pt idx="11">
                  <c:v>1</c:v>
                </c:pt>
              </c:numCache>
            </c:numRef>
          </c:xVal>
          <c:yVal>
            <c:numRef>
              <c:f>Gini_2018!$G$70:$G$81</c:f>
              <c:numCache>
                <c:formatCode>0.00</c:formatCode>
                <c:ptCount val="12"/>
                <c:pt idx="0">
                  <c:v>0</c:v>
                </c:pt>
                <c:pt idx="1">
                  <c:v>3.4593541506786328E-3</c:v>
                </c:pt>
                <c:pt idx="2">
                  <c:v>8.4563958488458896E-3</c:v>
                </c:pt>
                <c:pt idx="3">
                  <c:v>2.716718886649204E-2</c:v>
                </c:pt>
                <c:pt idx="4">
                  <c:v>5.8484705667197864E-2</c:v>
                </c:pt>
                <c:pt idx="5">
                  <c:v>0.11995535831641736</c:v>
                </c:pt>
                <c:pt idx="6">
                  <c:v>0.19235727687211288</c:v>
                </c:pt>
                <c:pt idx="7">
                  <c:v>0.2807703857888626</c:v>
                </c:pt>
                <c:pt idx="8">
                  <c:v>0.42856152939230518</c:v>
                </c:pt>
                <c:pt idx="9">
                  <c:v>0.58280948033410229</c:v>
                </c:pt>
                <c:pt idx="10">
                  <c:v>0.78504307612918367</c:v>
                </c:pt>
                <c:pt idx="11">
                  <c:v>1</c:v>
                </c:pt>
              </c:numCache>
            </c:numRef>
          </c:yVal>
          <c:smooth val="0"/>
          <c:extLst>
            <c:ext xmlns:c16="http://schemas.microsoft.com/office/drawing/2014/chart" uri="{C3380CC4-5D6E-409C-BE32-E72D297353CC}">
              <c16:uniqueId val="{00000002-F750-461A-980A-CDA52310A3F6}"/>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Population</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total available water</a:t>
                </a:r>
                <a:endParaRPr lang="en-US"/>
              </a:p>
            </c:rich>
          </c:tx>
          <c:layout>
            <c:manualLayout>
              <c:xMode val="edge"/>
              <c:yMode val="edge"/>
              <c:x val="1.6122160326311905E-2"/>
              <c:y val="0.14339278018953905"/>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Gini_2018!$H$157:$H$168</c:f>
              <c:numCache>
                <c:formatCode>0.00</c:formatCode>
                <c:ptCount val="12"/>
                <c:pt idx="0">
                  <c:v>0</c:v>
                </c:pt>
                <c:pt idx="1">
                  <c:v>8.3030863015460549E-3</c:v>
                </c:pt>
                <c:pt idx="2">
                  <c:v>1.695389038931653E-2</c:v>
                </c:pt>
                <c:pt idx="3">
                  <c:v>3.0639997410427673E-2</c:v>
                </c:pt>
                <c:pt idx="4">
                  <c:v>5.3837159897602418E-2</c:v>
                </c:pt>
                <c:pt idx="5">
                  <c:v>6.9192243194392378E-2</c:v>
                </c:pt>
                <c:pt idx="6">
                  <c:v>0.13224198964071543</c:v>
                </c:pt>
                <c:pt idx="7">
                  <c:v>0.45945156349730343</c:v>
                </c:pt>
                <c:pt idx="8">
                  <c:v>0.52103197422580472</c:v>
                </c:pt>
                <c:pt idx="9">
                  <c:v>0.59993179114928674</c:v>
                </c:pt>
                <c:pt idx="10">
                  <c:v>0.87330762975134069</c:v>
                </c:pt>
                <c:pt idx="11">
                  <c:v>1.0000000000000002</c:v>
                </c:pt>
              </c:numCache>
            </c:numRef>
          </c:xVal>
          <c:yVal>
            <c:numRef>
              <c:f>Gini_2018!$H$157:$H$168</c:f>
              <c:numCache>
                <c:formatCode>0.00</c:formatCode>
                <c:ptCount val="12"/>
                <c:pt idx="0">
                  <c:v>0</c:v>
                </c:pt>
                <c:pt idx="1">
                  <c:v>8.3030863015460549E-3</c:v>
                </c:pt>
                <c:pt idx="2">
                  <c:v>1.695389038931653E-2</c:v>
                </c:pt>
                <c:pt idx="3">
                  <c:v>3.0639997410427673E-2</c:v>
                </c:pt>
                <c:pt idx="4">
                  <c:v>5.3837159897602418E-2</c:v>
                </c:pt>
                <c:pt idx="5">
                  <c:v>6.9192243194392378E-2</c:v>
                </c:pt>
                <c:pt idx="6">
                  <c:v>0.13224198964071543</c:v>
                </c:pt>
                <c:pt idx="7">
                  <c:v>0.45945156349730343</c:v>
                </c:pt>
                <c:pt idx="8">
                  <c:v>0.52103197422580472</c:v>
                </c:pt>
                <c:pt idx="9">
                  <c:v>0.59993179114928674</c:v>
                </c:pt>
                <c:pt idx="10">
                  <c:v>0.87330762975134069</c:v>
                </c:pt>
                <c:pt idx="11">
                  <c:v>1.0000000000000002</c:v>
                </c:pt>
              </c:numCache>
            </c:numRef>
          </c:yVal>
          <c:smooth val="1"/>
          <c:extLst>
            <c:ext xmlns:c16="http://schemas.microsoft.com/office/drawing/2014/chart" uri="{C3380CC4-5D6E-409C-BE32-E72D297353CC}">
              <c16:uniqueId val="{00000000-D10A-40C9-97AC-40D2F05B5B16}"/>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D10A-40C9-97AC-40D2F05B5B16}"/>
              </c:ext>
            </c:extLst>
          </c:dPt>
          <c:xVal>
            <c:numRef>
              <c:f>Gini_2018!$H$281:$H$292</c:f>
              <c:numCache>
                <c:formatCode>0.00</c:formatCode>
                <c:ptCount val="12"/>
                <c:pt idx="0">
                  <c:v>0</c:v>
                </c:pt>
                <c:pt idx="1">
                  <c:v>1.3686107021111144E-2</c:v>
                </c:pt>
                <c:pt idx="2">
                  <c:v>2.1989193322657197E-2</c:v>
                </c:pt>
                <c:pt idx="3">
                  <c:v>8.3569604051158444E-2</c:v>
                </c:pt>
                <c:pt idx="4">
                  <c:v>9.2220408138928928E-2</c:v>
                </c:pt>
                <c:pt idx="5">
                  <c:v>0.3655962467409829</c:v>
                </c:pt>
                <c:pt idx="6">
                  <c:v>0.42864599318730595</c:v>
                </c:pt>
                <c:pt idx="7">
                  <c:v>0.45184315567448069</c:v>
                </c:pt>
                <c:pt idx="8">
                  <c:v>0.77905272953106874</c:v>
                </c:pt>
                <c:pt idx="9">
                  <c:v>0.79440781282785866</c:v>
                </c:pt>
                <c:pt idx="10">
                  <c:v>0.87330762975134069</c:v>
                </c:pt>
                <c:pt idx="11">
                  <c:v>1.0000000000000002</c:v>
                </c:pt>
              </c:numCache>
            </c:numRef>
          </c:xVal>
          <c:yVal>
            <c:numRef>
              <c:f>Gini_2018!$G$281:$G$292</c:f>
              <c:numCache>
                <c:formatCode>0.00</c:formatCode>
                <c:ptCount val="12"/>
                <c:pt idx="0">
                  <c:v>0</c:v>
                </c:pt>
                <c:pt idx="1">
                  <c:v>1.3686107021111147E-2</c:v>
                </c:pt>
                <c:pt idx="2">
                  <c:v>2.1989193322657204E-2</c:v>
                </c:pt>
                <c:pt idx="3">
                  <c:v>8.3569604051158472E-2</c:v>
                </c:pt>
                <c:pt idx="4">
                  <c:v>9.2220408138928955E-2</c:v>
                </c:pt>
                <c:pt idx="5">
                  <c:v>0.36559624674098301</c:v>
                </c:pt>
                <c:pt idx="6">
                  <c:v>0.42864599318730606</c:v>
                </c:pt>
                <c:pt idx="7">
                  <c:v>0.4518431556744808</c:v>
                </c:pt>
                <c:pt idx="8">
                  <c:v>0.77905272953106885</c:v>
                </c:pt>
                <c:pt idx="9">
                  <c:v>0.79440781282785877</c:v>
                </c:pt>
                <c:pt idx="10">
                  <c:v>0.8733076297513408</c:v>
                </c:pt>
                <c:pt idx="11">
                  <c:v>1.0000000000000002</c:v>
                </c:pt>
              </c:numCache>
            </c:numRef>
          </c:yVal>
          <c:smooth val="0"/>
          <c:extLst>
            <c:ext xmlns:c16="http://schemas.microsoft.com/office/drawing/2014/chart" uri="{C3380CC4-5D6E-409C-BE32-E72D297353CC}">
              <c16:uniqueId val="{00000002-D10A-40C9-97AC-40D2F05B5B16}"/>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population</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 total</a:t>
                </a:r>
                <a:r>
                  <a:rPr lang="en-US" baseline="0"/>
                  <a:t> available water</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Gini_2018!$H$70:$H$81</c:f>
              <c:numCache>
                <c:formatCode>0.00</c:formatCode>
                <c:ptCount val="12"/>
                <c:pt idx="0">
                  <c:v>0</c:v>
                </c:pt>
                <c:pt idx="1">
                  <c:v>1.4487850841712153E-2</c:v>
                </c:pt>
                <c:pt idx="2">
                  <c:v>1.931093352199631E-2</c:v>
                </c:pt>
                <c:pt idx="3">
                  <c:v>4.2376133576973701E-2</c:v>
                </c:pt>
                <c:pt idx="4">
                  <c:v>8.5093932864029373E-2</c:v>
                </c:pt>
                <c:pt idx="5">
                  <c:v>0.12586523300618602</c:v>
                </c:pt>
                <c:pt idx="6">
                  <c:v>0.19967345297415212</c:v>
                </c:pt>
                <c:pt idx="7">
                  <c:v>0.33793392899982422</c:v>
                </c:pt>
                <c:pt idx="8">
                  <c:v>0.65176852182642442</c:v>
                </c:pt>
                <c:pt idx="9">
                  <c:v>0.69661650630613436</c:v>
                </c:pt>
                <c:pt idx="10">
                  <c:v>0.8432872278487642</c:v>
                </c:pt>
                <c:pt idx="11">
                  <c:v>1</c:v>
                </c:pt>
              </c:numCache>
            </c:numRef>
          </c:xVal>
          <c:yVal>
            <c:numRef>
              <c:f>Gini_2018!$H$70:$H$81</c:f>
              <c:numCache>
                <c:formatCode>0.00</c:formatCode>
                <c:ptCount val="12"/>
                <c:pt idx="0">
                  <c:v>0</c:v>
                </c:pt>
                <c:pt idx="1">
                  <c:v>1.4487850841712153E-2</c:v>
                </c:pt>
                <c:pt idx="2">
                  <c:v>1.931093352199631E-2</c:v>
                </c:pt>
                <c:pt idx="3">
                  <c:v>4.2376133576973701E-2</c:v>
                </c:pt>
                <c:pt idx="4">
                  <c:v>8.5093932864029373E-2</c:v>
                </c:pt>
                <c:pt idx="5">
                  <c:v>0.12586523300618602</c:v>
                </c:pt>
                <c:pt idx="6">
                  <c:v>0.19967345297415212</c:v>
                </c:pt>
                <c:pt idx="7">
                  <c:v>0.33793392899982422</c:v>
                </c:pt>
                <c:pt idx="8">
                  <c:v>0.65176852182642442</c:v>
                </c:pt>
                <c:pt idx="9">
                  <c:v>0.69661650630613436</c:v>
                </c:pt>
                <c:pt idx="10">
                  <c:v>0.8432872278487642</c:v>
                </c:pt>
                <c:pt idx="11">
                  <c:v>1</c:v>
                </c:pt>
              </c:numCache>
            </c:numRef>
          </c:yVal>
          <c:smooth val="1"/>
          <c:extLst>
            <c:ext xmlns:c16="http://schemas.microsoft.com/office/drawing/2014/chart" uri="{C3380CC4-5D6E-409C-BE32-E72D297353CC}">
              <c16:uniqueId val="{00000000-26E2-4E4F-91E1-ADDE2FE5EA6A}"/>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26E2-4E4F-91E1-ADDE2FE5EA6A}"/>
              </c:ext>
            </c:extLst>
          </c:dPt>
          <c:xVal>
            <c:numRef>
              <c:f>Gini_2018!$H$261:$H$272</c:f>
              <c:numCache>
                <c:formatCode>0.00</c:formatCode>
                <c:ptCount val="12"/>
                <c:pt idx="0">
                  <c:v>0</c:v>
                </c:pt>
                <c:pt idx="1">
                  <c:v>2.3065200054977395E-2</c:v>
                </c:pt>
                <c:pt idx="2">
                  <c:v>3.7553050896689547E-2</c:v>
                </c:pt>
                <c:pt idx="3">
                  <c:v>0.35138764372328968</c:v>
                </c:pt>
                <c:pt idx="4">
                  <c:v>0.35621072640357382</c:v>
                </c:pt>
                <c:pt idx="5">
                  <c:v>0.5028814479462036</c:v>
                </c:pt>
                <c:pt idx="6">
                  <c:v>0.57668966791416976</c:v>
                </c:pt>
                <c:pt idx="7">
                  <c:v>0.61940746720122541</c:v>
                </c:pt>
                <c:pt idx="8">
                  <c:v>0.75766794322689757</c:v>
                </c:pt>
                <c:pt idx="9">
                  <c:v>0.79843924336905425</c:v>
                </c:pt>
                <c:pt idx="10">
                  <c:v>0.8432872278487642</c:v>
                </c:pt>
                <c:pt idx="11">
                  <c:v>1</c:v>
                </c:pt>
              </c:numCache>
            </c:numRef>
          </c:xVal>
          <c:yVal>
            <c:numRef>
              <c:f>Gini_2018!$G$261:$G$272</c:f>
              <c:numCache>
                <c:formatCode>0.00</c:formatCode>
                <c:ptCount val="12"/>
                <c:pt idx="0">
                  <c:v>0</c:v>
                </c:pt>
                <c:pt idx="1">
                  <c:v>2.3065200054977395E-2</c:v>
                </c:pt>
                <c:pt idx="2">
                  <c:v>3.7553050896689547E-2</c:v>
                </c:pt>
                <c:pt idx="3">
                  <c:v>0.35138764372328968</c:v>
                </c:pt>
                <c:pt idx="4">
                  <c:v>0.35621072640357382</c:v>
                </c:pt>
                <c:pt idx="5">
                  <c:v>0.5028814479462036</c:v>
                </c:pt>
                <c:pt idx="6">
                  <c:v>0.57668966791416976</c:v>
                </c:pt>
                <c:pt idx="7">
                  <c:v>0.61940746720122541</c:v>
                </c:pt>
                <c:pt idx="8">
                  <c:v>0.75766794322689757</c:v>
                </c:pt>
                <c:pt idx="9">
                  <c:v>0.79843924336905425</c:v>
                </c:pt>
                <c:pt idx="10">
                  <c:v>0.8432872278487642</c:v>
                </c:pt>
                <c:pt idx="11">
                  <c:v>1</c:v>
                </c:pt>
              </c:numCache>
            </c:numRef>
          </c:yVal>
          <c:smooth val="0"/>
          <c:extLst>
            <c:ext xmlns:c16="http://schemas.microsoft.com/office/drawing/2014/chart" uri="{C3380CC4-5D6E-409C-BE32-E72D297353CC}">
              <c16:uniqueId val="{00000002-26E2-4E4F-91E1-ADDE2FE5EA6A}"/>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Population</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total available water</a:t>
                </a:r>
                <a:endParaRPr lang="en-US"/>
              </a:p>
            </c:rich>
          </c:tx>
          <c:layout>
            <c:manualLayout>
              <c:xMode val="edge"/>
              <c:yMode val="edge"/>
              <c:x val="2.4106839487888897E-2"/>
              <c:y val="0.2137992880862931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Gini_2018!$H$70:$H$81</c:f>
              <c:numCache>
                <c:formatCode>0.00</c:formatCode>
                <c:ptCount val="12"/>
                <c:pt idx="0">
                  <c:v>0</c:v>
                </c:pt>
                <c:pt idx="1">
                  <c:v>1.4487850841712153E-2</c:v>
                </c:pt>
                <c:pt idx="2">
                  <c:v>1.931093352199631E-2</c:v>
                </c:pt>
                <c:pt idx="3">
                  <c:v>4.2376133576973701E-2</c:v>
                </c:pt>
                <c:pt idx="4">
                  <c:v>8.5093932864029373E-2</c:v>
                </c:pt>
                <c:pt idx="5">
                  <c:v>0.12586523300618602</c:v>
                </c:pt>
                <c:pt idx="6">
                  <c:v>0.19967345297415212</c:v>
                </c:pt>
                <c:pt idx="7">
                  <c:v>0.33793392899982422</c:v>
                </c:pt>
                <c:pt idx="8">
                  <c:v>0.65176852182642442</c:v>
                </c:pt>
                <c:pt idx="9">
                  <c:v>0.69661650630613436</c:v>
                </c:pt>
                <c:pt idx="10">
                  <c:v>0.8432872278487642</c:v>
                </c:pt>
                <c:pt idx="11">
                  <c:v>1</c:v>
                </c:pt>
              </c:numCache>
            </c:numRef>
          </c:xVal>
          <c:yVal>
            <c:numRef>
              <c:f>Gini_2018!$H$70:$H$81</c:f>
              <c:numCache>
                <c:formatCode>0.00</c:formatCode>
                <c:ptCount val="12"/>
                <c:pt idx="0">
                  <c:v>0</c:v>
                </c:pt>
                <c:pt idx="1">
                  <c:v>1.4487850841712153E-2</c:v>
                </c:pt>
                <c:pt idx="2">
                  <c:v>1.931093352199631E-2</c:v>
                </c:pt>
                <c:pt idx="3">
                  <c:v>4.2376133576973701E-2</c:v>
                </c:pt>
                <c:pt idx="4">
                  <c:v>8.5093932864029373E-2</c:v>
                </c:pt>
                <c:pt idx="5">
                  <c:v>0.12586523300618602</c:v>
                </c:pt>
                <c:pt idx="6">
                  <c:v>0.19967345297415212</c:v>
                </c:pt>
                <c:pt idx="7">
                  <c:v>0.33793392899982422</c:v>
                </c:pt>
                <c:pt idx="8">
                  <c:v>0.65176852182642442</c:v>
                </c:pt>
                <c:pt idx="9">
                  <c:v>0.69661650630613436</c:v>
                </c:pt>
                <c:pt idx="10">
                  <c:v>0.8432872278487642</c:v>
                </c:pt>
                <c:pt idx="11">
                  <c:v>1</c:v>
                </c:pt>
              </c:numCache>
            </c:numRef>
          </c:yVal>
          <c:smooth val="1"/>
          <c:extLst>
            <c:ext xmlns:c16="http://schemas.microsoft.com/office/drawing/2014/chart" uri="{C3380CC4-5D6E-409C-BE32-E72D297353CC}">
              <c16:uniqueId val="{00000000-8E3A-4312-B843-13097A723675}"/>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8E3A-4312-B843-13097A723675}"/>
              </c:ext>
            </c:extLst>
          </c:dPt>
          <c:xVal>
            <c:numRef>
              <c:f>Gini_2018!$H$323:$H$334</c:f>
              <c:numCache>
                <c:formatCode>0.00</c:formatCode>
                <c:ptCount val="12"/>
                <c:pt idx="0">
                  <c:v>0</c:v>
                </c:pt>
                <c:pt idx="1">
                  <c:v>2.3065200054977395E-2</c:v>
                </c:pt>
                <c:pt idx="2">
                  <c:v>3.7553050896689547E-2</c:v>
                </c:pt>
                <c:pt idx="3">
                  <c:v>0.35138764372328968</c:v>
                </c:pt>
                <c:pt idx="4">
                  <c:v>0.35621072640357382</c:v>
                </c:pt>
                <c:pt idx="5">
                  <c:v>0.5028814479462036</c:v>
                </c:pt>
                <c:pt idx="6">
                  <c:v>0.57668966791416976</c:v>
                </c:pt>
                <c:pt idx="7">
                  <c:v>0.61940746720122541</c:v>
                </c:pt>
                <c:pt idx="8">
                  <c:v>0.75766794322689757</c:v>
                </c:pt>
                <c:pt idx="9">
                  <c:v>0.79843924336905425</c:v>
                </c:pt>
                <c:pt idx="10">
                  <c:v>0.8432872278487642</c:v>
                </c:pt>
                <c:pt idx="11">
                  <c:v>1</c:v>
                </c:pt>
              </c:numCache>
            </c:numRef>
          </c:xVal>
          <c:yVal>
            <c:numRef>
              <c:f>Gini_2018!$G$323:$G$334</c:f>
              <c:numCache>
                <c:formatCode>0.00</c:formatCode>
                <c:ptCount val="12"/>
                <c:pt idx="0">
                  <c:v>0</c:v>
                </c:pt>
                <c:pt idx="1">
                  <c:v>9.0909090909090925E-2</c:v>
                </c:pt>
                <c:pt idx="2">
                  <c:v>0.18181818181818185</c:v>
                </c:pt>
                <c:pt idx="3">
                  <c:v>0.27272727272727276</c:v>
                </c:pt>
                <c:pt idx="4">
                  <c:v>0.3636363636363637</c:v>
                </c:pt>
                <c:pt idx="5">
                  <c:v>0.45454545454545464</c:v>
                </c:pt>
                <c:pt idx="6">
                  <c:v>0.54545454545454553</c:v>
                </c:pt>
                <c:pt idx="7">
                  <c:v>0.63636363636363646</c:v>
                </c:pt>
                <c:pt idx="8">
                  <c:v>0.7272727272727274</c:v>
                </c:pt>
                <c:pt idx="9">
                  <c:v>0.81818181818181834</c:v>
                </c:pt>
                <c:pt idx="10">
                  <c:v>0.90909090909090928</c:v>
                </c:pt>
                <c:pt idx="11">
                  <c:v>1.0000000000000002</c:v>
                </c:pt>
              </c:numCache>
            </c:numRef>
          </c:yVal>
          <c:smooth val="0"/>
          <c:extLst>
            <c:ext xmlns:c16="http://schemas.microsoft.com/office/drawing/2014/chart" uri="{C3380CC4-5D6E-409C-BE32-E72D297353CC}">
              <c16:uniqueId val="{00000002-8E3A-4312-B843-13097A723675}"/>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Population</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total available water</a:t>
                </a:r>
                <a:endParaRPr lang="en-US"/>
              </a:p>
            </c:rich>
          </c:tx>
          <c:layout>
            <c:manualLayout>
              <c:xMode val="edge"/>
              <c:yMode val="edge"/>
              <c:x val="2.4106839487888897E-2"/>
              <c:y val="0.2137992880862931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392161987877425"/>
          <c:y val="0.15708661161023113"/>
          <c:w val="0.61893687693702537"/>
          <c:h val="0.65806465539246639"/>
        </c:manualLayout>
      </c:layout>
      <c:scatterChart>
        <c:scatterStyle val="smoothMarker"/>
        <c:varyColors val="0"/>
        <c:ser>
          <c:idx val="1"/>
          <c:order val="1"/>
          <c:tx>
            <c:v>Equality Line</c:v>
          </c:tx>
          <c:spPr>
            <a:ln w="19050" cap="rnd">
              <a:solidFill>
                <a:schemeClr val="accent2"/>
              </a:solidFill>
              <a:round/>
            </a:ln>
            <a:effectLst/>
          </c:spPr>
          <c:marker>
            <c:symbol val="none"/>
          </c:marker>
          <c:xVal>
            <c:numRef>
              <c:f>Gini_2018!$H$70:$H$81</c:f>
              <c:numCache>
                <c:formatCode>0.00</c:formatCode>
                <c:ptCount val="12"/>
                <c:pt idx="0">
                  <c:v>0</c:v>
                </c:pt>
                <c:pt idx="1">
                  <c:v>1.4487850841712153E-2</c:v>
                </c:pt>
                <c:pt idx="2">
                  <c:v>1.931093352199631E-2</c:v>
                </c:pt>
                <c:pt idx="3">
                  <c:v>4.2376133576973701E-2</c:v>
                </c:pt>
                <c:pt idx="4">
                  <c:v>8.5093932864029373E-2</c:v>
                </c:pt>
                <c:pt idx="5">
                  <c:v>0.12586523300618602</c:v>
                </c:pt>
                <c:pt idx="6">
                  <c:v>0.19967345297415212</c:v>
                </c:pt>
                <c:pt idx="7">
                  <c:v>0.33793392899982422</c:v>
                </c:pt>
                <c:pt idx="8">
                  <c:v>0.65176852182642442</c:v>
                </c:pt>
                <c:pt idx="9">
                  <c:v>0.69661650630613436</c:v>
                </c:pt>
                <c:pt idx="10">
                  <c:v>0.8432872278487642</c:v>
                </c:pt>
                <c:pt idx="11">
                  <c:v>1</c:v>
                </c:pt>
              </c:numCache>
            </c:numRef>
          </c:xVal>
          <c:yVal>
            <c:numRef>
              <c:f>Gini_2018!$H$70:$H$81</c:f>
              <c:numCache>
                <c:formatCode>0.00</c:formatCode>
                <c:ptCount val="12"/>
                <c:pt idx="0">
                  <c:v>0</c:v>
                </c:pt>
                <c:pt idx="1">
                  <c:v>1.4487850841712153E-2</c:v>
                </c:pt>
                <c:pt idx="2">
                  <c:v>1.931093352199631E-2</c:v>
                </c:pt>
                <c:pt idx="3">
                  <c:v>4.2376133576973701E-2</c:v>
                </c:pt>
                <c:pt idx="4">
                  <c:v>8.5093932864029373E-2</c:v>
                </c:pt>
                <c:pt idx="5">
                  <c:v>0.12586523300618602</c:v>
                </c:pt>
                <c:pt idx="6">
                  <c:v>0.19967345297415212</c:v>
                </c:pt>
                <c:pt idx="7">
                  <c:v>0.33793392899982422</c:v>
                </c:pt>
                <c:pt idx="8">
                  <c:v>0.65176852182642442</c:v>
                </c:pt>
                <c:pt idx="9">
                  <c:v>0.69661650630613436</c:v>
                </c:pt>
                <c:pt idx="10">
                  <c:v>0.8432872278487642</c:v>
                </c:pt>
                <c:pt idx="11">
                  <c:v>1</c:v>
                </c:pt>
              </c:numCache>
            </c:numRef>
          </c:yVal>
          <c:smooth val="1"/>
          <c:extLst>
            <c:ext xmlns:c16="http://schemas.microsoft.com/office/drawing/2014/chart" uri="{C3380CC4-5D6E-409C-BE32-E72D297353CC}">
              <c16:uniqueId val="{00000000-520E-4036-B98E-3F8A1073012A}"/>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520E-4036-B98E-3F8A1073012A}"/>
              </c:ext>
            </c:extLst>
          </c:dPt>
          <c:xVal>
            <c:numRef>
              <c:f>Gini_2018!$H$385:$H$396</c:f>
              <c:numCache>
                <c:formatCode>0.00</c:formatCode>
                <c:ptCount val="12"/>
                <c:pt idx="0">
                  <c:v>0</c:v>
                </c:pt>
                <c:pt idx="1">
                  <c:v>1.7731303204090366E-2</c:v>
                </c:pt>
                <c:pt idx="2">
                  <c:v>2.1233628694412938E-2</c:v>
                </c:pt>
                <c:pt idx="3">
                  <c:v>4.8893660345477652E-2</c:v>
                </c:pt>
                <c:pt idx="4">
                  <c:v>9.2655747761460266E-2</c:v>
                </c:pt>
                <c:pt idx="5">
                  <c:v>0.12039474482489218</c:v>
                </c:pt>
                <c:pt idx="6">
                  <c:v>0.18964711292463099</c:v>
                </c:pt>
                <c:pt idx="7">
                  <c:v>0.32480752567247162</c:v>
                </c:pt>
                <c:pt idx="8">
                  <c:v>0.59127733227283841</c:v>
                </c:pt>
                <c:pt idx="9">
                  <c:v>0.64291158206667154</c:v>
                </c:pt>
                <c:pt idx="10">
                  <c:v>0.80082050143712413</c:v>
                </c:pt>
                <c:pt idx="11">
                  <c:v>1</c:v>
                </c:pt>
              </c:numCache>
            </c:numRef>
          </c:xVal>
          <c:yVal>
            <c:numRef>
              <c:f>Gini_2018!$G$385:$G$396</c:f>
              <c:numCache>
                <c:formatCode>0.00</c:formatCode>
                <c:ptCount val="12"/>
                <c:pt idx="0">
                  <c:v>0</c:v>
                </c:pt>
                <c:pt idx="1">
                  <c:v>3.4593541506786328E-3</c:v>
                </c:pt>
                <c:pt idx="2">
                  <c:v>8.4563958488458896E-3</c:v>
                </c:pt>
                <c:pt idx="3">
                  <c:v>2.716718886649204E-2</c:v>
                </c:pt>
                <c:pt idx="4">
                  <c:v>5.8484705667197864E-2</c:v>
                </c:pt>
                <c:pt idx="5">
                  <c:v>0.11995535831641736</c:v>
                </c:pt>
                <c:pt idx="6">
                  <c:v>0.19235727687211288</c:v>
                </c:pt>
                <c:pt idx="7">
                  <c:v>0.2807703857888626</c:v>
                </c:pt>
                <c:pt idx="8">
                  <c:v>0.42856152939230518</c:v>
                </c:pt>
                <c:pt idx="9">
                  <c:v>0.58280948033410229</c:v>
                </c:pt>
                <c:pt idx="10">
                  <c:v>0.78504307612918367</c:v>
                </c:pt>
                <c:pt idx="11">
                  <c:v>1</c:v>
                </c:pt>
              </c:numCache>
            </c:numRef>
          </c:yVal>
          <c:smooth val="0"/>
          <c:extLst>
            <c:ext xmlns:c16="http://schemas.microsoft.com/office/drawing/2014/chart" uri="{C3380CC4-5D6E-409C-BE32-E72D297353CC}">
              <c16:uniqueId val="{00000002-520E-4036-B98E-3F8A1073012A}"/>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Population 2050</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total available water</a:t>
                </a:r>
                <a:endParaRPr lang="en-US"/>
              </a:p>
            </c:rich>
          </c:tx>
          <c:layout>
            <c:manualLayout>
              <c:xMode val="edge"/>
              <c:yMode val="edge"/>
              <c:x val="2.4106839487888897E-2"/>
              <c:y val="0.2137992880862931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Gini_2018!$H$94:$H$105</c:f>
              <c:numCache>
                <c:formatCode>0.00</c:formatCode>
                <c:ptCount val="12"/>
                <c:pt idx="0">
                  <c:v>0</c:v>
                </c:pt>
                <c:pt idx="1">
                  <c:v>6.1580410728501248E-2</c:v>
                </c:pt>
                <c:pt idx="2">
                  <c:v>7.0231214816271731E-2</c:v>
                </c:pt>
                <c:pt idx="3">
                  <c:v>8.3917321837382874E-2</c:v>
                </c:pt>
                <c:pt idx="4">
                  <c:v>9.2220408138928928E-2</c:v>
                </c:pt>
                <c:pt idx="5">
                  <c:v>0.11541757062610367</c:v>
                </c:pt>
                <c:pt idx="6">
                  <c:v>0.17846731707242672</c:v>
                </c:pt>
                <c:pt idx="7">
                  <c:v>0.25736713399590871</c:v>
                </c:pt>
                <c:pt idx="8">
                  <c:v>0.38405950424456814</c:v>
                </c:pt>
                <c:pt idx="9">
                  <c:v>0.71126907810115614</c:v>
                </c:pt>
                <c:pt idx="10">
                  <c:v>0.98464491670321008</c:v>
                </c:pt>
                <c:pt idx="11">
                  <c:v>1</c:v>
                </c:pt>
              </c:numCache>
            </c:numRef>
          </c:xVal>
          <c:yVal>
            <c:numRef>
              <c:f>Gini_2018!$H$94:$H$105</c:f>
              <c:numCache>
                <c:formatCode>0.00</c:formatCode>
                <c:ptCount val="12"/>
                <c:pt idx="0">
                  <c:v>0</c:v>
                </c:pt>
                <c:pt idx="1">
                  <c:v>6.1580410728501248E-2</c:v>
                </c:pt>
                <c:pt idx="2">
                  <c:v>7.0231214816271731E-2</c:v>
                </c:pt>
                <c:pt idx="3">
                  <c:v>8.3917321837382874E-2</c:v>
                </c:pt>
                <c:pt idx="4">
                  <c:v>9.2220408138928928E-2</c:v>
                </c:pt>
                <c:pt idx="5">
                  <c:v>0.11541757062610367</c:v>
                </c:pt>
                <c:pt idx="6">
                  <c:v>0.17846731707242672</c:v>
                </c:pt>
                <c:pt idx="7">
                  <c:v>0.25736713399590871</c:v>
                </c:pt>
                <c:pt idx="8">
                  <c:v>0.38405950424456814</c:v>
                </c:pt>
                <c:pt idx="9">
                  <c:v>0.71126907810115614</c:v>
                </c:pt>
                <c:pt idx="10">
                  <c:v>0.98464491670321008</c:v>
                </c:pt>
                <c:pt idx="11">
                  <c:v>1</c:v>
                </c:pt>
              </c:numCache>
            </c:numRef>
          </c:yVal>
          <c:smooth val="1"/>
          <c:extLst>
            <c:ext xmlns:c16="http://schemas.microsoft.com/office/drawing/2014/chart" uri="{C3380CC4-5D6E-409C-BE32-E72D297353CC}">
              <c16:uniqueId val="{00000000-4434-4C90-9FE1-E36ACB87D9BB}"/>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4434-4C90-9FE1-E36ACB87D9BB}"/>
              </c:ext>
            </c:extLst>
          </c:dPt>
          <c:xVal>
            <c:numRef>
              <c:f>Gini_2018!$H$178:$H$189</c:f>
              <c:numCache>
                <c:formatCode>0.00</c:formatCode>
                <c:ptCount val="12"/>
                <c:pt idx="0">
                  <c:v>0</c:v>
                </c:pt>
                <c:pt idx="1">
                  <c:v>8.2249727275718124E-2</c:v>
                </c:pt>
                <c:pt idx="2">
                  <c:v>9.0263247322775519E-2</c:v>
                </c:pt>
                <c:pt idx="3">
                  <c:v>9.4581027823807909E-2</c:v>
                </c:pt>
                <c:pt idx="4">
                  <c:v>0.10127079145171206</c:v>
                </c:pt>
                <c:pt idx="5">
                  <c:v>0.10808687676914244</c:v>
                </c:pt>
                <c:pt idx="6">
                  <c:v>0.12427174144854033</c:v>
                </c:pt>
                <c:pt idx="7">
                  <c:v>0.16345651867644251</c:v>
                </c:pt>
                <c:pt idx="8">
                  <c:v>0.24099269172425059</c:v>
                </c:pt>
                <c:pt idx="9">
                  <c:v>0.67926609315684749</c:v>
                </c:pt>
                <c:pt idx="10">
                  <c:v>0.79811612788873898</c:v>
                </c:pt>
                <c:pt idx="11">
                  <c:v>1</c:v>
                </c:pt>
              </c:numCache>
            </c:numRef>
          </c:xVal>
          <c:yVal>
            <c:numRef>
              <c:f>Gini_2018!$G$178:$G$189</c:f>
              <c:numCache>
                <c:formatCode>0.00</c:formatCode>
                <c:ptCount val="12"/>
                <c:pt idx="0">
                  <c:v>0</c:v>
                </c:pt>
                <c:pt idx="1">
                  <c:v>2.0574426410451801E-3</c:v>
                </c:pt>
                <c:pt idx="2">
                  <c:v>8.6299290006598382E-3</c:v>
                </c:pt>
                <c:pt idx="3">
                  <c:v>1.7703678640373258E-2</c:v>
                </c:pt>
                <c:pt idx="4">
                  <c:v>3.0070099537271747E-2</c:v>
                </c:pt>
                <c:pt idx="5">
                  <c:v>4.2785924050606536E-2</c:v>
                </c:pt>
                <c:pt idx="6">
                  <c:v>8.0997415434134676E-2</c:v>
                </c:pt>
                <c:pt idx="7">
                  <c:v>0.15554298639807518</c:v>
                </c:pt>
                <c:pt idx="8">
                  <c:v>0.3071288313755236</c:v>
                </c:pt>
                <c:pt idx="9">
                  <c:v>0.49803114281752947</c:v>
                </c:pt>
                <c:pt idx="10">
                  <c:v>0.70345267576068349</c:v>
                </c:pt>
                <c:pt idx="11">
                  <c:v>1</c:v>
                </c:pt>
              </c:numCache>
            </c:numRef>
          </c:yVal>
          <c:smooth val="0"/>
          <c:extLst>
            <c:ext xmlns:c16="http://schemas.microsoft.com/office/drawing/2014/chart" uri="{C3380CC4-5D6E-409C-BE32-E72D297353CC}">
              <c16:uniqueId val="{00000002-4434-4C90-9FE1-E36ACB87D9BB}"/>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Precipitation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301861863580613"/>
          <c:y val="0.1566342980154827"/>
          <c:w val="0.54960252622417904"/>
          <c:h val="0.65904922055244786"/>
        </c:manualLayout>
      </c:layout>
      <c:scatterChart>
        <c:scatterStyle val="smoothMarker"/>
        <c:varyColors val="0"/>
        <c:ser>
          <c:idx val="1"/>
          <c:order val="1"/>
          <c:tx>
            <c:v>Equality Line</c:v>
          </c:tx>
          <c:spPr>
            <a:ln w="19050" cap="rnd">
              <a:solidFill>
                <a:schemeClr val="accent2"/>
              </a:solidFill>
              <a:round/>
            </a:ln>
            <a:effectLst/>
          </c:spPr>
          <c:marker>
            <c:symbol val="none"/>
          </c:marker>
          <c:xVal>
            <c:numRef>
              <c:f>Gini_2018!$H$115:$H$126</c:f>
              <c:numCache>
                <c:formatCode>0.00</c:formatCode>
                <c:ptCount val="12"/>
                <c:pt idx="0">
                  <c:v>0</c:v>
                </c:pt>
                <c:pt idx="1">
                  <c:v>8.6508040877704764E-3</c:v>
                </c:pt>
                <c:pt idx="2">
                  <c:v>2.233691110888162E-2</c:v>
                </c:pt>
                <c:pt idx="3">
                  <c:v>4.5534073596056365E-2</c:v>
                </c:pt>
                <c:pt idx="4">
                  <c:v>5.3837159897602418E-2</c:v>
                </c:pt>
                <c:pt idx="5">
                  <c:v>0.11688690634392547</c:v>
                </c:pt>
                <c:pt idx="6">
                  <c:v>0.17846731707242672</c:v>
                </c:pt>
                <c:pt idx="7">
                  <c:v>0.25736713399590871</c:v>
                </c:pt>
                <c:pt idx="8">
                  <c:v>0.38405950424456814</c:v>
                </c:pt>
                <c:pt idx="9">
                  <c:v>0.65743534284662219</c:v>
                </c:pt>
                <c:pt idx="10">
                  <c:v>0.98464491670321019</c:v>
                </c:pt>
                <c:pt idx="11">
                  <c:v>1.0000000000000002</c:v>
                </c:pt>
              </c:numCache>
            </c:numRef>
          </c:xVal>
          <c:yVal>
            <c:numRef>
              <c:f>Gini_2018!$H$115:$H$126</c:f>
              <c:numCache>
                <c:formatCode>0.00</c:formatCode>
                <c:ptCount val="12"/>
                <c:pt idx="0">
                  <c:v>0</c:v>
                </c:pt>
                <c:pt idx="1">
                  <c:v>8.6508040877704764E-3</c:v>
                </c:pt>
                <c:pt idx="2">
                  <c:v>2.233691110888162E-2</c:v>
                </c:pt>
                <c:pt idx="3">
                  <c:v>4.5534073596056365E-2</c:v>
                </c:pt>
                <c:pt idx="4">
                  <c:v>5.3837159897602418E-2</c:v>
                </c:pt>
                <c:pt idx="5">
                  <c:v>0.11688690634392547</c:v>
                </c:pt>
                <c:pt idx="6">
                  <c:v>0.17846731707242672</c:v>
                </c:pt>
                <c:pt idx="7">
                  <c:v>0.25736713399590871</c:v>
                </c:pt>
                <c:pt idx="8">
                  <c:v>0.38405950424456814</c:v>
                </c:pt>
                <c:pt idx="9">
                  <c:v>0.65743534284662219</c:v>
                </c:pt>
                <c:pt idx="10">
                  <c:v>0.98464491670321019</c:v>
                </c:pt>
                <c:pt idx="11">
                  <c:v>1.0000000000000002</c:v>
                </c:pt>
              </c:numCache>
            </c:numRef>
          </c:yVal>
          <c:smooth val="1"/>
          <c:extLst>
            <c:ext xmlns:c16="http://schemas.microsoft.com/office/drawing/2014/chart" uri="{C3380CC4-5D6E-409C-BE32-E72D297353CC}">
              <c16:uniqueId val="{00000000-643E-43C5-AD39-2167D61472F3}"/>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643E-43C5-AD39-2167D61472F3}"/>
              </c:ext>
            </c:extLst>
          </c:dPt>
          <c:xVal>
            <c:numRef>
              <c:f>Gini_2018!$H$199:$H$210</c:f>
              <c:numCache>
                <c:formatCode>0.00</c:formatCode>
                <c:ptCount val="12"/>
                <c:pt idx="0">
                  <c:v>0</c:v>
                </c:pt>
                <c:pt idx="1">
                  <c:v>8.0135200470573958E-3</c:v>
                </c:pt>
                <c:pt idx="2">
                  <c:v>1.2331300548089792E-2</c:v>
                </c:pt>
                <c:pt idx="3">
                  <c:v>1.9147385865520176E-2</c:v>
                </c:pt>
                <c:pt idx="4">
                  <c:v>2.5837149493424316E-2</c:v>
                </c:pt>
                <c:pt idx="5">
                  <c:v>4.2022014172822211E-2</c:v>
                </c:pt>
                <c:pt idx="6">
                  <c:v>0.12427174144854033</c:v>
                </c:pt>
                <c:pt idx="7">
                  <c:v>0.16345651867644251</c:v>
                </c:pt>
                <c:pt idx="8">
                  <c:v>0.24099269172425059</c:v>
                </c:pt>
                <c:pt idx="9">
                  <c:v>0.35984272645614207</c:v>
                </c:pt>
                <c:pt idx="10">
                  <c:v>0.79811612788873898</c:v>
                </c:pt>
                <c:pt idx="11">
                  <c:v>1</c:v>
                </c:pt>
              </c:numCache>
            </c:numRef>
          </c:xVal>
          <c:yVal>
            <c:numRef>
              <c:f>Gini_2018!$G$199:$G$210</c:f>
              <c:numCache>
                <c:formatCode>0.00</c:formatCode>
                <c:ptCount val="12"/>
                <c:pt idx="0">
                  <c:v>0</c:v>
                </c:pt>
                <c:pt idx="1">
                  <c:v>5.6387986055587242E-3</c:v>
                </c:pt>
                <c:pt idx="2">
                  <c:v>1.1360188457287819E-2</c:v>
                </c:pt>
                <c:pt idx="3">
                  <c:v>2.024176629132083E-2</c:v>
                </c:pt>
                <c:pt idx="4">
                  <c:v>3.2012888050712042E-2</c:v>
                </c:pt>
                <c:pt idx="5">
                  <c:v>5.7762823909743397E-2</c:v>
                </c:pt>
                <c:pt idx="6">
                  <c:v>8.8550981159494335E-2</c:v>
                </c:pt>
                <c:pt idx="7">
                  <c:v>0.1404898543639673</c:v>
                </c:pt>
                <c:pt idx="8">
                  <c:v>0.26486530011936027</c:v>
                </c:pt>
                <c:pt idx="9">
                  <c:v>0.43265145785843007</c:v>
                </c:pt>
                <c:pt idx="10">
                  <c:v>0.64822411816596082</c:v>
                </c:pt>
                <c:pt idx="11">
                  <c:v>1</c:v>
                </c:pt>
              </c:numCache>
            </c:numRef>
          </c:yVal>
          <c:smooth val="0"/>
          <c:extLst>
            <c:ext xmlns:c16="http://schemas.microsoft.com/office/drawing/2014/chart" uri="{C3380CC4-5D6E-409C-BE32-E72D297353CC}">
              <c16:uniqueId val="{00000002-643E-43C5-AD39-2167D61472F3}"/>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ETa</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Gini_2018!$H$136:$H$147</c:f>
              <c:numCache>
                <c:formatCode>0.00</c:formatCode>
                <c:ptCount val="12"/>
                <c:pt idx="0">
                  <c:v>0</c:v>
                </c:pt>
                <c:pt idx="1">
                  <c:v>6.1580410728501248E-2</c:v>
                </c:pt>
                <c:pt idx="2">
                  <c:v>0.38878998458508923</c:v>
                </c:pt>
                <c:pt idx="3">
                  <c:v>0.40414506788187921</c:v>
                </c:pt>
                <c:pt idx="4">
                  <c:v>0.41244815418342529</c:v>
                </c:pt>
                <c:pt idx="5">
                  <c:v>0.42109895827119576</c:v>
                </c:pt>
                <c:pt idx="6">
                  <c:v>0.43478506529230687</c:v>
                </c:pt>
                <c:pt idx="7">
                  <c:v>0.45798222777948161</c:v>
                </c:pt>
                <c:pt idx="8">
                  <c:v>0.52103197422580472</c:v>
                </c:pt>
                <c:pt idx="9">
                  <c:v>0.59993179114928674</c:v>
                </c:pt>
                <c:pt idx="10">
                  <c:v>0.72662416139794617</c:v>
                </c:pt>
                <c:pt idx="11">
                  <c:v>1.0000000000000002</c:v>
                </c:pt>
              </c:numCache>
            </c:numRef>
          </c:xVal>
          <c:yVal>
            <c:numRef>
              <c:f>Gini_2018!$H$136:$H$147</c:f>
              <c:numCache>
                <c:formatCode>0.00</c:formatCode>
                <c:ptCount val="12"/>
                <c:pt idx="0">
                  <c:v>0</c:v>
                </c:pt>
                <c:pt idx="1">
                  <c:v>6.1580410728501248E-2</c:v>
                </c:pt>
                <c:pt idx="2">
                  <c:v>0.38878998458508923</c:v>
                </c:pt>
                <c:pt idx="3">
                  <c:v>0.40414506788187921</c:v>
                </c:pt>
                <c:pt idx="4">
                  <c:v>0.41244815418342529</c:v>
                </c:pt>
                <c:pt idx="5">
                  <c:v>0.42109895827119576</c:v>
                </c:pt>
                <c:pt idx="6">
                  <c:v>0.43478506529230687</c:v>
                </c:pt>
                <c:pt idx="7">
                  <c:v>0.45798222777948161</c:v>
                </c:pt>
                <c:pt idx="8">
                  <c:v>0.52103197422580472</c:v>
                </c:pt>
                <c:pt idx="9">
                  <c:v>0.59993179114928674</c:v>
                </c:pt>
                <c:pt idx="10">
                  <c:v>0.72662416139794617</c:v>
                </c:pt>
                <c:pt idx="11">
                  <c:v>1.0000000000000002</c:v>
                </c:pt>
              </c:numCache>
            </c:numRef>
          </c:yVal>
          <c:smooth val="1"/>
          <c:extLst>
            <c:ext xmlns:c16="http://schemas.microsoft.com/office/drawing/2014/chart" uri="{C3380CC4-5D6E-409C-BE32-E72D297353CC}">
              <c16:uniqueId val="{00000000-C522-4491-8EA9-904205B1340E}"/>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C522-4491-8EA9-904205B1340E}"/>
              </c:ext>
            </c:extLst>
          </c:dPt>
          <c:xVal>
            <c:numRef>
              <c:f>Gini_2018!$H$220:$H$231</c:f>
              <c:numCache>
                <c:formatCode>0.00</c:formatCode>
                <c:ptCount val="12"/>
                <c:pt idx="0">
                  <c:v>0</c:v>
                </c:pt>
                <c:pt idx="1">
                  <c:v>8.2249727275718124E-2</c:v>
                </c:pt>
                <c:pt idx="2">
                  <c:v>0.52052312870831507</c:v>
                </c:pt>
                <c:pt idx="3">
                  <c:v>0.7224070008195761</c:v>
                </c:pt>
                <c:pt idx="4">
                  <c:v>0.72909676444748028</c:v>
                </c:pt>
                <c:pt idx="5">
                  <c:v>0.73711028449453764</c:v>
                </c:pt>
                <c:pt idx="6">
                  <c:v>0.74142806499557001</c:v>
                </c:pt>
                <c:pt idx="7">
                  <c:v>0.7482441503130004</c:v>
                </c:pt>
                <c:pt idx="8">
                  <c:v>0.76442901499239835</c:v>
                </c:pt>
                <c:pt idx="9">
                  <c:v>0.80361379222030049</c:v>
                </c:pt>
                <c:pt idx="10">
                  <c:v>0.88114996526810863</c:v>
                </c:pt>
                <c:pt idx="11">
                  <c:v>1.0000000000000002</c:v>
                </c:pt>
              </c:numCache>
            </c:numRef>
          </c:xVal>
          <c:yVal>
            <c:numRef>
              <c:f>Gini_2018!$G$220:$G$231</c:f>
              <c:numCache>
                <c:formatCode>0.00</c:formatCode>
                <c:ptCount val="12"/>
                <c:pt idx="0">
                  <c:v>0</c:v>
                </c:pt>
                <c:pt idx="1">
                  <c:v>0</c:v>
                </c:pt>
                <c:pt idx="2">
                  <c:v>0</c:v>
                </c:pt>
                <c:pt idx="3">
                  <c:v>0</c:v>
                </c:pt>
                <c:pt idx="4">
                  <c:v>5.4290577913134646E-3</c:v>
                </c:pt>
                <c:pt idx="5">
                  <c:v>1.3271339033212672E-2</c:v>
                </c:pt>
                <c:pt idx="6">
                  <c:v>4.2635773025661156E-2</c:v>
                </c:pt>
                <c:pt idx="7">
                  <c:v>7.6185424270137081E-2</c:v>
                </c:pt>
                <c:pt idx="8">
                  <c:v>0.18981189410229665</c:v>
                </c:pt>
                <c:pt idx="9">
                  <c:v>0.43188628237804488</c:v>
                </c:pt>
                <c:pt idx="10">
                  <c:v>0.6826176704974718</c:v>
                </c:pt>
                <c:pt idx="11">
                  <c:v>1</c:v>
                </c:pt>
              </c:numCache>
            </c:numRef>
          </c:yVal>
          <c:smooth val="0"/>
          <c:extLst>
            <c:ext xmlns:c16="http://schemas.microsoft.com/office/drawing/2014/chart" uri="{C3380CC4-5D6E-409C-BE32-E72D297353CC}">
              <c16:uniqueId val="{00000002-C522-4491-8EA9-904205B1340E}"/>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Available Water</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Gini_2018!$H$157:$H$168</c:f>
              <c:numCache>
                <c:formatCode>0.00</c:formatCode>
                <c:ptCount val="12"/>
                <c:pt idx="0">
                  <c:v>0</c:v>
                </c:pt>
                <c:pt idx="1">
                  <c:v>8.3030863015460549E-3</c:v>
                </c:pt>
                <c:pt idx="2">
                  <c:v>1.695389038931653E-2</c:v>
                </c:pt>
                <c:pt idx="3">
                  <c:v>3.0639997410427673E-2</c:v>
                </c:pt>
                <c:pt idx="4">
                  <c:v>5.3837159897602418E-2</c:v>
                </c:pt>
                <c:pt idx="5">
                  <c:v>6.9192243194392378E-2</c:v>
                </c:pt>
                <c:pt idx="6">
                  <c:v>0.13224198964071543</c:v>
                </c:pt>
                <c:pt idx="7">
                  <c:v>0.45945156349730343</c:v>
                </c:pt>
                <c:pt idx="8">
                  <c:v>0.52103197422580472</c:v>
                </c:pt>
                <c:pt idx="9">
                  <c:v>0.59993179114928674</c:v>
                </c:pt>
                <c:pt idx="10">
                  <c:v>0.87330762975134069</c:v>
                </c:pt>
                <c:pt idx="11">
                  <c:v>1.0000000000000002</c:v>
                </c:pt>
              </c:numCache>
            </c:numRef>
          </c:xVal>
          <c:yVal>
            <c:numRef>
              <c:f>Gini_2018!$H$157:$H$168</c:f>
              <c:numCache>
                <c:formatCode>0.00</c:formatCode>
                <c:ptCount val="12"/>
                <c:pt idx="0">
                  <c:v>0</c:v>
                </c:pt>
                <c:pt idx="1">
                  <c:v>8.3030863015460549E-3</c:v>
                </c:pt>
                <c:pt idx="2">
                  <c:v>1.695389038931653E-2</c:v>
                </c:pt>
                <c:pt idx="3">
                  <c:v>3.0639997410427673E-2</c:v>
                </c:pt>
                <c:pt idx="4">
                  <c:v>5.3837159897602418E-2</c:v>
                </c:pt>
                <c:pt idx="5">
                  <c:v>6.9192243194392378E-2</c:v>
                </c:pt>
                <c:pt idx="6">
                  <c:v>0.13224198964071543</c:v>
                </c:pt>
                <c:pt idx="7">
                  <c:v>0.45945156349730343</c:v>
                </c:pt>
                <c:pt idx="8">
                  <c:v>0.52103197422580472</c:v>
                </c:pt>
                <c:pt idx="9">
                  <c:v>0.59993179114928674</c:v>
                </c:pt>
                <c:pt idx="10">
                  <c:v>0.87330762975134069</c:v>
                </c:pt>
                <c:pt idx="11">
                  <c:v>1.0000000000000002</c:v>
                </c:pt>
              </c:numCache>
            </c:numRef>
          </c:yVal>
          <c:smooth val="1"/>
          <c:extLst>
            <c:ext xmlns:c16="http://schemas.microsoft.com/office/drawing/2014/chart" uri="{C3380CC4-5D6E-409C-BE32-E72D297353CC}">
              <c16:uniqueId val="{00000000-FF21-4918-8B1F-EB366C52E95F}"/>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FF21-4918-8B1F-EB366C52E95F}"/>
              </c:ext>
            </c:extLst>
          </c:dPt>
          <c:xVal>
            <c:numRef>
              <c:f>Gini_2018!$H$241:$H$252</c:f>
              <c:numCache>
                <c:formatCode>0.00</c:formatCode>
                <c:ptCount val="12"/>
                <c:pt idx="0">
                  <c:v>0</c:v>
                </c:pt>
                <c:pt idx="1">
                  <c:v>6.6897636279041406E-3</c:v>
                </c:pt>
                <c:pt idx="2">
                  <c:v>1.4703283674961536E-2</c:v>
                </c:pt>
                <c:pt idx="3">
                  <c:v>1.9021064175993932E-2</c:v>
                </c:pt>
                <c:pt idx="4">
                  <c:v>2.5837149493424316E-2</c:v>
                </c:pt>
                <c:pt idx="5">
                  <c:v>0.22772102160468533</c:v>
                </c:pt>
                <c:pt idx="6">
                  <c:v>0.24390588628408322</c:v>
                </c:pt>
                <c:pt idx="7">
                  <c:v>0.68217928771668013</c:v>
                </c:pt>
                <c:pt idx="8">
                  <c:v>0.76442901499239824</c:v>
                </c:pt>
                <c:pt idx="9">
                  <c:v>0.80361379222030038</c:v>
                </c:pt>
                <c:pt idx="10">
                  <c:v>0.92246382695219187</c:v>
                </c:pt>
                <c:pt idx="11">
                  <c:v>1</c:v>
                </c:pt>
              </c:numCache>
            </c:numRef>
          </c:xVal>
          <c:yVal>
            <c:numRef>
              <c:f>Gini_2018!$G$241:$G$252</c:f>
              <c:numCache>
                <c:formatCode>0.00</c:formatCode>
                <c:ptCount val="12"/>
                <c:pt idx="0">
                  <c:v>0</c:v>
                </c:pt>
                <c:pt idx="1">
                  <c:v>3.4593541506786328E-3</c:v>
                </c:pt>
                <c:pt idx="2">
                  <c:v>8.4563958488458896E-3</c:v>
                </c:pt>
                <c:pt idx="3">
                  <c:v>2.716718886649204E-2</c:v>
                </c:pt>
                <c:pt idx="4">
                  <c:v>5.8484705667197864E-2</c:v>
                </c:pt>
                <c:pt idx="5">
                  <c:v>0.11995535831641736</c:v>
                </c:pt>
                <c:pt idx="6">
                  <c:v>0.19235727687211288</c:v>
                </c:pt>
                <c:pt idx="7">
                  <c:v>0.2807703857888626</c:v>
                </c:pt>
                <c:pt idx="8">
                  <c:v>0.42856152939230518</c:v>
                </c:pt>
                <c:pt idx="9">
                  <c:v>0.58280948033410229</c:v>
                </c:pt>
                <c:pt idx="10">
                  <c:v>0.78504307612918367</c:v>
                </c:pt>
                <c:pt idx="11">
                  <c:v>1</c:v>
                </c:pt>
              </c:numCache>
            </c:numRef>
          </c:yVal>
          <c:smooth val="0"/>
          <c:extLst>
            <c:ext xmlns:c16="http://schemas.microsoft.com/office/drawing/2014/chart" uri="{C3380CC4-5D6E-409C-BE32-E72D297353CC}">
              <c16:uniqueId val="{00000002-FF21-4918-8B1F-EB366C52E95F}"/>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 total</a:t>
                </a:r>
                <a:r>
                  <a:rPr lang="en-US" baseline="0"/>
                  <a:t> available water</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Gini_2018!$H$157:$H$168</c:f>
              <c:numCache>
                <c:formatCode>0.00</c:formatCode>
                <c:ptCount val="12"/>
                <c:pt idx="0">
                  <c:v>0</c:v>
                </c:pt>
                <c:pt idx="1">
                  <c:v>8.3030863015460549E-3</c:v>
                </c:pt>
                <c:pt idx="2">
                  <c:v>1.695389038931653E-2</c:v>
                </c:pt>
                <c:pt idx="3">
                  <c:v>3.0639997410427673E-2</c:v>
                </c:pt>
                <c:pt idx="4">
                  <c:v>5.3837159897602418E-2</c:v>
                </c:pt>
                <c:pt idx="5">
                  <c:v>6.9192243194392378E-2</c:v>
                </c:pt>
                <c:pt idx="6">
                  <c:v>0.13224198964071543</c:v>
                </c:pt>
                <c:pt idx="7">
                  <c:v>0.45945156349730343</c:v>
                </c:pt>
                <c:pt idx="8">
                  <c:v>0.52103197422580472</c:v>
                </c:pt>
                <c:pt idx="9">
                  <c:v>0.59993179114928674</c:v>
                </c:pt>
                <c:pt idx="10">
                  <c:v>0.87330762975134069</c:v>
                </c:pt>
                <c:pt idx="11">
                  <c:v>1.0000000000000002</c:v>
                </c:pt>
              </c:numCache>
            </c:numRef>
          </c:xVal>
          <c:yVal>
            <c:numRef>
              <c:f>Gini_2018!$H$157:$H$168</c:f>
              <c:numCache>
                <c:formatCode>0.00</c:formatCode>
                <c:ptCount val="12"/>
                <c:pt idx="0">
                  <c:v>0</c:v>
                </c:pt>
                <c:pt idx="1">
                  <c:v>8.3030863015460549E-3</c:v>
                </c:pt>
                <c:pt idx="2">
                  <c:v>1.695389038931653E-2</c:v>
                </c:pt>
                <c:pt idx="3">
                  <c:v>3.0639997410427673E-2</c:v>
                </c:pt>
                <c:pt idx="4">
                  <c:v>5.3837159897602418E-2</c:v>
                </c:pt>
                <c:pt idx="5">
                  <c:v>6.9192243194392378E-2</c:v>
                </c:pt>
                <c:pt idx="6">
                  <c:v>0.13224198964071543</c:v>
                </c:pt>
                <c:pt idx="7">
                  <c:v>0.45945156349730343</c:v>
                </c:pt>
                <c:pt idx="8">
                  <c:v>0.52103197422580472</c:v>
                </c:pt>
                <c:pt idx="9">
                  <c:v>0.59993179114928674</c:v>
                </c:pt>
                <c:pt idx="10">
                  <c:v>0.87330762975134069</c:v>
                </c:pt>
                <c:pt idx="11">
                  <c:v>1.0000000000000002</c:v>
                </c:pt>
              </c:numCache>
            </c:numRef>
          </c:yVal>
          <c:smooth val="1"/>
          <c:extLst>
            <c:ext xmlns:c16="http://schemas.microsoft.com/office/drawing/2014/chart" uri="{C3380CC4-5D6E-409C-BE32-E72D297353CC}">
              <c16:uniqueId val="{00000000-74B5-4DE8-A51D-D13103F54957}"/>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74B5-4DE8-A51D-D13103F54957}"/>
              </c:ext>
            </c:extLst>
          </c:dPt>
          <c:xVal>
            <c:numRef>
              <c:f>Gini_2018!$H$362:$H$373</c:f>
              <c:numCache>
                <c:formatCode>0.00</c:formatCode>
                <c:ptCount val="12"/>
                <c:pt idx="0">
                  <c:v>0</c:v>
                </c:pt>
                <c:pt idx="1">
                  <c:v>4.3177805010323955E-3</c:v>
                </c:pt>
                <c:pt idx="2">
                  <c:v>1.1007544128936536E-2</c:v>
                </c:pt>
                <c:pt idx="3">
                  <c:v>9.3257271404654785E-2</c:v>
                </c:pt>
                <c:pt idx="4">
                  <c:v>0.10127079145171218</c:v>
                </c:pt>
                <c:pt idx="5">
                  <c:v>0.22012082618360368</c:v>
                </c:pt>
                <c:pt idx="6">
                  <c:v>0.23630569086300157</c:v>
                </c:pt>
                <c:pt idx="7">
                  <c:v>0.24312177618043196</c:v>
                </c:pt>
                <c:pt idx="8">
                  <c:v>0.68139517761302892</c:v>
                </c:pt>
                <c:pt idx="9">
                  <c:v>0.88327904972428994</c:v>
                </c:pt>
                <c:pt idx="10">
                  <c:v>0.92246382695219209</c:v>
                </c:pt>
                <c:pt idx="11">
                  <c:v>1.0000000000000002</c:v>
                </c:pt>
              </c:numCache>
            </c:numRef>
          </c:xVal>
          <c:yVal>
            <c:numRef>
              <c:f>Gini_2018!$G$362:$G$373</c:f>
              <c:numCache>
                <c:formatCode>0.00</c:formatCode>
                <c:ptCount val="12"/>
                <c:pt idx="0">
                  <c:v>0</c:v>
                </c:pt>
                <c:pt idx="1">
                  <c:v>9.0909090909090925E-2</c:v>
                </c:pt>
                <c:pt idx="2">
                  <c:v>0.18181818181818185</c:v>
                </c:pt>
                <c:pt idx="3">
                  <c:v>0.27272727272727276</c:v>
                </c:pt>
                <c:pt idx="4">
                  <c:v>0.3636363636363637</c:v>
                </c:pt>
                <c:pt idx="5">
                  <c:v>0.45454545454545464</c:v>
                </c:pt>
                <c:pt idx="6">
                  <c:v>0.54545454545454553</c:v>
                </c:pt>
                <c:pt idx="7">
                  <c:v>0.63636363636363646</c:v>
                </c:pt>
                <c:pt idx="8">
                  <c:v>0.7272727272727274</c:v>
                </c:pt>
                <c:pt idx="9">
                  <c:v>0.81818181818181834</c:v>
                </c:pt>
                <c:pt idx="10">
                  <c:v>0.90909090909090928</c:v>
                </c:pt>
                <c:pt idx="11">
                  <c:v>1.0000000000000002</c:v>
                </c:pt>
              </c:numCache>
            </c:numRef>
          </c:yVal>
          <c:smooth val="0"/>
          <c:extLst>
            <c:ext xmlns:c16="http://schemas.microsoft.com/office/drawing/2014/chart" uri="{C3380CC4-5D6E-409C-BE32-E72D297353CC}">
              <c16:uniqueId val="{00000002-74B5-4DE8-A51D-D13103F54957}"/>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population</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 total</a:t>
                </a:r>
                <a:r>
                  <a:rPr lang="en-US" baseline="0"/>
                  <a:t> available water</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 based on population of each country in the basin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350802697955467"/>
          <c:y val="0.23324043917907417"/>
          <c:w val="0.63471706344051482"/>
          <c:h val="0.57695009997174829"/>
        </c:manualLayout>
      </c:layout>
      <c:scatterChart>
        <c:scatterStyle val="smoothMarker"/>
        <c:varyColors val="0"/>
        <c:ser>
          <c:idx val="1"/>
          <c:order val="1"/>
          <c:tx>
            <c:v>Equality Line</c:v>
          </c:tx>
          <c:spPr>
            <a:ln w="19050" cap="rnd">
              <a:solidFill>
                <a:schemeClr val="accent2"/>
              </a:solidFill>
              <a:round/>
            </a:ln>
            <a:effectLst/>
          </c:spPr>
          <c:marker>
            <c:symbol val="none"/>
          </c:marker>
          <c:xVal>
            <c:numRef>
              <c:f>Gini_2018!$H$6:$H$17</c:f>
              <c:numCache>
                <c:formatCode>0.00</c:formatCode>
                <c:ptCount val="12"/>
                <c:pt idx="0">
                  <c:v>0</c:v>
                </c:pt>
                <c:pt idx="1">
                  <c:v>0.3138345928266002</c:v>
                </c:pt>
                <c:pt idx="2">
                  <c:v>0.31865767550688434</c:v>
                </c:pt>
                <c:pt idx="3">
                  <c:v>0.34172287556186176</c:v>
                </c:pt>
                <c:pt idx="4">
                  <c:v>0.35621072640357393</c:v>
                </c:pt>
                <c:pt idx="5">
                  <c:v>0.39892852569062959</c:v>
                </c:pt>
                <c:pt idx="6">
                  <c:v>0.47273674565859569</c:v>
                </c:pt>
                <c:pt idx="7">
                  <c:v>0.51758473013830564</c:v>
                </c:pt>
                <c:pt idx="8">
                  <c:v>0.67429750228954155</c:v>
                </c:pt>
                <c:pt idx="9">
                  <c:v>0.8125579783152137</c:v>
                </c:pt>
                <c:pt idx="10">
                  <c:v>0.95922869985784354</c:v>
                </c:pt>
                <c:pt idx="11">
                  <c:v>1</c:v>
                </c:pt>
              </c:numCache>
            </c:numRef>
          </c:xVal>
          <c:yVal>
            <c:numRef>
              <c:f>Gini_2018!$H$6:$H$17</c:f>
              <c:numCache>
                <c:formatCode>0.00</c:formatCode>
                <c:ptCount val="12"/>
                <c:pt idx="0">
                  <c:v>0</c:v>
                </c:pt>
                <c:pt idx="1">
                  <c:v>0.3138345928266002</c:v>
                </c:pt>
                <c:pt idx="2">
                  <c:v>0.31865767550688434</c:v>
                </c:pt>
                <c:pt idx="3">
                  <c:v>0.34172287556186176</c:v>
                </c:pt>
                <c:pt idx="4">
                  <c:v>0.35621072640357393</c:v>
                </c:pt>
                <c:pt idx="5">
                  <c:v>0.39892852569062959</c:v>
                </c:pt>
                <c:pt idx="6">
                  <c:v>0.47273674565859569</c:v>
                </c:pt>
                <c:pt idx="7">
                  <c:v>0.51758473013830564</c:v>
                </c:pt>
                <c:pt idx="8">
                  <c:v>0.67429750228954155</c:v>
                </c:pt>
                <c:pt idx="9">
                  <c:v>0.8125579783152137</c:v>
                </c:pt>
                <c:pt idx="10">
                  <c:v>0.95922869985784354</c:v>
                </c:pt>
                <c:pt idx="11">
                  <c:v>1</c:v>
                </c:pt>
              </c:numCache>
            </c:numRef>
          </c:yVal>
          <c:smooth val="1"/>
          <c:extLst>
            <c:ext xmlns:c16="http://schemas.microsoft.com/office/drawing/2014/chart" uri="{C3380CC4-5D6E-409C-BE32-E72D297353CC}">
              <c16:uniqueId val="{00000002-DFC7-4229-89CC-F1902113F22A}"/>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Precipitation</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0-DFC7-4229-89CC-F1902113F22A}"/>
              </c:ext>
            </c:extLst>
          </c:dPt>
          <c:xVal>
            <c:numRef>
              <c:f>Gini_2018!$H$6:$H$17</c:f>
              <c:numCache>
                <c:formatCode>0.00</c:formatCode>
                <c:ptCount val="12"/>
                <c:pt idx="0">
                  <c:v>0</c:v>
                </c:pt>
                <c:pt idx="1">
                  <c:v>0.3138345928266002</c:v>
                </c:pt>
                <c:pt idx="2">
                  <c:v>0.31865767550688434</c:v>
                </c:pt>
                <c:pt idx="3">
                  <c:v>0.34172287556186176</c:v>
                </c:pt>
                <c:pt idx="4">
                  <c:v>0.35621072640357393</c:v>
                </c:pt>
                <c:pt idx="5">
                  <c:v>0.39892852569062959</c:v>
                </c:pt>
                <c:pt idx="6">
                  <c:v>0.47273674565859569</c:v>
                </c:pt>
                <c:pt idx="7">
                  <c:v>0.51758473013830564</c:v>
                </c:pt>
                <c:pt idx="8">
                  <c:v>0.67429750228954155</c:v>
                </c:pt>
                <c:pt idx="9">
                  <c:v>0.8125579783152137</c:v>
                </c:pt>
                <c:pt idx="10">
                  <c:v>0.95922869985784354</c:v>
                </c:pt>
                <c:pt idx="11">
                  <c:v>1</c:v>
                </c:pt>
              </c:numCache>
            </c:numRef>
          </c:xVal>
          <c:yVal>
            <c:numRef>
              <c:f>Gini_2018!$G$6:$G$17</c:f>
              <c:numCache>
                <c:formatCode>0.00</c:formatCode>
                <c:ptCount val="12"/>
                <c:pt idx="0">
                  <c:v>0</c:v>
                </c:pt>
                <c:pt idx="1">
                  <c:v>2.0572122059260146E-3</c:v>
                </c:pt>
                <c:pt idx="2">
                  <c:v>8.6289624421381217E-3</c:v>
                </c:pt>
                <c:pt idx="3">
                  <c:v>1.7701695815085312E-2</c:v>
                </c:pt>
                <c:pt idx="4">
                  <c:v>3.0178732413705139E-2</c:v>
                </c:pt>
                <c:pt idx="5">
                  <c:v>4.2893132745155806E-2</c:v>
                </c:pt>
                <c:pt idx="6">
                  <c:v>8.1100344412985081E-2</c:v>
                </c:pt>
                <c:pt idx="7">
                  <c:v>0.15563756621705813</c:v>
                </c:pt>
                <c:pt idx="8">
                  <c:v>0.30720643346615872</c:v>
                </c:pt>
                <c:pt idx="9">
                  <c:v>0.49808736370607998</c:v>
                </c:pt>
                <c:pt idx="10">
                  <c:v>0.70348588928344968</c:v>
                </c:pt>
                <c:pt idx="11">
                  <c:v>0.99999999999999978</c:v>
                </c:pt>
              </c:numCache>
            </c:numRef>
          </c:yVal>
          <c:smooth val="0"/>
          <c:extLst>
            <c:ext xmlns:c16="http://schemas.microsoft.com/office/drawing/2014/chart" uri="{C3380CC4-5D6E-409C-BE32-E72D297353CC}">
              <c16:uniqueId val="{00000001-DFC7-4229-89CC-F1902113F22A}"/>
            </c:ext>
          </c:extLst>
        </c:ser>
        <c:ser>
          <c:idx val="2"/>
          <c:order val="2"/>
          <c:tx>
            <c:v>ETa</c:v>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Gini_2018!$H$27:$H$38</c:f>
              <c:numCache>
                <c:formatCode>0.00</c:formatCode>
                <c:ptCount val="12"/>
                <c:pt idx="0">
                  <c:v>0</c:v>
                </c:pt>
                <c:pt idx="1">
                  <c:v>4.8230826802841548E-3</c:v>
                </c:pt>
                <c:pt idx="2">
                  <c:v>2.788828273526155E-2</c:v>
                </c:pt>
                <c:pt idx="3">
                  <c:v>7.0606082022317218E-2</c:v>
                </c:pt>
                <c:pt idx="4">
                  <c:v>8.5093932864029373E-2</c:v>
                </c:pt>
                <c:pt idx="5">
                  <c:v>0.15890215283199549</c:v>
                </c:pt>
                <c:pt idx="6">
                  <c:v>0.47273674565859564</c:v>
                </c:pt>
                <c:pt idx="7">
                  <c:v>0.51758473013830553</c:v>
                </c:pt>
                <c:pt idx="8">
                  <c:v>0.67429750228954144</c:v>
                </c:pt>
                <c:pt idx="9">
                  <c:v>0.82096822383217116</c:v>
                </c:pt>
                <c:pt idx="10">
                  <c:v>0.9592286998578432</c:v>
                </c:pt>
                <c:pt idx="11">
                  <c:v>0.99999999999999989</c:v>
                </c:pt>
              </c:numCache>
            </c:numRef>
          </c:xVal>
          <c:yVal>
            <c:numRef>
              <c:f>Gini_2018!$G$27:$G$38</c:f>
              <c:numCache>
                <c:formatCode>0.00</c:formatCode>
                <c:ptCount val="12"/>
                <c:pt idx="0">
                  <c:v>0</c:v>
                </c:pt>
                <c:pt idx="1">
                  <c:v>5.6387986055587242E-3</c:v>
                </c:pt>
                <c:pt idx="2">
                  <c:v>1.1360188457287819E-2</c:v>
                </c:pt>
                <c:pt idx="3">
                  <c:v>2.024176629132083E-2</c:v>
                </c:pt>
                <c:pt idx="4">
                  <c:v>3.2012888050712042E-2</c:v>
                </c:pt>
                <c:pt idx="5">
                  <c:v>5.7762823909743397E-2</c:v>
                </c:pt>
                <c:pt idx="6">
                  <c:v>8.8550981159494335E-2</c:v>
                </c:pt>
                <c:pt idx="7">
                  <c:v>0.1404898543639673</c:v>
                </c:pt>
                <c:pt idx="8">
                  <c:v>0.26486530011936027</c:v>
                </c:pt>
                <c:pt idx="9">
                  <c:v>0.43265145785843007</c:v>
                </c:pt>
                <c:pt idx="10">
                  <c:v>0.64822411816596082</c:v>
                </c:pt>
                <c:pt idx="11">
                  <c:v>1</c:v>
                </c:pt>
              </c:numCache>
            </c:numRef>
          </c:yVal>
          <c:smooth val="0"/>
          <c:extLst>
            <c:ext xmlns:c16="http://schemas.microsoft.com/office/drawing/2014/chart" uri="{C3380CC4-5D6E-409C-BE32-E72D297353CC}">
              <c16:uniqueId val="{00000003-DFC7-4229-89CC-F1902113F22A}"/>
            </c:ext>
          </c:extLst>
        </c:ser>
        <c:ser>
          <c:idx val="3"/>
          <c:order val="3"/>
          <c:tx>
            <c:v>Internal AW</c:v>
          </c:tx>
          <c:spPr>
            <a:ln w="19050" cap="rnd">
              <a:solidFill>
                <a:schemeClr val="accent4"/>
              </a:solidFill>
              <a:round/>
            </a:ln>
            <a:effectLst/>
          </c:spPr>
          <c:marker>
            <c:symbol val="circle"/>
            <c:size val="5"/>
            <c:spPr>
              <a:solidFill>
                <a:schemeClr val="accent4"/>
              </a:solidFill>
              <a:ln w="9525">
                <a:solidFill>
                  <a:schemeClr val="accent4"/>
                </a:solidFill>
              </a:ln>
              <a:effectLst/>
            </c:spPr>
          </c:marker>
          <c:xVal>
            <c:numRef>
              <c:f>Gini_2018!$H$49:$H$60</c:f>
              <c:numCache>
                <c:formatCode>0.00</c:formatCode>
                <c:ptCount val="12"/>
                <c:pt idx="0">
                  <c:v>0</c:v>
                </c:pt>
                <c:pt idx="1">
                  <c:v>0.31383459282660014</c:v>
                </c:pt>
                <c:pt idx="2">
                  <c:v>0.45209506885227224</c:v>
                </c:pt>
                <c:pt idx="3">
                  <c:v>0.49286636899442893</c:v>
                </c:pt>
                <c:pt idx="4">
                  <c:v>0.50735421983614104</c:v>
                </c:pt>
                <c:pt idx="5">
                  <c:v>0.51217730251642524</c:v>
                </c:pt>
                <c:pt idx="6">
                  <c:v>0.5352425025714026</c:v>
                </c:pt>
                <c:pt idx="7">
                  <c:v>0.57796030185845826</c:v>
                </c:pt>
                <c:pt idx="8">
                  <c:v>0.65176852182642442</c:v>
                </c:pt>
                <c:pt idx="9">
                  <c:v>0.69661650630613436</c:v>
                </c:pt>
                <c:pt idx="10">
                  <c:v>0.85332927845737028</c:v>
                </c:pt>
                <c:pt idx="11">
                  <c:v>1</c:v>
                </c:pt>
              </c:numCache>
            </c:numRef>
          </c:xVal>
          <c:yVal>
            <c:numRef>
              <c:f>Gini_2018!$G$49:$G$60</c:f>
              <c:numCache>
                <c:formatCode>0.00</c:formatCode>
                <c:ptCount val="12"/>
                <c:pt idx="0">
                  <c:v>0</c:v>
                </c:pt>
                <c:pt idx="1">
                  <c:v>0</c:v>
                </c:pt>
                <c:pt idx="2">
                  <c:v>0</c:v>
                </c:pt>
                <c:pt idx="3">
                  <c:v>0</c:v>
                </c:pt>
                <c:pt idx="4">
                  <c:v>5.4290577913134646E-3</c:v>
                </c:pt>
                <c:pt idx="5">
                  <c:v>1.3271339033212672E-2</c:v>
                </c:pt>
                <c:pt idx="6">
                  <c:v>4.2635773025661156E-2</c:v>
                </c:pt>
                <c:pt idx="7">
                  <c:v>7.6185424270137081E-2</c:v>
                </c:pt>
                <c:pt idx="8">
                  <c:v>0.18981189410229665</c:v>
                </c:pt>
                <c:pt idx="9">
                  <c:v>0.43188628237804488</c:v>
                </c:pt>
                <c:pt idx="10">
                  <c:v>0.6826176704974718</c:v>
                </c:pt>
                <c:pt idx="11">
                  <c:v>1</c:v>
                </c:pt>
              </c:numCache>
            </c:numRef>
          </c:yVal>
          <c:smooth val="0"/>
          <c:extLst>
            <c:ext xmlns:c16="http://schemas.microsoft.com/office/drawing/2014/chart" uri="{C3380CC4-5D6E-409C-BE32-E72D297353CC}">
              <c16:uniqueId val="{00000004-DFC7-4229-89CC-F1902113F22A}"/>
            </c:ext>
          </c:extLst>
        </c:ser>
        <c:ser>
          <c:idx val="4"/>
          <c:order val="4"/>
          <c:tx>
            <c:v>Total AW</c:v>
          </c:tx>
          <c:spPr>
            <a:ln w="19050" cap="rnd">
              <a:solidFill>
                <a:schemeClr val="accent5"/>
              </a:solidFill>
              <a:round/>
            </a:ln>
            <a:effectLst/>
          </c:spPr>
          <c:marker>
            <c:symbol val="circle"/>
            <c:size val="5"/>
            <c:spPr>
              <a:solidFill>
                <a:schemeClr val="accent5"/>
              </a:solidFill>
              <a:ln w="9525">
                <a:solidFill>
                  <a:schemeClr val="accent5"/>
                </a:solidFill>
              </a:ln>
              <a:effectLst/>
            </c:spPr>
          </c:marker>
          <c:xVal>
            <c:numRef>
              <c:f>Gini_2018!$H$70:$H$81</c:f>
              <c:numCache>
                <c:formatCode>0.00</c:formatCode>
                <c:ptCount val="12"/>
                <c:pt idx="0">
                  <c:v>0</c:v>
                </c:pt>
                <c:pt idx="1">
                  <c:v>1.4487850841712153E-2</c:v>
                </c:pt>
                <c:pt idx="2">
                  <c:v>1.931093352199631E-2</c:v>
                </c:pt>
                <c:pt idx="3">
                  <c:v>4.2376133576973701E-2</c:v>
                </c:pt>
                <c:pt idx="4">
                  <c:v>8.5093932864029373E-2</c:v>
                </c:pt>
                <c:pt idx="5">
                  <c:v>0.12586523300618602</c:v>
                </c:pt>
                <c:pt idx="6">
                  <c:v>0.19967345297415212</c:v>
                </c:pt>
                <c:pt idx="7">
                  <c:v>0.33793392899982422</c:v>
                </c:pt>
                <c:pt idx="8">
                  <c:v>0.65176852182642442</c:v>
                </c:pt>
                <c:pt idx="9">
                  <c:v>0.69661650630613436</c:v>
                </c:pt>
                <c:pt idx="10">
                  <c:v>0.8432872278487642</c:v>
                </c:pt>
                <c:pt idx="11">
                  <c:v>1</c:v>
                </c:pt>
              </c:numCache>
            </c:numRef>
          </c:xVal>
          <c:yVal>
            <c:numRef>
              <c:f>Gini_2018!$G$70:$G$81</c:f>
              <c:numCache>
                <c:formatCode>0.00</c:formatCode>
                <c:ptCount val="12"/>
                <c:pt idx="0">
                  <c:v>0</c:v>
                </c:pt>
                <c:pt idx="1">
                  <c:v>3.4593541506786328E-3</c:v>
                </c:pt>
                <c:pt idx="2">
                  <c:v>8.4563958488458896E-3</c:v>
                </c:pt>
                <c:pt idx="3">
                  <c:v>2.716718886649204E-2</c:v>
                </c:pt>
                <c:pt idx="4">
                  <c:v>5.8484705667197864E-2</c:v>
                </c:pt>
                <c:pt idx="5">
                  <c:v>0.11995535831641736</c:v>
                </c:pt>
                <c:pt idx="6">
                  <c:v>0.19235727687211288</c:v>
                </c:pt>
                <c:pt idx="7">
                  <c:v>0.2807703857888626</c:v>
                </c:pt>
                <c:pt idx="8">
                  <c:v>0.42856152939230518</c:v>
                </c:pt>
                <c:pt idx="9">
                  <c:v>0.58280948033410229</c:v>
                </c:pt>
                <c:pt idx="10">
                  <c:v>0.78504307612918367</c:v>
                </c:pt>
                <c:pt idx="11">
                  <c:v>1</c:v>
                </c:pt>
              </c:numCache>
            </c:numRef>
          </c:yVal>
          <c:smooth val="0"/>
          <c:extLst>
            <c:ext xmlns:c16="http://schemas.microsoft.com/office/drawing/2014/chart" uri="{C3380CC4-5D6E-409C-BE32-E72D297353CC}">
              <c16:uniqueId val="{00000005-DFC7-4229-89CC-F1902113F22A}"/>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Criteria </a:t>
                </a:r>
                <a:endParaRPr lang="en-US"/>
              </a:p>
            </c:rich>
          </c:tx>
          <c:layout>
            <c:manualLayout>
              <c:xMode val="edge"/>
              <c:yMode val="edge"/>
              <c:x val="0.35422650781072323"/>
              <c:y val="0.8898410901300811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variables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 based on cropland area in each country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650901462222436"/>
          <c:y val="0.16530581566310615"/>
          <c:w val="0.64746825356505833"/>
          <c:h val="0.67073597635553017"/>
        </c:manualLayout>
      </c:layout>
      <c:scatterChart>
        <c:scatterStyle val="smoothMarker"/>
        <c:varyColors val="0"/>
        <c:ser>
          <c:idx val="1"/>
          <c:order val="1"/>
          <c:tx>
            <c:v>Equality Line</c:v>
          </c:tx>
          <c:spPr>
            <a:ln w="19050" cap="rnd">
              <a:solidFill>
                <a:schemeClr val="accent2"/>
              </a:solidFill>
              <a:round/>
            </a:ln>
            <a:effectLst/>
          </c:spPr>
          <c:marker>
            <c:symbol val="none"/>
          </c:marker>
          <c:xVal>
            <c:numRef>
              <c:f>Gini_2018!$H$94:$H$105</c:f>
              <c:numCache>
                <c:formatCode>0.00</c:formatCode>
                <c:ptCount val="12"/>
                <c:pt idx="0">
                  <c:v>0</c:v>
                </c:pt>
                <c:pt idx="1">
                  <c:v>6.1580410728501248E-2</c:v>
                </c:pt>
                <c:pt idx="2">
                  <c:v>7.0231214816271731E-2</c:v>
                </c:pt>
                <c:pt idx="3">
                  <c:v>8.3917321837382874E-2</c:v>
                </c:pt>
                <c:pt idx="4">
                  <c:v>9.2220408138928928E-2</c:v>
                </c:pt>
                <c:pt idx="5">
                  <c:v>0.11541757062610367</c:v>
                </c:pt>
                <c:pt idx="6">
                  <c:v>0.17846731707242672</c:v>
                </c:pt>
                <c:pt idx="7">
                  <c:v>0.25736713399590871</c:v>
                </c:pt>
                <c:pt idx="8">
                  <c:v>0.38405950424456814</c:v>
                </c:pt>
                <c:pt idx="9">
                  <c:v>0.71126907810115614</c:v>
                </c:pt>
                <c:pt idx="10">
                  <c:v>0.98464491670321008</c:v>
                </c:pt>
                <c:pt idx="11">
                  <c:v>1</c:v>
                </c:pt>
              </c:numCache>
            </c:numRef>
          </c:xVal>
          <c:yVal>
            <c:numRef>
              <c:f>Gini_2018!$H$94:$H$105</c:f>
              <c:numCache>
                <c:formatCode>0.00</c:formatCode>
                <c:ptCount val="12"/>
                <c:pt idx="0">
                  <c:v>0</c:v>
                </c:pt>
                <c:pt idx="1">
                  <c:v>6.1580410728501248E-2</c:v>
                </c:pt>
                <c:pt idx="2">
                  <c:v>7.0231214816271731E-2</c:v>
                </c:pt>
                <c:pt idx="3">
                  <c:v>8.3917321837382874E-2</c:v>
                </c:pt>
                <c:pt idx="4">
                  <c:v>9.2220408138928928E-2</c:v>
                </c:pt>
                <c:pt idx="5">
                  <c:v>0.11541757062610367</c:v>
                </c:pt>
                <c:pt idx="6">
                  <c:v>0.17846731707242672</c:v>
                </c:pt>
                <c:pt idx="7">
                  <c:v>0.25736713399590871</c:v>
                </c:pt>
                <c:pt idx="8">
                  <c:v>0.38405950424456814</c:v>
                </c:pt>
                <c:pt idx="9">
                  <c:v>0.71126907810115614</c:v>
                </c:pt>
                <c:pt idx="10">
                  <c:v>0.98464491670321008</c:v>
                </c:pt>
                <c:pt idx="11">
                  <c:v>1</c:v>
                </c:pt>
              </c:numCache>
            </c:numRef>
          </c:yVal>
          <c:smooth val="1"/>
          <c:extLst>
            <c:ext xmlns:c16="http://schemas.microsoft.com/office/drawing/2014/chart" uri="{C3380CC4-5D6E-409C-BE32-E72D297353CC}">
              <c16:uniqueId val="{00000000-ECA2-45FE-9AC8-AD00BEEE7274}"/>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Precipitation</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ECA2-45FE-9AC8-AD00BEEE7274}"/>
              </c:ext>
            </c:extLst>
          </c:dPt>
          <c:xVal>
            <c:numRef>
              <c:f>Gini_2018!$H$94:$H$105</c:f>
              <c:numCache>
                <c:formatCode>0.00</c:formatCode>
                <c:ptCount val="12"/>
                <c:pt idx="0">
                  <c:v>0</c:v>
                </c:pt>
                <c:pt idx="1">
                  <c:v>6.1580410728501248E-2</c:v>
                </c:pt>
                <c:pt idx="2">
                  <c:v>7.0231214816271731E-2</c:v>
                </c:pt>
                <c:pt idx="3">
                  <c:v>8.3917321837382874E-2</c:v>
                </c:pt>
                <c:pt idx="4">
                  <c:v>9.2220408138928928E-2</c:v>
                </c:pt>
                <c:pt idx="5">
                  <c:v>0.11541757062610367</c:v>
                </c:pt>
                <c:pt idx="6">
                  <c:v>0.17846731707242672</c:v>
                </c:pt>
                <c:pt idx="7">
                  <c:v>0.25736713399590871</c:v>
                </c:pt>
                <c:pt idx="8">
                  <c:v>0.38405950424456814</c:v>
                </c:pt>
                <c:pt idx="9">
                  <c:v>0.71126907810115614</c:v>
                </c:pt>
                <c:pt idx="10">
                  <c:v>0.98464491670321008</c:v>
                </c:pt>
                <c:pt idx="11">
                  <c:v>1</c:v>
                </c:pt>
              </c:numCache>
            </c:numRef>
          </c:xVal>
          <c:yVal>
            <c:numRef>
              <c:f>Gini_2018!$G$94:$G$105</c:f>
              <c:numCache>
                <c:formatCode>0.00</c:formatCode>
                <c:ptCount val="12"/>
                <c:pt idx="0">
                  <c:v>0</c:v>
                </c:pt>
                <c:pt idx="1">
                  <c:v>2.0572122059260146E-3</c:v>
                </c:pt>
                <c:pt idx="2">
                  <c:v>8.6289624421381217E-3</c:v>
                </c:pt>
                <c:pt idx="3">
                  <c:v>1.7701695815085312E-2</c:v>
                </c:pt>
                <c:pt idx="4">
                  <c:v>3.0178732413705139E-2</c:v>
                </c:pt>
                <c:pt idx="5">
                  <c:v>4.2893132745155806E-2</c:v>
                </c:pt>
                <c:pt idx="6">
                  <c:v>8.1100344412985081E-2</c:v>
                </c:pt>
                <c:pt idx="7">
                  <c:v>0.15563756621705813</c:v>
                </c:pt>
                <c:pt idx="8">
                  <c:v>0.30720643346615872</c:v>
                </c:pt>
                <c:pt idx="9">
                  <c:v>0.49808736370607998</c:v>
                </c:pt>
                <c:pt idx="10">
                  <c:v>0.70348588928344968</c:v>
                </c:pt>
                <c:pt idx="11">
                  <c:v>0.99999999999999978</c:v>
                </c:pt>
              </c:numCache>
            </c:numRef>
          </c:yVal>
          <c:smooth val="0"/>
          <c:extLst>
            <c:ext xmlns:c16="http://schemas.microsoft.com/office/drawing/2014/chart" uri="{C3380CC4-5D6E-409C-BE32-E72D297353CC}">
              <c16:uniqueId val="{00000002-ECA2-45FE-9AC8-AD00BEEE7274}"/>
            </c:ext>
          </c:extLst>
        </c:ser>
        <c:ser>
          <c:idx val="2"/>
          <c:order val="2"/>
          <c:tx>
            <c:v>ETa</c:v>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Gini_2018!$H$115:$H$126</c:f>
              <c:numCache>
                <c:formatCode>0.00</c:formatCode>
                <c:ptCount val="12"/>
                <c:pt idx="0">
                  <c:v>0</c:v>
                </c:pt>
                <c:pt idx="1">
                  <c:v>8.6508040877704764E-3</c:v>
                </c:pt>
                <c:pt idx="2">
                  <c:v>2.233691110888162E-2</c:v>
                </c:pt>
                <c:pt idx="3">
                  <c:v>4.5534073596056365E-2</c:v>
                </c:pt>
                <c:pt idx="4">
                  <c:v>5.3837159897602418E-2</c:v>
                </c:pt>
                <c:pt idx="5">
                  <c:v>0.11688690634392547</c:v>
                </c:pt>
                <c:pt idx="6">
                  <c:v>0.17846731707242672</c:v>
                </c:pt>
                <c:pt idx="7">
                  <c:v>0.25736713399590871</c:v>
                </c:pt>
                <c:pt idx="8">
                  <c:v>0.38405950424456814</c:v>
                </c:pt>
                <c:pt idx="9">
                  <c:v>0.65743534284662219</c:v>
                </c:pt>
                <c:pt idx="10">
                  <c:v>0.98464491670321019</c:v>
                </c:pt>
                <c:pt idx="11">
                  <c:v>1.0000000000000002</c:v>
                </c:pt>
              </c:numCache>
            </c:numRef>
          </c:xVal>
          <c:yVal>
            <c:numRef>
              <c:f>Gini_2018!$G$115:$G$126</c:f>
              <c:numCache>
                <c:formatCode>0.00</c:formatCode>
                <c:ptCount val="12"/>
                <c:pt idx="0">
                  <c:v>0</c:v>
                </c:pt>
                <c:pt idx="1">
                  <c:v>5.6387986055587242E-3</c:v>
                </c:pt>
                <c:pt idx="2">
                  <c:v>1.1360188457287819E-2</c:v>
                </c:pt>
                <c:pt idx="3">
                  <c:v>2.024176629132083E-2</c:v>
                </c:pt>
                <c:pt idx="4">
                  <c:v>3.2012888050712042E-2</c:v>
                </c:pt>
                <c:pt idx="5">
                  <c:v>5.7762823909743397E-2</c:v>
                </c:pt>
                <c:pt idx="6">
                  <c:v>8.8550981159494335E-2</c:v>
                </c:pt>
                <c:pt idx="7">
                  <c:v>0.1404898543639673</c:v>
                </c:pt>
                <c:pt idx="8">
                  <c:v>0.26486530011936027</c:v>
                </c:pt>
                <c:pt idx="9">
                  <c:v>0.43265145785843007</c:v>
                </c:pt>
                <c:pt idx="10">
                  <c:v>0.64822411816596082</c:v>
                </c:pt>
                <c:pt idx="11">
                  <c:v>1</c:v>
                </c:pt>
              </c:numCache>
            </c:numRef>
          </c:yVal>
          <c:smooth val="0"/>
          <c:extLst>
            <c:ext xmlns:c16="http://schemas.microsoft.com/office/drawing/2014/chart" uri="{C3380CC4-5D6E-409C-BE32-E72D297353CC}">
              <c16:uniqueId val="{00000003-ECA2-45FE-9AC8-AD00BEEE7274}"/>
            </c:ext>
          </c:extLst>
        </c:ser>
        <c:ser>
          <c:idx val="3"/>
          <c:order val="3"/>
          <c:tx>
            <c:v>Internal AW</c:v>
          </c:tx>
          <c:spPr>
            <a:ln w="19050" cap="rnd">
              <a:solidFill>
                <a:schemeClr val="accent4"/>
              </a:solidFill>
              <a:round/>
            </a:ln>
            <a:effectLst/>
          </c:spPr>
          <c:marker>
            <c:symbol val="circle"/>
            <c:size val="5"/>
            <c:spPr>
              <a:solidFill>
                <a:schemeClr val="accent4"/>
              </a:solidFill>
              <a:ln w="9525">
                <a:solidFill>
                  <a:schemeClr val="accent4"/>
                </a:solidFill>
              </a:ln>
              <a:effectLst/>
            </c:spPr>
          </c:marker>
          <c:xVal>
            <c:numRef>
              <c:f>Gini_2018!$H$136:$H$147</c:f>
              <c:numCache>
                <c:formatCode>0.00</c:formatCode>
                <c:ptCount val="12"/>
                <c:pt idx="0">
                  <c:v>0</c:v>
                </c:pt>
                <c:pt idx="1">
                  <c:v>6.1580410728501248E-2</c:v>
                </c:pt>
                <c:pt idx="2">
                  <c:v>0.38878998458508923</c:v>
                </c:pt>
                <c:pt idx="3">
                  <c:v>0.40414506788187921</c:v>
                </c:pt>
                <c:pt idx="4">
                  <c:v>0.41244815418342529</c:v>
                </c:pt>
                <c:pt idx="5">
                  <c:v>0.42109895827119576</c:v>
                </c:pt>
                <c:pt idx="6">
                  <c:v>0.43478506529230687</c:v>
                </c:pt>
                <c:pt idx="7">
                  <c:v>0.45798222777948161</c:v>
                </c:pt>
                <c:pt idx="8">
                  <c:v>0.52103197422580472</c:v>
                </c:pt>
                <c:pt idx="9">
                  <c:v>0.59993179114928674</c:v>
                </c:pt>
                <c:pt idx="10">
                  <c:v>0.72662416139794617</c:v>
                </c:pt>
                <c:pt idx="11">
                  <c:v>1.0000000000000002</c:v>
                </c:pt>
              </c:numCache>
            </c:numRef>
          </c:xVal>
          <c:yVal>
            <c:numRef>
              <c:f>Gini_2018!$G$136:$G$147</c:f>
              <c:numCache>
                <c:formatCode>0.00</c:formatCode>
                <c:ptCount val="12"/>
                <c:pt idx="0">
                  <c:v>0</c:v>
                </c:pt>
                <c:pt idx="1">
                  <c:v>0</c:v>
                </c:pt>
                <c:pt idx="2">
                  <c:v>0</c:v>
                </c:pt>
                <c:pt idx="3">
                  <c:v>0</c:v>
                </c:pt>
                <c:pt idx="4">
                  <c:v>5.4290577913134646E-3</c:v>
                </c:pt>
                <c:pt idx="5">
                  <c:v>1.3271339033212672E-2</c:v>
                </c:pt>
                <c:pt idx="6">
                  <c:v>4.2635773025661156E-2</c:v>
                </c:pt>
                <c:pt idx="7">
                  <c:v>7.6185424270137081E-2</c:v>
                </c:pt>
                <c:pt idx="8">
                  <c:v>0.18981189410229665</c:v>
                </c:pt>
                <c:pt idx="9">
                  <c:v>0.43188628237804488</c:v>
                </c:pt>
                <c:pt idx="10">
                  <c:v>0.6826176704974718</c:v>
                </c:pt>
                <c:pt idx="11">
                  <c:v>1</c:v>
                </c:pt>
              </c:numCache>
            </c:numRef>
          </c:yVal>
          <c:smooth val="0"/>
          <c:extLst>
            <c:ext xmlns:c16="http://schemas.microsoft.com/office/drawing/2014/chart" uri="{C3380CC4-5D6E-409C-BE32-E72D297353CC}">
              <c16:uniqueId val="{00000004-ECA2-45FE-9AC8-AD00BEEE7274}"/>
            </c:ext>
          </c:extLst>
        </c:ser>
        <c:ser>
          <c:idx val="4"/>
          <c:order val="4"/>
          <c:tx>
            <c:v>Total AW</c:v>
          </c:tx>
          <c:spPr>
            <a:ln w="19050" cap="rnd">
              <a:solidFill>
                <a:schemeClr val="accent5"/>
              </a:solidFill>
              <a:round/>
            </a:ln>
            <a:effectLst/>
          </c:spPr>
          <c:marker>
            <c:symbol val="circle"/>
            <c:size val="5"/>
            <c:spPr>
              <a:solidFill>
                <a:schemeClr val="accent5"/>
              </a:solidFill>
              <a:ln w="9525">
                <a:solidFill>
                  <a:schemeClr val="accent5"/>
                </a:solidFill>
              </a:ln>
              <a:effectLst/>
            </c:spPr>
          </c:marker>
          <c:xVal>
            <c:numRef>
              <c:f>Gini_2018!$H$157:$H$168</c:f>
              <c:numCache>
                <c:formatCode>0.00</c:formatCode>
                <c:ptCount val="12"/>
                <c:pt idx="0">
                  <c:v>0</c:v>
                </c:pt>
                <c:pt idx="1">
                  <c:v>8.3030863015460549E-3</c:v>
                </c:pt>
                <c:pt idx="2">
                  <c:v>1.695389038931653E-2</c:v>
                </c:pt>
                <c:pt idx="3">
                  <c:v>3.0639997410427673E-2</c:v>
                </c:pt>
                <c:pt idx="4">
                  <c:v>5.3837159897602418E-2</c:v>
                </c:pt>
                <c:pt idx="5">
                  <c:v>6.9192243194392378E-2</c:v>
                </c:pt>
                <c:pt idx="6">
                  <c:v>0.13224198964071543</c:v>
                </c:pt>
                <c:pt idx="7">
                  <c:v>0.45945156349730343</c:v>
                </c:pt>
                <c:pt idx="8">
                  <c:v>0.52103197422580472</c:v>
                </c:pt>
                <c:pt idx="9">
                  <c:v>0.59993179114928674</c:v>
                </c:pt>
                <c:pt idx="10">
                  <c:v>0.87330762975134069</c:v>
                </c:pt>
                <c:pt idx="11">
                  <c:v>1.0000000000000002</c:v>
                </c:pt>
              </c:numCache>
            </c:numRef>
          </c:xVal>
          <c:yVal>
            <c:numRef>
              <c:f>Gini_2018!$G$157:$G$168</c:f>
              <c:numCache>
                <c:formatCode>0.00</c:formatCode>
                <c:ptCount val="12"/>
                <c:pt idx="0">
                  <c:v>0</c:v>
                </c:pt>
                <c:pt idx="1">
                  <c:v>3.4593541506786328E-3</c:v>
                </c:pt>
                <c:pt idx="2">
                  <c:v>8.4563958488458896E-3</c:v>
                </c:pt>
                <c:pt idx="3">
                  <c:v>2.716718886649204E-2</c:v>
                </c:pt>
                <c:pt idx="4">
                  <c:v>5.8484705667197864E-2</c:v>
                </c:pt>
                <c:pt idx="5">
                  <c:v>0.11995535831641736</c:v>
                </c:pt>
                <c:pt idx="6">
                  <c:v>0.19235727687211288</c:v>
                </c:pt>
                <c:pt idx="7">
                  <c:v>0.2807703857888626</c:v>
                </c:pt>
                <c:pt idx="8">
                  <c:v>0.42856152939230518</c:v>
                </c:pt>
                <c:pt idx="9">
                  <c:v>0.58280948033410229</c:v>
                </c:pt>
                <c:pt idx="10">
                  <c:v>0.78504307612918367</c:v>
                </c:pt>
                <c:pt idx="11">
                  <c:v>1</c:v>
                </c:pt>
              </c:numCache>
            </c:numRef>
          </c:yVal>
          <c:smooth val="0"/>
          <c:extLst>
            <c:ext xmlns:c16="http://schemas.microsoft.com/office/drawing/2014/chart" uri="{C3380CC4-5D6E-409C-BE32-E72D297353CC}">
              <c16:uniqueId val="{00000005-ECA2-45FE-9AC8-AD00BEEE7274}"/>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t>
                </a:r>
                <a:r>
                  <a:rPr lang="en-US" sz="1000" b="0" i="0" u="none" strike="noStrike" baseline="0">
                    <a:effectLst/>
                  </a:rPr>
                  <a:t>Criteria</a:t>
                </a:r>
                <a:endParaRPr lang="en-US" baseline="0"/>
              </a:p>
            </c:rich>
          </c:tx>
          <c:layout>
            <c:manualLayout>
              <c:xMode val="edge"/>
              <c:yMode val="edge"/>
              <c:x val="0.33443210468039752"/>
              <c:y val="0.91386794862256981"/>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variables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 based on area of each country in the basin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4334193544572835"/>
          <c:y val="0.1869612942502383"/>
          <c:w val="0.62630781476955255"/>
          <c:h val="0.67036209759130105"/>
        </c:manualLayout>
      </c:layout>
      <c:scatterChart>
        <c:scatterStyle val="smoothMarker"/>
        <c:varyColors val="0"/>
        <c:ser>
          <c:idx val="1"/>
          <c:order val="1"/>
          <c:tx>
            <c:v>Equality Line</c:v>
          </c:tx>
          <c:spPr>
            <a:ln w="19050" cap="rnd">
              <a:solidFill>
                <a:schemeClr val="accent2"/>
              </a:solidFill>
              <a:round/>
            </a:ln>
            <a:effectLst/>
          </c:spPr>
          <c:marker>
            <c:symbol val="none"/>
          </c:marker>
          <c:xVal>
            <c:numRef>
              <c:f>Gini_2018!$H$94:$H$105</c:f>
              <c:numCache>
                <c:formatCode>0.00</c:formatCode>
                <c:ptCount val="12"/>
                <c:pt idx="0">
                  <c:v>0</c:v>
                </c:pt>
                <c:pt idx="1">
                  <c:v>6.1580410728501248E-2</c:v>
                </c:pt>
                <c:pt idx="2">
                  <c:v>7.0231214816271731E-2</c:v>
                </c:pt>
                <c:pt idx="3">
                  <c:v>8.3917321837382874E-2</c:v>
                </c:pt>
                <c:pt idx="4">
                  <c:v>9.2220408138928928E-2</c:v>
                </c:pt>
                <c:pt idx="5">
                  <c:v>0.11541757062610367</c:v>
                </c:pt>
                <c:pt idx="6">
                  <c:v>0.17846731707242672</c:v>
                </c:pt>
                <c:pt idx="7">
                  <c:v>0.25736713399590871</c:v>
                </c:pt>
                <c:pt idx="8">
                  <c:v>0.38405950424456814</c:v>
                </c:pt>
                <c:pt idx="9">
                  <c:v>0.71126907810115614</c:v>
                </c:pt>
                <c:pt idx="10">
                  <c:v>0.98464491670321008</c:v>
                </c:pt>
                <c:pt idx="11">
                  <c:v>1</c:v>
                </c:pt>
              </c:numCache>
            </c:numRef>
          </c:xVal>
          <c:yVal>
            <c:numRef>
              <c:f>Gini_2018!$H$94:$H$105</c:f>
              <c:numCache>
                <c:formatCode>0.00</c:formatCode>
                <c:ptCount val="12"/>
                <c:pt idx="0">
                  <c:v>0</c:v>
                </c:pt>
                <c:pt idx="1">
                  <c:v>6.1580410728501248E-2</c:v>
                </c:pt>
                <c:pt idx="2">
                  <c:v>7.0231214816271731E-2</c:v>
                </c:pt>
                <c:pt idx="3">
                  <c:v>8.3917321837382874E-2</c:v>
                </c:pt>
                <c:pt idx="4">
                  <c:v>9.2220408138928928E-2</c:v>
                </c:pt>
                <c:pt idx="5">
                  <c:v>0.11541757062610367</c:v>
                </c:pt>
                <c:pt idx="6">
                  <c:v>0.17846731707242672</c:v>
                </c:pt>
                <c:pt idx="7">
                  <c:v>0.25736713399590871</c:v>
                </c:pt>
                <c:pt idx="8">
                  <c:v>0.38405950424456814</c:v>
                </c:pt>
                <c:pt idx="9">
                  <c:v>0.71126907810115614</c:v>
                </c:pt>
                <c:pt idx="10">
                  <c:v>0.98464491670321008</c:v>
                </c:pt>
                <c:pt idx="11">
                  <c:v>1</c:v>
                </c:pt>
              </c:numCache>
            </c:numRef>
          </c:yVal>
          <c:smooth val="1"/>
          <c:extLst>
            <c:ext xmlns:c16="http://schemas.microsoft.com/office/drawing/2014/chart" uri="{C3380CC4-5D6E-409C-BE32-E72D297353CC}">
              <c16:uniqueId val="{00000000-CE44-4A3B-84FA-B55569E67DF1}"/>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Precipitation</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CE44-4A3B-84FA-B55569E67DF1}"/>
              </c:ext>
            </c:extLst>
          </c:dPt>
          <c:xVal>
            <c:numRef>
              <c:f>Gini_2018!$H$178:$H$189</c:f>
              <c:numCache>
                <c:formatCode>0.00</c:formatCode>
                <c:ptCount val="12"/>
                <c:pt idx="0">
                  <c:v>0</c:v>
                </c:pt>
                <c:pt idx="1">
                  <c:v>8.2249727275718124E-2</c:v>
                </c:pt>
                <c:pt idx="2">
                  <c:v>9.0263247322775519E-2</c:v>
                </c:pt>
                <c:pt idx="3">
                  <c:v>9.4581027823807909E-2</c:v>
                </c:pt>
                <c:pt idx="4">
                  <c:v>0.10127079145171206</c:v>
                </c:pt>
                <c:pt idx="5">
                  <c:v>0.10808687676914244</c:v>
                </c:pt>
                <c:pt idx="6">
                  <c:v>0.12427174144854033</c:v>
                </c:pt>
                <c:pt idx="7">
                  <c:v>0.16345651867644251</c:v>
                </c:pt>
                <c:pt idx="8">
                  <c:v>0.24099269172425059</c:v>
                </c:pt>
                <c:pt idx="9">
                  <c:v>0.67926609315684749</c:v>
                </c:pt>
                <c:pt idx="10">
                  <c:v>0.79811612788873898</c:v>
                </c:pt>
                <c:pt idx="11">
                  <c:v>1</c:v>
                </c:pt>
              </c:numCache>
            </c:numRef>
          </c:xVal>
          <c:yVal>
            <c:numRef>
              <c:f>Gini_2018!$G$178:$G$189</c:f>
              <c:numCache>
                <c:formatCode>0.00</c:formatCode>
                <c:ptCount val="12"/>
                <c:pt idx="0">
                  <c:v>0</c:v>
                </c:pt>
                <c:pt idx="1">
                  <c:v>2.0574426410451801E-3</c:v>
                </c:pt>
                <c:pt idx="2">
                  <c:v>8.6299290006598382E-3</c:v>
                </c:pt>
                <c:pt idx="3">
                  <c:v>1.7703678640373258E-2</c:v>
                </c:pt>
                <c:pt idx="4">
                  <c:v>3.0070099537271747E-2</c:v>
                </c:pt>
                <c:pt idx="5">
                  <c:v>4.2785924050606536E-2</c:v>
                </c:pt>
                <c:pt idx="6">
                  <c:v>8.0997415434134676E-2</c:v>
                </c:pt>
                <c:pt idx="7">
                  <c:v>0.15554298639807518</c:v>
                </c:pt>
                <c:pt idx="8">
                  <c:v>0.3071288313755236</c:v>
                </c:pt>
                <c:pt idx="9">
                  <c:v>0.49803114281752947</c:v>
                </c:pt>
                <c:pt idx="10">
                  <c:v>0.70345267576068349</c:v>
                </c:pt>
                <c:pt idx="11">
                  <c:v>1</c:v>
                </c:pt>
              </c:numCache>
            </c:numRef>
          </c:yVal>
          <c:smooth val="0"/>
          <c:extLst>
            <c:ext xmlns:c16="http://schemas.microsoft.com/office/drawing/2014/chart" uri="{C3380CC4-5D6E-409C-BE32-E72D297353CC}">
              <c16:uniqueId val="{00000002-CE44-4A3B-84FA-B55569E67DF1}"/>
            </c:ext>
          </c:extLst>
        </c:ser>
        <c:ser>
          <c:idx val="2"/>
          <c:order val="2"/>
          <c:tx>
            <c:v>ETa</c:v>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Gini_2018!$H$199:$H$210</c:f>
              <c:numCache>
                <c:formatCode>0.00</c:formatCode>
                <c:ptCount val="12"/>
                <c:pt idx="0">
                  <c:v>0</c:v>
                </c:pt>
                <c:pt idx="1">
                  <c:v>8.0135200470573958E-3</c:v>
                </c:pt>
                <c:pt idx="2">
                  <c:v>1.2331300548089792E-2</c:v>
                </c:pt>
                <c:pt idx="3">
                  <c:v>1.9147385865520176E-2</c:v>
                </c:pt>
                <c:pt idx="4">
                  <c:v>2.5837149493424316E-2</c:v>
                </c:pt>
                <c:pt idx="5">
                  <c:v>4.2022014172822211E-2</c:v>
                </c:pt>
                <c:pt idx="6">
                  <c:v>0.12427174144854033</c:v>
                </c:pt>
                <c:pt idx="7">
                  <c:v>0.16345651867644251</c:v>
                </c:pt>
                <c:pt idx="8">
                  <c:v>0.24099269172425059</c:v>
                </c:pt>
                <c:pt idx="9">
                  <c:v>0.35984272645614207</c:v>
                </c:pt>
                <c:pt idx="10">
                  <c:v>0.79811612788873898</c:v>
                </c:pt>
                <c:pt idx="11">
                  <c:v>1</c:v>
                </c:pt>
              </c:numCache>
            </c:numRef>
          </c:xVal>
          <c:yVal>
            <c:numRef>
              <c:f>Gini_2018!$G$199:$G$210</c:f>
              <c:numCache>
                <c:formatCode>0.00</c:formatCode>
                <c:ptCount val="12"/>
                <c:pt idx="0">
                  <c:v>0</c:v>
                </c:pt>
                <c:pt idx="1">
                  <c:v>5.6387986055587242E-3</c:v>
                </c:pt>
                <c:pt idx="2">
                  <c:v>1.1360188457287819E-2</c:v>
                </c:pt>
                <c:pt idx="3">
                  <c:v>2.024176629132083E-2</c:v>
                </c:pt>
                <c:pt idx="4">
                  <c:v>3.2012888050712042E-2</c:v>
                </c:pt>
                <c:pt idx="5">
                  <c:v>5.7762823909743397E-2</c:v>
                </c:pt>
                <c:pt idx="6">
                  <c:v>8.8550981159494335E-2</c:v>
                </c:pt>
                <c:pt idx="7">
                  <c:v>0.1404898543639673</c:v>
                </c:pt>
                <c:pt idx="8">
                  <c:v>0.26486530011936027</c:v>
                </c:pt>
                <c:pt idx="9">
                  <c:v>0.43265145785843007</c:v>
                </c:pt>
                <c:pt idx="10">
                  <c:v>0.64822411816596082</c:v>
                </c:pt>
                <c:pt idx="11">
                  <c:v>1</c:v>
                </c:pt>
              </c:numCache>
            </c:numRef>
          </c:yVal>
          <c:smooth val="0"/>
          <c:extLst>
            <c:ext xmlns:c16="http://schemas.microsoft.com/office/drawing/2014/chart" uri="{C3380CC4-5D6E-409C-BE32-E72D297353CC}">
              <c16:uniqueId val="{00000003-CE44-4A3B-84FA-B55569E67DF1}"/>
            </c:ext>
          </c:extLst>
        </c:ser>
        <c:ser>
          <c:idx val="3"/>
          <c:order val="3"/>
          <c:tx>
            <c:v>Internal AW</c:v>
          </c:tx>
          <c:spPr>
            <a:ln w="19050" cap="rnd">
              <a:solidFill>
                <a:schemeClr val="accent4"/>
              </a:solidFill>
              <a:round/>
            </a:ln>
            <a:effectLst/>
          </c:spPr>
          <c:marker>
            <c:symbol val="circle"/>
            <c:size val="5"/>
            <c:spPr>
              <a:solidFill>
                <a:schemeClr val="accent4"/>
              </a:solidFill>
              <a:ln w="9525">
                <a:solidFill>
                  <a:schemeClr val="accent4"/>
                </a:solidFill>
              </a:ln>
              <a:effectLst/>
            </c:spPr>
          </c:marker>
          <c:xVal>
            <c:numRef>
              <c:f>Gini_2018!$H$220:$H$231</c:f>
              <c:numCache>
                <c:formatCode>0.00</c:formatCode>
                <c:ptCount val="12"/>
                <c:pt idx="0">
                  <c:v>0</c:v>
                </c:pt>
                <c:pt idx="1">
                  <c:v>8.2249727275718124E-2</c:v>
                </c:pt>
                <c:pt idx="2">
                  <c:v>0.52052312870831507</c:v>
                </c:pt>
                <c:pt idx="3">
                  <c:v>0.7224070008195761</c:v>
                </c:pt>
                <c:pt idx="4">
                  <c:v>0.72909676444748028</c:v>
                </c:pt>
                <c:pt idx="5">
                  <c:v>0.73711028449453764</c:v>
                </c:pt>
                <c:pt idx="6">
                  <c:v>0.74142806499557001</c:v>
                </c:pt>
                <c:pt idx="7">
                  <c:v>0.7482441503130004</c:v>
                </c:pt>
                <c:pt idx="8">
                  <c:v>0.76442901499239835</c:v>
                </c:pt>
                <c:pt idx="9">
                  <c:v>0.80361379222030049</c:v>
                </c:pt>
                <c:pt idx="10">
                  <c:v>0.88114996526810863</c:v>
                </c:pt>
                <c:pt idx="11">
                  <c:v>1.0000000000000002</c:v>
                </c:pt>
              </c:numCache>
            </c:numRef>
          </c:xVal>
          <c:yVal>
            <c:numRef>
              <c:f>Gini_2018!$G$220:$G$231</c:f>
              <c:numCache>
                <c:formatCode>0.00</c:formatCode>
                <c:ptCount val="12"/>
                <c:pt idx="0">
                  <c:v>0</c:v>
                </c:pt>
                <c:pt idx="1">
                  <c:v>0</c:v>
                </c:pt>
                <c:pt idx="2">
                  <c:v>0</c:v>
                </c:pt>
                <c:pt idx="3">
                  <c:v>0</c:v>
                </c:pt>
                <c:pt idx="4">
                  <c:v>5.4290577913134646E-3</c:v>
                </c:pt>
                <c:pt idx="5">
                  <c:v>1.3271339033212672E-2</c:v>
                </c:pt>
                <c:pt idx="6">
                  <c:v>4.2635773025661156E-2</c:v>
                </c:pt>
                <c:pt idx="7">
                  <c:v>7.6185424270137081E-2</c:v>
                </c:pt>
                <c:pt idx="8">
                  <c:v>0.18981189410229665</c:v>
                </c:pt>
                <c:pt idx="9">
                  <c:v>0.43188628237804488</c:v>
                </c:pt>
                <c:pt idx="10">
                  <c:v>0.6826176704974718</c:v>
                </c:pt>
                <c:pt idx="11">
                  <c:v>1</c:v>
                </c:pt>
              </c:numCache>
            </c:numRef>
          </c:yVal>
          <c:smooth val="0"/>
          <c:extLst>
            <c:ext xmlns:c16="http://schemas.microsoft.com/office/drawing/2014/chart" uri="{C3380CC4-5D6E-409C-BE32-E72D297353CC}">
              <c16:uniqueId val="{00000004-CE44-4A3B-84FA-B55569E67DF1}"/>
            </c:ext>
          </c:extLst>
        </c:ser>
        <c:ser>
          <c:idx val="4"/>
          <c:order val="4"/>
          <c:tx>
            <c:v>Total AW</c:v>
          </c:tx>
          <c:spPr>
            <a:ln w="19050" cap="rnd">
              <a:solidFill>
                <a:schemeClr val="accent5"/>
              </a:solidFill>
              <a:round/>
            </a:ln>
            <a:effectLst/>
          </c:spPr>
          <c:marker>
            <c:symbol val="circle"/>
            <c:size val="5"/>
            <c:spPr>
              <a:solidFill>
                <a:schemeClr val="accent5"/>
              </a:solidFill>
              <a:ln w="9525">
                <a:solidFill>
                  <a:schemeClr val="accent5"/>
                </a:solidFill>
              </a:ln>
              <a:effectLst/>
            </c:spPr>
          </c:marker>
          <c:xVal>
            <c:numRef>
              <c:f>Gini_2018!$H$241:$H$252</c:f>
              <c:numCache>
                <c:formatCode>0.00</c:formatCode>
                <c:ptCount val="12"/>
                <c:pt idx="0">
                  <c:v>0</c:v>
                </c:pt>
                <c:pt idx="1">
                  <c:v>6.6897636279041406E-3</c:v>
                </c:pt>
                <c:pt idx="2">
                  <c:v>1.4703283674961536E-2</c:v>
                </c:pt>
                <c:pt idx="3">
                  <c:v>1.9021064175993932E-2</c:v>
                </c:pt>
                <c:pt idx="4">
                  <c:v>2.5837149493424316E-2</c:v>
                </c:pt>
                <c:pt idx="5">
                  <c:v>0.22772102160468533</c:v>
                </c:pt>
                <c:pt idx="6">
                  <c:v>0.24390588628408322</c:v>
                </c:pt>
                <c:pt idx="7">
                  <c:v>0.68217928771668013</c:v>
                </c:pt>
                <c:pt idx="8">
                  <c:v>0.76442901499239824</c:v>
                </c:pt>
                <c:pt idx="9">
                  <c:v>0.80361379222030038</c:v>
                </c:pt>
                <c:pt idx="10">
                  <c:v>0.92246382695219187</c:v>
                </c:pt>
                <c:pt idx="11">
                  <c:v>1</c:v>
                </c:pt>
              </c:numCache>
            </c:numRef>
          </c:xVal>
          <c:yVal>
            <c:numRef>
              <c:f>Gini_2018!$G$241:$G$252</c:f>
              <c:numCache>
                <c:formatCode>0.00</c:formatCode>
                <c:ptCount val="12"/>
                <c:pt idx="0">
                  <c:v>0</c:v>
                </c:pt>
                <c:pt idx="1">
                  <c:v>3.4593541506786328E-3</c:v>
                </c:pt>
                <c:pt idx="2">
                  <c:v>8.4563958488458896E-3</c:v>
                </c:pt>
                <c:pt idx="3">
                  <c:v>2.716718886649204E-2</c:v>
                </c:pt>
                <c:pt idx="4">
                  <c:v>5.8484705667197864E-2</c:v>
                </c:pt>
                <c:pt idx="5">
                  <c:v>0.11995535831641736</c:v>
                </c:pt>
                <c:pt idx="6">
                  <c:v>0.19235727687211288</c:v>
                </c:pt>
                <c:pt idx="7">
                  <c:v>0.2807703857888626</c:v>
                </c:pt>
                <c:pt idx="8">
                  <c:v>0.42856152939230518</c:v>
                </c:pt>
                <c:pt idx="9">
                  <c:v>0.58280948033410229</c:v>
                </c:pt>
                <c:pt idx="10">
                  <c:v>0.78504307612918367</c:v>
                </c:pt>
                <c:pt idx="11">
                  <c:v>1</c:v>
                </c:pt>
              </c:numCache>
            </c:numRef>
          </c:yVal>
          <c:smooth val="0"/>
          <c:extLst>
            <c:ext xmlns:c16="http://schemas.microsoft.com/office/drawing/2014/chart" uri="{C3380CC4-5D6E-409C-BE32-E72D297353CC}">
              <c16:uniqueId val="{00000005-CE44-4A3B-84FA-B55569E67DF1}"/>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t>
                </a:r>
                <a:r>
                  <a:rPr lang="en-US" sz="1000" b="0" i="0" u="none" strike="noStrike" baseline="0">
                    <a:effectLst/>
                  </a:rPr>
                  <a:t>Criteria</a:t>
                </a:r>
                <a:endParaRPr lang="en-US" baseline="0"/>
              </a:p>
            </c:rich>
          </c:tx>
          <c:layout>
            <c:manualLayout>
              <c:xMode val="edge"/>
              <c:yMode val="edge"/>
              <c:x val="0.38069243309714473"/>
              <c:y val="0.92954749701243455"/>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variables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layout>
        <c:manualLayout>
          <c:xMode val="edge"/>
          <c:yMode val="edge"/>
          <c:x val="0.79644193949152242"/>
          <c:y val="0.38221726571276926"/>
          <c:w val="0.18021896777407129"/>
          <c:h val="0.349143219407329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Gini_2018!$H$157:$H$168</c:f>
              <c:numCache>
                <c:formatCode>0.00</c:formatCode>
                <c:ptCount val="12"/>
                <c:pt idx="0">
                  <c:v>0</c:v>
                </c:pt>
                <c:pt idx="1">
                  <c:v>8.3030863015460549E-3</c:v>
                </c:pt>
                <c:pt idx="2">
                  <c:v>1.695389038931653E-2</c:v>
                </c:pt>
                <c:pt idx="3">
                  <c:v>3.0639997410427673E-2</c:v>
                </c:pt>
                <c:pt idx="4">
                  <c:v>5.3837159897602418E-2</c:v>
                </c:pt>
                <c:pt idx="5">
                  <c:v>6.9192243194392378E-2</c:v>
                </c:pt>
                <c:pt idx="6">
                  <c:v>0.13224198964071543</c:v>
                </c:pt>
                <c:pt idx="7">
                  <c:v>0.45945156349730343</c:v>
                </c:pt>
                <c:pt idx="8">
                  <c:v>0.52103197422580472</c:v>
                </c:pt>
                <c:pt idx="9">
                  <c:v>0.59993179114928674</c:v>
                </c:pt>
                <c:pt idx="10">
                  <c:v>0.87330762975134069</c:v>
                </c:pt>
                <c:pt idx="11">
                  <c:v>1.0000000000000002</c:v>
                </c:pt>
              </c:numCache>
            </c:numRef>
          </c:xVal>
          <c:yVal>
            <c:numRef>
              <c:f>Gini_2018!$H$157:$H$168</c:f>
              <c:numCache>
                <c:formatCode>0.00</c:formatCode>
                <c:ptCount val="12"/>
                <c:pt idx="0">
                  <c:v>0</c:v>
                </c:pt>
                <c:pt idx="1">
                  <c:v>8.3030863015460549E-3</c:v>
                </c:pt>
                <c:pt idx="2">
                  <c:v>1.695389038931653E-2</c:v>
                </c:pt>
                <c:pt idx="3">
                  <c:v>3.0639997410427673E-2</c:v>
                </c:pt>
                <c:pt idx="4">
                  <c:v>5.3837159897602418E-2</c:v>
                </c:pt>
                <c:pt idx="5">
                  <c:v>6.9192243194392378E-2</c:v>
                </c:pt>
                <c:pt idx="6">
                  <c:v>0.13224198964071543</c:v>
                </c:pt>
                <c:pt idx="7">
                  <c:v>0.45945156349730343</c:v>
                </c:pt>
                <c:pt idx="8">
                  <c:v>0.52103197422580472</c:v>
                </c:pt>
                <c:pt idx="9">
                  <c:v>0.59993179114928674</c:v>
                </c:pt>
                <c:pt idx="10">
                  <c:v>0.87330762975134069</c:v>
                </c:pt>
                <c:pt idx="11">
                  <c:v>1.0000000000000002</c:v>
                </c:pt>
              </c:numCache>
            </c:numRef>
          </c:yVal>
          <c:smooth val="1"/>
          <c:extLst>
            <c:ext xmlns:c16="http://schemas.microsoft.com/office/drawing/2014/chart" uri="{C3380CC4-5D6E-409C-BE32-E72D297353CC}">
              <c16:uniqueId val="{00000000-E5BF-484A-95AB-862DA42529FB}"/>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E5BF-484A-95AB-862DA42529FB}"/>
              </c:ext>
            </c:extLst>
          </c:dPt>
          <c:xVal>
            <c:numRef>
              <c:f>Gini_2018!$H$343:$H$354</c:f>
              <c:numCache>
                <c:formatCode>0.00</c:formatCode>
                <c:ptCount val="12"/>
                <c:pt idx="0">
                  <c:v>0</c:v>
                </c:pt>
                <c:pt idx="1">
                  <c:v>1.3686107021111144E-2</c:v>
                </c:pt>
                <c:pt idx="2">
                  <c:v>2.1989193322657197E-2</c:v>
                </c:pt>
                <c:pt idx="3">
                  <c:v>8.3569604051158444E-2</c:v>
                </c:pt>
                <c:pt idx="4">
                  <c:v>9.2220408138928928E-2</c:v>
                </c:pt>
                <c:pt idx="5">
                  <c:v>0.3655962467409829</c:v>
                </c:pt>
                <c:pt idx="6">
                  <c:v>0.42864599318730595</c:v>
                </c:pt>
                <c:pt idx="7">
                  <c:v>0.45184315567448069</c:v>
                </c:pt>
                <c:pt idx="8">
                  <c:v>0.77905272953106874</c:v>
                </c:pt>
                <c:pt idx="9">
                  <c:v>0.79440781282785866</c:v>
                </c:pt>
                <c:pt idx="10">
                  <c:v>0.87330762975134069</c:v>
                </c:pt>
                <c:pt idx="11">
                  <c:v>1.0000000000000002</c:v>
                </c:pt>
              </c:numCache>
            </c:numRef>
          </c:xVal>
          <c:yVal>
            <c:numRef>
              <c:f>Gini_2018!$G$343:$G$354</c:f>
              <c:numCache>
                <c:formatCode>0.00</c:formatCode>
                <c:ptCount val="12"/>
                <c:pt idx="0">
                  <c:v>0</c:v>
                </c:pt>
                <c:pt idx="1">
                  <c:v>9.0909090909090925E-2</c:v>
                </c:pt>
                <c:pt idx="2">
                  <c:v>0.18181818181818185</c:v>
                </c:pt>
                <c:pt idx="3">
                  <c:v>0.27272727272727276</c:v>
                </c:pt>
                <c:pt idx="4">
                  <c:v>0.3636363636363637</c:v>
                </c:pt>
                <c:pt idx="5">
                  <c:v>0.45454545454545464</c:v>
                </c:pt>
                <c:pt idx="6">
                  <c:v>0.54545454545454553</c:v>
                </c:pt>
                <c:pt idx="7">
                  <c:v>0.63636363636363646</c:v>
                </c:pt>
                <c:pt idx="8">
                  <c:v>0.7272727272727274</c:v>
                </c:pt>
                <c:pt idx="9">
                  <c:v>0.81818181818181834</c:v>
                </c:pt>
                <c:pt idx="10">
                  <c:v>0.90909090909090928</c:v>
                </c:pt>
                <c:pt idx="11">
                  <c:v>1.0000000000000002</c:v>
                </c:pt>
              </c:numCache>
            </c:numRef>
          </c:yVal>
          <c:smooth val="0"/>
          <c:extLst>
            <c:ext xmlns:c16="http://schemas.microsoft.com/office/drawing/2014/chart" uri="{C3380CC4-5D6E-409C-BE32-E72D297353CC}">
              <c16:uniqueId val="{00000002-E5BF-484A-95AB-862DA42529FB}"/>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population</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 total</a:t>
                </a:r>
                <a:r>
                  <a:rPr lang="en-US" baseline="0"/>
                  <a:t> available water</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Gini_2018!$H$157:$H$168</c:f>
              <c:numCache>
                <c:formatCode>0.00</c:formatCode>
                <c:ptCount val="12"/>
                <c:pt idx="0">
                  <c:v>0</c:v>
                </c:pt>
                <c:pt idx="1">
                  <c:v>8.3030863015460549E-3</c:v>
                </c:pt>
                <c:pt idx="2">
                  <c:v>1.695389038931653E-2</c:v>
                </c:pt>
                <c:pt idx="3">
                  <c:v>3.0639997410427673E-2</c:v>
                </c:pt>
                <c:pt idx="4">
                  <c:v>5.3837159897602418E-2</c:v>
                </c:pt>
                <c:pt idx="5">
                  <c:v>6.9192243194392378E-2</c:v>
                </c:pt>
                <c:pt idx="6">
                  <c:v>0.13224198964071543</c:v>
                </c:pt>
                <c:pt idx="7">
                  <c:v>0.45945156349730343</c:v>
                </c:pt>
                <c:pt idx="8">
                  <c:v>0.52103197422580472</c:v>
                </c:pt>
                <c:pt idx="9">
                  <c:v>0.59993179114928674</c:v>
                </c:pt>
                <c:pt idx="10">
                  <c:v>0.87330762975134069</c:v>
                </c:pt>
                <c:pt idx="11">
                  <c:v>1.0000000000000002</c:v>
                </c:pt>
              </c:numCache>
            </c:numRef>
          </c:xVal>
          <c:yVal>
            <c:numRef>
              <c:f>Gini_2018!$H$157:$H$168</c:f>
              <c:numCache>
                <c:formatCode>0.00</c:formatCode>
                <c:ptCount val="12"/>
                <c:pt idx="0">
                  <c:v>0</c:v>
                </c:pt>
                <c:pt idx="1">
                  <c:v>8.3030863015460549E-3</c:v>
                </c:pt>
                <c:pt idx="2">
                  <c:v>1.695389038931653E-2</c:v>
                </c:pt>
                <c:pt idx="3">
                  <c:v>3.0639997410427673E-2</c:v>
                </c:pt>
                <c:pt idx="4">
                  <c:v>5.3837159897602418E-2</c:v>
                </c:pt>
                <c:pt idx="5">
                  <c:v>6.9192243194392378E-2</c:v>
                </c:pt>
                <c:pt idx="6">
                  <c:v>0.13224198964071543</c:v>
                </c:pt>
                <c:pt idx="7">
                  <c:v>0.45945156349730343</c:v>
                </c:pt>
                <c:pt idx="8">
                  <c:v>0.52103197422580472</c:v>
                </c:pt>
                <c:pt idx="9">
                  <c:v>0.59993179114928674</c:v>
                </c:pt>
                <c:pt idx="10">
                  <c:v>0.87330762975134069</c:v>
                </c:pt>
                <c:pt idx="11">
                  <c:v>1.0000000000000002</c:v>
                </c:pt>
              </c:numCache>
            </c:numRef>
          </c:yVal>
          <c:smooth val="1"/>
          <c:extLst>
            <c:ext xmlns:c16="http://schemas.microsoft.com/office/drawing/2014/chart" uri="{C3380CC4-5D6E-409C-BE32-E72D297353CC}">
              <c16:uniqueId val="{00000000-D9B3-4AA1-B005-7EEACC72735A}"/>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D9B3-4AA1-B005-7EEACC72735A}"/>
              </c:ext>
            </c:extLst>
          </c:dPt>
          <c:xVal>
            <c:numRef>
              <c:f>Gini_2018!$H$301:$H$312</c:f>
              <c:numCache>
                <c:formatCode>0.00</c:formatCode>
                <c:ptCount val="12"/>
                <c:pt idx="0">
                  <c:v>0</c:v>
                </c:pt>
                <c:pt idx="1">
                  <c:v>4.3177805010323955E-3</c:v>
                </c:pt>
                <c:pt idx="2">
                  <c:v>1.1007544128936536E-2</c:v>
                </c:pt>
                <c:pt idx="3">
                  <c:v>9.3257271404654785E-2</c:v>
                </c:pt>
                <c:pt idx="4">
                  <c:v>0.10127079145171218</c:v>
                </c:pt>
                <c:pt idx="5">
                  <c:v>0.22012082618360368</c:v>
                </c:pt>
                <c:pt idx="6">
                  <c:v>0.23630569086300157</c:v>
                </c:pt>
                <c:pt idx="7">
                  <c:v>0.24312177618043196</c:v>
                </c:pt>
                <c:pt idx="8">
                  <c:v>0.68139517761302892</c:v>
                </c:pt>
                <c:pt idx="9">
                  <c:v>0.88327904972428994</c:v>
                </c:pt>
                <c:pt idx="10">
                  <c:v>0.92246382695219209</c:v>
                </c:pt>
                <c:pt idx="11">
                  <c:v>1.0000000000000002</c:v>
                </c:pt>
              </c:numCache>
            </c:numRef>
          </c:xVal>
          <c:yVal>
            <c:numRef>
              <c:f>Gini_2018!$G$301:$G$312</c:f>
              <c:numCache>
                <c:formatCode>0.00</c:formatCode>
                <c:ptCount val="12"/>
                <c:pt idx="0">
                  <c:v>0</c:v>
                </c:pt>
                <c:pt idx="1">
                  <c:v>4.3177805010323964E-3</c:v>
                </c:pt>
                <c:pt idx="2">
                  <c:v>1.1007544128936538E-2</c:v>
                </c:pt>
                <c:pt idx="3">
                  <c:v>9.3257271404654674E-2</c:v>
                </c:pt>
                <c:pt idx="4">
                  <c:v>0.10127079145171207</c:v>
                </c:pt>
                <c:pt idx="5">
                  <c:v>0.2201208261836036</c:v>
                </c:pt>
                <c:pt idx="6">
                  <c:v>0.23630569086300149</c:v>
                </c:pt>
                <c:pt idx="7">
                  <c:v>0.24312177618043188</c:v>
                </c:pt>
                <c:pt idx="8">
                  <c:v>0.68139517761302892</c:v>
                </c:pt>
                <c:pt idx="9">
                  <c:v>0.88327904972428994</c:v>
                </c:pt>
                <c:pt idx="10">
                  <c:v>0.92246382695219209</c:v>
                </c:pt>
                <c:pt idx="11">
                  <c:v>1.0000000000000002</c:v>
                </c:pt>
              </c:numCache>
            </c:numRef>
          </c:yVal>
          <c:smooth val="0"/>
          <c:extLst>
            <c:ext xmlns:c16="http://schemas.microsoft.com/office/drawing/2014/chart" uri="{C3380CC4-5D6E-409C-BE32-E72D297353CC}">
              <c16:uniqueId val="{00000002-D9B3-4AA1-B005-7EEACC72735A}"/>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population</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 total</a:t>
                </a:r>
                <a:r>
                  <a:rPr lang="en-US" baseline="0"/>
                  <a:t> available water</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2"/>
          <c:tx>
            <c:v>Equality Line</c:v>
          </c:tx>
          <c:spPr>
            <a:ln w="19050" cap="rnd">
              <a:solidFill>
                <a:schemeClr val="accent2"/>
              </a:solidFill>
              <a:round/>
            </a:ln>
            <a:effectLst/>
          </c:spPr>
          <c:marker>
            <c:symbol val="none"/>
          </c:marker>
          <c:xVal>
            <c:numRef>
              <c:f>Gini_2018!$H$70:$H$81</c:f>
              <c:numCache>
                <c:formatCode>0.00</c:formatCode>
                <c:ptCount val="12"/>
                <c:pt idx="0">
                  <c:v>0</c:v>
                </c:pt>
                <c:pt idx="1">
                  <c:v>1.4487850841712153E-2</c:v>
                </c:pt>
                <c:pt idx="2">
                  <c:v>1.931093352199631E-2</c:v>
                </c:pt>
                <c:pt idx="3">
                  <c:v>4.2376133576973701E-2</c:v>
                </c:pt>
                <c:pt idx="4">
                  <c:v>8.5093932864029373E-2</c:v>
                </c:pt>
                <c:pt idx="5">
                  <c:v>0.12586523300618602</c:v>
                </c:pt>
                <c:pt idx="6">
                  <c:v>0.19967345297415212</c:v>
                </c:pt>
                <c:pt idx="7">
                  <c:v>0.33793392899982422</c:v>
                </c:pt>
                <c:pt idx="8">
                  <c:v>0.65176852182642442</c:v>
                </c:pt>
                <c:pt idx="9">
                  <c:v>0.69661650630613436</c:v>
                </c:pt>
                <c:pt idx="10">
                  <c:v>0.8432872278487642</c:v>
                </c:pt>
                <c:pt idx="11">
                  <c:v>1</c:v>
                </c:pt>
              </c:numCache>
            </c:numRef>
          </c:xVal>
          <c:yVal>
            <c:numRef>
              <c:f>Gini_2018!$H$70:$H$81</c:f>
              <c:numCache>
                <c:formatCode>0.00</c:formatCode>
                <c:ptCount val="12"/>
                <c:pt idx="0">
                  <c:v>0</c:v>
                </c:pt>
                <c:pt idx="1">
                  <c:v>1.4487850841712153E-2</c:v>
                </c:pt>
                <c:pt idx="2">
                  <c:v>1.931093352199631E-2</c:v>
                </c:pt>
                <c:pt idx="3">
                  <c:v>4.2376133576973701E-2</c:v>
                </c:pt>
                <c:pt idx="4">
                  <c:v>8.5093932864029373E-2</c:v>
                </c:pt>
                <c:pt idx="5">
                  <c:v>0.12586523300618602</c:v>
                </c:pt>
                <c:pt idx="6">
                  <c:v>0.19967345297415212</c:v>
                </c:pt>
                <c:pt idx="7">
                  <c:v>0.33793392899982422</c:v>
                </c:pt>
                <c:pt idx="8">
                  <c:v>0.65176852182642442</c:v>
                </c:pt>
                <c:pt idx="9">
                  <c:v>0.69661650630613436</c:v>
                </c:pt>
                <c:pt idx="10">
                  <c:v>0.8432872278487642</c:v>
                </c:pt>
                <c:pt idx="11">
                  <c:v>1</c:v>
                </c:pt>
              </c:numCache>
            </c:numRef>
          </c:yVal>
          <c:smooth val="1"/>
          <c:extLst>
            <c:ext xmlns:c16="http://schemas.microsoft.com/office/drawing/2014/chart" uri="{C3380CC4-5D6E-409C-BE32-E72D297353CC}">
              <c16:uniqueId val="{00000000-7597-4331-AD72-EFC9F2C5BD1E}"/>
            </c:ext>
          </c:extLst>
        </c:ser>
        <c:dLbls>
          <c:showLegendKey val="0"/>
          <c:showVal val="0"/>
          <c:showCatName val="0"/>
          <c:showSerName val="0"/>
          <c:showPercent val="0"/>
          <c:showBubbleSize val="0"/>
        </c:dLbls>
        <c:axId val="474189871"/>
        <c:axId val="474195695"/>
      </c:scatterChart>
      <c:scatterChart>
        <c:scatterStyle val="lineMarker"/>
        <c:varyColors val="0"/>
        <c:ser>
          <c:idx val="3"/>
          <c:order val="0"/>
          <c:tx>
            <c:v>Area</c:v>
          </c:tx>
          <c:spPr>
            <a:ln w="19050" cap="rnd">
              <a:solidFill>
                <a:schemeClr val="accent4"/>
              </a:solidFill>
              <a:round/>
            </a:ln>
            <a:effectLst/>
          </c:spPr>
          <c:marker>
            <c:symbol val="circle"/>
            <c:size val="5"/>
            <c:spPr>
              <a:solidFill>
                <a:schemeClr val="accent4"/>
              </a:solidFill>
              <a:ln w="9525">
                <a:solidFill>
                  <a:schemeClr val="accent4"/>
                </a:solidFill>
              </a:ln>
              <a:effectLst/>
            </c:spPr>
          </c:marker>
          <c:xVal>
            <c:numRef>
              <c:f>Gini_2018!$H$362:$H$373</c:f>
              <c:numCache>
                <c:formatCode>0.00</c:formatCode>
                <c:ptCount val="12"/>
                <c:pt idx="0">
                  <c:v>0</c:v>
                </c:pt>
                <c:pt idx="1">
                  <c:v>4.3177805010323955E-3</c:v>
                </c:pt>
                <c:pt idx="2">
                  <c:v>1.1007544128936536E-2</c:v>
                </c:pt>
                <c:pt idx="3">
                  <c:v>9.3257271404654785E-2</c:v>
                </c:pt>
                <c:pt idx="4">
                  <c:v>0.10127079145171218</c:v>
                </c:pt>
                <c:pt idx="5">
                  <c:v>0.22012082618360368</c:v>
                </c:pt>
                <c:pt idx="6">
                  <c:v>0.23630569086300157</c:v>
                </c:pt>
                <c:pt idx="7">
                  <c:v>0.24312177618043196</c:v>
                </c:pt>
                <c:pt idx="8">
                  <c:v>0.68139517761302892</c:v>
                </c:pt>
                <c:pt idx="9">
                  <c:v>0.88327904972428994</c:v>
                </c:pt>
                <c:pt idx="10">
                  <c:v>0.92246382695219209</c:v>
                </c:pt>
                <c:pt idx="11">
                  <c:v>1.0000000000000002</c:v>
                </c:pt>
              </c:numCache>
            </c:numRef>
          </c:xVal>
          <c:yVal>
            <c:numRef>
              <c:f>Gini_2018!$G$362:$G$373</c:f>
              <c:numCache>
                <c:formatCode>0.00</c:formatCode>
                <c:ptCount val="12"/>
                <c:pt idx="0">
                  <c:v>0</c:v>
                </c:pt>
                <c:pt idx="1">
                  <c:v>9.0909090909090925E-2</c:v>
                </c:pt>
                <c:pt idx="2">
                  <c:v>0.18181818181818185</c:v>
                </c:pt>
                <c:pt idx="3">
                  <c:v>0.27272727272727276</c:v>
                </c:pt>
                <c:pt idx="4">
                  <c:v>0.3636363636363637</c:v>
                </c:pt>
                <c:pt idx="5">
                  <c:v>0.45454545454545464</c:v>
                </c:pt>
                <c:pt idx="6">
                  <c:v>0.54545454545454553</c:v>
                </c:pt>
                <c:pt idx="7">
                  <c:v>0.63636363636363646</c:v>
                </c:pt>
                <c:pt idx="8">
                  <c:v>0.7272727272727274</c:v>
                </c:pt>
                <c:pt idx="9">
                  <c:v>0.81818181818181834</c:v>
                </c:pt>
                <c:pt idx="10">
                  <c:v>0.90909090909090928</c:v>
                </c:pt>
                <c:pt idx="11">
                  <c:v>1.0000000000000002</c:v>
                </c:pt>
              </c:numCache>
            </c:numRef>
          </c:yVal>
          <c:smooth val="0"/>
          <c:extLst>
            <c:ext xmlns:c16="http://schemas.microsoft.com/office/drawing/2014/chart" uri="{C3380CC4-5D6E-409C-BE32-E72D297353CC}">
              <c16:uniqueId val="{00000004-7597-4331-AD72-EFC9F2C5BD1E}"/>
            </c:ext>
          </c:extLst>
        </c:ser>
        <c:ser>
          <c:idx val="0"/>
          <c:order val="1"/>
          <c:tx>
            <c:v>Population</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7597-4331-AD72-EFC9F2C5BD1E}"/>
              </c:ext>
            </c:extLst>
          </c:dPt>
          <c:xVal>
            <c:numRef>
              <c:f>Gini_2018!$H$323:$H$334</c:f>
              <c:numCache>
                <c:formatCode>0.00</c:formatCode>
                <c:ptCount val="12"/>
                <c:pt idx="0">
                  <c:v>0</c:v>
                </c:pt>
                <c:pt idx="1">
                  <c:v>2.3065200054977395E-2</c:v>
                </c:pt>
                <c:pt idx="2">
                  <c:v>3.7553050896689547E-2</c:v>
                </c:pt>
                <c:pt idx="3">
                  <c:v>0.35138764372328968</c:v>
                </c:pt>
                <c:pt idx="4">
                  <c:v>0.35621072640357382</c:v>
                </c:pt>
                <c:pt idx="5">
                  <c:v>0.5028814479462036</c:v>
                </c:pt>
                <c:pt idx="6">
                  <c:v>0.57668966791416976</c:v>
                </c:pt>
                <c:pt idx="7">
                  <c:v>0.61940746720122541</c:v>
                </c:pt>
                <c:pt idx="8">
                  <c:v>0.75766794322689757</c:v>
                </c:pt>
                <c:pt idx="9">
                  <c:v>0.79843924336905425</c:v>
                </c:pt>
                <c:pt idx="10">
                  <c:v>0.8432872278487642</c:v>
                </c:pt>
                <c:pt idx="11">
                  <c:v>1</c:v>
                </c:pt>
              </c:numCache>
            </c:numRef>
          </c:xVal>
          <c:yVal>
            <c:numRef>
              <c:f>Gini_2018!$G$323:$G$334</c:f>
              <c:numCache>
                <c:formatCode>0.00</c:formatCode>
                <c:ptCount val="12"/>
                <c:pt idx="0">
                  <c:v>0</c:v>
                </c:pt>
                <c:pt idx="1">
                  <c:v>9.0909090909090925E-2</c:v>
                </c:pt>
                <c:pt idx="2">
                  <c:v>0.18181818181818185</c:v>
                </c:pt>
                <c:pt idx="3">
                  <c:v>0.27272727272727276</c:v>
                </c:pt>
                <c:pt idx="4">
                  <c:v>0.3636363636363637</c:v>
                </c:pt>
                <c:pt idx="5">
                  <c:v>0.45454545454545464</c:v>
                </c:pt>
                <c:pt idx="6">
                  <c:v>0.54545454545454553</c:v>
                </c:pt>
                <c:pt idx="7">
                  <c:v>0.63636363636363646</c:v>
                </c:pt>
                <c:pt idx="8">
                  <c:v>0.7272727272727274</c:v>
                </c:pt>
                <c:pt idx="9">
                  <c:v>0.81818181818181834</c:v>
                </c:pt>
                <c:pt idx="10">
                  <c:v>0.90909090909090928</c:v>
                </c:pt>
                <c:pt idx="11">
                  <c:v>1.0000000000000002</c:v>
                </c:pt>
              </c:numCache>
            </c:numRef>
          </c:yVal>
          <c:smooth val="0"/>
          <c:extLst>
            <c:ext xmlns:c16="http://schemas.microsoft.com/office/drawing/2014/chart" uri="{C3380CC4-5D6E-409C-BE32-E72D297353CC}">
              <c16:uniqueId val="{00000002-7597-4331-AD72-EFC9F2C5BD1E}"/>
            </c:ext>
          </c:extLst>
        </c:ser>
        <c:ser>
          <c:idx val="2"/>
          <c:order val="3"/>
          <c:tx>
            <c:v>Cropland area</c:v>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Gini_2018!$H$343:$H$354</c:f>
              <c:numCache>
                <c:formatCode>0.00</c:formatCode>
                <c:ptCount val="12"/>
                <c:pt idx="0">
                  <c:v>0</c:v>
                </c:pt>
                <c:pt idx="1">
                  <c:v>1.3686107021111144E-2</c:v>
                </c:pt>
                <c:pt idx="2">
                  <c:v>2.1989193322657197E-2</c:v>
                </c:pt>
                <c:pt idx="3">
                  <c:v>8.3569604051158444E-2</c:v>
                </c:pt>
                <c:pt idx="4">
                  <c:v>9.2220408138928928E-2</c:v>
                </c:pt>
                <c:pt idx="5">
                  <c:v>0.3655962467409829</c:v>
                </c:pt>
                <c:pt idx="6">
                  <c:v>0.42864599318730595</c:v>
                </c:pt>
                <c:pt idx="7">
                  <c:v>0.45184315567448069</c:v>
                </c:pt>
                <c:pt idx="8">
                  <c:v>0.77905272953106874</c:v>
                </c:pt>
                <c:pt idx="9">
                  <c:v>0.79440781282785866</c:v>
                </c:pt>
                <c:pt idx="10">
                  <c:v>0.87330762975134069</c:v>
                </c:pt>
                <c:pt idx="11">
                  <c:v>1.0000000000000002</c:v>
                </c:pt>
              </c:numCache>
            </c:numRef>
          </c:xVal>
          <c:yVal>
            <c:numRef>
              <c:f>Gini_2018!$G$343:$G$354</c:f>
              <c:numCache>
                <c:formatCode>0.00</c:formatCode>
                <c:ptCount val="12"/>
                <c:pt idx="0">
                  <c:v>0</c:v>
                </c:pt>
                <c:pt idx="1">
                  <c:v>9.0909090909090925E-2</c:v>
                </c:pt>
                <c:pt idx="2">
                  <c:v>0.18181818181818185</c:v>
                </c:pt>
                <c:pt idx="3">
                  <c:v>0.27272727272727276</c:v>
                </c:pt>
                <c:pt idx="4">
                  <c:v>0.3636363636363637</c:v>
                </c:pt>
                <c:pt idx="5">
                  <c:v>0.45454545454545464</c:v>
                </c:pt>
                <c:pt idx="6">
                  <c:v>0.54545454545454553</c:v>
                </c:pt>
                <c:pt idx="7">
                  <c:v>0.63636363636363646</c:v>
                </c:pt>
                <c:pt idx="8">
                  <c:v>0.7272727272727274</c:v>
                </c:pt>
                <c:pt idx="9">
                  <c:v>0.81818181818181834</c:v>
                </c:pt>
                <c:pt idx="10">
                  <c:v>0.90909090909090928</c:v>
                </c:pt>
                <c:pt idx="11">
                  <c:v>1.0000000000000002</c:v>
                </c:pt>
              </c:numCache>
            </c:numRef>
          </c:yVal>
          <c:smooth val="0"/>
          <c:extLst>
            <c:ext xmlns:c16="http://schemas.microsoft.com/office/drawing/2014/chart" uri="{C3380CC4-5D6E-409C-BE32-E72D297353CC}">
              <c16:uniqueId val="{00000003-7597-4331-AD72-EFC9F2C5BD1E}"/>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t>
                </a:r>
                <a:r>
                  <a:rPr lang="en-US" sz="1000" b="0" i="0" u="none" strike="noStrike" baseline="0">
                    <a:effectLst/>
                  </a:rPr>
                  <a:t>Criteria</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t>
                </a:r>
                <a:r>
                  <a:rPr lang="en-US" sz="1000" b="0" i="0" u="none" strike="noStrike" baseline="0">
                    <a:effectLst/>
                  </a:rPr>
                  <a:t>variables</a:t>
                </a:r>
                <a:endParaRPr lang="en-US"/>
              </a:p>
            </c:rich>
          </c:tx>
          <c:layout>
            <c:manualLayout>
              <c:xMode val="edge"/>
              <c:yMode val="edge"/>
              <c:x val="2.4106839487888897E-2"/>
              <c:y val="0.2137992880862931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3874216773870379"/>
          <c:y val="0.16825809728560093"/>
          <c:w val="0.58400006714836505"/>
          <c:h val="0.63882275236498487"/>
        </c:manualLayout>
      </c:layout>
      <c:scatterChart>
        <c:scatterStyle val="smoothMarker"/>
        <c:varyColors val="0"/>
        <c:ser>
          <c:idx val="1"/>
          <c:order val="1"/>
          <c:tx>
            <c:v>Equality Line</c:v>
          </c:tx>
          <c:spPr>
            <a:ln w="19050" cap="rnd">
              <a:solidFill>
                <a:schemeClr val="accent2"/>
              </a:solidFill>
              <a:round/>
            </a:ln>
            <a:effectLst/>
          </c:spPr>
          <c:marker>
            <c:symbol val="none"/>
          </c:marker>
          <c:xVal>
            <c:numRef>
              <c:f>Gini_2018!$H$157:$H$168</c:f>
              <c:numCache>
                <c:formatCode>0.00</c:formatCode>
                <c:ptCount val="12"/>
                <c:pt idx="0">
                  <c:v>0</c:v>
                </c:pt>
                <c:pt idx="1">
                  <c:v>8.3030863015460549E-3</c:v>
                </c:pt>
                <c:pt idx="2">
                  <c:v>1.695389038931653E-2</c:v>
                </c:pt>
                <c:pt idx="3">
                  <c:v>3.0639997410427673E-2</c:v>
                </c:pt>
                <c:pt idx="4">
                  <c:v>5.3837159897602418E-2</c:v>
                </c:pt>
                <c:pt idx="5">
                  <c:v>6.9192243194392378E-2</c:v>
                </c:pt>
                <c:pt idx="6">
                  <c:v>0.13224198964071543</c:v>
                </c:pt>
                <c:pt idx="7">
                  <c:v>0.45945156349730343</c:v>
                </c:pt>
                <c:pt idx="8">
                  <c:v>0.52103197422580472</c:v>
                </c:pt>
                <c:pt idx="9">
                  <c:v>0.59993179114928674</c:v>
                </c:pt>
                <c:pt idx="10">
                  <c:v>0.87330762975134069</c:v>
                </c:pt>
                <c:pt idx="11">
                  <c:v>1.0000000000000002</c:v>
                </c:pt>
              </c:numCache>
            </c:numRef>
          </c:xVal>
          <c:yVal>
            <c:numRef>
              <c:f>Gini_2018!$H$157:$H$168</c:f>
              <c:numCache>
                <c:formatCode>0.00</c:formatCode>
                <c:ptCount val="12"/>
                <c:pt idx="0">
                  <c:v>0</c:v>
                </c:pt>
                <c:pt idx="1">
                  <c:v>8.3030863015460549E-3</c:v>
                </c:pt>
                <c:pt idx="2">
                  <c:v>1.695389038931653E-2</c:v>
                </c:pt>
                <c:pt idx="3">
                  <c:v>3.0639997410427673E-2</c:v>
                </c:pt>
                <c:pt idx="4">
                  <c:v>5.3837159897602418E-2</c:v>
                </c:pt>
                <c:pt idx="5">
                  <c:v>6.9192243194392378E-2</c:v>
                </c:pt>
                <c:pt idx="6">
                  <c:v>0.13224198964071543</c:v>
                </c:pt>
                <c:pt idx="7">
                  <c:v>0.45945156349730343</c:v>
                </c:pt>
                <c:pt idx="8">
                  <c:v>0.52103197422580472</c:v>
                </c:pt>
                <c:pt idx="9">
                  <c:v>0.59993179114928674</c:v>
                </c:pt>
                <c:pt idx="10">
                  <c:v>0.87330762975134069</c:v>
                </c:pt>
                <c:pt idx="11">
                  <c:v>1.0000000000000002</c:v>
                </c:pt>
              </c:numCache>
            </c:numRef>
          </c:yVal>
          <c:smooth val="1"/>
          <c:extLst>
            <c:ext xmlns:c16="http://schemas.microsoft.com/office/drawing/2014/chart" uri="{C3380CC4-5D6E-409C-BE32-E72D297353CC}">
              <c16:uniqueId val="{00000000-3A85-4281-8CF2-99ED8CF39870}"/>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Area</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3A85-4281-8CF2-99ED8CF39870}"/>
              </c:ext>
            </c:extLst>
          </c:dPt>
          <c:xVal>
            <c:numRef>
              <c:f>Gini_2018!$H$301:$H$312</c:f>
              <c:numCache>
                <c:formatCode>0.00</c:formatCode>
                <c:ptCount val="12"/>
                <c:pt idx="0">
                  <c:v>0</c:v>
                </c:pt>
                <c:pt idx="1">
                  <c:v>4.3177805010323955E-3</c:v>
                </c:pt>
                <c:pt idx="2">
                  <c:v>1.1007544128936536E-2</c:v>
                </c:pt>
                <c:pt idx="3">
                  <c:v>9.3257271404654785E-2</c:v>
                </c:pt>
                <c:pt idx="4">
                  <c:v>0.10127079145171218</c:v>
                </c:pt>
                <c:pt idx="5">
                  <c:v>0.22012082618360368</c:v>
                </c:pt>
                <c:pt idx="6">
                  <c:v>0.23630569086300157</c:v>
                </c:pt>
                <c:pt idx="7">
                  <c:v>0.24312177618043196</c:v>
                </c:pt>
                <c:pt idx="8">
                  <c:v>0.68139517761302892</c:v>
                </c:pt>
                <c:pt idx="9">
                  <c:v>0.88327904972428994</c:v>
                </c:pt>
                <c:pt idx="10">
                  <c:v>0.92246382695219209</c:v>
                </c:pt>
                <c:pt idx="11">
                  <c:v>1.0000000000000002</c:v>
                </c:pt>
              </c:numCache>
            </c:numRef>
          </c:xVal>
          <c:yVal>
            <c:numRef>
              <c:f>Gini_2018!$G$301:$G$312</c:f>
              <c:numCache>
                <c:formatCode>0.00</c:formatCode>
                <c:ptCount val="12"/>
                <c:pt idx="0">
                  <c:v>0</c:v>
                </c:pt>
                <c:pt idx="1">
                  <c:v>4.3177805010323964E-3</c:v>
                </c:pt>
                <c:pt idx="2">
                  <c:v>1.1007544128936538E-2</c:v>
                </c:pt>
                <c:pt idx="3">
                  <c:v>9.3257271404654674E-2</c:v>
                </c:pt>
                <c:pt idx="4">
                  <c:v>0.10127079145171207</c:v>
                </c:pt>
                <c:pt idx="5">
                  <c:v>0.2201208261836036</c:v>
                </c:pt>
                <c:pt idx="6">
                  <c:v>0.23630569086300149</c:v>
                </c:pt>
                <c:pt idx="7">
                  <c:v>0.24312177618043188</c:v>
                </c:pt>
                <c:pt idx="8">
                  <c:v>0.68139517761302892</c:v>
                </c:pt>
                <c:pt idx="9">
                  <c:v>0.88327904972428994</c:v>
                </c:pt>
                <c:pt idx="10">
                  <c:v>0.92246382695219209</c:v>
                </c:pt>
                <c:pt idx="11">
                  <c:v>1.0000000000000002</c:v>
                </c:pt>
              </c:numCache>
            </c:numRef>
          </c:yVal>
          <c:smooth val="0"/>
          <c:extLst>
            <c:ext xmlns:c16="http://schemas.microsoft.com/office/drawing/2014/chart" uri="{C3380CC4-5D6E-409C-BE32-E72D297353CC}">
              <c16:uniqueId val="{00000002-3A85-4281-8CF2-99ED8CF39870}"/>
            </c:ext>
          </c:extLst>
        </c:ser>
        <c:ser>
          <c:idx val="2"/>
          <c:order val="2"/>
          <c:tx>
            <c:v>Population</c:v>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Gini_2018!$H$261:$H$272</c:f>
              <c:numCache>
                <c:formatCode>0.00</c:formatCode>
                <c:ptCount val="12"/>
                <c:pt idx="0">
                  <c:v>0</c:v>
                </c:pt>
                <c:pt idx="1">
                  <c:v>2.3065200054977395E-2</c:v>
                </c:pt>
                <c:pt idx="2">
                  <c:v>3.7553050896689547E-2</c:v>
                </c:pt>
                <c:pt idx="3">
                  <c:v>0.35138764372328968</c:v>
                </c:pt>
                <c:pt idx="4">
                  <c:v>0.35621072640357382</c:v>
                </c:pt>
                <c:pt idx="5">
                  <c:v>0.5028814479462036</c:v>
                </c:pt>
                <c:pt idx="6">
                  <c:v>0.57668966791416976</c:v>
                </c:pt>
                <c:pt idx="7">
                  <c:v>0.61940746720122541</c:v>
                </c:pt>
                <c:pt idx="8">
                  <c:v>0.75766794322689757</c:v>
                </c:pt>
                <c:pt idx="9">
                  <c:v>0.79843924336905425</c:v>
                </c:pt>
                <c:pt idx="10">
                  <c:v>0.8432872278487642</c:v>
                </c:pt>
                <c:pt idx="11">
                  <c:v>1</c:v>
                </c:pt>
              </c:numCache>
            </c:numRef>
          </c:xVal>
          <c:yVal>
            <c:numRef>
              <c:f>Gini_2018!$G$261:$G$272</c:f>
              <c:numCache>
                <c:formatCode>0.00</c:formatCode>
                <c:ptCount val="12"/>
                <c:pt idx="0">
                  <c:v>0</c:v>
                </c:pt>
                <c:pt idx="1">
                  <c:v>2.3065200054977395E-2</c:v>
                </c:pt>
                <c:pt idx="2">
                  <c:v>3.7553050896689547E-2</c:v>
                </c:pt>
                <c:pt idx="3">
                  <c:v>0.35138764372328968</c:v>
                </c:pt>
                <c:pt idx="4">
                  <c:v>0.35621072640357382</c:v>
                </c:pt>
                <c:pt idx="5">
                  <c:v>0.5028814479462036</c:v>
                </c:pt>
                <c:pt idx="6">
                  <c:v>0.57668966791416976</c:v>
                </c:pt>
                <c:pt idx="7">
                  <c:v>0.61940746720122541</c:v>
                </c:pt>
                <c:pt idx="8">
                  <c:v>0.75766794322689757</c:v>
                </c:pt>
                <c:pt idx="9">
                  <c:v>0.79843924336905425</c:v>
                </c:pt>
                <c:pt idx="10">
                  <c:v>0.8432872278487642</c:v>
                </c:pt>
                <c:pt idx="11">
                  <c:v>1</c:v>
                </c:pt>
              </c:numCache>
            </c:numRef>
          </c:yVal>
          <c:smooth val="0"/>
          <c:extLst>
            <c:ext xmlns:c16="http://schemas.microsoft.com/office/drawing/2014/chart" uri="{C3380CC4-5D6E-409C-BE32-E72D297353CC}">
              <c16:uniqueId val="{00000003-3A85-4281-8CF2-99ED8CF39870}"/>
            </c:ext>
          </c:extLst>
        </c:ser>
        <c:ser>
          <c:idx val="3"/>
          <c:order val="3"/>
          <c:tx>
            <c:v>Cropland area</c:v>
          </c:tx>
          <c:spPr>
            <a:ln w="19050" cap="rnd">
              <a:solidFill>
                <a:schemeClr val="accent4"/>
              </a:solidFill>
              <a:round/>
            </a:ln>
            <a:effectLst/>
          </c:spPr>
          <c:marker>
            <c:symbol val="circle"/>
            <c:size val="5"/>
            <c:spPr>
              <a:solidFill>
                <a:schemeClr val="accent4"/>
              </a:solidFill>
              <a:ln w="9525">
                <a:solidFill>
                  <a:schemeClr val="accent4"/>
                </a:solidFill>
              </a:ln>
              <a:effectLst/>
            </c:spPr>
          </c:marker>
          <c:xVal>
            <c:numRef>
              <c:f>Gini_2018!$H$281:$H$292</c:f>
              <c:numCache>
                <c:formatCode>0.00</c:formatCode>
                <c:ptCount val="12"/>
                <c:pt idx="0">
                  <c:v>0</c:v>
                </c:pt>
                <c:pt idx="1">
                  <c:v>1.3686107021111144E-2</c:v>
                </c:pt>
                <c:pt idx="2">
                  <c:v>2.1989193322657197E-2</c:v>
                </c:pt>
                <c:pt idx="3">
                  <c:v>8.3569604051158444E-2</c:v>
                </c:pt>
                <c:pt idx="4">
                  <c:v>9.2220408138928928E-2</c:v>
                </c:pt>
                <c:pt idx="5">
                  <c:v>0.3655962467409829</c:v>
                </c:pt>
                <c:pt idx="6">
                  <c:v>0.42864599318730595</c:v>
                </c:pt>
                <c:pt idx="7">
                  <c:v>0.45184315567448069</c:v>
                </c:pt>
                <c:pt idx="8">
                  <c:v>0.77905272953106874</c:v>
                </c:pt>
                <c:pt idx="9">
                  <c:v>0.79440781282785866</c:v>
                </c:pt>
                <c:pt idx="10">
                  <c:v>0.87330762975134069</c:v>
                </c:pt>
                <c:pt idx="11">
                  <c:v>1.0000000000000002</c:v>
                </c:pt>
              </c:numCache>
            </c:numRef>
          </c:xVal>
          <c:yVal>
            <c:numRef>
              <c:f>Gini_2018!$G$281:$G$292</c:f>
              <c:numCache>
                <c:formatCode>0.00</c:formatCode>
                <c:ptCount val="12"/>
                <c:pt idx="0">
                  <c:v>0</c:v>
                </c:pt>
                <c:pt idx="1">
                  <c:v>1.3686107021111147E-2</c:v>
                </c:pt>
                <c:pt idx="2">
                  <c:v>2.1989193322657204E-2</c:v>
                </c:pt>
                <c:pt idx="3">
                  <c:v>8.3569604051158472E-2</c:v>
                </c:pt>
                <c:pt idx="4">
                  <c:v>9.2220408138928955E-2</c:v>
                </c:pt>
                <c:pt idx="5">
                  <c:v>0.36559624674098301</c:v>
                </c:pt>
                <c:pt idx="6">
                  <c:v>0.42864599318730606</c:v>
                </c:pt>
                <c:pt idx="7">
                  <c:v>0.4518431556744808</c:v>
                </c:pt>
                <c:pt idx="8">
                  <c:v>0.77905272953106885</c:v>
                </c:pt>
                <c:pt idx="9">
                  <c:v>0.79440781282785877</c:v>
                </c:pt>
                <c:pt idx="10">
                  <c:v>0.8733076297513408</c:v>
                </c:pt>
                <c:pt idx="11">
                  <c:v>1.0000000000000002</c:v>
                </c:pt>
              </c:numCache>
            </c:numRef>
          </c:yVal>
          <c:smooth val="0"/>
          <c:extLst>
            <c:ext xmlns:c16="http://schemas.microsoft.com/office/drawing/2014/chart" uri="{C3380CC4-5D6E-409C-BE32-E72D297353CC}">
              <c16:uniqueId val="{00000004-3A85-4281-8CF2-99ED8CF39870}"/>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t>
                </a:r>
                <a:r>
                  <a:rPr lang="en-US" sz="1000" b="0" i="0" u="none" strike="noStrike" baseline="0">
                    <a:effectLst/>
                  </a:rPr>
                  <a:t>Criteria</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 </a:t>
                </a:r>
                <a:r>
                  <a:rPr lang="en-US" sz="1000" b="0" i="0" u="none" strike="noStrike" baseline="0">
                    <a:effectLst/>
                  </a:rPr>
                  <a:t>variables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layout>
        <c:manualLayout>
          <c:xMode val="edge"/>
          <c:yMode val="edge"/>
          <c:x val="0.76096098456680483"/>
          <c:y val="0.37252908651711203"/>
          <c:w val="0.21600121632914054"/>
          <c:h val="0.2846145983027157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GB" sz="1400" b="0" i="0" u="none" strike="noStrike" kern="1200" spc="0" baseline="0">
                <a:solidFill>
                  <a:srgbClr val="000000">
                    <a:lumMod val="65000"/>
                    <a:lumOff val="35000"/>
                  </a:srgbClr>
                </a:solidFill>
                <a:latin typeface="+mn-lt"/>
                <a:ea typeface="+mn-ea"/>
                <a:cs typeface="+mn-cs"/>
              </a:defRPr>
            </a:pPr>
            <a:r>
              <a:rPr lang="en-GB" sz="1400" b="0" i="0" u="none" strike="noStrike" kern="1200" spc="0" baseline="0">
                <a:solidFill>
                  <a:srgbClr val="000000">
                    <a:lumMod val="65000"/>
                    <a:lumOff val="35000"/>
                  </a:srgbClr>
                </a:solidFill>
                <a:latin typeface="+mn-lt"/>
                <a:ea typeface="+mn-ea"/>
                <a:cs typeface="+mn-cs"/>
              </a:rPr>
              <a:t>Population (M) 2010-2018</a:t>
            </a:r>
          </a:p>
        </c:rich>
      </c:tx>
      <c:overlay val="0"/>
      <c:spPr>
        <a:noFill/>
        <a:ln>
          <a:noFill/>
        </a:ln>
        <a:effectLst/>
      </c:spPr>
      <c:txPr>
        <a:bodyPr rot="0" spcFirstLastPara="1" vertOverflow="ellipsis" vert="horz" wrap="square" anchor="ctr" anchorCtr="1"/>
        <a:lstStyle/>
        <a:p>
          <a:pPr>
            <a:defRPr lang="en-GB" sz="1400" b="0" i="0" u="none" strike="noStrike" kern="1200" spc="0" baseline="0">
              <a:solidFill>
                <a:srgbClr val="000000">
                  <a:lumMod val="65000"/>
                  <a:lumOff val="35000"/>
                </a:srgbClr>
              </a:solidFill>
              <a:latin typeface="+mn-lt"/>
              <a:ea typeface="+mn-ea"/>
              <a:cs typeface="+mn-cs"/>
            </a:defRPr>
          </a:pPr>
          <a:endParaRPr lang="en-US"/>
        </a:p>
      </c:txPr>
    </c:title>
    <c:autoTitleDeleted val="0"/>
    <c:plotArea>
      <c:layout/>
      <c:lineChart>
        <c:grouping val="standard"/>
        <c:varyColors val="0"/>
        <c:ser>
          <c:idx val="0"/>
          <c:order val="0"/>
          <c:tx>
            <c:v>2010</c:v>
          </c:tx>
          <c:spPr>
            <a:ln w="31750" cap="rnd">
              <a:solidFill>
                <a:schemeClr val="accent1"/>
              </a:solidFill>
              <a:round/>
            </a:ln>
            <a:effectLst/>
          </c:spPr>
          <c:marker>
            <c:symbol val="none"/>
          </c:marker>
          <c:cat>
            <c:strRef>
              <c:f>Utilitarianism!$B$6:$B$16</c:f>
              <c:strCache>
                <c:ptCount val="11"/>
                <c:pt idx="0">
                  <c:v>Burundi</c:v>
                </c:pt>
                <c:pt idx="1">
                  <c:v>DRC</c:v>
                </c:pt>
                <c:pt idx="2">
                  <c:v>Egypt</c:v>
                </c:pt>
                <c:pt idx="3">
                  <c:v>Eritrea</c:v>
                </c:pt>
                <c:pt idx="4">
                  <c:v>Ethiopia</c:v>
                </c:pt>
                <c:pt idx="5">
                  <c:v>Kenya</c:v>
                </c:pt>
                <c:pt idx="6">
                  <c:v>Rwanda</c:v>
                </c:pt>
                <c:pt idx="7">
                  <c:v>Sudan</c:v>
                </c:pt>
                <c:pt idx="8">
                  <c:v>South Sudan</c:v>
                </c:pt>
                <c:pt idx="9">
                  <c:v>Tanzania</c:v>
                </c:pt>
                <c:pt idx="10">
                  <c:v>Uganda</c:v>
                </c:pt>
              </c:strCache>
            </c:strRef>
          </c:cat>
          <c:val>
            <c:numRef>
              <c:f>Utilitarianism!$D$6:$D$16</c:f>
              <c:numCache>
                <c:formatCode>_-* #,##0.0_-;\-* #,##0.0_-;_-* "-"??_-;_-@_-</c:formatCode>
                <c:ptCount val="11"/>
                <c:pt idx="0">
                  <c:v>4.5376418747929925</c:v>
                </c:pt>
                <c:pt idx="1">
                  <c:v>2.8309348591687482</c:v>
                </c:pt>
                <c:pt idx="2">
                  <c:v>69.271813069261029</c:v>
                </c:pt>
                <c:pt idx="3">
                  <c:v>1.1215507094546049</c:v>
                </c:pt>
                <c:pt idx="4">
                  <c:v>29.910739995094342</c:v>
                </c:pt>
                <c:pt idx="5">
                  <c:v>15.757944722787245</c:v>
                </c:pt>
                <c:pt idx="6">
                  <c:v>8.8569452121066199</c:v>
                </c:pt>
                <c:pt idx="7">
                  <c:v>29.117384905391187</c:v>
                </c:pt>
                <c:pt idx="8">
                  <c:v>9.6890374893495448</c:v>
                </c:pt>
                <c:pt idx="9">
                  <c:v>8.9436766609828364</c:v>
                </c:pt>
                <c:pt idx="10">
                  <c:v>30.238653792381729</c:v>
                </c:pt>
              </c:numCache>
            </c:numRef>
          </c:val>
          <c:smooth val="0"/>
          <c:extLst>
            <c:ext xmlns:c16="http://schemas.microsoft.com/office/drawing/2014/chart" uri="{C3380CC4-5D6E-409C-BE32-E72D297353CC}">
              <c16:uniqueId val="{00000000-4955-489C-84C2-81946CE32205}"/>
            </c:ext>
          </c:extLst>
        </c:ser>
        <c:ser>
          <c:idx val="1"/>
          <c:order val="1"/>
          <c:tx>
            <c:v>2011</c:v>
          </c:tx>
          <c:spPr>
            <a:ln w="31750" cap="rnd">
              <a:solidFill>
                <a:schemeClr val="accent2"/>
              </a:solidFill>
              <a:round/>
            </a:ln>
            <a:effectLst/>
          </c:spPr>
          <c:marker>
            <c:symbol val="none"/>
          </c:marker>
          <c:cat>
            <c:strRef>
              <c:f>Utilitarianism!$B$6:$B$16</c:f>
              <c:strCache>
                <c:ptCount val="11"/>
                <c:pt idx="0">
                  <c:v>Burundi</c:v>
                </c:pt>
                <c:pt idx="1">
                  <c:v>DRC</c:v>
                </c:pt>
                <c:pt idx="2">
                  <c:v>Egypt</c:v>
                </c:pt>
                <c:pt idx="3">
                  <c:v>Eritrea</c:v>
                </c:pt>
                <c:pt idx="4">
                  <c:v>Ethiopia</c:v>
                </c:pt>
                <c:pt idx="5">
                  <c:v>Kenya</c:v>
                </c:pt>
                <c:pt idx="6">
                  <c:v>Rwanda</c:v>
                </c:pt>
                <c:pt idx="7">
                  <c:v>Sudan</c:v>
                </c:pt>
                <c:pt idx="8">
                  <c:v>South Sudan</c:v>
                </c:pt>
                <c:pt idx="9">
                  <c:v>Tanzania</c:v>
                </c:pt>
                <c:pt idx="10">
                  <c:v>Uganda</c:v>
                </c:pt>
              </c:strCache>
            </c:strRef>
          </c:cat>
          <c:val>
            <c:numRef>
              <c:f>Utilitarianism!$E$6:$E$16</c:f>
              <c:numCache>
                <c:formatCode>_-* #,##0.0_-;\-* #,##0.0_-;_-* "-"??_-;_-@_-</c:formatCode>
                <c:ptCount val="11"/>
                <c:pt idx="0">
                  <c:v>4.6792163012865338</c:v>
                </c:pt>
                <c:pt idx="1">
                  <c:v>2.9212416811762312</c:v>
                </c:pt>
                <c:pt idx="2">
                  <c:v>70.615686242804699</c:v>
                </c:pt>
                <c:pt idx="3">
                  <c:v>1.1373645744579148</c:v>
                </c:pt>
                <c:pt idx="4">
                  <c:v>30.733285344959441</c:v>
                </c:pt>
                <c:pt idx="5">
                  <c:v>16.117225862466793</c:v>
                </c:pt>
                <c:pt idx="6">
                  <c:v>9.0854543985789711</c:v>
                </c:pt>
                <c:pt idx="7">
                  <c:v>29.822025620101655</c:v>
                </c:pt>
                <c:pt idx="8">
                  <c:v>9.8043370354728054</c:v>
                </c:pt>
                <c:pt idx="9">
                  <c:v>9.2101982254801253</c:v>
                </c:pt>
                <c:pt idx="10">
                  <c:v>31.242577098288798</c:v>
                </c:pt>
              </c:numCache>
            </c:numRef>
          </c:val>
          <c:smooth val="0"/>
          <c:extLst>
            <c:ext xmlns:c16="http://schemas.microsoft.com/office/drawing/2014/chart" uri="{C3380CC4-5D6E-409C-BE32-E72D297353CC}">
              <c16:uniqueId val="{00000001-4955-489C-84C2-81946CE32205}"/>
            </c:ext>
          </c:extLst>
        </c:ser>
        <c:ser>
          <c:idx val="2"/>
          <c:order val="2"/>
          <c:tx>
            <c:v>2012</c:v>
          </c:tx>
          <c:spPr>
            <a:ln w="31750" cap="rnd">
              <a:solidFill>
                <a:schemeClr val="accent3"/>
              </a:solidFill>
              <a:round/>
            </a:ln>
            <a:effectLst/>
          </c:spPr>
          <c:marker>
            <c:symbol val="none"/>
          </c:marker>
          <c:cat>
            <c:strRef>
              <c:f>Utilitarianism!$B$6:$B$16</c:f>
              <c:strCache>
                <c:ptCount val="11"/>
                <c:pt idx="0">
                  <c:v>Burundi</c:v>
                </c:pt>
                <c:pt idx="1">
                  <c:v>DRC</c:v>
                </c:pt>
                <c:pt idx="2">
                  <c:v>Egypt</c:v>
                </c:pt>
                <c:pt idx="3">
                  <c:v>Eritrea</c:v>
                </c:pt>
                <c:pt idx="4">
                  <c:v>Ethiopia</c:v>
                </c:pt>
                <c:pt idx="5">
                  <c:v>Kenya</c:v>
                </c:pt>
                <c:pt idx="6">
                  <c:v>Rwanda</c:v>
                </c:pt>
                <c:pt idx="7">
                  <c:v>Sudan</c:v>
                </c:pt>
                <c:pt idx="8">
                  <c:v>South Sudan</c:v>
                </c:pt>
                <c:pt idx="9">
                  <c:v>Tanzania</c:v>
                </c:pt>
                <c:pt idx="10">
                  <c:v>Uganda</c:v>
                </c:pt>
              </c:strCache>
            </c:strRef>
          </c:cat>
          <c:val>
            <c:numRef>
              <c:f>Utilitarianism!$F$6:$F$16</c:f>
              <c:numCache>
                <c:formatCode>_-* #,##0.0_-;\-* #,##0.0_-;_-* "-"??_-;_-@_-</c:formatCode>
                <c:ptCount val="11"/>
                <c:pt idx="0">
                  <c:v>4.8252078498866728</c:v>
                </c:pt>
                <c:pt idx="1">
                  <c:v>3.0144292908057531</c:v>
                </c:pt>
                <c:pt idx="2">
                  <c:v>71.985630555915122</c:v>
                </c:pt>
                <c:pt idx="3">
                  <c:v>1.1534014149577714</c:v>
                </c:pt>
                <c:pt idx="4">
                  <c:v>31.578450691945829</c:v>
                </c:pt>
                <c:pt idx="5">
                  <c:v>16.484698612131034</c:v>
                </c:pt>
                <c:pt idx="6">
                  <c:v>9.3198591220623097</c:v>
                </c:pt>
                <c:pt idx="7">
                  <c:v>30.543718640108114</c:v>
                </c:pt>
                <c:pt idx="8">
                  <c:v>9.9210086461949327</c:v>
                </c:pt>
                <c:pt idx="9">
                  <c:v>9.4846621325994338</c:v>
                </c:pt>
                <c:pt idx="10">
                  <c:v>32.279830657951983</c:v>
                </c:pt>
              </c:numCache>
            </c:numRef>
          </c:val>
          <c:smooth val="0"/>
          <c:extLst>
            <c:ext xmlns:c16="http://schemas.microsoft.com/office/drawing/2014/chart" uri="{C3380CC4-5D6E-409C-BE32-E72D297353CC}">
              <c16:uniqueId val="{00000002-4955-489C-84C2-81946CE32205}"/>
            </c:ext>
          </c:extLst>
        </c:ser>
        <c:ser>
          <c:idx val="3"/>
          <c:order val="3"/>
          <c:tx>
            <c:v>2013</c:v>
          </c:tx>
          <c:spPr>
            <a:ln w="31750" cap="rnd">
              <a:solidFill>
                <a:schemeClr val="accent4"/>
              </a:solidFill>
              <a:round/>
            </a:ln>
            <a:effectLst/>
          </c:spPr>
          <c:marker>
            <c:symbol val="none"/>
          </c:marker>
          <c:cat>
            <c:strRef>
              <c:f>Utilitarianism!$B$6:$B$16</c:f>
              <c:strCache>
                <c:ptCount val="11"/>
                <c:pt idx="0">
                  <c:v>Burundi</c:v>
                </c:pt>
                <c:pt idx="1">
                  <c:v>DRC</c:v>
                </c:pt>
                <c:pt idx="2">
                  <c:v>Egypt</c:v>
                </c:pt>
                <c:pt idx="3">
                  <c:v>Eritrea</c:v>
                </c:pt>
                <c:pt idx="4">
                  <c:v>Ethiopia</c:v>
                </c:pt>
                <c:pt idx="5">
                  <c:v>Kenya</c:v>
                </c:pt>
                <c:pt idx="6">
                  <c:v>Rwanda</c:v>
                </c:pt>
                <c:pt idx="7">
                  <c:v>Sudan</c:v>
                </c:pt>
                <c:pt idx="8">
                  <c:v>South Sudan</c:v>
                </c:pt>
                <c:pt idx="9">
                  <c:v>Tanzania</c:v>
                </c:pt>
                <c:pt idx="10">
                  <c:v>Uganda</c:v>
                </c:pt>
              </c:strCache>
            </c:strRef>
          </c:cat>
          <c:val>
            <c:numRef>
              <c:f>Utilitarianism!$G$6:$G$16</c:f>
              <c:numCache>
                <c:formatCode>_-* #,##0.0_-;\-* #,##0.0_-;_-* "-"??_-;_-@_-</c:formatCode>
                <c:ptCount val="11"/>
                <c:pt idx="0">
                  <c:v>4.9757543348031366</c:v>
                </c:pt>
                <c:pt idx="1">
                  <c:v>3.1105895851824568</c:v>
                </c:pt>
                <c:pt idx="2">
                  <c:v>73.382151788699886</c:v>
                </c:pt>
                <c:pt idx="3">
                  <c:v>1.1696643749086759</c:v>
                </c:pt>
                <c:pt idx="4">
                  <c:v>32.446858085974341</c:v>
                </c:pt>
                <c:pt idx="5">
                  <c:v>16.86054974048762</c:v>
                </c:pt>
                <c:pt idx="6">
                  <c:v>9.5603114874115178</c:v>
                </c:pt>
                <c:pt idx="7">
                  <c:v>31.282876631198732</c:v>
                </c:pt>
                <c:pt idx="8">
                  <c:v>10.039068649084653</c:v>
                </c:pt>
                <c:pt idx="9">
                  <c:v>9.7673050641508965</c:v>
                </c:pt>
                <c:pt idx="10">
                  <c:v>33.351521035795983</c:v>
                </c:pt>
              </c:numCache>
            </c:numRef>
          </c:val>
          <c:smooth val="0"/>
          <c:extLst>
            <c:ext xmlns:c16="http://schemas.microsoft.com/office/drawing/2014/chart" uri="{C3380CC4-5D6E-409C-BE32-E72D297353CC}">
              <c16:uniqueId val="{00000003-4955-489C-84C2-81946CE32205}"/>
            </c:ext>
          </c:extLst>
        </c:ser>
        <c:ser>
          <c:idx val="4"/>
          <c:order val="4"/>
          <c:tx>
            <c:v>2014</c:v>
          </c:tx>
          <c:spPr>
            <a:ln w="31750" cap="rnd">
              <a:solidFill>
                <a:schemeClr val="accent5"/>
              </a:solidFill>
              <a:round/>
            </a:ln>
            <a:effectLst/>
          </c:spPr>
          <c:marker>
            <c:symbol val="none"/>
          </c:marker>
          <c:cat>
            <c:strRef>
              <c:f>Utilitarianism!$B$6:$B$16</c:f>
              <c:strCache>
                <c:ptCount val="11"/>
                <c:pt idx="0">
                  <c:v>Burundi</c:v>
                </c:pt>
                <c:pt idx="1">
                  <c:v>DRC</c:v>
                </c:pt>
                <c:pt idx="2">
                  <c:v>Egypt</c:v>
                </c:pt>
                <c:pt idx="3">
                  <c:v>Eritrea</c:v>
                </c:pt>
                <c:pt idx="4">
                  <c:v>Ethiopia</c:v>
                </c:pt>
                <c:pt idx="5">
                  <c:v>Kenya</c:v>
                </c:pt>
                <c:pt idx="6">
                  <c:v>Rwanda</c:v>
                </c:pt>
                <c:pt idx="7">
                  <c:v>Sudan</c:v>
                </c:pt>
                <c:pt idx="8">
                  <c:v>South Sudan</c:v>
                </c:pt>
                <c:pt idx="9">
                  <c:v>Tanzania</c:v>
                </c:pt>
                <c:pt idx="10">
                  <c:v>Uganda</c:v>
                </c:pt>
              </c:strCache>
            </c:strRef>
          </c:cat>
          <c:val>
            <c:numRef>
              <c:f>Utilitarianism!$H$6:$H$16</c:f>
              <c:numCache>
                <c:formatCode>_-* #,##0.0_-;\-* #,##0.0_-;_-* "-"??_-;_-@_-</c:formatCode>
                <c:ptCount val="11"/>
                <c:pt idx="0">
                  <c:v>5.1309978700489935</c:v>
                </c:pt>
                <c:pt idx="1">
                  <c:v>3.2098173929497773</c:v>
                </c:pt>
                <c:pt idx="2">
                  <c:v>74.805765533400674</c:v>
                </c:pt>
                <c:pt idx="3">
                  <c:v>1.1861566425948882</c:v>
                </c:pt>
                <c:pt idx="4">
                  <c:v>33.33914668333864</c:v>
                </c:pt>
                <c:pt idx="5">
                  <c:v>17.244970274570736</c:v>
                </c:pt>
                <c:pt idx="6">
                  <c:v>9.8069675237867351</c:v>
                </c:pt>
                <c:pt idx="7">
                  <c:v>32.039922245673743</c:v>
                </c:pt>
                <c:pt idx="8">
                  <c:v>10.15853356600876</c:v>
                </c:pt>
                <c:pt idx="9">
                  <c:v>10.058370755062594</c:v>
                </c:pt>
                <c:pt idx="10">
                  <c:v>34.458791534184407</c:v>
                </c:pt>
              </c:numCache>
            </c:numRef>
          </c:val>
          <c:smooth val="0"/>
          <c:extLst>
            <c:ext xmlns:c16="http://schemas.microsoft.com/office/drawing/2014/chart" uri="{C3380CC4-5D6E-409C-BE32-E72D297353CC}">
              <c16:uniqueId val="{00000004-4955-489C-84C2-81946CE32205}"/>
            </c:ext>
          </c:extLst>
        </c:ser>
        <c:ser>
          <c:idx val="5"/>
          <c:order val="5"/>
          <c:tx>
            <c:v>2015</c:v>
          </c:tx>
          <c:spPr>
            <a:ln w="31750" cap="rnd">
              <a:solidFill>
                <a:schemeClr val="accent6"/>
              </a:solidFill>
              <a:round/>
            </a:ln>
            <a:effectLst/>
          </c:spPr>
          <c:marker>
            <c:symbol val="none"/>
          </c:marker>
          <c:cat>
            <c:strRef>
              <c:f>Utilitarianism!$B$6:$B$16</c:f>
              <c:strCache>
                <c:ptCount val="11"/>
                <c:pt idx="0">
                  <c:v>Burundi</c:v>
                </c:pt>
                <c:pt idx="1">
                  <c:v>DRC</c:v>
                </c:pt>
                <c:pt idx="2">
                  <c:v>Egypt</c:v>
                </c:pt>
                <c:pt idx="3">
                  <c:v>Eritrea</c:v>
                </c:pt>
                <c:pt idx="4">
                  <c:v>Ethiopia</c:v>
                </c:pt>
                <c:pt idx="5">
                  <c:v>Kenya</c:v>
                </c:pt>
                <c:pt idx="6">
                  <c:v>Rwanda</c:v>
                </c:pt>
                <c:pt idx="7">
                  <c:v>Sudan</c:v>
                </c:pt>
                <c:pt idx="8">
                  <c:v>South Sudan</c:v>
                </c:pt>
                <c:pt idx="9">
                  <c:v>Tanzania</c:v>
                </c:pt>
                <c:pt idx="10">
                  <c:v>Uganda</c:v>
                </c:pt>
              </c:strCache>
            </c:strRef>
          </c:cat>
          <c:val>
            <c:numRef>
              <c:f>Utilitarianism!$I$6:$I$16</c:f>
              <c:numCache>
                <c:formatCode>_-* #,##0.0_-;\-* #,##0.0_-;_-* "-"??_-;_-@_-</c:formatCode>
                <c:ptCount val="11"/>
                <c:pt idx="0">
                  <c:v>5.2910850035945218</c:v>
                </c:pt>
                <c:pt idx="1">
                  <c:v>3.3122105677848754</c:v>
                </c:pt>
                <c:pt idx="2">
                  <c:v>76.256997384748658</c:v>
                </c:pt>
                <c:pt idx="3">
                  <c:v>1.2028814512554762</c:v>
                </c:pt>
                <c:pt idx="4">
                  <c:v>34.255973217130453</c:v>
                </c:pt>
                <c:pt idx="5">
                  <c:v>17.638155596830948</c:v>
                </c:pt>
                <c:pt idx="6">
                  <c:v>10.059987285900434</c:v>
                </c:pt>
                <c:pt idx="7">
                  <c:v>32.815288364019047</c:v>
                </c:pt>
                <c:pt idx="8">
                  <c:v>10.279420115444264</c:v>
                </c:pt>
                <c:pt idx="9">
                  <c:v>10.358110203563459</c:v>
                </c:pt>
                <c:pt idx="10">
                  <c:v>35.602823413119324</c:v>
                </c:pt>
              </c:numCache>
            </c:numRef>
          </c:val>
          <c:smooth val="0"/>
          <c:extLst>
            <c:ext xmlns:c16="http://schemas.microsoft.com/office/drawing/2014/chart" uri="{C3380CC4-5D6E-409C-BE32-E72D297353CC}">
              <c16:uniqueId val="{00000005-4955-489C-84C2-81946CE32205}"/>
            </c:ext>
          </c:extLst>
        </c:ser>
        <c:ser>
          <c:idx val="6"/>
          <c:order val="6"/>
          <c:tx>
            <c:v>2016</c:v>
          </c:tx>
          <c:spPr>
            <a:ln w="31750" cap="rnd">
              <a:solidFill>
                <a:schemeClr val="accent1">
                  <a:lumMod val="60000"/>
                </a:schemeClr>
              </a:solidFill>
              <a:round/>
            </a:ln>
            <a:effectLst/>
          </c:spPr>
          <c:marker>
            <c:symbol val="none"/>
          </c:marker>
          <c:cat>
            <c:strRef>
              <c:f>Utilitarianism!$B$6:$B$16</c:f>
              <c:strCache>
                <c:ptCount val="11"/>
                <c:pt idx="0">
                  <c:v>Burundi</c:v>
                </c:pt>
                <c:pt idx="1">
                  <c:v>DRC</c:v>
                </c:pt>
                <c:pt idx="2">
                  <c:v>Egypt</c:v>
                </c:pt>
                <c:pt idx="3">
                  <c:v>Eritrea</c:v>
                </c:pt>
                <c:pt idx="4">
                  <c:v>Ethiopia</c:v>
                </c:pt>
                <c:pt idx="5">
                  <c:v>Kenya</c:v>
                </c:pt>
                <c:pt idx="6">
                  <c:v>Rwanda</c:v>
                </c:pt>
                <c:pt idx="7">
                  <c:v>Sudan</c:v>
                </c:pt>
                <c:pt idx="8">
                  <c:v>South Sudan</c:v>
                </c:pt>
                <c:pt idx="9">
                  <c:v>Tanzania</c:v>
                </c:pt>
                <c:pt idx="10">
                  <c:v>Uganda</c:v>
                </c:pt>
              </c:strCache>
            </c:strRef>
          </c:cat>
          <c:val>
            <c:numRef>
              <c:f>Utilitarianism!$J$6:$J$16</c:f>
              <c:numCache>
                <c:formatCode>_-* #,##0.0_-;\-* #,##0.0_-;_-* "-"??_-;_-@_-</c:formatCode>
                <c:ptCount val="11"/>
                <c:pt idx="0">
                  <c:v>5.4561668557066705</c:v>
                </c:pt>
                <c:pt idx="1">
                  <c:v>3.417870084897213</c:v>
                </c:pt>
                <c:pt idx="2">
                  <c:v>77.736383134012783</c:v>
                </c:pt>
                <c:pt idx="3">
                  <c:v>1.2198420797181784</c:v>
                </c:pt>
                <c:pt idx="4">
                  <c:v>35.198012480601541</c:v>
                </c:pt>
                <c:pt idx="5">
                  <c:v>18.040305544438691</c:v>
                </c:pt>
                <c:pt idx="6">
                  <c:v>10.319534957876666</c:v>
                </c:pt>
                <c:pt idx="7">
                  <c:v>33.609418342428306</c:v>
                </c:pt>
                <c:pt idx="8">
                  <c:v>10.401745214818051</c:v>
                </c:pt>
                <c:pt idx="9">
                  <c:v>10.66678188762965</c:v>
                </c:pt>
                <c:pt idx="10">
                  <c:v>36.784837150434882</c:v>
                </c:pt>
              </c:numCache>
            </c:numRef>
          </c:val>
          <c:smooth val="0"/>
          <c:extLst>
            <c:ext xmlns:c16="http://schemas.microsoft.com/office/drawing/2014/chart" uri="{C3380CC4-5D6E-409C-BE32-E72D297353CC}">
              <c16:uniqueId val="{00000006-4955-489C-84C2-81946CE32205}"/>
            </c:ext>
          </c:extLst>
        </c:ser>
        <c:ser>
          <c:idx val="7"/>
          <c:order val="7"/>
          <c:tx>
            <c:v>2017</c:v>
          </c:tx>
          <c:spPr>
            <a:ln w="31750" cap="rnd">
              <a:solidFill>
                <a:schemeClr val="accent2">
                  <a:lumMod val="60000"/>
                </a:schemeClr>
              </a:solidFill>
              <a:round/>
            </a:ln>
            <a:effectLst/>
          </c:spPr>
          <c:marker>
            <c:symbol val="none"/>
          </c:marker>
          <c:cat>
            <c:strRef>
              <c:f>Utilitarianism!$B$6:$B$16</c:f>
              <c:strCache>
                <c:ptCount val="11"/>
                <c:pt idx="0">
                  <c:v>Burundi</c:v>
                </c:pt>
                <c:pt idx="1">
                  <c:v>DRC</c:v>
                </c:pt>
                <c:pt idx="2">
                  <c:v>Egypt</c:v>
                </c:pt>
                <c:pt idx="3">
                  <c:v>Eritrea</c:v>
                </c:pt>
                <c:pt idx="4">
                  <c:v>Ethiopia</c:v>
                </c:pt>
                <c:pt idx="5">
                  <c:v>Kenya</c:v>
                </c:pt>
                <c:pt idx="6">
                  <c:v>Rwanda</c:v>
                </c:pt>
                <c:pt idx="7">
                  <c:v>Sudan</c:v>
                </c:pt>
                <c:pt idx="8">
                  <c:v>South Sudan</c:v>
                </c:pt>
                <c:pt idx="9">
                  <c:v>Tanzania</c:v>
                </c:pt>
                <c:pt idx="10">
                  <c:v>Uganda</c:v>
                </c:pt>
              </c:strCache>
            </c:strRef>
          </c:cat>
          <c:val>
            <c:numRef>
              <c:f>Utilitarianism!$K$6:$K$16</c:f>
              <c:numCache>
                <c:formatCode>_-* #,##0.0_-;\-* #,##0.0_-;_-* "-"??_-;_-@_-</c:formatCode>
                <c:ptCount val="11"/>
                <c:pt idx="0">
                  <c:v>5.6263992616047176</c:v>
                </c:pt>
                <c:pt idx="1">
                  <c:v>3.5269001406054343</c:v>
                </c:pt>
                <c:pt idx="2">
                  <c:v>79.244468966812633</c:v>
                </c:pt>
                <c:pt idx="3">
                  <c:v>1.2370418530422047</c:v>
                </c:pt>
                <c:pt idx="4">
                  <c:v>36.16595782381809</c:v>
                </c:pt>
                <c:pt idx="5">
                  <c:v>18.451624510851893</c:v>
                </c:pt>
                <c:pt idx="6">
                  <c:v>10.585778959789884</c:v>
                </c:pt>
                <c:pt idx="7">
                  <c:v>34.422766266315072</c:v>
                </c:pt>
                <c:pt idx="8">
                  <c:v>10.525525982874386</c:v>
                </c:pt>
                <c:pt idx="9">
                  <c:v>10.984651987881014</c:v>
                </c:pt>
                <c:pt idx="10">
                  <c:v>38.006093743829318</c:v>
                </c:pt>
              </c:numCache>
            </c:numRef>
          </c:val>
          <c:smooth val="0"/>
          <c:extLst>
            <c:ext xmlns:c16="http://schemas.microsoft.com/office/drawing/2014/chart" uri="{C3380CC4-5D6E-409C-BE32-E72D297353CC}">
              <c16:uniqueId val="{00000007-4955-489C-84C2-81946CE32205}"/>
            </c:ext>
          </c:extLst>
        </c:ser>
        <c:ser>
          <c:idx val="8"/>
          <c:order val="8"/>
          <c:tx>
            <c:v>2018</c:v>
          </c:tx>
          <c:spPr>
            <a:ln w="31750" cap="rnd">
              <a:solidFill>
                <a:schemeClr val="accent3">
                  <a:lumMod val="60000"/>
                </a:schemeClr>
              </a:solidFill>
              <a:round/>
            </a:ln>
            <a:effectLst/>
          </c:spPr>
          <c:marker>
            <c:symbol val="none"/>
          </c:marker>
          <c:cat>
            <c:strRef>
              <c:f>Utilitarianism!$B$6:$B$16</c:f>
              <c:strCache>
                <c:ptCount val="11"/>
                <c:pt idx="0">
                  <c:v>Burundi</c:v>
                </c:pt>
                <c:pt idx="1">
                  <c:v>DRC</c:v>
                </c:pt>
                <c:pt idx="2">
                  <c:v>Egypt</c:v>
                </c:pt>
                <c:pt idx="3">
                  <c:v>Eritrea</c:v>
                </c:pt>
                <c:pt idx="4">
                  <c:v>Ethiopia</c:v>
                </c:pt>
                <c:pt idx="5">
                  <c:v>Kenya</c:v>
                </c:pt>
                <c:pt idx="6">
                  <c:v>Rwanda</c:v>
                </c:pt>
                <c:pt idx="7">
                  <c:v>Sudan</c:v>
                </c:pt>
                <c:pt idx="8">
                  <c:v>South Sudan</c:v>
                </c:pt>
                <c:pt idx="9">
                  <c:v>Tanzania</c:v>
                </c:pt>
                <c:pt idx="10">
                  <c:v>Uganda</c:v>
                </c:pt>
              </c:strCache>
            </c:strRef>
          </c:cat>
          <c:val>
            <c:numRef>
              <c:f>Utilitarianism!$L$6:$L$16</c:f>
              <c:numCache>
                <c:formatCode>_-* #,##0.0_-;\-* #,##0.0_-;_-* "-"??_-;_-@_-</c:formatCode>
                <c:ptCount val="11"/>
                <c:pt idx="0">
                  <c:v>5.8019429185667839</c:v>
                </c:pt>
                <c:pt idx="1">
                  <c:v>3.6394082550907476</c:v>
                </c:pt>
                <c:pt idx="2">
                  <c:v>80.78181166476881</c:v>
                </c:pt>
                <c:pt idx="3">
                  <c:v>1.2544841431700997</c:v>
                </c:pt>
                <c:pt idx="4">
                  <c:v>37.160521663973093</c:v>
                </c:pt>
                <c:pt idx="5">
                  <c:v>18.872321549699315</c:v>
                </c:pt>
                <c:pt idx="6">
                  <c:v>10.858892056952463</c:v>
                </c:pt>
                <c:pt idx="7">
                  <c:v>35.255797209959894</c:v>
                </c:pt>
                <c:pt idx="8">
                  <c:v>10.650779742070592</c:v>
                </c:pt>
                <c:pt idx="9">
                  <c:v>11.311994617119868</c:v>
                </c:pt>
                <c:pt idx="10">
                  <c:v>39.267896056124449</c:v>
                </c:pt>
              </c:numCache>
            </c:numRef>
          </c:val>
          <c:smooth val="0"/>
          <c:extLst>
            <c:ext xmlns:c16="http://schemas.microsoft.com/office/drawing/2014/chart" uri="{C3380CC4-5D6E-409C-BE32-E72D297353CC}">
              <c16:uniqueId val="{00000008-4955-489C-84C2-81946CE32205}"/>
            </c:ext>
          </c:extLst>
        </c:ser>
        <c:dLbls>
          <c:showLegendKey val="0"/>
          <c:showVal val="0"/>
          <c:showCatName val="0"/>
          <c:showSerName val="0"/>
          <c:showPercent val="0"/>
          <c:showBubbleSize val="0"/>
        </c:dLbls>
        <c:smooth val="0"/>
        <c:axId val="904870815"/>
        <c:axId val="1079640351"/>
      </c:lineChart>
      <c:catAx>
        <c:axId val="904870815"/>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079640351"/>
        <c:crosses val="autoZero"/>
        <c:auto val="1"/>
        <c:lblAlgn val="ctr"/>
        <c:lblOffset val="100"/>
        <c:noMultiLvlLbl val="0"/>
      </c:catAx>
      <c:valAx>
        <c:axId val="1079640351"/>
        <c:scaling>
          <c:orientation val="minMax"/>
          <c:max val="90"/>
          <c:min val="0"/>
        </c:scaling>
        <c:delete val="0"/>
        <c:axPos val="l"/>
        <c:majorGridlines>
          <c:spPr>
            <a:ln w="9525" cap="flat" cmpd="sng" algn="ctr">
              <a:solidFill>
                <a:schemeClr val="tx2">
                  <a:lumMod val="15000"/>
                  <a:lumOff val="85000"/>
                </a:schemeClr>
              </a:solidFill>
              <a:round/>
            </a:ln>
            <a:effectLst/>
          </c:spPr>
        </c:majorGridlines>
        <c:numFmt formatCode="_-* #,##0.0_-;\-* #,##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90487081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 available water km3/y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2010</c:v>
          </c:tx>
          <c:spPr>
            <a:ln w="28575" cap="rnd">
              <a:solidFill>
                <a:schemeClr val="accent1"/>
              </a:solidFill>
              <a:round/>
            </a:ln>
            <a:effectLst/>
          </c:spPr>
          <c:marker>
            <c:symbol val="none"/>
          </c:marker>
          <c:cat>
            <c:strRef>
              <c:f>Utilitarianism!$X$5:$X$15</c:f>
              <c:strCache>
                <c:ptCount val="11"/>
                <c:pt idx="0">
                  <c:v> Burundi </c:v>
                </c:pt>
                <c:pt idx="1">
                  <c:v> DRC </c:v>
                </c:pt>
                <c:pt idx="2">
                  <c:v> Egypt </c:v>
                </c:pt>
                <c:pt idx="3">
                  <c:v> Eritrea </c:v>
                </c:pt>
                <c:pt idx="4">
                  <c:v> Ethiopia </c:v>
                </c:pt>
                <c:pt idx="5">
                  <c:v> Kenya </c:v>
                </c:pt>
                <c:pt idx="6">
                  <c:v> Rwanda </c:v>
                </c:pt>
                <c:pt idx="7">
                  <c:v> Sudan </c:v>
                </c:pt>
                <c:pt idx="8">
                  <c:v> South Sudan </c:v>
                </c:pt>
                <c:pt idx="9">
                  <c:v> Tanzania </c:v>
                </c:pt>
                <c:pt idx="10">
                  <c:v> Uganda </c:v>
                </c:pt>
              </c:strCache>
            </c:strRef>
          </c:cat>
          <c:val>
            <c:numRef>
              <c:f>Utilitarianism!$Z$5:$Z$15</c:f>
              <c:numCache>
                <c:formatCode>_-* #,##0_-;\-* #,##0_-;_-* "-"??_-;_-@_-</c:formatCode>
                <c:ptCount val="11"/>
                <c:pt idx="0">
                  <c:v>1.2332552620142447</c:v>
                </c:pt>
                <c:pt idx="1">
                  <c:v>2.4187231998381997</c:v>
                </c:pt>
                <c:pt idx="2">
                  <c:v>56.5</c:v>
                </c:pt>
                <c:pt idx="3">
                  <c:v>3.502514612375089</c:v>
                </c:pt>
                <c:pt idx="4">
                  <c:v>103.97256102695296</c:v>
                </c:pt>
                <c:pt idx="5">
                  <c:v>17.520230893648204</c:v>
                </c:pt>
                <c:pt idx="6">
                  <c:v>7.3584735717562477</c:v>
                </c:pt>
                <c:pt idx="7">
                  <c:v>33.799999999999997</c:v>
                </c:pt>
                <c:pt idx="8">
                  <c:v>23.5</c:v>
                </c:pt>
                <c:pt idx="9">
                  <c:v>23.742632694444477</c:v>
                </c:pt>
                <c:pt idx="10">
                  <c:v>21.1</c:v>
                </c:pt>
              </c:numCache>
            </c:numRef>
          </c:val>
          <c:smooth val="0"/>
          <c:extLst>
            <c:ext xmlns:c16="http://schemas.microsoft.com/office/drawing/2014/chart" uri="{C3380CC4-5D6E-409C-BE32-E72D297353CC}">
              <c16:uniqueId val="{00000000-72C0-4F99-A8A7-7D20BAF6DAE9}"/>
            </c:ext>
          </c:extLst>
        </c:ser>
        <c:ser>
          <c:idx val="1"/>
          <c:order val="1"/>
          <c:tx>
            <c:v>2011</c:v>
          </c:tx>
          <c:spPr>
            <a:ln w="28575" cap="rnd">
              <a:solidFill>
                <a:schemeClr val="accent2"/>
              </a:solidFill>
              <a:round/>
            </a:ln>
            <a:effectLst/>
          </c:spPr>
          <c:marker>
            <c:symbol val="none"/>
          </c:marker>
          <c:cat>
            <c:strRef>
              <c:f>Utilitarianism!$X$5:$X$15</c:f>
              <c:strCache>
                <c:ptCount val="11"/>
                <c:pt idx="0">
                  <c:v> Burundi </c:v>
                </c:pt>
                <c:pt idx="1">
                  <c:v> DRC </c:v>
                </c:pt>
                <c:pt idx="2">
                  <c:v> Egypt </c:v>
                </c:pt>
                <c:pt idx="3">
                  <c:v> Eritrea </c:v>
                </c:pt>
                <c:pt idx="4">
                  <c:v> Ethiopia </c:v>
                </c:pt>
                <c:pt idx="5">
                  <c:v> Kenya </c:v>
                </c:pt>
                <c:pt idx="6">
                  <c:v> Rwanda </c:v>
                </c:pt>
                <c:pt idx="7">
                  <c:v> Sudan </c:v>
                </c:pt>
                <c:pt idx="8">
                  <c:v> South Sudan </c:v>
                </c:pt>
                <c:pt idx="9">
                  <c:v> Tanzania </c:v>
                </c:pt>
                <c:pt idx="10">
                  <c:v> Uganda </c:v>
                </c:pt>
              </c:strCache>
            </c:strRef>
          </c:cat>
          <c:val>
            <c:numRef>
              <c:f>Utilitarianism!$AA$5:$AA$15</c:f>
              <c:numCache>
                <c:formatCode>_-* #,##0_-;\-* #,##0_-;_-* "-"??_-;_-@_-</c:formatCode>
                <c:ptCount val="11"/>
                <c:pt idx="0">
                  <c:v>1.2659744256775787</c:v>
                </c:pt>
                <c:pt idx="1">
                  <c:v>3.8418556888470429E-2</c:v>
                </c:pt>
                <c:pt idx="2">
                  <c:v>56.5</c:v>
                </c:pt>
                <c:pt idx="3">
                  <c:v>0</c:v>
                </c:pt>
                <c:pt idx="4">
                  <c:v>64.093575287693014</c:v>
                </c:pt>
                <c:pt idx="5">
                  <c:v>16.824037840124145</c:v>
                </c:pt>
                <c:pt idx="6">
                  <c:v>7.6439418147629619</c:v>
                </c:pt>
                <c:pt idx="7">
                  <c:v>33.799999999999997</c:v>
                </c:pt>
                <c:pt idx="8">
                  <c:v>23.5</c:v>
                </c:pt>
                <c:pt idx="9">
                  <c:v>41.495772011888072</c:v>
                </c:pt>
                <c:pt idx="10">
                  <c:v>44.910297901754674</c:v>
                </c:pt>
              </c:numCache>
            </c:numRef>
          </c:val>
          <c:smooth val="0"/>
          <c:extLst>
            <c:ext xmlns:c16="http://schemas.microsoft.com/office/drawing/2014/chart" uri="{C3380CC4-5D6E-409C-BE32-E72D297353CC}">
              <c16:uniqueId val="{00000001-72C0-4F99-A8A7-7D20BAF6DAE9}"/>
            </c:ext>
          </c:extLst>
        </c:ser>
        <c:ser>
          <c:idx val="2"/>
          <c:order val="2"/>
          <c:tx>
            <c:v>2012</c:v>
          </c:tx>
          <c:spPr>
            <a:ln w="28575" cap="rnd">
              <a:solidFill>
                <a:schemeClr val="accent3"/>
              </a:solidFill>
              <a:round/>
            </a:ln>
            <a:effectLst/>
          </c:spPr>
          <c:marker>
            <c:symbol val="none"/>
          </c:marker>
          <c:cat>
            <c:strRef>
              <c:f>Utilitarianism!$X$5:$X$15</c:f>
              <c:strCache>
                <c:ptCount val="11"/>
                <c:pt idx="0">
                  <c:v> Burundi </c:v>
                </c:pt>
                <c:pt idx="1">
                  <c:v> DRC </c:v>
                </c:pt>
                <c:pt idx="2">
                  <c:v> Egypt </c:v>
                </c:pt>
                <c:pt idx="3">
                  <c:v> Eritrea </c:v>
                </c:pt>
                <c:pt idx="4">
                  <c:v> Ethiopia </c:v>
                </c:pt>
                <c:pt idx="5">
                  <c:v> Kenya </c:v>
                </c:pt>
                <c:pt idx="6">
                  <c:v> Rwanda </c:v>
                </c:pt>
                <c:pt idx="7">
                  <c:v> Sudan </c:v>
                </c:pt>
                <c:pt idx="8">
                  <c:v> South Sudan </c:v>
                </c:pt>
                <c:pt idx="9">
                  <c:v> Tanzania </c:v>
                </c:pt>
                <c:pt idx="10">
                  <c:v> Uganda </c:v>
                </c:pt>
              </c:strCache>
            </c:strRef>
          </c:cat>
          <c:val>
            <c:numRef>
              <c:f>Utilitarianism!$AB$5:$AB$15</c:f>
              <c:numCache>
                <c:formatCode>_-* #,##0_-;\-* #,##0_-;_-* "-"??_-;_-@_-</c:formatCode>
                <c:ptCount val="11"/>
                <c:pt idx="0">
                  <c:v>0.7693067514792219</c:v>
                </c:pt>
                <c:pt idx="1">
                  <c:v>2.4789683273851866</c:v>
                </c:pt>
                <c:pt idx="2">
                  <c:v>56.5</c:v>
                </c:pt>
                <c:pt idx="3">
                  <c:v>2.9981638556920855</c:v>
                </c:pt>
                <c:pt idx="4">
                  <c:v>108.47973776175608</c:v>
                </c:pt>
                <c:pt idx="5">
                  <c:v>25.321354259396958</c:v>
                </c:pt>
                <c:pt idx="6">
                  <c:v>7.3310475475487973</c:v>
                </c:pt>
                <c:pt idx="7">
                  <c:v>33.799999999999997</c:v>
                </c:pt>
                <c:pt idx="8">
                  <c:v>23.5</c:v>
                </c:pt>
                <c:pt idx="9">
                  <c:v>26.214891117774812</c:v>
                </c:pt>
                <c:pt idx="10">
                  <c:v>69.122346099497079</c:v>
                </c:pt>
              </c:numCache>
            </c:numRef>
          </c:val>
          <c:smooth val="0"/>
          <c:extLst>
            <c:ext xmlns:c16="http://schemas.microsoft.com/office/drawing/2014/chart" uri="{C3380CC4-5D6E-409C-BE32-E72D297353CC}">
              <c16:uniqueId val="{00000002-72C0-4F99-A8A7-7D20BAF6DAE9}"/>
            </c:ext>
          </c:extLst>
        </c:ser>
        <c:ser>
          <c:idx val="3"/>
          <c:order val="3"/>
          <c:tx>
            <c:v>2013</c:v>
          </c:tx>
          <c:spPr>
            <a:ln w="28575" cap="rnd">
              <a:solidFill>
                <a:schemeClr val="accent4"/>
              </a:solidFill>
              <a:round/>
            </a:ln>
            <a:effectLst/>
          </c:spPr>
          <c:marker>
            <c:symbol val="none"/>
          </c:marker>
          <c:cat>
            <c:strRef>
              <c:f>Utilitarianism!$X$5:$X$15</c:f>
              <c:strCache>
                <c:ptCount val="11"/>
                <c:pt idx="0">
                  <c:v> Burundi </c:v>
                </c:pt>
                <c:pt idx="1">
                  <c:v> DRC </c:v>
                </c:pt>
                <c:pt idx="2">
                  <c:v> Egypt </c:v>
                </c:pt>
                <c:pt idx="3">
                  <c:v> Eritrea </c:v>
                </c:pt>
                <c:pt idx="4">
                  <c:v> Ethiopia </c:v>
                </c:pt>
                <c:pt idx="5">
                  <c:v> Kenya </c:v>
                </c:pt>
                <c:pt idx="6">
                  <c:v> Rwanda </c:v>
                </c:pt>
                <c:pt idx="7">
                  <c:v> Sudan </c:v>
                </c:pt>
                <c:pt idx="8">
                  <c:v> South Sudan </c:v>
                </c:pt>
                <c:pt idx="9">
                  <c:v> Tanzania </c:v>
                </c:pt>
                <c:pt idx="10">
                  <c:v> Uganda </c:v>
                </c:pt>
              </c:strCache>
            </c:strRef>
          </c:cat>
          <c:val>
            <c:numRef>
              <c:f>Utilitarianism!$AC$5:$AC$15</c:f>
              <c:numCache>
                <c:formatCode>_-* #,##0_-;\-* #,##0_-;_-* "-"??_-;_-@_-</c:formatCode>
                <c:ptCount val="11"/>
                <c:pt idx="0">
                  <c:v>2.8482081257467033</c:v>
                </c:pt>
                <c:pt idx="1">
                  <c:v>4.4267135247947871E-3</c:v>
                </c:pt>
                <c:pt idx="2">
                  <c:v>56.5</c:v>
                </c:pt>
                <c:pt idx="3">
                  <c:v>0.45743447564730311</c:v>
                </c:pt>
                <c:pt idx="4">
                  <c:v>92.838566818258556</c:v>
                </c:pt>
                <c:pt idx="5">
                  <c:v>15.369887542025644</c:v>
                </c:pt>
                <c:pt idx="6">
                  <c:v>5.7083911264401186</c:v>
                </c:pt>
                <c:pt idx="7">
                  <c:v>33.799999999999997</c:v>
                </c:pt>
                <c:pt idx="8">
                  <c:v>23.5</c:v>
                </c:pt>
                <c:pt idx="9">
                  <c:v>24.613443607903758</c:v>
                </c:pt>
                <c:pt idx="10">
                  <c:v>21.1</c:v>
                </c:pt>
              </c:numCache>
            </c:numRef>
          </c:val>
          <c:smooth val="0"/>
          <c:extLst>
            <c:ext xmlns:c16="http://schemas.microsoft.com/office/drawing/2014/chart" uri="{C3380CC4-5D6E-409C-BE32-E72D297353CC}">
              <c16:uniqueId val="{00000003-72C0-4F99-A8A7-7D20BAF6DAE9}"/>
            </c:ext>
          </c:extLst>
        </c:ser>
        <c:ser>
          <c:idx val="4"/>
          <c:order val="4"/>
          <c:tx>
            <c:v>2014</c:v>
          </c:tx>
          <c:spPr>
            <a:ln w="28575" cap="rnd">
              <a:solidFill>
                <a:schemeClr val="accent5"/>
              </a:solidFill>
              <a:round/>
            </a:ln>
            <a:effectLst/>
          </c:spPr>
          <c:marker>
            <c:symbol val="none"/>
          </c:marker>
          <c:cat>
            <c:strRef>
              <c:f>Utilitarianism!$X$5:$X$15</c:f>
              <c:strCache>
                <c:ptCount val="11"/>
                <c:pt idx="0">
                  <c:v> Burundi </c:v>
                </c:pt>
                <c:pt idx="1">
                  <c:v> DRC </c:v>
                </c:pt>
                <c:pt idx="2">
                  <c:v> Egypt </c:v>
                </c:pt>
                <c:pt idx="3">
                  <c:v> Eritrea </c:v>
                </c:pt>
                <c:pt idx="4">
                  <c:v> Ethiopia </c:v>
                </c:pt>
                <c:pt idx="5">
                  <c:v> Kenya </c:v>
                </c:pt>
                <c:pt idx="6">
                  <c:v> Rwanda </c:v>
                </c:pt>
                <c:pt idx="7">
                  <c:v> Sudan </c:v>
                </c:pt>
                <c:pt idx="8">
                  <c:v> South Sudan </c:v>
                </c:pt>
                <c:pt idx="9">
                  <c:v> Tanzania </c:v>
                </c:pt>
                <c:pt idx="10">
                  <c:v> Uganda </c:v>
                </c:pt>
              </c:strCache>
            </c:strRef>
          </c:cat>
          <c:val>
            <c:numRef>
              <c:f>Utilitarianism!$AD$5:$AD$15</c:f>
              <c:numCache>
                <c:formatCode>_-* #,##0_-;\-* #,##0_-;_-* "-"??_-;_-@_-</c:formatCode>
                <c:ptCount val="11"/>
                <c:pt idx="0">
                  <c:v>1.522812179266253</c:v>
                </c:pt>
                <c:pt idx="1">
                  <c:v>0</c:v>
                </c:pt>
                <c:pt idx="2">
                  <c:v>56.5</c:v>
                </c:pt>
                <c:pt idx="3">
                  <c:v>2.4776537634861127</c:v>
                </c:pt>
                <c:pt idx="4">
                  <c:v>107.82811573630022</c:v>
                </c:pt>
                <c:pt idx="5">
                  <c:v>13.574455320634533</c:v>
                </c:pt>
                <c:pt idx="6">
                  <c:v>4.077002875061857</c:v>
                </c:pt>
                <c:pt idx="7">
                  <c:v>33.799999999999997</c:v>
                </c:pt>
                <c:pt idx="8">
                  <c:v>23.5</c:v>
                </c:pt>
                <c:pt idx="9">
                  <c:v>15.372343482549196</c:v>
                </c:pt>
                <c:pt idx="10">
                  <c:v>38.927918102531734</c:v>
                </c:pt>
              </c:numCache>
            </c:numRef>
          </c:val>
          <c:smooth val="0"/>
          <c:extLst>
            <c:ext xmlns:c16="http://schemas.microsoft.com/office/drawing/2014/chart" uri="{C3380CC4-5D6E-409C-BE32-E72D297353CC}">
              <c16:uniqueId val="{00000004-72C0-4F99-A8A7-7D20BAF6DAE9}"/>
            </c:ext>
          </c:extLst>
        </c:ser>
        <c:ser>
          <c:idx val="5"/>
          <c:order val="5"/>
          <c:tx>
            <c:v>2015</c:v>
          </c:tx>
          <c:spPr>
            <a:ln w="28575" cap="rnd">
              <a:solidFill>
                <a:schemeClr val="accent6"/>
              </a:solidFill>
              <a:round/>
            </a:ln>
            <a:effectLst/>
          </c:spPr>
          <c:marker>
            <c:symbol val="none"/>
          </c:marker>
          <c:cat>
            <c:strRef>
              <c:f>Utilitarianism!$X$5:$X$15</c:f>
              <c:strCache>
                <c:ptCount val="11"/>
                <c:pt idx="0">
                  <c:v> Burundi </c:v>
                </c:pt>
                <c:pt idx="1">
                  <c:v> DRC </c:v>
                </c:pt>
                <c:pt idx="2">
                  <c:v> Egypt </c:v>
                </c:pt>
                <c:pt idx="3">
                  <c:v> Eritrea </c:v>
                </c:pt>
                <c:pt idx="4">
                  <c:v> Ethiopia </c:v>
                </c:pt>
                <c:pt idx="5">
                  <c:v> Kenya </c:v>
                </c:pt>
                <c:pt idx="6">
                  <c:v> Rwanda </c:v>
                </c:pt>
                <c:pt idx="7">
                  <c:v> Sudan </c:v>
                </c:pt>
                <c:pt idx="8">
                  <c:v> South Sudan </c:v>
                </c:pt>
                <c:pt idx="9">
                  <c:v> Tanzania </c:v>
                </c:pt>
                <c:pt idx="10">
                  <c:v> Uganda </c:v>
                </c:pt>
              </c:strCache>
            </c:strRef>
          </c:cat>
          <c:val>
            <c:numRef>
              <c:f>Utilitarianism!$AE$5:$AE$15</c:f>
              <c:numCache>
                <c:formatCode>_-* #,##0_-;\-* #,##0_-;_-* "-"??_-;_-@_-</c:formatCode>
                <c:ptCount val="11"/>
                <c:pt idx="0">
                  <c:v>4.0079665040383814</c:v>
                </c:pt>
                <c:pt idx="1">
                  <c:v>0.55883956504878174</c:v>
                </c:pt>
                <c:pt idx="2">
                  <c:v>56.5</c:v>
                </c:pt>
                <c:pt idx="3">
                  <c:v>0.64927869200379018</c:v>
                </c:pt>
                <c:pt idx="4">
                  <c:v>59.803140686266872</c:v>
                </c:pt>
                <c:pt idx="5">
                  <c:v>21.776001224106345</c:v>
                </c:pt>
                <c:pt idx="6">
                  <c:v>5.8728694745348005</c:v>
                </c:pt>
                <c:pt idx="7">
                  <c:v>33.799999999999997</c:v>
                </c:pt>
                <c:pt idx="8">
                  <c:v>23.5</c:v>
                </c:pt>
                <c:pt idx="9">
                  <c:v>44.942843609111705</c:v>
                </c:pt>
                <c:pt idx="10">
                  <c:v>71.865197112775462</c:v>
                </c:pt>
              </c:numCache>
            </c:numRef>
          </c:val>
          <c:smooth val="0"/>
          <c:extLst>
            <c:ext xmlns:c16="http://schemas.microsoft.com/office/drawing/2014/chart" uri="{C3380CC4-5D6E-409C-BE32-E72D297353CC}">
              <c16:uniqueId val="{00000005-72C0-4F99-A8A7-7D20BAF6DAE9}"/>
            </c:ext>
          </c:extLst>
        </c:ser>
        <c:ser>
          <c:idx val="6"/>
          <c:order val="6"/>
          <c:tx>
            <c:v>2016</c:v>
          </c:tx>
          <c:spPr>
            <a:ln w="28575" cap="rnd">
              <a:solidFill>
                <a:schemeClr val="accent1">
                  <a:lumMod val="60000"/>
                </a:schemeClr>
              </a:solidFill>
              <a:round/>
            </a:ln>
            <a:effectLst/>
          </c:spPr>
          <c:marker>
            <c:symbol val="none"/>
          </c:marker>
          <c:cat>
            <c:strRef>
              <c:f>Utilitarianism!$X$5:$X$15</c:f>
              <c:strCache>
                <c:ptCount val="11"/>
                <c:pt idx="0">
                  <c:v> Burundi </c:v>
                </c:pt>
                <c:pt idx="1">
                  <c:v> DRC </c:v>
                </c:pt>
                <c:pt idx="2">
                  <c:v> Egypt </c:v>
                </c:pt>
                <c:pt idx="3">
                  <c:v> Eritrea </c:v>
                </c:pt>
                <c:pt idx="4">
                  <c:v> Ethiopia </c:v>
                </c:pt>
                <c:pt idx="5">
                  <c:v> Kenya </c:v>
                </c:pt>
                <c:pt idx="6">
                  <c:v> Rwanda </c:v>
                </c:pt>
                <c:pt idx="7">
                  <c:v> Sudan </c:v>
                </c:pt>
                <c:pt idx="8">
                  <c:v> South Sudan </c:v>
                </c:pt>
                <c:pt idx="9">
                  <c:v> Tanzania </c:v>
                </c:pt>
                <c:pt idx="10">
                  <c:v> Uganda </c:v>
                </c:pt>
              </c:strCache>
            </c:strRef>
          </c:cat>
          <c:val>
            <c:numRef>
              <c:f>Utilitarianism!$AF$5:$AF$15</c:f>
              <c:numCache>
                <c:formatCode>_-* #,##0_-;\-* #,##0_-;_-* "-"??_-;_-@_-</c:formatCode>
                <c:ptCount val="11"/>
                <c:pt idx="0">
                  <c:v>3.7154038785419865</c:v>
                </c:pt>
                <c:pt idx="1">
                  <c:v>0</c:v>
                </c:pt>
                <c:pt idx="2">
                  <c:v>56.5</c:v>
                </c:pt>
                <c:pt idx="3">
                  <c:v>1.7243620509396349</c:v>
                </c:pt>
                <c:pt idx="4">
                  <c:v>99.250775937174438</c:v>
                </c:pt>
                <c:pt idx="5">
                  <c:v>9.6132768537202793</c:v>
                </c:pt>
                <c:pt idx="6">
                  <c:v>7.1379012070421028</c:v>
                </c:pt>
                <c:pt idx="7">
                  <c:v>33.799999999999997</c:v>
                </c:pt>
                <c:pt idx="8">
                  <c:v>23.5</c:v>
                </c:pt>
                <c:pt idx="9">
                  <c:v>19.922849793244371</c:v>
                </c:pt>
                <c:pt idx="10">
                  <c:v>21.1</c:v>
                </c:pt>
              </c:numCache>
            </c:numRef>
          </c:val>
          <c:smooth val="0"/>
          <c:extLst>
            <c:ext xmlns:c16="http://schemas.microsoft.com/office/drawing/2014/chart" uri="{C3380CC4-5D6E-409C-BE32-E72D297353CC}">
              <c16:uniqueId val="{00000006-72C0-4F99-A8A7-7D20BAF6DAE9}"/>
            </c:ext>
          </c:extLst>
        </c:ser>
        <c:ser>
          <c:idx val="7"/>
          <c:order val="7"/>
          <c:tx>
            <c:v>2017</c:v>
          </c:tx>
          <c:spPr>
            <a:ln w="28575" cap="rnd">
              <a:solidFill>
                <a:schemeClr val="accent2">
                  <a:lumMod val="60000"/>
                </a:schemeClr>
              </a:solidFill>
              <a:round/>
            </a:ln>
            <a:effectLst/>
          </c:spPr>
          <c:marker>
            <c:symbol val="none"/>
          </c:marker>
          <c:cat>
            <c:strRef>
              <c:f>Utilitarianism!$X$5:$X$15</c:f>
              <c:strCache>
                <c:ptCount val="11"/>
                <c:pt idx="0">
                  <c:v> Burundi </c:v>
                </c:pt>
                <c:pt idx="1">
                  <c:v> DRC </c:v>
                </c:pt>
                <c:pt idx="2">
                  <c:v> Egypt </c:v>
                </c:pt>
                <c:pt idx="3">
                  <c:v> Eritrea </c:v>
                </c:pt>
                <c:pt idx="4">
                  <c:v> Ethiopia </c:v>
                </c:pt>
                <c:pt idx="5">
                  <c:v> Kenya </c:v>
                </c:pt>
                <c:pt idx="6">
                  <c:v> Rwanda </c:v>
                </c:pt>
                <c:pt idx="7">
                  <c:v> Sudan </c:v>
                </c:pt>
                <c:pt idx="8">
                  <c:v> South Sudan </c:v>
                </c:pt>
                <c:pt idx="9">
                  <c:v> Tanzania </c:v>
                </c:pt>
                <c:pt idx="10">
                  <c:v> Uganda </c:v>
                </c:pt>
              </c:strCache>
            </c:strRef>
          </c:cat>
          <c:val>
            <c:numRef>
              <c:f>Utilitarianism!$AG$5:$AG$15</c:f>
              <c:numCache>
                <c:formatCode>_-* #,##0_-;\-* #,##0_-;_-* "-"??_-;_-@_-</c:formatCode>
                <c:ptCount val="11"/>
                <c:pt idx="0">
                  <c:v>1.9832072109514134</c:v>
                </c:pt>
                <c:pt idx="1">
                  <c:v>0</c:v>
                </c:pt>
                <c:pt idx="2">
                  <c:v>56.5</c:v>
                </c:pt>
                <c:pt idx="3">
                  <c:v>3.2750912718752518</c:v>
                </c:pt>
                <c:pt idx="4">
                  <c:v>131.03557864571476</c:v>
                </c:pt>
                <c:pt idx="5">
                  <c:v>16.052819884560293</c:v>
                </c:pt>
                <c:pt idx="6">
                  <c:v>5.3386391808328861</c:v>
                </c:pt>
                <c:pt idx="7">
                  <c:v>33.799999999999997</c:v>
                </c:pt>
                <c:pt idx="8">
                  <c:v>23.5</c:v>
                </c:pt>
                <c:pt idx="9">
                  <c:v>27.835036451662162</c:v>
                </c:pt>
                <c:pt idx="10">
                  <c:v>43.351590870161743</c:v>
                </c:pt>
              </c:numCache>
            </c:numRef>
          </c:val>
          <c:smooth val="0"/>
          <c:extLst>
            <c:ext xmlns:c16="http://schemas.microsoft.com/office/drawing/2014/chart" uri="{C3380CC4-5D6E-409C-BE32-E72D297353CC}">
              <c16:uniqueId val="{00000007-72C0-4F99-A8A7-7D20BAF6DAE9}"/>
            </c:ext>
          </c:extLst>
        </c:ser>
        <c:ser>
          <c:idx val="8"/>
          <c:order val="8"/>
          <c:tx>
            <c:v>2018</c:v>
          </c:tx>
          <c:spPr>
            <a:ln w="28575" cap="rnd">
              <a:solidFill>
                <a:schemeClr val="accent3">
                  <a:lumMod val="60000"/>
                </a:schemeClr>
              </a:solidFill>
              <a:round/>
            </a:ln>
            <a:effectLst/>
          </c:spPr>
          <c:marker>
            <c:symbol val="none"/>
          </c:marker>
          <c:cat>
            <c:strRef>
              <c:f>Utilitarianism!$X$5:$X$15</c:f>
              <c:strCache>
                <c:ptCount val="11"/>
                <c:pt idx="0">
                  <c:v> Burundi </c:v>
                </c:pt>
                <c:pt idx="1">
                  <c:v> DRC </c:v>
                </c:pt>
                <c:pt idx="2">
                  <c:v> Egypt </c:v>
                </c:pt>
                <c:pt idx="3">
                  <c:v> Eritrea </c:v>
                </c:pt>
                <c:pt idx="4">
                  <c:v> Ethiopia </c:v>
                </c:pt>
                <c:pt idx="5">
                  <c:v> Kenya </c:v>
                </c:pt>
                <c:pt idx="6">
                  <c:v> Rwanda </c:v>
                </c:pt>
                <c:pt idx="7">
                  <c:v> Sudan </c:v>
                </c:pt>
                <c:pt idx="8">
                  <c:v> South Sudan </c:v>
                </c:pt>
                <c:pt idx="9">
                  <c:v> Tanzania </c:v>
                </c:pt>
                <c:pt idx="10">
                  <c:v> Uganda </c:v>
                </c:pt>
              </c:strCache>
            </c:strRef>
          </c:cat>
          <c:val>
            <c:numRef>
              <c:f>Utilitarianism!$AH$5:$AH$15</c:f>
              <c:numCache>
                <c:formatCode>_-* #,##0_-;\-* #,##0_-;_-* "-"??_-;_-@_-</c:formatCode>
                <c:ptCount val="11"/>
                <c:pt idx="0">
                  <c:v>7.1530660073489152</c:v>
                </c:pt>
                <c:pt idx="1">
                  <c:v>1.3224981196287995</c:v>
                </c:pt>
                <c:pt idx="2">
                  <c:v>56.5</c:v>
                </c:pt>
                <c:pt idx="3">
                  <c:v>1.9103503028842752</c:v>
                </c:pt>
                <c:pt idx="4">
                  <c:v>77.313145320001027</c:v>
                </c:pt>
                <c:pt idx="5">
                  <c:v>27.678981965070257</c:v>
                </c:pt>
                <c:pt idx="6">
                  <c:v>11.97256923586497</c:v>
                </c:pt>
                <c:pt idx="7">
                  <c:v>33.799999999999997</c:v>
                </c:pt>
                <c:pt idx="8">
                  <c:v>23.5</c:v>
                </c:pt>
                <c:pt idx="9">
                  <c:v>58.968413233176513</c:v>
                </c:pt>
                <c:pt idx="10">
                  <c:v>82.177225932354276</c:v>
                </c:pt>
              </c:numCache>
            </c:numRef>
          </c:val>
          <c:smooth val="0"/>
          <c:extLst>
            <c:ext xmlns:c16="http://schemas.microsoft.com/office/drawing/2014/chart" uri="{C3380CC4-5D6E-409C-BE32-E72D297353CC}">
              <c16:uniqueId val="{00000008-72C0-4F99-A8A7-7D20BAF6DAE9}"/>
            </c:ext>
          </c:extLst>
        </c:ser>
        <c:dLbls>
          <c:showLegendKey val="0"/>
          <c:showVal val="0"/>
          <c:showCatName val="0"/>
          <c:showSerName val="0"/>
          <c:showPercent val="0"/>
          <c:showBubbleSize val="0"/>
        </c:dLbls>
        <c:smooth val="0"/>
        <c:axId val="1296349951"/>
        <c:axId val="1067408703"/>
      </c:lineChart>
      <c:catAx>
        <c:axId val="12963499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7408703"/>
        <c:crosses val="autoZero"/>
        <c:auto val="1"/>
        <c:lblAlgn val="ctr"/>
        <c:lblOffset val="100"/>
        <c:noMultiLvlLbl val="0"/>
      </c:catAx>
      <c:valAx>
        <c:axId val="1067408703"/>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63499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Available water per capita (Billion m3/yr)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2010</c:v>
          </c:tx>
          <c:spPr>
            <a:ln w="28575" cap="rnd">
              <a:solidFill>
                <a:schemeClr val="accent1"/>
              </a:solidFill>
              <a:round/>
            </a:ln>
            <a:effectLst/>
          </c:spPr>
          <c:marker>
            <c:symbol val="none"/>
          </c:marker>
          <c:cat>
            <c:strRef>
              <c:f>Utilitarianism!$B$22:$B$32</c:f>
              <c:strCache>
                <c:ptCount val="11"/>
                <c:pt idx="0">
                  <c:v> Burundi </c:v>
                </c:pt>
                <c:pt idx="1">
                  <c:v> DRC </c:v>
                </c:pt>
                <c:pt idx="2">
                  <c:v> Egypt </c:v>
                </c:pt>
                <c:pt idx="3">
                  <c:v> Eritrea </c:v>
                </c:pt>
                <c:pt idx="4">
                  <c:v> Ethiopia </c:v>
                </c:pt>
                <c:pt idx="5">
                  <c:v> Kenya </c:v>
                </c:pt>
                <c:pt idx="6">
                  <c:v> Rwanda </c:v>
                </c:pt>
                <c:pt idx="7">
                  <c:v> Sudan </c:v>
                </c:pt>
                <c:pt idx="8">
                  <c:v> South Sudan </c:v>
                </c:pt>
                <c:pt idx="9">
                  <c:v> Tanzania </c:v>
                </c:pt>
                <c:pt idx="10">
                  <c:v> Uganda </c:v>
                </c:pt>
              </c:strCache>
            </c:strRef>
          </c:cat>
          <c:val>
            <c:numRef>
              <c:f>Utilitarianism!$C$22:$C$32</c:f>
              <c:numCache>
                <c:formatCode>_-* #,##0.0_-;\-* #,##0.0_-;_-* "-"??_-;_-@_-</c:formatCode>
                <c:ptCount val="11"/>
                <c:pt idx="0">
                  <c:v>0.27178329538633011</c:v>
                </c:pt>
                <c:pt idx="1">
                  <c:v>0.85439027040997095</c:v>
                </c:pt>
                <c:pt idx="2">
                  <c:v>0.81562756187006102</c:v>
                </c:pt>
                <c:pt idx="3">
                  <c:v>3.1229213114031329</c:v>
                </c:pt>
                <c:pt idx="4">
                  <c:v>3.4760945748585788</c:v>
                </c:pt>
                <c:pt idx="5">
                  <c:v>1.1118347729899416</c:v>
                </c:pt>
                <c:pt idx="6">
                  <c:v>0.83081394267832875</c:v>
                </c:pt>
                <c:pt idx="7">
                  <c:v>1.16081853194659</c:v>
                </c:pt>
                <c:pt idx="8">
                  <c:v>2.42542151641294</c:v>
                </c:pt>
                <c:pt idx="9">
                  <c:v>2.6546837049714358</c:v>
                </c:pt>
                <c:pt idx="10">
                  <c:v>0.69778238624220423</c:v>
                </c:pt>
              </c:numCache>
            </c:numRef>
          </c:val>
          <c:smooth val="0"/>
          <c:extLst>
            <c:ext xmlns:c16="http://schemas.microsoft.com/office/drawing/2014/chart" uri="{C3380CC4-5D6E-409C-BE32-E72D297353CC}">
              <c16:uniqueId val="{00000000-BAF5-42D6-8D59-CF1C86EF4751}"/>
            </c:ext>
          </c:extLst>
        </c:ser>
        <c:ser>
          <c:idx val="1"/>
          <c:order val="1"/>
          <c:tx>
            <c:v>2011</c:v>
          </c:tx>
          <c:spPr>
            <a:ln w="28575" cap="rnd">
              <a:solidFill>
                <a:schemeClr val="accent2"/>
              </a:solidFill>
              <a:round/>
            </a:ln>
            <a:effectLst/>
          </c:spPr>
          <c:marker>
            <c:symbol val="none"/>
          </c:marker>
          <c:cat>
            <c:strRef>
              <c:f>Utilitarianism!$B$22:$B$32</c:f>
              <c:strCache>
                <c:ptCount val="11"/>
                <c:pt idx="0">
                  <c:v> Burundi </c:v>
                </c:pt>
                <c:pt idx="1">
                  <c:v> DRC </c:v>
                </c:pt>
                <c:pt idx="2">
                  <c:v> Egypt </c:v>
                </c:pt>
                <c:pt idx="3">
                  <c:v> Eritrea </c:v>
                </c:pt>
                <c:pt idx="4">
                  <c:v> Ethiopia </c:v>
                </c:pt>
                <c:pt idx="5">
                  <c:v> Kenya </c:v>
                </c:pt>
                <c:pt idx="6">
                  <c:v> Rwanda </c:v>
                </c:pt>
                <c:pt idx="7">
                  <c:v> Sudan </c:v>
                </c:pt>
                <c:pt idx="8">
                  <c:v> South Sudan </c:v>
                </c:pt>
                <c:pt idx="9">
                  <c:v> Tanzania </c:v>
                </c:pt>
                <c:pt idx="10">
                  <c:v> Uganda </c:v>
                </c:pt>
              </c:strCache>
            </c:strRef>
          </c:cat>
          <c:val>
            <c:numRef>
              <c:f>Utilitarianism!$D$22:$D$32</c:f>
              <c:numCache>
                <c:formatCode>_-* #,##0.0_-;\-* #,##0.0_-;_-* "-"??_-;_-@_-</c:formatCode>
                <c:ptCount val="11"/>
                <c:pt idx="0">
                  <c:v>0.27055266184841753</c:v>
                </c:pt>
                <c:pt idx="1">
                  <c:v>1.3151447597105792E-2</c:v>
                </c:pt>
                <c:pt idx="2">
                  <c:v>0.8001055148813625</c:v>
                </c:pt>
                <c:pt idx="3">
                  <c:v>0</c:v>
                </c:pt>
                <c:pt idx="4">
                  <c:v>2.0854775064978526</c:v>
                </c:pt>
                <c:pt idx="5">
                  <c:v>1.0438544439153981</c:v>
                </c:pt>
                <c:pt idx="6">
                  <c:v>0.84133841626661277</c:v>
                </c:pt>
                <c:pt idx="7">
                  <c:v>1.1333904822755223</c:v>
                </c:pt>
                <c:pt idx="8">
                  <c:v>2.3968984251536121</c:v>
                </c:pt>
                <c:pt idx="9">
                  <c:v>4.505415735471308</c:v>
                </c:pt>
                <c:pt idx="10">
                  <c:v>1.4374709794415288</c:v>
                </c:pt>
              </c:numCache>
            </c:numRef>
          </c:val>
          <c:smooth val="0"/>
          <c:extLst>
            <c:ext xmlns:c16="http://schemas.microsoft.com/office/drawing/2014/chart" uri="{C3380CC4-5D6E-409C-BE32-E72D297353CC}">
              <c16:uniqueId val="{00000001-BAF5-42D6-8D59-CF1C86EF4751}"/>
            </c:ext>
          </c:extLst>
        </c:ser>
        <c:ser>
          <c:idx val="2"/>
          <c:order val="2"/>
          <c:tx>
            <c:v>2012</c:v>
          </c:tx>
          <c:spPr>
            <a:ln w="28575" cap="rnd">
              <a:solidFill>
                <a:schemeClr val="accent3"/>
              </a:solidFill>
              <a:round/>
            </a:ln>
            <a:effectLst/>
          </c:spPr>
          <c:marker>
            <c:symbol val="none"/>
          </c:marker>
          <c:cat>
            <c:strRef>
              <c:f>Utilitarianism!$B$22:$B$32</c:f>
              <c:strCache>
                <c:ptCount val="11"/>
                <c:pt idx="0">
                  <c:v> Burundi </c:v>
                </c:pt>
                <c:pt idx="1">
                  <c:v> DRC </c:v>
                </c:pt>
                <c:pt idx="2">
                  <c:v> Egypt </c:v>
                </c:pt>
                <c:pt idx="3">
                  <c:v> Eritrea </c:v>
                </c:pt>
                <c:pt idx="4">
                  <c:v> Ethiopia </c:v>
                </c:pt>
                <c:pt idx="5">
                  <c:v> Kenya </c:v>
                </c:pt>
                <c:pt idx="6">
                  <c:v> Rwanda </c:v>
                </c:pt>
                <c:pt idx="7">
                  <c:v> Sudan </c:v>
                </c:pt>
                <c:pt idx="8">
                  <c:v> South Sudan </c:v>
                </c:pt>
                <c:pt idx="9">
                  <c:v> Tanzania </c:v>
                </c:pt>
                <c:pt idx="10">
                  <c:v> Uganda </c:v>
                </c:pt>
              </c:strCache>
            </c:strRef>
          </c:cat>
          <c:val>
            <c:numRef>
              <c:f>Utilitarianism!$E$22:$E$32</c:f>
              <c:numCache>
                <c:formatCode>_-* #,##0.0_-;\-* #,##0.0_-;_-* "-"??_-;_-@_-</c:formatCode>
                <c:ptCount val="11"/>
                <c:pt idx="0">
                  <c:v>0.1594349456878402</c:v>
                </c:pt>
                <c:pt idx="1">
                  <c:v>0.8223673830884789</c:v>
                </c:pt>
                <c:pt idx="2">
                  <c:v>0.78487886490225856</c:v>
                </c:pt>
                <c:pt idx="3">
                  <c:v>2.5994105927136002</c:v>
                </c:pt>
                <c:pt idx="4">
                  <c:v>3.4352457256373299</c:v>
                </c:pt>
                <c:pt idx="5">
                  <c:v>1.5360519992014328</c:v>
                </c:pt>
                <c:pt idx="6">
                  <c:v>0.78660497455315337</c:v>
                </c:pt>
                <c:pt idx="7">
                  <c:v>1.1066105079823494</c:v>
                </c:pt>
                <c:pt idx="8">
                  <c:v>2.3687107670260024</c:v>
                </c:pt>
                <c:pt idx="9">
                  <c:v>2.7639246133684017</c:v>
                </c:pt>
                <c:pt idx="10">
                  <c:v>2.1413478537710087</c:v>
                </c:pt>
              </c:numCache>
            </c:numRef>
          </c:val>
          <c:smooth val="0"/>
          <c:extLst>
            <c:ext xmlns:c16="http://schemas.microsoft.com/office/drawing/2014/chart" uri="{C3380CC4-5D6E-409C-BE32-E72D297353CC}">
              <c16:uniqueId val="{00000002-BAF5-42D6-8D59-CF1C86EF4751}"/>
            </c:ext>
          </c:extLst>
        </c:ser>
        <c:ser>
          <c:idx val="3"/>
          <c:order val="3"/>
          <c:tx>
            <c:v>2013</c:v>
          </c:tx>
          <c:spPr>
            <a:ln w="28575" cap="rnd">
              <a:solidFill>
                <a:schemeClr val="accent4"/>
              </a:solidFill>
              <a:round/>
            </a:ln>
            <a:effectLst/>
          </c:spPr>
          <c:marker>
            <c:symbol val="none"/>
          </c:marker>
          <c:cat>
            <c:strRef>
              <c:f>Utilitarianism!$B$22:$B$32</c:f>
              <c:strCache>
                <c:ptCount val="11"/>
                <c:pt idx="0">
                  <c:v> Burundi </c:v>
                </c:pt>
                <c:pt idx="1">
                  <c:v> DRC </c:v>
                </c:pt>
                <c:pt idx="2">
                  <c:v> Egypt </c:v>
                </c:pt>
                <c:pt idx="3">
                  <c:v> Eritrea </c:v>
                </c:pt>
                <c:pt idx="4">
                  <c:v> Ethiopia </c:v>
                </c:pt>
                <c:pt idx="5">
                  <c:v> Kenya </c:v>
                </c:pt>
                <c:pt idx="6">
                  <c:v> Rwanda </c:v>
                </c:pt>
                <c:pt idx="7">
                  <c:v> Sudan </c:v>
                </c:pt>
                <c:pt idx="8">
                  <c:v> South Sudan </c:v>
                </c:pt>
                <c:pt idx="9">
                  <c:v> Tanzania </c:v>
                </c:pt>
                <c:pt idx="10">
                  <c:v> Uganda </c:v>
                </c:pt>
              </c:strCache>
            </c:strRef>
          </c:cat>
          <c:val>
            <c:numRef>
              <c:f>Utilitarianism!$F$22:$F$32</c:f>
              <c:numCache>
                <c:formatCode>_-* #,##0.0_-;\-* #,##0.0_-;_-* "-"??_-;_-@_-</c:formatCode>
                <c:ptCount val="11"/>
                <c:pt idx="0">
                  <c:v>0.57241735304831753</c:v>
                </c:pt>
                <c:pt idx="1">
                  <c:v>1.4231107652008456E-3</c:v>
                </c:pt>
                <c:pt idx="2">
                  <c:v>0.76994199029062038</c:v>
                </c:pt>
                <c:pt idx="3">
                  <c:v>0.39108182266645358</c:v>
                </c:pt>
                <c:pt idx="4">
                  <c:v>2.8612498187733459</c:v>
                </c:pt>
                <c:pt idx="5">
                  <c:v>0.91158875473185697</c:v>
                </c:pt>
                <c:pt idx="6">
                  <c:v>0.59709258782588914</c:v>
                </c:pt>
                <c:pt idx="7">
                  <c:v>1.0804632962139713</c:v>
                </c:pt>
                <c:pt idx="8">
                  <c:v>2.3408545973179189</c:v>
                </c:pt>
                <c:pt idx="9">
                  <c:v>2.5199830911643062</c:v>
                </c:pt>
                <c:pt idx="10">
                  <c:v>0.63265480387996398</c:v>
                </c:pt>
              </c:numCache>
            </c:numRef>
          </c:val>
          <c:smooth val="0"/>
          <c:extLst>
            <c:ext xmlns:c16="http://schemas.microsoft.com/office/drawing/2014/chart" uri="{C3380CC4-5D6E-409C-BE32-E72D297353CC}">
              <c16:uniqueId val="{00000003-BAF5-42D6-8D59-CF1C86EF4751}"/>
            </c:ext>
          </c:extLst>
        </c:ser>
        <c:ser>
          <c:idx val="4"/>
          <c:order val="4"/>
          <c:tx>
            <c:v>2014</c:v>
          </c:tx>
          <c:spPr>
            <a:ln w="28575" cap="rnd">
              <a:solidFill>
                <a:schemeClr val="accent5"/>
              </a:solidFill>
              <a:round/>
            </a:ln>
            <a:effectLst/>
          </c:spPr>
          <c:marker>
            <c:symbol val="none"/>
          </c:marker>
          <c:cat>
            <c:strRef>
              <c:f>Utilitarianism!$B$22:$B$32</c:f>
              <c:strCache>
                <c:ptCount val="11"/>
                <c:pt idx="0">
                  <c:v> Burundi </c:v>
                </c:pt>
                <c:pt idx="1">
                  <c:v> DRC </c:v>
                </c:pt>
                <c:pt idx="2">
                  <c:v> Egypt </c:v>
                </c:pt>
                <c:pt idx="3">
                  <c:v> Eritrea </c:v>
                </c:pt>
                <c:pt idx="4">
                  <c:v> Ethiopia </c:v>
                </c:pt>
                <c:pt idx="5">
                  <c:v> Kenya </c:v>
                </c:pt>
                <c:pt idx="6">
                  <c:v> Rwanda </c:v>
                </c:pt>
                <c:pt idx="7">
                  <c:v> Sudan </c:v>
                </c:pt>
                <c:pt idx="8">
                  <c:v> South Sudan </c:v>
                </c:pt>
                <c:pt idx="9">
                  <c:v> Tanzania </c:v>
                </c:pt>
                <c:pt idx="10">
                  <c:v> Uganda </c:v>
                </c:pt>
              </c:strCache>
            </c:strRef>
          </c:cat>
          <c:val>
            <c:numRef>
              <c:f>Utilitarianism!$G$22:$G$32</c:f>
              <c:numCache>
                <c:formatCode>_-* #,##0.0_-;\-* #,##0.0_-;_-* "-"??_-;_-@_-</c:formatCode>
                <c:ptCount val="11"/>
                <c:pt idx="0">
                  <c:v>0.29678674944601224</c:v>
                </c:pt>
                <c:pt idx="1">
                  <c:v>0</c:v>
                </c:pt>
                <c:pt idx="2">
                  <c:v>0.75528937638867988</c:v>
                </c:pt>
                <c:pt idx="3">
                  <c:v>2.0888082353658524</c:v>
                </c:pt>
                <c:pt idx="4">
                  <c:v>3.2342794121418743</c:v>
                </c:pt>
                <c:pt idx="5">
                  <c:v>0.78715446327276606</c:v>
                </c:pt>
                <c:pt idx="6">
                  <c:v>0.41572513268480937</c:v>
                </c:pt>
                <c:pt idx="7">
                  <c:v>1.0549338959324071</c:v>
                </c:pt>
                <c:pt idx="8">
                  <c:v>2.3133260177072033</c:v>
                </c:pt>
                <c:pt idx="9">
                  <c:v>1.5283134671499323</c:v>
                </c:pt>
                <c:pt idx="10">
                  <c:v>1.1296948142802334</c:v>
                </c:pt>
              </c:numCache>
            </c:numRef>
          </c:val>
          <c:smooth val="0"/>
          <c:extLst>
            <c:ext xmlns:c16="http://schemas.microsoft.com/office/drawing/2014/chart" uri="{C3380CC4-5D6E-409C-BE32-E72D297353CC}">
              <c16:uniqueId val="{00000004-BAF5-42D6-8D59-CF1C86EF4751}"/>
            </c:ext>
          </c:extLst>
        </c:ser>
        <c:ser>
          <c:idx val="5"/>
          <c:order val="5"/>
          <c:tx>
            <c:v>2015</c:v>
          </c:tx>
          <c:spPr>
            <a:ln w="28575" cap="rnd">
              <a:solidFill>
                <a:schemeClr val="accent6"/>
              </a:solidFill>
              <a:round/>
            </a:ln>
            <a:effectLst/>
          </c:spPr>
          <c:marker>
            <c:symbol val="none"/>
          </c:marker>
          <c:cat>
            <c:strRef>
              <c:f>Utilitarianism!$B$22:$B$32</c:f>
              <c:strCache>
                <c:ptCount val="11"/>
                <c:pt idx="0">
                  <c:v> Burundi </c:v>
                </c:pt>
                <c:pt idx="1">
                  <c:v> DRC </c:v>
                </c:pt>
                <c:pt idx="2">
                  <c:v> Egypt </c:v>
                </c:pt>
                <c:pt idx="3">
                  <c:v> Eritrea </c:v>
                </c:pt>
                <c:pt idx="4">
                  <c:v> Ethiopia </c:v>
                </c:pt>
                <c:pt idx="5">
                  <c:v> Kenya </c:v>
                </c:pt>
                <c:pt idx="6">
                  <c:v> Rwanda </c:v>
                </c:pt>
                <c:pt idx="7">
                  <c:v> Sudan </c:v>
                </c:pt>
                <c:pt idx="8">
                  <c:v> South Sudan </c:v>
                </c:pt>
                <c:pt idx="9">
                  <c:v> Tanzania </c:v>
                </c:pt>
                <c:pt idx="10">
                  <c:v> Uganda </c:v>
                </c:pt>
              </c:strCache>
            </c:strRef>
          </c:cat>
          <c:val>
            <c:numRef>
              <c:f>Utilitarianism!$H$22:$H$32</c:f>
              <c:numCache>
                <c:formatCode>_-* #,##0.0_-;\-* #,##0.0_-;_-* "-"??_-;_-@_-</c:formatCode>
                <c:ptCount val="11"/>
                <c:pt idx="0">
                  <c:v>0.75749425709765605</c:v>
                </c:pt>
                <c:pt idx="1">
                  <c:v>0.16872102591669461</c:v>
                </c:pt>
                <c:pt idx="2">
                  <c:v>0.74091561348703139</c:v>
                </c:pt>
                <c:pt idx="3">
                  <c:v>0.53976947713851808</c:v>
                </c:pt>
                <c:pt idx="4">
                  <c:v>1.7457726367079536</c:v>
                </c:pt>
                <c:pt idx="5">
                  <c:v>1.2345962764961005</c:v>
                </c:pt>
                <c:pt idx="6">
                  <c:v>0.5837849798046878</c:v>
                </c:pt>
                <c:pt idx="7">
                  <c:v>1.0300077093657558</c:v>
                </c:pt>
                <c:pt idx="8">
                  <c:v>2.2861211757161808</c:v>
                </c:pt>
                <c:pt idx="9">
                  <c:v>4.3389037889990973</c:v>
                </c:pt>
                <c:pt idx="10">
                  <c:v>2.0185252242184188</c:v>
                </c:pt>
              </c:numCache>
            </c:numRef>
          </c:val>
          <c:smooth val="0"/>
          <c:extLst>
            <c:ext xmlns:c16="http://schemas.microsoft.com/office/drawing/2014/chart" uri="{C3380CC4-5D6E-409C-BE32-E72D297353CC}">
              <c16:uniqueId val="{00000005-BAF5-42D6-8D59-CF1C86EF4751}"/>
            </c:ext>
          </c:extLst>
        </c:ser>
        <c:ser>
          <c:idx val="6"/>
          <c:order val="6"/>
          <c:tx>
            <c:v>2016</c:v>
          </c:tx>
          <c:spPr>
            <a:ln w="28575" cap="rnd">
              <a:solidFill>
                <a:schemeClr val="accent1">
                  <a:lumMod val="60000"/>
                </a:schemeClr>
              </a:solidFill>
              <a:round/>
            </a:ln>
            <a:effectLst/>
          </c:spPr>
          <c:marker>
            <c:symbol val="none"/>
          </c:marker>
          <c:cat>
            <c:strRef>
              <c:f>Utilitarianism!$B$22:$B$32</c:f>
              <c:strCache>
                <c:ptCount val="11"/>
                <c:pt idx="0">
                  <c:v> Burundi </c:v>
                </c:pt>
                <c:pt idx="1">
                  <c:v> DRC </c:v>
                </c:pt>
                <c:pt idx="2">
                  <c:v> Egypt </c:v>
                </c:pt>
                <c:pt idx="3">
                  <c:v> Eritrea </c:v>
                </c:pt>
                <c:pt idx="4">
                  <c:v> Ethiopia </c:v>
                </c:pt>
                <c:pt idx="5">
                  <c:v> Kenya </c:v>
                </c:pt>
                <c:pt idx="6">
                  <c:v> Rwanda </c:v>
                </c:pt>
                <c:pt idx="7">
                  <c:v> Sudan </c:v>
                </c:pt>
                <c:pt idx="8">
                  <c:v> South Sudan </c:v>
                </c:pt>
                <c:pt idx="9">
                  <c:v> Tanzania </c:v>
                </c:pt>
                <c:pt idx="10">
                  <c:v> Uganda </c:v>
                </c:pt>
              </c:strCache>
            </c:strRef>
          </c:cat>
          <c:val>
            <c:numRef>
              <c:f>Utilitarianism!$I$22:$I$32</c:f>
              <c:numCache>
                <c:formatCode>_-* #,##0.0_-;\-* #,##0.0_-;_-* "-"??_-;_-@_-</c:formatCode>
                <c:ptCount val="11"/>
                <c:pt idx="0">
                  <c:v>0.68095495918641147</c:v>
                </c:pt>
                <c:pt idx="1">
                  <c:v>0</c:v>
                </c:pt>
                <c:pt idx="2">
                  <c:v>0.72681539482738022</c:v>
                </c:pt>
                <c:pt idx="3">
                  <c:v>1.413594496869641</c:v>
                </c:pt>
                <c:pt idx="4">
                  <c:v>2.8197835315807644</c:v>
                </c:pt>
                <c:pt idx="5">
                  <c:v>0.53287771817610796</c:v>
                </c:pt>
                <c:pt idx="6">
                  <c:v>0.69168826271516293</c:v>
                </c:pt>
                <c:pt idx="7">
                  <c:v>1.0056704836611559</c:v>
                </c:pt>
                <c:pt idx="8">
                  <c:v>2.2592362641725274</c:v>
                </c:pt>
                <c:pt idx="9">
                  <c:v>1.8677469927784924</c:v>
                </c:pt>
                <c:pt idx="10">
                  <c:v>0.57360591032956498</c:v>
                </c:pt>
              </c:numCache>
            </c:numRef>
          </c:val>
          <c:smooth val="0"/>
          <c:extLst>
            <c:ext xmlns:c16="http://schemas.microsoft.com/office/drawing/2014/chart" uri="{C3380CC4-5D6E-409C-BE32-E72D297353CC}">
              <c16:uniqueId val="{00000006-BAF5-42D6-8D59-CF1C86EF4751}"/>
            </c:ext>
          </c:extLst>
        </c:ser>
        <c:ser>
          <c:idx val="7"/>
          <c:order val="7"/>
          <c:tx>
            <c:v>2017</c:v>
          </c:tx>
          <c:spPr>
            <a:ln w="28575" cap="rnd">
              <a:solidFill>
                <a:schemeClr val="accent2">
                  <a:lumMod val="60000"/>
                </a:schemeClr>
              </a:solidFill>
              <a:round/>
            </a:ln>
            <a:effectLst/>
          </c:spPr>
          <c:marker>
            <c:symbol val="none"/>
          </c:marker>
          <c:cat>
            <c:strRef>
              <c:f>Utilitarianism!$B$22:$B$32</c:f>
              <c:strCache>
                <c:ptCount val="11"/>
                <c:pt idx="0">
                  <c:v> Burundi </c:v>
                </c:pt>
                <c:pt idx="1">
                  <c:v> DRC </c:v>
                </c:pt>
                <c:pt idx="2">
                  <c:v> Egypt </c:v>
                </c:pt>
                <c:pt idx="3">
                  <c:v> Eritrea </c:v>
                </c:pt>
                <c:pt idx="4">
                  <c:v> Ethiopia </c:v>
                </c:pt>
                <c:pt idx="5">
                  <c:v> Kenya </c:v>
                </c:pt>
                <c:pt idx="6">
                  <c:v> Rwanda </c:v>
                </c:pt>
                <c:pt idx="7">
                  <c:v> Sudan </c:v>
                </c:pt>
                <c:pt idx="8">
                  <c:v> South Sudan </c:v>
                </c:pt>
                <c:pt idx="9">
                  <c:v> Tanzania </c:v>
                </c:pt>
                <c:pt idx="10">
                  <c:v> Uganda </c:v>
                </c:pt>
              </c:strCache>
            </c:strRef>
          </c:cat>
          <c:val>
            <c:numRef>
              <c:f>Utilitarianism!$J$22:$J$32</c:f>
              <c:numCache>
                <c:formatCode>_-* #,##0.0_-;\-* #,##0.0_-;_-* "-"??_-;_-@_-</c:formatCode>
                <c:ptCount val="11"/>
                <c:pt idx="0">
                  <c:v>0.35248248813145522</c:v>
                </c:pt>
                <c:pt idx="1">
                  <c:v>0</c:v>
                </c:pt>
                <c:pt idx="2">
                  <c:v>0.71298351464330012</c:v>
                </c:pt>
                <c:pt idx="3">
                  <c:v>2.647518565213423</c:v>
                </c:pt>
                <c:pt idx="4">
                  <c:v>3.623174568859826</c:v>
                </c:pt>
                <c:pt idx="5">
                  <c:v>0.86999493595369892</c:v>
                </c:pt>
                <c:pt idx="6">
                  <c:v>0.50432180769235069</c:v>
                </c:pt>
                <c:pt idx="7">
                  <c:v>0.98190830273496954</c:v>
                </c:pt>
                <c:pt idx="8">
                  <c:v>2.2326675206764777</c:v>
                </c:pt>
                <c:pt idx="9">
                  <c:v>2.5339934740191672</c:v>
                </c:pt>
                <c:pt idx="10">
                  <c:v>1.1406484223914835</c:v>
                </c:pt>
              </c:numCache>
            </c:numRef>
          </c:val>
          <c:smooth val="0"/>
          <c:extLst>
            <c:ext xmlns:c16="http://schemas.microsoft.com/office/drawing/2014/chart" uri="{C3380CC4-5D6E-409C-BE32-E72D297353CC}">
              <c16:uniqueId val="{00000007-BAF5-42D6-8D59-CF1C86EF4751}"/>
            </c:ext>
          </c:extLst>
        </c:ser>
        <c:ser>
          <c:idx val="8"/>
          <c:order val="8"/>
          <c:tx>
            <c:v>2018</c:v>
          </c:tx>
          <c:spPr>
            <a:ln w="28575" cap="rnd">
              <a:solidFill>
                <a:schemeClr val="accent3">
                  <a:lumMod val="60000"/>
                </a:schemeClr>
              </a:solidFill>
              <a:round/>
            </a:ln>
            <a:effectLst/>
          </c:spPr>
          <c:marker>
            <c:symbol val="none"/>
          </c:marker>
          <c:cat>
            <c:strRef>
              <c:f>Utilitarianism!$B$22:$B$32</c:f>
              <c:strCache>
                <c:ptCount val="11"/>
                <c:pt idx="0">
                  <c:v> Burundi </c:v>
                </c:pt>
                <c:pt idx="1">
                  <c:v> DRC </c:v>
                </c:pt>
                <c:pt idx="2">
                  <c:v> Egypt </c:v>
                </c:pt>
                <c:pt idx="3">
                  <c:v> Eritrea </c:v>
                </c:pt>
                <c:pt idx="4">
                  <c:v> Ethiopia </c:v>
                </c:pt>
                <c:pt idx="5">
                  <c:v> Kenya </c:v>
                </c:pt>
                <c:pt idx="6">
                  <c:v> Rwanda </c:v>
                </c:pt>
                <c:pt idx="7">
                  <c:v> Sudan </c:v>
                </c:pt>
                <c:pt idx="8">
                  <c:v> South Sudan </c:v>
                </c:pt>
                <c:pt idx="9">
                  <c:v> Tanzania </c:v>
                </c:pt>
                <c:pt idx="10">
                  <c:v> Uganda </c:v>
                </c:pt>
              </c:strCache>
            </c:strRef>
          </c:cat>
          <c:val>
            <c:numRef>
              <c:f>Utilitarianism!$K$22:$K$32</c:f>
              <c:numCache>
                <c:formatCode>_-* #,##0.0_-;\-* #,##0.0_-;_-* "-"??_-;_-@_-</c:formatCode>
                <c:ptCount val="11"/>
                <c:pt idx="0">
                  <c:v>1.2328742470834047</c:v>
                </c:pt>
                <c:pt idx="1">
                  <c:v>0.36338273338224963</c:v>
                </c:pt>
                <c:pt idx="2">
                  <c:v>0.69941486623827742</c:v>
                </c:pt>
                <c:pt idx="3">
                  <c:v>1.5228174172507212</c:v>
                </c:pt>
                <c:pt idx="4">
                  <c:v>2.0805182989386197</c:v>
                </c:pt>
                <c:pt idx="5">
                  <c:v>1.4666442542418028</c:v>
                </c:pt>
                <c:pt idx="6">
                  <c:v>1.1025590063029929</c:v>
                </c:pt>
                <c:pt idx="7">
                  <c:v>0.95870757931553374</c:v>
                </c:pt>
                <c:pt idx="8">
                  <c:v>2.2064112270742933</c:v>
                </c:pt>
                <c:pt idx="9">
                  <c:v>5.2129102982361903</c:v>
                </c:pt>
                <c:pt idx="10">
                  <c:v>2.0927331022497557</c:v>
                </c:pt>
              </c:numCache>
            </c:numRef>
          </c:val>
          <c:smooth val="0"/>
          <c:extLst>
            <c:ext xmlns:c16="http://schemas.microsoft.com/office/drawing/2014/chart" uri="{C3380CC4-5D6E-409C-BE32-E72D297353CC}">
              <c16:uniqueId val="{00000008-BAF5-42D6-8D59-CF1C86EF4751}"/>
            </c:ext>
          </c:extLst>
        </c:ser>
        <c:dLbls>
          <c:showLegendKey val="0"/>
          <c:showVal val="0"/>
          <c:showCatName val="0"/>
          <c:showSerName val="0"/>
          <c:showPercent val="0"/>
          <c:showBubbleSize val="0"/>
        </c:dLbls>
        <c:smooth val="0"/>
        <c:axId val="1114487935"/>
        <c:axId val="984770671"/>
      </c:lineChart>
      <c:catAx>
        <c:axId val="11144879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4770671"/>
        <c:crosses val="autoZero"/>
        <c:auto val="1"/>
        <c:lblAlgn val="ctr"/>
        <c:lblOffset val="100"/>
        <c:noMultiLvlLbl val="0"/>
      </c:catAx>
      <c:valAx>
        <c:axId val="984770671"/>
        <c:scaling>
          <c:orientation val="minMax"/>
        </c:scaling>
        <c:delete val="0"/>
        <c:axPos val="l"/>
        <c:majorGridlines>
          <c:spPr>
            <a:ln w="9525" cap="flat" cmpd="sng" algn="ctr">
              <a:solidFill>
                <a:schemeClr val="tx1">
                  <a:lumMod val="15000"/>
                  <a:lumOff val="85000"/>
                </a:schemeClr>
              </a:solidFill>
              <a:round/>
            </a:ln>
            <a:effectLst/>
          </c:spPr>
        </c:majorGridlines>
        <c:numFmt formatCode="_-* #,##0.0_-;\-* #,##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44879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319466316710408"/>
          <c:y val="0.125"/>
          <c:w val="0.84513867016622923"/>
          <c:h val="0.5792891513560805"/>
        </c:manualLayout>
      </c:layout>
      <c:barChart>
        <c:barDir val="col"/>
        <c:grouping val="clustered"/>
        <c:varyColors val="0"/>
        <c:ser>
          <c:idx val="0"/>
          <c:order val="0"/>
          <c:tx>
            <c:strRef>
              <c:f>Utilitarianism!$C$36</c:f>
              <c:strCache>
                <c:ptCount val="1"/>
                <c:pt idx="0">
                  <c:v> Total AW per 1M population  </c:v>
                </c:pt>
              </c:strCache>
            </c:strRef>
          </c:tx>
          <c:spPr>
            <a:solidFill>
              <a:schemeClr val="accent1"/>
            </a:solidFill>
            <a:ln>
              <a:noFill/>
            </a:ln>
            <a:effectLst/>
          </c:spPr>
          <c:invertIfNegative val="0"/>
          <c:cat>
            <c:strRef>
              <c:f>Utilitarianism!$B$38:$B$48</c:f>
              <c:strCache>
                <c:ptCount val="11"/>
                <c:pt idx="0">
                  <c:v> Burundi </c:v>
                </c:pt>
                <c:pt idx="1">
                  <c:v> DRC </c:v>
                </c:pt>
                <c:pt idx="2">
                  <c:v> Egypt </c:v>
                </c:pt>
                <c:pt idx="3">
                  <c:v> Eritrea </c:v>
                </c:pt>
                <c:pt idx="4">
                  <c:v> Ethiopia </c:v>
                </c:pt>
                <c:pt idx="5">
                  <c:v> Kenya </c:v>
                </c:pt>
                <c:pt idx="6">
                  <c:v> Rwanda </c:v>
                </c:pt>
                <c:pt idx="7">
                  <c:v> Sudan </c:v>
                </c:pt>
                <c:pt idx="8">
                  <c:v> South Sudan </c:v>
                </c:pt>
                <c:pt idx="9">
                  <c:v> Tanzania </c:v>
                </c:pt>
                <c:pt idx="10">
                  <c:v> Uganda </c:v>
                </c:pt>
              </c:strCache>
            </c:strRef>
          </c:cat>
          <c:val>
            <c:numRef>
              <c:f>Utilitarianism!$C$38:$C$48</c:f>
              <c:numCache>
                <c:formatCode>0</c:formatCode>
                <c:ptCount val="11"/>
                <c:pt idx="0">
                  <c:v>5.6331081912227363</c:v>
                </c:pt>
                <c:pt idx="1">
                  <c:v>8.9681187901110029</c:v>
                </c:pt>
                <c:pt idx="2">
                  <c:v>0.41400397002656902</c:v>
                </c:pt>
                <c:pt idx="3">
                  <c:v>26.938946722395695</c:v>
                </c:pt>
                <c:pt idx="4">
                  <c:v>0.88585346819965383</c:v>
                </c:pt>
                <c:pt idx="5">
                  <c:v>1.760356331832353</c:v>
                </c:pt>
                <c:pt idx="6">
                  <c:v>3.0415604158067016</c:v>
                </c:pt>
                <c:pt idx="7">
                  <c:v>0.93973904254285368</c:v>
                </c:pt>
                <c:pt idx="8">
                  <c:v>3.1867702748959106</c:v>
                </c:pt>
                <c:pt idx="9">
                  <c:v>2.8970926758295339</c:v>
                </c:pt>
                <c:pt idx="10">
                  <c:v>0.82908856488414573</c:v>
                </c:pt>
              </c:numCache>
            </c:numRef>
          </c:val>
          <c:extLst>
            <c:ext xmlns:c16="http://schemas.microsoft.com/office/drawing/2014/chart" uri="{C3380CC4-5D6E-409C-BE32-E72D297353CC}">
              <c16:uniqueId val="{00000000-9A42-40FE-B566-42662F879C48}"/>
            </c:ext>
          </c:extLst>
        </c:ser>
        <c:dLbls>
          <c:showLegendKey val="0"/>
          <c:showVal val="0"/>
          <c:showCatName val="0"/>
          <c:showSerName val="0"/>
          <c:showPercent val="0"/>
          <c:showBubbleSize val="0"/>
        </c:dLbls>
        <c:gapWidth val="219"/>
        <c:overlap val="-27"/>
        <c:axId val="923518031"/>
        <c:axId val="930695055"/>
      </c:barChart>
      <c:catAx>
        <c:axId val="92351803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baseline="0">
                    <a:effectLst/>
                  </a:rPr>
                  <a:t>Countries</a:t>
                </a:r>
                <a:endParaRPr lang="en-GB"/>
              </a:p>
            </c:rich>
          </c:tx>
          <c:layout>
            <c:manualLayout>
              <c:xMode val="edge"/>
              <c:yMode val="edge"/>
              <c:x val="0.43188888888888888"/>
              <c:y val="0.90046296296296291"/>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0695055"/>
        <c:crosses val="autoZero"/>
        <c:auto val="1"/>
        <c:lblAlgn val="ctr"/>
        <c:lblOffset val="100"/>
        <c:noMultiLvlLbl val="0"/>
      </c:catAx>
      <c:valAx>
        <c:axId val="93069505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baseline="0">
                    <a:effectLst/>
                  </a:rPr>
                  <a:t>Total AW per capita (km3/y)</a:t>
                </a:r>
                <a:endParaRPr lang="en-GB"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51803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91688538932634"/>
          <c:y val="0.11574074074074074"/>
          <c:w val="0.83819422572178481"/>
          <c:h val="0.5792891513560805"/>
        </c:manualLayout>
      </c:layout>
      <c:barChart>
        <c:barDir val="col"/>
        <c:grouping val="clustered"/>
        <c:varyColors val="0"/>
        <c:ser>
          <c:idx val="0"/>
          <c:order val="0"/>
          <c:tx>
            <c:strRef>
              <c:f>Utilitarianism!$C$57</c:f>
              <c:strCache>
                <c:ptCount val="1"/>
                <c:pt idx="0">
                  <c:v> Total AW per 1M population  </c:v>
                </c:pt>
              </c:strCache>
            </c:strRef>
          </c:tx>
          <c:spPr>
            <a:solidFill>
              <a:schemeClr val="accent1"/>
            </a:solidFill>
            <a:ln>
              <a:noFill/>
            </a:ln>
            <a:effectLst/>
          </c:spPr>
          <c:invertIfNegative val="0"/>
          <c:cat>
            <c:strRef>
              <c:f>Utilitarianism!$B$59:$B$69</c:f>
              <c:strCache>
                <c:ptCount val="11"/>
                <c:pt idx="0">
                  <c:v> Burundi </c:v>
                </c:pt>
                <c:pt idx="1">
                  <c:v> DRC </c:v>
                </c:pt>
                <c:pt idx="2">
                  <c:v> Egypt </c:v>
                </c:pt>
                <c:pt idx="3">
                  <c:v> Eritrea </c:v>
                </c:pt>
                <c:pt idx="4">
                  <c:v> Ethiopia </c:v>
                </c:pt>
                <c:pt idx="5">
                  <c:v> Kenya </c:v>
                </c:pt>
                <c:pt idx="6">
                  <c:v> Rwanda </c:v>
                </c:pt>
                <c:pt idx="7">
                  <c:v> Sudan </c:v>
                </c:pt>
                <c:pt idx="8">
                  <c:v> South Sudan </c:v>
                </c:pt>
                <c:pt idx="9">
                  <c:v> Tanzania </c:v>
                </c:pt>
                <c:pt idx="10">
                  <c:v> Uganda </c:v>
                </c:pt>
              </c:strCache>
            </c:strRef>
          </c:cat>
          <c:val>
            <c:numRef>
              <c:f>Utilitarianism!$C$59:$C$69</c:f>
              <c:numCache>
                <c:formatCode>0.0</c:formatCode>
                <c:ptCount val="11"/>
                <c:pt idx="0">
                  <c:v>1.4292164409807269</c:v>
                </c:pt>
                <c:pt idx="1">
                  <c:v>1.4292164409807269</c:v>
                </c:pt>
                <c:pt idx="2">
                  <c:v>1.4292164409807269</c:v>
                </c:pt>
                <c:pt idx="3">
                  <c:v>1.4292164409807269</c:v>
                </c:pt>
                <c:pt idx="4">
                  <c:v>1.4292164409807269</c:v>
                </c:pt>
                <c:pt idx="5">
                  <c:v>1.4292164409807269</c:v>
                </c:pt>
                <c:pt idx="6">
                  <c:v>1.4292164409807269</c:v>
                </c:pt>
                <c:pt idx="7">
                  <c:v>1.4292164409807269</c:v>
                </c:pt>
                <c:pt idx="8">
                  <c:v>1.4292164409807269</c:v>
                </c:pt>
                <c:pt idx="9">
                  <c:v>1.4292164409807269</c:v>
                </c:pt>
                <c:pt idx="10">
                  <c:v>1.4292164409807269</c:v>
                </c:pt>
              </c:numCache>
            </c:numRef>
          </c:val>
          <c:extLst>
            <c:ext xmlns:c16="http://schemas.microsoft.com/office/drawing/2014/chart" uri="{C3380CC4-5D6E-409C-BE32-E72D297353CC}">
              <c16:uniqueId val="{00000000-D21D-48D2-95D5-19FA7D445B95}"/>
            </c:ext>
          </c:extLst>
        </c:ser>
        <c:dLbls>
          <c:showLegendKey val="0"/>
          <c:showVal val="0"/>
          <c:showCatName val="0"/>
          <c:showSerName val="0"/>
          <c:showPercent val="0"/>
          <c:showBubbleSize val="0"/>
        </c:dLbls>
        <c:gapWidth val="219"/>
        <c:overlap val="-27"/>
        <c:axId val="923518031"/>
        <c:axId val="930695055"/>
      </c:barChart>
      <c:catAx>
        <c:axId val="92351803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baseline="0">
                    <a:effectLst/>
                  </a:rPr>
                  <a:t>Countries</a:t>
                </a:r>
                <a:endParaRPr lang="en-GB"/>
              </a:p>
            </c:rich>
          </c:tx>
          <c:layout>
            <c:manualLayout>
              <c:xMode val="edge"/>
              <c:yMode val="edge"/>
              <c:x val="0.43258333333333326"/>
              <c:y val="0.8958333333333333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0695055"/>
        <c:crosses val="autoZero"/>
        <c:auto val="1"/>
        <c:lblAlgn val="ctr"/>
        <c:lblOffset val="100"/>
        <c:noMultiLvlLbl val="0"/>
      </c:catAx>
      <c:valAx>
        <c:axId val="93069505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baseline="0">
                    <a:effectLst/>
                  </a:rPr>
                  <a:t>Total AW per capita (km3/y)</a:t>
                </a:r>
                <a:endParaRPr lang="en-GB"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51803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5091229447209"/>
          <c:y val="0.12333219196804944"/>
          <c:w val="0.84499280988876546"/>
          <c:h val="0.58490247081605695"/>
        </c:manualLayout>
      </c:layout>
      <c:barChart>
        <c:barDir val="col"/>
        <c:grouping val="clustered"/>
        <c:varyColors val="0"/>
        <c:ser>
          <c:idx val="0"/>
          <c:order val="0"/>
          <c:tx>
            <c:strRef>
              <c:f>Utilitarianism!$C$36</c:f>
              <c:strCache>
                <c:ptCount val="1"/>
                <c:pt idx="0">
                  <c:v> Total AW per 1M population  </c:v>
                </c:pt>
              </c:strCache>
            </c:strRef>
          </c:tx>
          <c:spPr>
            <a:solidFill>
              <a:schemeClr val="accent1"/>
            </a:solidFill>
            <a:ln>
              <a:noFill/>
            </a:ln>
            <a:effectLst/>
          </c:spPr>
          <c:invertIfNegative val="0"/>
          <c:cat>
            <c:strRef>
              <c:f>Utilitarianism!$B$79:$B$89</c:f>
              <c:strCache>
                <c:ptCount val="11"/>
                <c:pt idx="0">
                  <c:v> Burundi </c:v>
                </c:pt>
                <c:pt idx="1">
                  <c:v> DRC </c:v>
                </c:pt>
                <c:pt idx="2">
                  <c:v> Egypt </c:v>
                </c:pt>
                <c:pt idx="3">
                  <c:v> Eritrea </c:v>
                </c:pt>
                <c:pt idx="4">
                  <c:v> Ethiopia </c:v>
                </c:pt>
                <c:pt idx="5">
                  <c:v> Kenya </c:v>
                </c:pt>
                <c:pt idx="6">
                  <c:v> Rwanda </c:v>
                </c:pt>
                <c:pt idx="7">
                  <c:v> Sudan </c:v>
                </c:pt>
                <c:pt idx="8">
                  <c:v> South Sudan </c:v>
                </c:pt>
                <c:pt idx="9">
                  <c:v> Tanzania </c:v>
                </c:pt>
                <c:pt idx="10">
                  <c:v> Uganda </c:v>
                </c:pt>
              </c:strCache>
            </c:strRef>
          </c:cat>
          <c:val>
            <c:numRef>
              <c:f>Utilitarianism!$C$79:$C$89</c:f>
              <c:numCache>
                <c:formatCode>0.0</c:formatCode>
                <c:ptCount val="11"/>
                <c:pt idx="0">
                  <c:v>0.46126005012359683</c:v>
                </c:pt>
                <c:pt idx="1">
                  <c:v>0.13303339943743758</c:v>
                </c:pt>
                <c:pt idx="2">
                  <c:v>0.37818711052816151</c:v>
                </c:pt>
                <c:pt idx="3">
                  <c:v>0.97288786972856489</c:v>
                </c:pt>
                <c:pt idx="4">
                  <c:v>0.87327889084132249</c:v>
                </c:pt>
                <c:pt idx="5">
                  <c:v>0.71288875757188874</c:v>
                </c:pt>
                <c:pt idx="6">
                  <c:v>0.48797279444357189</c:v>
                </c:pt>
                <c:pt idx="7">
                  <c:v>0.44603965668255618</c:v>
                </c:pt>
                <c:pt idx="8">
                  <c:v>1.5110658463599722</c:v>
                </c:pt>
                <c:pt idx="9">
                  <c:v>2.0369850992272389</c:v>
                </c:pt>
                <c:pt idx="10">
                  <c:v>0.73589037705607896</c:v>
                </c:pt>
              </c:numCache>
            </c:numRef>
          </c:val>
          <c:extLst>
            <c:ext xmlns:c16="http://schemas.microsoft.com/office/drawing/2014/chart" uri="{C3380CC4-5D6E-409C-BE32-E72D297353CC}">
              <c16:uniqueId val="{00000000-6A52-4BA2-BC09-E40375AFF2BD}"/>
            </c:ext>
          </c:extLst>
        </c:ser>
        <c:dLbls>
          <c:showLegendKey val="0"/>
          <c:showVal val="0"/>
          <c:showCatName val="0"/>
          <c:showSerName val="0"/>
          <c:showPercent val="0"/>
          <c:showBubbleSize val="0"/>
        </c:dLbls>
        <c:gapWidth val="219"/>
        <c:overlap val="-27"/>
        <c:axId val="923518031"/>
        <c:axId val="930695055"/>
      </c:barChart>
      <c:catAx>
        <c:axId val="92351803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Countries</a:t>
                </a:r>
              </a:p>
            </c:rich>
          </c:tx>
          <c:layout>
            <c:manualLayout>
              <c:xMode val="edge"/>
              <c:yMode val="edge"/>
              <c:x val="0.43807714445617596"/>
              <c:y val="0.9063588912835179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0695055"/>
        <c:crosses val="autoZero"/>
        <c:auto val="1"/>
        <c:lblAlgn val="ctr"/>
        <c:lblOffset val="100"/>
        <c:noMultiLvlLbl val="0"/>
      </c:catAx>
      <c:valAx>
        <c:axId val="93069505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Total AW per capita (km3/y)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51803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Gini_Format!$H$94:$H$105</c:f>
              <c:numCache>
                <c:formatCode>0.00</c:formatCode>
                <c:ptCount val="12"/>
                <c:pt idx="0">
                  <c:v>0</c:v>
                </c:pt>
                <c:pt idx="1">
                  <c:v>1.3686107021111144E-2</c:v>
                </c:pt>
                <c:pt idx="2">
                  <c:v>2.19891933226572E-2</c:v>
                </c:pt>
                <c:pt idx="3">
                  <c:v>8.3569604051158444E-2</c:v>
                </c:pt>
                <c:pt idx="4">
                  <c:v>9.2220408138928928E-2</c:v>
                </c:pt>
                <c:pt idx="5">
                  <c:v>0.3655962467409829</c:v>
                </c:pt>
                <c:pt idx="6">
                  <c:v>0.42864599318730595</c:v>
                </c:pt>
                <c:pt idx="7">
                  <c:v>0.45184315567448069</c:v>
                </c:pt>
                <c:pt idx="8">
                  <c:v>0.77905272953106874</c:v>
                </c:pt>
                <c:pt idx="9">
                  <c:v>0.79440781282785866</c:v>
                </c:pt>
                <c:pt idx="10">
                  <c:v>0.87330762975134069</c:v>
                </c:pt>
                <c:pt idx="11">
                  <c:v>1.0000000000000002</c:v>
                </c:pt>
              </c:numCache>
            </c:numRef>
          </c:xVal>
          <c:yVal>
            <c:numRef>
              <c:f>Gini_Format!$H$94:$H$105</c:f>
              <c:numCache>
                <c:formatCode>0.00</c:formatCode>
                <c:ptCount val="12"/>
                <c:pt idx="0">
                  <c:v>0</c:v>
                </c:pt>
                <c:pt idx="1">
                  <c:v>1.3686107021111144E-2</c:v>
                </c:pt>
                <c:pt idx="2">
                  <c:v>2.19891933226572E-2</c:v>
                </c:pt>
                <c:pt idx="3">
                  <c:v>8.3569604051158444E-2</c:v>
                </c:pt>
                <c:pt idx="4">
                  <c:v>9.2220408138928928E-2</c:v>
                </c:pt>
                <c:pt idx="5">
                  <c:v>0.3655962467409829</c:v>
                </c:pt>
                <c:pt idx="6">
                  <c:v>0.42864599318730595</c:v>
                </c:pt>
                <c:pt idx="7">
                  <c:v>0.45184315567448069</c:v>
                </c:pt>
                <c:pt idx="8">
                  <c:v>0.77905272953106874</c:v>
                </c:pt>
                <c:pt idx="9">
                  <c:v>0.79440781282785866</c:v>
                </c:pt>
                <c:pt idx="10">
                  <c:v>0.87330762975134069</c:v>
                </c:pt>
                <c:pt idx="11">
                  <c:v>1.0000000000000002</c:v>
                </c:pt>
              </c:numCache>
            </c:numRef>
          </c:yVal>
          <c:smooth val="1"/>
          <c:extLst>
            <c:ext xmlns:c16="http://schemas.microsoft.com/office/drawing/2014/chart" uri="{C3380CC4-5D6E-409C-BE32-E72D297353CC}">
              <c16:uniqueId val="{00000000-7192-4B3F-839F-4EEBE16DE996}"/>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7192-4B3F-839F-4EEBE16DE996}"/>
              </c:ext>
            </c:extLst>
          </c:dPt>
          <c:xVal>
            <c:numRef>
              <c:f>Gini_Format!$H$94:$H$105</c:f>
              <c:numCache>
                <c:formatCode>0.00</c:formatCode>
                <c:ptCount val="12"/>
                <c:pt idx="0">
                  <c:v>0</c:v>
                </c:pt>
                <c:pt idx="1">
                  <c:v>1.3686107021111144E-2</c:v>
                </c:pt>
                <c:pt idx="2">
                  <c:v>2.19891933226572E-2</c:v>
                </c:pt>
                <c:pt idx="3">
                  <c:v>8.3569604051158444E-2</c:v>
                </c:pt>
                <c:pt idx="4">
                  <c:v>9.2220408138928928E-2</c:v>
                </c:pt>
                <c:pt idx="5">
                  <c:v>0.3655962467409829</c:v>
                </c:pt>
                <c:pt idx="6">
                  <c:v>0.42864599318730595</c:v>
                </c:pt>
                <c:pt idx="7">
                  <c:v>0.45184315567448069</c:v>
                </c:pt>
                <c:pt idx="8">
                  <c:v>0.77905272953106874</c:v>
                </c:pt>
                <c:pt idx="9">
                  <c:v>0.79440781282785866</c:v>
                </c:pt>
                <c:pt idx="10">
                  <c:v>0.87330762975134069</c:v>
                </c:pt>
                <c:pt idx="11">
                  <c:v>1.0000000000000002</c:v>
                </c:pt>
              </c:numCache>
            </c:numRef>
          </c:xVal>
          <c:yVal>
            <c:numRef>
              <c:f>Gini_Format!$G$94:$G$105</c:f>
              <c:numCache>
                <c:formatCode>0.00</c:formatCode>
                <c:ptCount val="12"/>
                <c:pt idx="0">
                  <c:v>0</c:v>
                </c:pt>
                <c:pt idx="1">
                  <c:v>2.0572122059260146E-3</c:v>
                </c:pt>
                <c:pt idx="2">
                  <c:v>8.6289624421381217E-3</c:v>
                </c:pt>
                <c:pt idx="3">
                  <c:v>1.7701695815085312E-2</c:v>
                </c:pt>
                <c:pt idx="4">
                  <c:v>3.0178732413705139E-2</c:v>
                </c:pt>
                <c:pt idx="5">
                  <c:v>4.2893132745155806E-2</c:v>
                </c:pt>
                <c:pt idx="6">
                  <c:v>8.1100344412985081E-2</c:v>
                </c:pt>
                <c:pt idx="7">
                  <c:v>0.15563756621705813</c:v>
                </c:pt>
                <c:pt idx="8">
                  <c:v>0.30720643346615872</c:v>
                </c:pt>
                <c:pt idx="9">
                  <c:v>0.49808736370607998</c:v>
                </c:pt>
                <c:pt idx="10">
                  <c:v>0.70348588928344968</c:v>
                </c:pt>
                <c:pt idx="11">
                  <c:v>0.99999999999999978</c:v>
                </c:pt>
              </c:numCache>
            </c:numRef>
          </c:yVal>
          <c:smooth val="0"/>
          <c:extLst>
            <c:ext xmlns:c16="http://schemas.microsoft.com/office/drawing/2014/chart" uri="{C3380CC4-5D6E-409C-BE32-E72D297353CC}">
              <c16:uniqueId val="{00000002-7192-4B3F-839F-4EEBE16DE996}"/>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Precipitation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301861863580613"/>
          <c:y val="0.1566342980154827"/>
          <c:w val="0.54960252622417904"/>
          <c:h val="0.65904922055244786"/>
        </c:manualLayout>
      </c:layout>
      <c:scatterChart>
        <c:scatterStyle val="smoothMarker"/>
        <c:varyColors val="0"/>
        <c:ser>
          <c:idx val="1"/>
          <c:order val="1"/>
          <c:tx>
            <c:v>Equality Line</c:v>
          </c:tx>
          <c:spPr>
            <a:ln w="19050" cap="rnd">
              <a:solidFill>
                <a:schemeClr val="accent2"/>
              </a:solidFill>
              <a:round/>
            </a:ln>
            <a:effectLst/>
          </c:spPr>
          <c:marker>
            <c:symbol val="none"/>
          </c:marker>
          <c:xVal>
            <c:numRef>
              <c:f>Gini_Format!$H$115:$H$126</c:f>
              <c:numCache>
                <c:formatCode>0.00</c:formatCode>
                <c:ptCount val="12"/>
                <c:pt idx="0">
                  <c:v>0</c:v>
                </c:pt>
                <c:pt idx="1">
                  <c:v>1.3686107021111144E-2</c:v>
                </c:pt>
                <c:pt idx="2">
                  <c:v>2.19891933226572E-2</c:v>
                </c:pt>
                <c:pt idx="3">
                  <c:v>8.3569604051158444E-2</c:v>
                </c:pt>
                <c:pt idx="4">
                  <c:v>9.2220408138928928E-2</c:v>
                </c:pt>
                <c:pt idx="5">
                  <c:v>0.3655962467409829</c:v>
                </c:pt>
                <c:pt idx="6">
                  <c:v>0.42864599318730595</c:v>
                </c:pt>
                <c:pt idx="7">
                  <c:v>0.45184315567448069</c:v>
                </c:pt>
                <c:pt idx="8">
                  <c:v>0.77905272953106874</c:v>
                </c:pt>
                <c:pt idx="9">
                  <c:v>0.79440781282785866</c:v>
                </c:pt>
                <c:pt idx="10">
                  <c:v>0.87330762975134069</c:v>
                </c:pt>
                <c:pt idx="11">
                  <c:v>1.0000000000000002</c:v>
                </c:pt>
              </c:numCache>
            </c:numRef>
          </c:xVal>
          <c:yVal>
            <c:numRef>
              <c:f>Gini_Format!$H$115:$H$126</c:f>
              <c:numCache>
                <c:formatCode>0.00</c:formatCode>
                <c:ptCount val="12"/>
                <c:pt idx="0">
                  <c:v>0</c:v>
                </c:pt>
                <c:pt idx="1">
                  <c:v>1.3686107021111144E-2</c:v>
                </c:pt>
                <c:pt idx="2">
                  <c:v>2.19891933226572E-2</c:v>
                </c:pt>
                <c:pt idx="3">
                  <c:v>8.3569604051158444E-2</c:v>
                </c:pt>
                <c:pt idx="4">
                  <c:v>9.2220408138928928E-2</c:v>
                </c:pt>
                <c:pt idx="5">
                  <c:v>0.3655962467409829</c:v>
                </c:pt>
                <c:pt idx="6">
                  <c:v>0.42864599318730595</c:v>
                </c:pt>
                <c:pt idx="7">
                  <c:v>0.45184315567448069</c:v>
                </c:pt>
                <c:pt idx="8">
                  <c:v>0.77905272953106874</c:v>
                </c:pt>
                <c:pt idx="9">
                  <c:v>0.79440781282785866</c:v>
                </c:pt>
                <c:pt idx="10">
                  <c:v>0.87330762975134069</c:v>
                </c:pt>
                <c:pt idx="11">
                  <c:v>1.0000000000000002</c:v>
                </c:pt>
              </c:numCache>
            </c:numRef>
          </c:yVal>
          <c:smooth val="1"/>
          <c:extLst>
            <c:ext xmlns:c16="http://schemas.microsoft.com/office/drawing/2014/chart" uri="{C3380CC4-5D6E-409C-BE32-E72D297353CC}">
              <c16:uniqueId val="{00000000-C150-4902-9E9A-95AF82A248FC}"/>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C150-4902-9E9A-95AF82A248FC}"/>
              </c:ext>
            </c:extLst>
          </c:dPt>
          <c:xVal>
            <c:numRef>
              <c:f>Gini_Format!$H$115:$H$126</c:f>
              <c:numCache>
                <c:formatCode>0.00</c:formatCode>
                <c:ptCount val="12"/>
                <c:pt idx="0">
                  <c:v>0</c:v>
                </c:pt>
                <c:pt idx="1">
                  <c:v>1.3686107021111144E-2</c:v>
                </c:pt>
                <c:pt idx="2">
                  <c:v>2.19891933226572E-2</c:v>
                </c:pt>
                <c:pt idx="3">
                  <c:v>8.3569604051158444E-2</c:v>
                </c:pt>
                <c:pt idx="4">
                  <c:v>9.2220408138928928E-2</c:v>
                </c:pt>
                <c:pt idx="5">
                  <c:v>0.3655962467409829</c:v>
                </c:pt>
                <c:pt idx="6">
                  <c:v>0.42864599318730595</c:v>
                </c:pt>
                <c:pt idx="7">
                  <c:v>0.45184315567448069</c:v>
                </c:pt>
                <c:pt idx="8">
                  <c:v>0.77905272953106874</c:v>
                </c:pt>
                <c:pt idx="9">
                  <c:v>0.79440781282785866</c:v>
                </c:pt>
                <c:pt idx="10">
                  <c:v>0.87330762975134069</c:v>
                </c:pt>
                <c:pt idx="11">
                  <c:v>1.0000000000000002</c:v>
                </c:pt>
              </c:numCache>
            </c:numRef>
          </c:xVal>
          <c:yVal>
            <c:numRef>
              <c:f>Gini_Format!$G$115:$G$126</c:f>
              <c:numCache>
                <c:formatCode>0.00</c:formatCode>
                <c:ptCount val="12"/>
                <c:pt idx="0">
                  <c:v>0</c:v>
                </c:pt>
                <c:pt idx="1">
                  <c:v>5.6387986055587242E-3</c:v>
                </c:pt>
                <c:pt idx="2">
                  <c:v>1.1360188457287819E-2</c:v>
                </c:pt>
                <c:pt idx="3">
                  <c:v>2.024176629132083E-2</c:v>
                </c:pt>
                <c:pt idx="4">
                  <c:v>3.2012888050712042E-2</c:v>
                </c:pt>
                <c:pt idx="5">
                  <c:v>5.7762823909743397E-2</c:v>
                </c:pt>
                <c:pt idx="6">
                  <c:v>8.8550981159494335E-2</c:v>
                </c:pt>
                <c:pt idx="7">
                  <c:v>0.1404898543639673</c:v>
                </c:pt>
                <c:pt idx="8">
                  <c:v>0.26486530011936027</c:v>
                </c:pt>
                <c:pt idx="9">
                  <c:v>0.43265145785843007</c:v>
                </c:pt>
                <c:pt idx="10">
                  <c:v>0.64822411816596082</c:v>
                </c:pt>
                <c:pt idx="11">
                  <c:v>1</c:v>
                </c:pt>
              </c:numCache>
            </c:numRef>
          </c:yVal>
          <c:smooth val="0"/>
          <c:extLst>
            <c:ext xmlns:c16="http://schemas.microsoft.com/office/drawing/2014/chart" uri="{C3380CC4-5D6E-409C-BE32-E72D297353CC}">
              <c16:uniqueId val="{00000002-C150-4902-9E9A-95AF82A248FC}"/>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ETa</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Gini_Format!$H$136:$H$147</c:f>
              <c:numCache>
                <c:formatCode>0.00</c:formatCode>
                <c:ptCount val="12"/>
                <c:pt idx="0">
                  <c:v>0</c:v>
                </c:pt>
                <c:pt idx="1">
                  <c:v>1.3686107021111144E-2</c:v>
                </c:pt>
                <c:pt idx="2">
                  <c:v>2.19891933226572E-2</c:v>
                </c:pt>
                <c:pt idx="3">
                  <c:v>8.3569604051158444E-2</c:v>
                </c:pt>
                <c:pt idx="4">
                  <c:v>9.2220408138928928E-2</c:v>
                </c:pt>
                <c:pt idx="5">
                  <c:v>0.3655962467409829</c:v>
                </c:pt>
                <c:pt idx="6">
                  <c:v>0.42864599318730595</c:v>
                </c:pt>
                <c:pt idx="7">
                  <c:v>0.45184315567448069</c:v>
                </c:pt>
                <c:pt idx="8">
                  <c:v>0.77905272953106874</c:v>
                </c:pt>
                <c:pt idx="9">
                  <c:v>0.79440781282785866</c:v>
                </c:pt>
                <c:pt idx="10">
                  <c:v>0.87330762975134069</c:v>
                </c:pt>
                <c:pt idx="11">
                  <c:v>1.0000000000000002</c:v>
                </c:pt>
              </c:numCache>
            </c:numRef>
          </c:xVal>
          <c:yVal>
            <c:numRef>
              <c:f>Gini_Format!$H$136:$H$147</c:f>
              <c:numCache>
                <c:formatCode>0.00</c:formatCode>
                <c:ptCount val="12"/>
                <c:pt idx="0">
                  <c:v>0</c:v>
                </c:pt>
                <c:pt idx="1">
                  <c:v>1.3686107021111144E-2</c:v>
                </c:pt>
                <c:pt idx="2">
                  <c:v>2.19891933226572E-2</c:v>
                </c:pt>
                <c:pt idx="3">
                  <c:v>8.3569604051158444E-2</c:v>
                </c:pt>
                <c:pt idx="4">
                  <c:v>9.2220408138928928E-2</c:v>
                </c:pt>
                <c:pt idx="5">
                  <c:v>0.3655962467409829</c:v>
                </c:pt>
                <c:pt idx="6">
                  <c:v>0.42864599318730595</c:v>
                </c:pt>
                <c:pt idx="7">
                  <c:v>0.45184315567448069</c:v>
                </c:pt>
                <c:pt idx="8">
                  <c:v>0.77905272953106874</c:v>
                </c:pt>
                <c:pt idx="9">
                  <c:v>0.79440781282785866</c:v>
                </c:pt>
                <c:pt idx="10">
                  <c:v>0.87330762975134069</c:v>
                </c:pt>
                <c:pt idx="11">
                  <c:v>1.0000000000000002</c:v>
                </c:pt>
              </c:numCache>
            </c:numRef>
          </c:yVal>
          <c:smooth val="1"/>
          <c:extLst>
            <c:ext xmlns:c16="http://schemas.microsoft.com/office/drawing/2014/chart" uri="{C3380CC4-5D6E-409C-BE32-E72D297353CC}">
              <c16:uniqueId val="{00000000-68BA-426A-9C96-7E5CEBABC69B}"/>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68BA-426A-9C96-7E5CEBABC69B}"/>
              </c:ext>
            </c:extLst>
          </c:dPt>
          <c:xVal>
            <c:numRef>
              <c:f>Gini_Format!$H$136:$H$147</c:f>
              <c:numCache>
                <c:formatCode>0.00</c:formatCode>
                <c:ptCount val="12"/>
                <c:pt idx="0">
                  <c:v>0</c:v>
                </c:pt>
                <c:pt idx="1">
                  <c:v>1.3686107021111144E-2</c:v>
                </c:pt>
                <c:pt idx="2">
                  <c:v>2.19891933226572E-2</c:v>
                </c:pt>
                <c:pt idx="3">
                  <c:v>8.3569604051158444E-2</c:v>
                </c:pt>
                <c:pt idx="4">
                  <c:v>9.2220408138928928E-2</c:v>
                </c:pt>
                <c:pt idx="5">
                  <c:v>0.3655962467409829</c:v>
                </c:pt>
                <c:pt idx="6">
                  <c:v>0.42864599318730595</c:v>
                </c:pt>
                <c:pt idx="7">
                  <c:v>0.45184315567448069</c:v>
                </c:pt>
                <c:pt idx="8">
                  <c:v>0.77905272953106874</c:v>
                </c:pt>
                <c:pt idx="9">
                  <c:v>0.79440781282785866</c:v>
                </c:pt>
                <c:pt idx="10">
                  <c:v>0.87330762975134069</c:v>
                </c:pt>
                <c:pt idx="11">
                  <c:v>1.0000000000000002</c:v>
                </c:pt>
              </c:numCache>
            </c:numRef>
          </c:xVal>
          <c:yVal>
            <c:numRef>
              <c:f>Gini_Format!$G$136:$G$147</c:f>
              <c:numCache>
                <c:formatCode>0.00</c:formatCode>
                <c:ptCount val="12"/>
                <c:pt idx="0">
                  <c:v>0</c:v>
                </c:pt>
                <c:pt idx="1">
                  <c:v>0</c:v>
                </c:pt>
                <c:pt idx="2">
                  <c:v>0</c:v>
                </c:pt>
                <c:pt idx="3">
                  <c:v>0</c:v>
                </c:pt>
                <c:pt idx="4">
                  <c:v>5.4290577913134646E-3</c:v>
                </c:pt>
                <c:pt idx="5">
                  <c:v>1.3271339033212672E-2</c:v>
                </c:pt>
                <c:pt idx="6">
                  <c:v>4.2635773025661156E-2</c:v>
                </c:pt>
                <c:pt idx="7">
                  <c:v>7.6185424270137081E-2</c:v>
                </c:pt>
                <c:pt idx="8">
                  <c:v>0.18981189410229665</c:v>
                </c:pt>
                <c:pt idx="9">
                  <c:v>0.43188628237804488</c:v>
                </c:pt>
                <c:pt idx="10">
                  <c:v>0.6826176704974718</c:v>
                </c:pt>
                <c:pt idx="11">
                  <c:v>1</c:v>
                </c:pt>
              </c:numCache>
            </c:numRef>
          </c:yVal>
          <c:smooth val="0"/>
          <c:extLst>
            <c:ext xmlns:c16="http://schemas.microsoft.com/office/drawing/2014/chart" uri="{C3380CC4-5D6E-409C-BE32-E72D297353CC}">
              <c16:uniqueId val="{00000002-68BA-426A-9C96-7E5CEBABC69B}"/>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Available Water</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Gini_Format!$H$157:$H$168</c:f>
              <c:numCache>
                <c:formatCode>0.00</c:formatCode>
                <c:ptCount val="12"/>
                <c:pt idx="0">
                  <c:v>0</c:v>
                </c:pt>
                <c:pt idx="1">
                  <c:v>1.3686107021111144E-2</c:v>
                </c:pt>
                <c:pt idx="2">
                  <c:v>2.19891933226572E-2</c:v>
                </c:pt>
                <c:pt idx="3">
                  <c:v>8.3569604051158444E-2</c:v>
                </c:pt>
                <c:pt idx="4">
                  <c:v>9.2220408138928928E-2</c:v>
                </c:pt>
                <c:pt idx="5">
                  <c:v>0.3655962467409829</c:v>
                </c:pt>
                <c:pt idx="6">
                  <c:v>0.42864599318730595</c:v>
                </c:pt>
                <c:pt idx="7">
                  <c:v>0.45184315567448069</c:v>
                </c:pt>
                <c:pt idx="8">
                  <c:v>0.77905272953106874</c:v>
                </c:pt>
                <c:pt idx="9">
                  <c:v>0.79440781282785866</c:v>
                </c:pt>
                <c:pt idx="10">
                  <c:v>0.87330762975134069</c:v>
                </c:pt>
                <c:pt idx="11">
                  <c:v>1.0000000000000002</c:v>
                </c:pt>
              </c:numCache>
            </c:numRef>
          </c:xVal>
          <c:yVal>
            <c:numRef>
              <c:f>Gini_Format!$H$157:$H$168</c:f>
              <c:numCache>
                <c:formatCode>0.00</c:formatCode>
                <c:ptCount val="12"/>
                <c:pt idx="0">
                  <c:v>0</c:v>
                </c:pt>
                <c:pt idx="1">
                  <c:v>1.3686107021111144E-2</c:v>
                </c:pt>
                <c:pt idx="2">
                  <c:v>2.19891933226572E-2</c:v>
                </c:pt>
                <c:pt idx="3">
                  <c:v>8.3569604051158444E-2</c:v>
                </c:pt>
                <c:pt idx="4">
                  <c:v>9.2220408138928928E-2</c:v>
                </c:pt>
                <c:pt idx="5">
                  <c:v>0.3655962467409829</c:v>
                </c:pt>
                <c:pt idx="6">
                  <c:v>0.42864599318730595</c:v>
                </c:pt>
                <c:pt idx="7">
                  <c:v>0.45184315567448069</c:v>
                </c:pt>
                <c:pt idx="8">
                  <c:v>0.77905272953106874</c:v>
                </c:pt>
                <c:pt idx="9">
                  <c:v>0.79440781282785866</c:v>
                </c:pt>
                <c:pt idx="10">
                  <c:v>0.87330762975134069</c:v>
                </c:pt>
                <c:pt idx="11">
                  <c:v>1.0000000000000002</c:v>
                </c:pt>
              </c:numCache>
            </c:numRef>
          </c:yVal>
          <c:smooth val="1"/>
          <c:extLst>
            <c:ext xmlns:c16="http://schemas.microsoft.com/office/drawing/2014/chart" uri="{C3380CC4-5D6E-409C-BE32-E72D297353CC}">
              <c16:uniqueId val="{00000000-7AAF-42E9-A580-7BFBD8F64D42}"/>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7AAF-42E9-A580-7BFBD8F64D42}"/>
              </c:ext>
            </c:extLst>
          </c:dPt>
          <c:xVal>
            <c:numRef>
              <c:f>Gini_Format!$H$157:$H$168</c:f>
              <c:numCache>
                <c:formatCode>0.00</c:formatCode>
                <c:ptCount val="12"/>
                <c:pt idx="0">
                  <c:v>0</c:v>
                </c:pt>
                <c:pt idx="1">
                  <c:v>1.3686107021111144E-2</c:v>
                </c:pt>
                <c:pt idx="2">
                  <c:v>2.19891933226572E-2</c:v>
                </c:pt>
                <c:pt idx="3">
                  <c:v>8.3569604051158444E-2</c:v>
                </c:pt>
                <c:pt idx="4">
                  <c:v>9.2220408138928928E-2</c:v>
                </c:pt>
                <c:pt idx="5">
                  <c:v>0.3655962467409829</c:v>
                </c:pt>
                <c:pt idx="6">
                  <c:v>0.42864599318730595</c:v>
                </c:pt>
                <c:pt idx="7">
                  <c:v>0.45184315567448069</c:v>
                </c:pt>
                <c:pt idx="8">
                  <c:v>0.77905272953106874</c:v>
                </c:pt>
                <c:pt idx="9">
                  <c:v>0.79440781282785866</c:v>
                </c:pt>
                <c:pt idx="10">
                  <c:v>0.87330762975134069</c:v>
                </c:pt>
                <c:pt idx="11">
                  <c:v>1.0000000000000002</c:v>
                </c:pt>
              </c:numCache>
            </c:numRef>
          </c:xVal>
          <c:yVal>
            <c:numRef>
              <c:f>Gini_Format!$G$157:$G$168</c:f>
              <c:numCache>
                <c:formatCode>0.00</c:formatCode>
                <c:ptCount val="12"/>
                <c:pt idx="0">
                  <c:v>0</c:v>
                </c:pt>
                <c:pt idx="1">
                  <c:v>3.4593541506786328E-3</c:v>
                </c:pt>
                <c:pt idx="2">
                  <c:v>8.4563958488458896E-3</c:v>
                </c:pt>
                <c:pt idx="3">
                  <c:v>2.716718886649204E-2</c:v>
                </c:pt>
                <c:pt idx="4">
                  <c:v>5.8484705667197864E-2</c:v>
                </c:pt>
                <c:pt idx="5">
                  <c:v>0.11995535831641736</c:v>
                </c:pt>
                <c:pt idx="6">
                  <c:v>0.19235727687211288</c:v>
                </c:pt>
                <c:pt idx="7">
                  <c:v>0.2807703857888626</c:v>
                </c:pt>
                <c:pt idx="8">
                  <c:v>0.42856152939230518</c:v>
                </c:pt>
                <c:pt idx="9">
                  <c:v>0.58280948033410229</c:v>
                </c:pt>
                <c:pt idx="10">
                  <c:v>0.78504307612918367</c:v>
                </c:pt>
                <c:pt idx="11">
                  <c:v>1</c:v>
                </c:pt>
              </c:numCache>
            </c:numRef>
          </c:yVal>
          <c:smooth val="0"/>
          <c:extLst>
            <c:ext xmlns:c16="http://schemas.microsoft.com/office/drawing/2014/chart" uri="{C3380CC4-5D6E-409C-BE32-E72D297353CC}">
              <c16:uniqueId val="{00000002-7AAF-42E9-A580-7BFBD8F64D42}"/>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 total</a:t>
                </a:r>
                <a:r>
                  <a:rPr lang="en-US" baseline="0"/>
                  <a:t> available water</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0-1D6B-4EC3-842A-EF2BB1C82040}"/>
              </c:ext>
            </c:extLst>
          </c:dPt>
          <c:xVal>
            <c:numRef>
              <c:f>Gini_Format!$H$6:$H$17</c:f>
              <c:numCache>
                <c:formatCode>0.00</c:formatCode>
                <c:ptCount val="12"/>
                <c:pt idx="0">
                  <c:v>0</c:v>
                </c:pt>
                <c:pt idx="1">
                  <c:v>0.3138345928266002</c:v>
                </c:pt>
                <c:pt idx="2">
                  <c:v>0.31865767550688434</c:v>
                </c:pt>
                <c:pt idx="3">
                  <c:v>0.34172287556186176</c:v>
                </c:pt>
                <c:pt idx="4">
                  <c:v>0.35621072640357393</c:v>
                </c:pt>
                <c:pt idx="5">
                  <c:v>0.39892852569062959</c:v>
                </c:pt>
                <c:pt idx="6">
                  <c:v>0.47273674565859569</c:v>
                </c:pt>
                <c:pt idx="7">
                  <c:v>0.51758473013830564</c:v>
                </c:pt>
                <c:pt idx="8">
                  <c:v>0.67429750228954155</c:v>
                </c:pt>
                <c:pt idx="9">
                  <c:v>0.8125579783152137</c:v>
                </c:pt>
                <c:pt idx="10">
                  <c:v>0.95922869985784354</c:v>
                </c:pt>
                <c:pt idx="11">
                  <c:v>1</c:v>
                </c:pt>
              </c:numCache>
            </c:numRef>
          </c:xVal>
          <c:yVal>
            <c:numRef>
              <c:f>Gini_Format!$G$6:$G$17</c:f>
              <c:numCache>
                <c:formatCode>0.00</c:formatCode>
                <c:ptCount val="12"/>
                <c:pt idx="0">
                  <c:v>0</c:v>
                </c:pt>
                <c:pt idx="1">
                  <c:v>2.0572122059260146E-3</c:v>
                </c:pt>
                <c:pt idx="2">
                  <c:v>8.6289624421381217E-3</c:v>
                </c:pt>
                <c:pt idx="3">
                  <c:v>1.7701695815085312E-2</c:v>
                </c:pt>
                <c:pt idx="4">
                  <c:v>3.0178732413705139E-2</c:v>
                </c:pt>
                <c:pt idx="5">
                  <c:v>4.2893132745155806E-2</c:v>
                </c:pt>
                <c:pt idx="6">
                  <c:v>8.1100344412985081E-2</c:v>
                </c:pt>
                <c:pt idx="7">
                  <c:v>0.15563756621705813</c:v>
                </c:pt>
                <c:pt idx="8">
                  <c:v>0.30720643346615872</c:v>
                </c:pt>
                <c:pt idx="9">
                  <c:v>0.49808736370607998</c:v>
                </c:pt>
                <c:pt idx="10">
                  <c:v>0.70348588928344968</c:v>
                </c:pt>
                <c:pt idx="11">
                  <c:v>0.99999999999999978</c:v>
                </c:pt>
              </c:numCache>
            </c:numRef>
          </c:yVal>
          <c:smooth val="1"/>
          <c:extLst>
            <c:ext xmlns:c16="http://schemas.microsoft.com/office/drawing/2014/chart" uri="{C3380CC4-5D6E-409C-BE32-E72D297353CC}">
              <c16:uniqueId val="{00000001-1D6B-4EC3-842A-EF2BB1C82040}"/>
            </c:ext>
          </c:extLst>
        </c:ser>
        <c:ser>
          <c:idx val="1"/>
          <c:order val="1"/>
          <c:tx>
            <c:v>Equality Line</c:v>
          </c:tx>
          <c:spPr>
            <a:ln w="19050" cap="rnd">
              <a:solidFill>
                <a:schemeClr val="accent2"/>
              </a:solidFill>
              <a:round/>
            </a:ln>
            <a:effectLst/>
          </c:spPr>
          <c:marker>
            <c:symbol val="none"/>
          </c:marker>
          <c:xVal>
            <c:numRef>
              <c:f>Gini_Format!$H$6:$H$17</c:f>
              <c:numCache>
                <c:formatCode>0.00</c:formatCode>
                <c:ptCount val="12"/>
                <c:pt idx="0">
                  <c:v>0</c:v>
                </c:pt>
                <c:pt idx="1">
                  <c:v>0.3138345928266002</c:v>
                </c:pt>
                <c:pt idx="2">
                  <c:v>0.31865767550688434</c:v>
                </c:pt>
                <c:pt idx="3">
                  <c:v>0.34172287556186176</c:v>
                </c:pt>
                <c:pt idx="4">
                  <c:v>0.35621072640357393</c:v>
                </c:pt>
                <c:pt idx="5">
                  <c:v>0.39892852569062959</c:v>
                </c:pt>
                <c:pt idx="6">
                  <c:v>0.47273674565859569</c:v>
                </c:pt>
                <c:pt idx="7">
                  <c:v>0.51758473013830564</c:v>
                </c:pt>
                <c:pt idx="8">
                  <c:v>0.67429750228954155</c:v>
                </c:pt>
                <c:pt idx="9">
                  <c:v>0.8125579783152137</c:v>
                </c:pt>
                <c:pt idx="10">
                  <c:v>0.95922869985784354</c:v>
                </c:pt>
                <c:pt idx="11">
                  <c:v>1</c:v>
                </c:pt>
              </c:numCache>
            </c:numRef>
          </c:xVal>
          <c:yVal>
            <c:numRef>
              <c:f>Gini_Format!$H$6:$H$17</c:f>
              <c:numCache>
                <c:formatCode>0.00</c:formatCode>
                <c:ptCount val="12"/>
                <c:pt idx="0">
                  <c:v>0</c:v>
                </c:pt>
                <c:pt idx="1">
                  <c:v>0.3138345928266002</c:v>
                </c:pt>
                <c:pt idx="2">
                  <c:v>0.31865767550688434</c:v>
                </c:pt>
                <c:pt idx="3">
                  <c:v>0.34172287556186176</c:v>
                </c:pt>
                <c:pt idx="4">
                  <c:v>0.35621072640357393</c:v>
                </c:pt>
                <c:pt idx="5">
                  <c:v>0.39892852569062959</c:v>
                </c:pt>
                <c:pt idx="6">
                  <c:v>0.47273674565859569</c:v>
                </c:pt>
                <c:pt idx="7">
                  <c:v>0.51758473013830564</c:v>
                </c:pt>
                <c:pt idx="8">
                  <c:v>0.67429750228954155</c:v>
                </c:pt>
                <c:pt idx="9">
                  <c:v>0.8125579783152137</c:v>
                </c:pt>
                <c:pt idx="10">
                  <c:v>0.95922869985784354</c:v>
                </c:pt>
                <c:pt idx="11">
                  <c:v>1</c:v>
                </c:pt>
              </c:numCache>
            </c:numRef>
          </c:yVal>
          <c:smooth val="1"/>
          <c:extLst>
            <c:ext xmlns:c16="http://schemas.microsoft.com/office/drawing/2014/chart" uri="{C3380CC4-5D6E-409C-BE32-E72D297353CC}">
              <c16:uniqueId val="{00000002-1D6B-4EC3-842A-EF2BB1C82040}"/>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Population</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Precipitation</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0-967A-4D15-850D-5565E768C538}"/>
              </c:ext>
            </c:extLst>
          </c:dPt>
          <c:xVal>
            <c:numRef>
              <c:f>Gini_Format!$H$27:$H$38</c:f>
              <c:numCache>
                <c:formatCode>0.00</c:formatCode>
                <c:ptCount val="12"/>
                <c:pt idx="0">
                  <c:v>0</c:v>
                </c:pt>
                <c:pt idx="1">
                  <c:v>4.8230826802841548E-3</c:v>
                </c:pt>
                <c:pt idx="2">
                  <c:v>2.788828273526155E-2</c:v>
                </c:pt>
                <c:pt idx="3">
                  <c:v>7.0606082022317218E-2</c:v>
                </c:pt>
                <c:pt idx="4">
                  <c:v>8.5093932864029373E-2</c:v>
                </c:pt>
                <c:pt idx="5">
                  <c:v>0.15890215283199549</c:v>
                </c:pt>
                <c:pt idx="6">
                  <c:v>0.47273674565859564</c:v>
                </c:pt>
                <c:pt idx="7">
                  <c:v>0.51758473013830553</c:v>
                </c:pt>
                <c:pt idx="8">
                  <c:v>0.67429750228954144</c:v>
                </c:pt>
                <c:pt idx="9">
                  <c:v>0.82096822383217116</c:v>
                </c:pt>
                <c:pt idx="10">
                  <c:v>0.9592286998578432</c:v>
                </c:pt>
                <c:pt idx="11">
                  <c:v>0.99999999999999989</c:v>
                </c:pt>
              </c:numCache>
            </c:numRef>
          </c:xVal>
          <c:yVal>
            <c:numRef>
              <c:f>Gini_Format!$G$27:$G$38</c:f>
              <c:numCache>
                <c:formatCode>0.00</c:formatCode>
                <c:ptCount val="12"/>
                <c:pt idx="0">
                  <c:v>0</c:v>
                </c:pt>
                <c:pt idx="1">
                  <c:v>5.6387986055587242E-3</c:v>
                </c:pt>
                <c:pt idx="2">
                  <c:v>1.1360188457287819E-2</c:v>
                </c:pt>
                <c:pt idx="3">
                  <c:v>2.024176629132083E-2</c:v>
                </c:pt>
                <c:pt idx="4">
                  <c:v>3.2012888050712042E-2</c:v>
                </c:pt>
                <c:pt idx="5">
                  <c:v>5.7762823909743397E-2</c:v>
                </c:pt>
                <c:pt idx="6">
                  <c:v>8.8550981159494335E-2</c:v>
                </c:pt>
                <c:pt idx="7">
                  <c:v>0.1404898543639673</c:v>
                </c:pt>
                <c:pt idx="8">
                  <c:v>0.26486530011936027</c:v>
                </c:pt>
                <c:pt idx="9">
                  <c:v>0.43265145785843007</c:v>
                </c:pt>
                <c:pt idx="10">
                  <c:v>0.64822411816596082</c:v>
                </c:pt>
                <c:pt idx="11">
                  <c:v>1</c:v>
                </c:pt>
              </c:numCache>
            </c:numRef>
          </c:yVal>
          <c:smooth val="1"/>
          <c:extLst>
            <c:ext xmlns:c16="http://schemas.microsoft.com/office/drawing/2014/chart" uri="{C3380CC4-5D6E-409C-BE32-E72D297353CC}">
              <c16:uniqueId val="{00000001-967A-4D15-850D-5565E768C538}"/>
            </c:ext>
          </c:extLst>
        </c:ser>
        <c:ser>
          <c:idx val="2"/>
          <c:order val="1"/>
          <c:tx>
            <c:v>Equality Line</c:v>
          </c:tx>
          <c:spPr>
            <a:ln w="19050" cap="rnd">
              <a:solidFill>
                <a:schemeClr val="accent2"/>
              </a:solidFill>
              <a:round/>
            </a:ln>
            <a:effectLst/>
          </c:spPr>
          <c:marker>
            <c:symbol val="none"/>
          </c:marker>
          <c:xVal>
            <c:numRef>
              <c:f>Gini_Format!$H$27:$H$38</c:f>
              <c:numCache>
                <c:formatCode>0.00</c:formatCode>
                <c:ptCount val="12"/>
                <c:pt idx="0">
                  <c:v>0</c:v>
                </c:pt>
                <c:pt idx="1">
                  <c:v>4.8230826802841548E-3</c:v>
                </c:pt>
                <c:pt idx="2">
                  <c:v>2.788828273526155E-2</c:v>
                </c:pt>
                <c:pt idx="3">
                  <c:v>7.0606082022317218E-2</c:v>
                </c:pt>
                <c:pt idx="4">
                  <c:v>8.5093932864029373E-2</c:v>
                </c:pt>
                <c:pt idx="5">
                  <c:v>0.15890215283199549</c:v>
                </c:pt>
                <c:pt idx="6">
                  <c:v>0.47273674565859564</c:v>
                </c:pt>
                <c:pt idx="7">
                  <c:v>0.51758473013830553</c:v>
                </c:pt>
                <c:pt idx="8">
                  <c:v>0.67429750228954144</c:v>
                </c:pt>
                <c:pt idx="9">
                  <c:v>0.82096822383217116</c:v>
                </c:pt>
                <c:pt idx="10">
                  <c:v>0.9592286998578432</c:v>
                </c:pt>
                <c:pt idx="11">
                  <c:v>0.99999999999999989</c:v>
                </c:pt>
              </c:numCache>
            </c:numRef>
          </c:xVal>
          <c:yVal>
            <c:numRef>
              <c:f>Gini_Format!$H$27:$H$38</c:f>
              <c:numCache>
                <c:formatCode>0.00</c:formatCode>
                <c:ptCount val="12"/>
                <c:pt idx="0">
                  <c:v>0</c:v>
                </c:pt>
                <c:pt idx="1">
                  <c:v>4.8230826802841548E-3</c:v>
                </c:pt>
                <c:pt idx="2">
                  <c:v>2.788828273526155E-2</c:v>
                </c:pt>
                <c:pt idx="3">
                  <c:v>7.0606082022317218E-2</c:v>
                </c:pt>
                <c:pt idx="4">
                  <c:v>8.5093932864029373E-2</c:v>
                </c:pt>
                <c:pt idx="5">
                  <c:v>0.15890215283199549</c:v>
                </c:pt>
                <c:pt idx="6">
                  <c:v>0.47273674565859564</c:v>
                </c:pt>
                <c:pt idx="7">
                  <c:v>0.51758473013830553</c:v>
                </c:pt>
                <c:pt idx="8">
                  <c:v>0.67429750228954144</c:v>
                </c:pt>
                <c:pt idx="9">
                  <c:v>0.82096822383217116</c:v>
                </c:pt>
                <c:pt idx="10">
                  <c:v>0.9592286998578432</c:v>
                </c:pt>
                <c:pt idx="11">
                  <c:v>0.99999999999999989</c:v>
                </c:pt>
              </c:numCache>
            </c:numRef>
          </c:yVal>
          <c:smooth val="1"/>
          <c:extLst>
            <c:ext xmlns:c16="http://schemas.microsoft.com/office/drawing/2014/chart" uri="{C3380CC4-5D6E-409C-BE32-E72D297353CC}">
              <c16:uniqueId val="{00000002-967A-4D15-850D-5565E768C538}"/>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Population</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ETa</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Gini_Format!$H$49:$H$60</c:f>
              <c:numCache>
                <c:formatCode>0.00</c:formatCode>
                <c:ptCount val="12"/>
                <c:pt idx="0">
                  <c:v>0</c:v>
                </c:pt>
                <c:pt idx="1">
                  <c:v>0.31383459282660014</c:v>
                </c:pt>
                <c:pt idx="2">
                  <c:v>0.45209506885227224</c:v>
                </c:pt>
                <c:pt idx="3">
                  <c:v>0.49286636899442893</c:v>
                </c:pt>
                <c:pt idx="4">
                  <c:v>0.50735421983614104</c:v>
                </c:pt>
                <c:pt idx="5">
                  <c:v>0.51217730251642524</c:v>
                </c:pt>
                <c:pt idx="6">
                  <c:v>0.5352425025714026</c:v>
                </c:pt>
                <c:pt idx="7">
                  <c:v>0.57796030185845826</c:v>
                </c:pt>
                <c:pt idx="8">
                  <c:v>0.65176852182642442</c:v>
                </c:pt>
                <c:pt idx="9">
                  <c:v>0.69661650630613436</c:v>
                </c:pt>
                <c:pt idx="10">
                  <c:v>0.85332927845737028</c:v>
                </c:pt>
                <c:pt idx="11">
                  <c:v>1</c:v>
                </c:pt>
              </c:numCache>
            </c:numRef>
          </c:xVal>
          <c:yVal>
            <c:numRef>
              <c:f>Gini_Format!$H$49:$H$60</c:f>
              <c:numCache>
                <c:formatCode>0.00</c:formatCode>
                <c:ptCount val="12"/>
                <c:pt idx="0">
                  <c:v>0</c:v>
                </c:pt>
                <c:pt idx="1">
                  <c:v>0.31383459282660014</c:v>
                </c:pt>
                <c:pt idx="2">
                  <c:v>0.45209506885227224</c:v>
                </c:pt>
                <c:pt idx="3">
                  <c:v>0.49286636899442893</c:v>
                </c:pt>
                <c:pt idx="4">
                  <c:v>0.50735421983614104</c:v>
                </c:pt>
                <c:pt idx="5">
                  <c:v>0.51217730251642524</c:v>
                </c:pt>
                <c:pt idx="6">
                  <c:v>0.5352425025714026</c:v>
                </c:pt>
                <c:pt idx="7">
                  <c:v>0.57796030185845826</c:v>
                </c:pt>
                <c:pt idx="8">
                  <c:v>0.65176852182642442</c:v>
                </c:pt>
                <c:pt idx="9">
                  <c:v>0.69661650630613436</c:v>
                </c:pt>
                <c:pt idx="10">
                  <c:v>0.85332927845737028</c:v>
                </c:pt>
                <c:pt idx="11">
                  <c:v>1</c:v>
                </c:pt>
              </c:numCache>
            </c:numRef>
          </c:yVal>
          <c:smooth val="1"/>
          <c:extLst>
            <c:ext xmlns:c16="http://schemas.microsoft.com/office/drawing/2014/chart" uri="{C3380CC4-5D6E-409C-BE32-E72D297353CC}">
              <c16:uniqueId val="{00000000-6A1A-482D-87F1-A3B8C0DED49F}"/>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6A1A-482D-87F1-A3B8C0DED49F}"/>
              </c:ext>
            </c:extLst>
          </c:dPt>
          <c:xVal>
            <c:numRef>
              <c:f>Gini_Format!$H$49:$H$60</c:f>
              <c:numCache>
                <c:formatCode>0.00</c:formatCode>
                <c:ptCount val="12"/>
                <c:pt idx="0">
                  <c:v>0</c:v>
                </c:pt>
                <c:pt idx="1">
                  <c:v>0.31383459282660014</c:v>
                </c:pt>
                <c:pt idx="2">
                  <c:v>0.45209506885227224</c:v>
                </c:pt>
                <c:pt idx="3">
                  <c:v>0.49286636899442893</c:v>
                </c:pt>
                <c:pt idx="4">
                  <c:v>0.50735421983614104</c:v>
                </c:pt>
                <c:pt idx="5">
                  <c:v>0.51217730251642524</c:v>
                </c:pt>
                <c:pt idx="6">
                  <c:v>0.5352425025714026</c:v>
                </c:pt>
                <c:pt idx="7">
                  <c:v>0.57796030185845826</c:v>
                </c:pt>
                <c:pt idx="8">
                  <c:v>0.65176852182642442</c:v>
                </c:pt>
                <c:pt idx="9">
                  <c:v>0.69661650630613436</c:v>
                </c:pt>
                <c:pt idx="10">
                  <c:v>0.85332927845737028</c:v>
                </c:pt>
                <c:pt idx="11">
                  <c:v>1</c:v>
                </c:pt>
              </c:numCache>
            </c:numRef>
          </c:xVal>
          <c:yVal>
            <c:numRef>
              <c:f>Gini_Format!$G$49:$G$60</c:f>
              <c:numCache>
                <c:formatCode>0.00</c:formatCode>
                <c:ptCount val="12"/>
                <c:pt idx="0">
                  <c:v>0</c:v>
                </c:pt>
                <c:pt idx="1">
                  <c:v>0</c:v>
                </c:pt>
                <c:pt idx="2">
                  <c:v>0</c:v>
                </c:pt>
                <c:pt idx="3">
                  <c:v>0</c:v>
                </c:pt>
                <c:pt idx="4">
                  <c:v>5.4290577913134646E-3</c:v>
                </c:pt>
                <c:pt idx="5">
                  <c:v>1.3271339033212672E-2</c:v>
                </c:pt>
                <c:pt idx="6">
                  <c:v>4.2635773025661156E-2</c:v>
                </c:pt>
                <c:pt idx="7">
                  <c:v>7.6185424270137081E-2</c:v>
                </c:pt>
                <c:pt idx="8">
                  <c:v>0.18981189410229665</c:v>
                </c:pt>
                <c:pt idx="9">
                  <c:v>0.43188628237804488</c:v>
                </c:pt>
                <c:pt idx="10">
                  <c:v>0.6826176704974718</c:v>
                </c:pt>
                <c:pt idx="11">
                  <c:v>1</c:v>
                </c:pt>
              </c:numCache>
            </c:numRef>
          </c:yVal>
          <c:smooth val="0"/>
          <c:extLst>
            <c:ext xmlns:c16="http://schemas.microsoft.com/office/drawing/2014/chart" uri="{C3380CC4-5D6E-409C-BE32-E72D297353CC}">
              <c16:uniqueId val="{00000002-6A1A-482D-87F1-A3B8C0DED49F}"/>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Population</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Available Water</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Gini_Format!$H$70:$H$81</c:f>
              <c:numCache>
                <c:formatCode>0.00</c:formatCode>
                <c:ptCount val="12"/>
                <c:pt idx="0">
                  <c:v>0</c:v>
                </c:pt>
                <c:pt idx="1">
                  <c:v>1.4487850841712153E-2</c:v>
                </c:pt>
                <c:pt idx="2">
                  <c:v>1.931093352199631E-2</c:v>
                </c:pt>
                <c:pt idx="3">
                  <c:v>4.2376133576973701E-2</c:v>
                </c:pt>
                <c:pt idx="4">
                  <c:v>8.5093932864029373E-2</c:v>
                </c:pt>
                <c:pt idx="5">
                  <c:v>0.12586523300618602</c:v>
                </c:pt>
                <c:pt idx="6">
                  <c:v>0.19967345297415212</c:v>
                </c:pt>
                <c:pt idx="7">
                  <c:v>0.33793392899982422</c:v>
                </c:pt>
                <c:pt idx="8">
                  <c:v>0.65176852182642442</c:v>
                </c:pt>
                <c:pt idx="9">
                  <c:v>0.69661650630613436</c:v>
                </c:pt>
                <c:pt idx="10">
                  <c:v>0.8432872278487642</c:v>
                </c:pt>
                <c:pt idx="11">
                  <c:v>1</c:v>
                </c:pt>
              </c:numCache>
            </c:numRef>
          </c:xVal>
          <c:yVal>
            <c:numRef>
              <c:f>Gini_Format!$H$70:$H$81</c:f>
              <c:numCache>
                <c:formatCode>0.00</c:formatCode>
                <c:ptCount val="12"/>
                <c:pt idx="0">
                  <c:v>0</c:v>
                </c:pt>
                <c:pt idx="1">
                  <c:v>1.4487850841712153E-2</c:v>
                </c:pt>
                <c:pt idx="2">
                  <c:v>1.931093352199631E-2</c:v>
                </c:pt>
                <c:pt idx="3">
                  <c:v>4.2376133576973701E-2</c:v>
                </c:pt>
                <c:pt idx="4">
                  <c:v>8.5093932864029373E-2</c:v>
                </c:pt>
                <c:pt idx="5">
                  <c:v>0.12586523300618602</c:v>
                </c:pt>
                <c:pt idx="6">
                  <c:v>0.19967345297415212</c:v>
                </c:pt>
                <c:pt idx="7">
                  <c:v>0.33793392899982422</c:v>
                </c:pt>
                <c:pt idx="8">
                  <c:v>0.65176852182642442</c:v>
                </c:pt>
                <c:pt idx="9">
                  <c:v>0.69661650630613436</c:v>
                </c:pt>
                <c:pt idx="10">
                  <c:v>0.8432872278487642</c:v>
                </c:pt>
                <c:pt idx="11">
                  <c:v>1</c:v>
                </c:pt>
              </c:numCache>
            </c:numRef>
          </c:yVal>
          <c:smooth val="1"/>
          <c:extLst>
            <c:ext xmlns:c16="http://schemas.microsoft.com/office/drawing/2014/chart" uri="{C3380CC4-5D6E-409C-BE32-E72D297353CC}">
              <c16:uniqueId val="{00000000-A469-4F4E-98BD-6778FD6C0D91}"/>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A469-4F4E-98BD-6778FD6C0D91}"/>
              </c:ext>
            </c:extLst>
          </c:dPt>
          <c:xVal>
            <c:numRef>
              <c:f>Gini_Format!$H$70:$H$81</c:f>
              <c:numCache>
                <c:formatCode>0.00</c:formatCode>
                <c:ptCount val="12"/>
                <c:pt idx="0">
                  <c:v>0</c:v>
                </c:pt>
                <c:pt idx="1">
                  <c:v>1.4487850841712153E-2</c:v>
                </c:pt>
                <c:pt idx="2">
                  <c:v>1.931093352199631E-2</c:v>
                </c:pt>
                <c:pt idx="3">
                  <c:v>4.2376133576973701E-2</c:v>
                </c:pt>
                <c:pt idx="4">
                  <c:v>8.5093932864029373E-2</c:v>
                </c:pt>
                <c:pt idx="5">
                  <c:v>0.12586523300618602</c:v>
                </c:pt>
                <c:pt idx="6">
                  <c:v>0.19967345297415212</c:v>
                </c:pt>
                <c:pt idx="7">
                  <c:v>0.33793392899982422</c:v>
                </c:pt>
                <c:pt idx="8">
                  <c:v>0.65176852182642442</c:v>
                </c:pt>
                <c:pt idx="9">
                  <c:v>0.69661650630613436</c:v>
                </c:pt>
                <c:pt idx="10">
                  <c:v>0.8432872278487642</c:v>
                </c:pt>
                <c:pt idx="11">
                  <c:v>1</c:v>
                </c:pt>
              </c:numCache>
            </c:numRef>
          </c:xVal>
          <c:yVal>
            <c:numRef>
              <c:f>Gini_Format!$G$70:$G$81</c:f>
              <c:numCache>
                <c:formatCode>0.00</c:formatCode>
                <c:ptCount val="12"/>
                <c:pt idx="0">
                  <c:v>0</c:v>
                </c:pt>
                <c:pt idx="1">
                  <c:v>3.4593541506786328E-3</c:v>
                </c:pt>
                <c:pt idx="2">
                  <c:v>8.4563958488458896E-3</c:v>
                </c:pt>
                <c:pt idx="3">
                  <c:v>2.716718886649204E-2</c:v>
                </c:pt>
                <c:pt idx="4">
                  <c:v>5.8484705667197864E-2</c:v>
                </c:pt>
                <c:pt idx="5">
                  <c:v>0.11995535831641736</c:v>
                </c:pt>
                <c:pt idx="6">
                  <c:v>0.19235727687211288</c:v>
                </c:pt>
                <c:pt idx="7">
                  <c:v>0.2807703857888626</c:v>
                </c:pt>
                <c:pt idx="8">
                  <c:v>0.42856152939230518</c:v>
                </c:pt>
                <c:pt idx="9">
                  <c:v>0.58280948033410229</c:v>
                </c:pt>
                <c:pt idx="10">
                  <c:v>0.78504307612918367</c:v>
                </c:pt>
                <c:pt idx="11">
                  <c:v>1</c:v>
                </c:pt>
              </c:numCache>
            </c:numRef>
          </c:yVal>
          <c:smooth val="0"/>
          <c:extLst>
            <c:ext xmlns:c16="http://schemas.microsoft.com/office/drawing/2014/chart" uri="{C3380CC4-5D6E-409C-BE32-E72D297353CC}">
              <c16:uniqueId val="{00000002-A469-4F4E-98BD-6778FD6C0D91}"/>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Population</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total available water</a:t>
                </a:r>
                <a:endParaRPr lang="en-US"/>
              </a:p>
            </c:rich>
          </c:tx>
          <c:layout>
            <c:manualLayout>
              <c:xMode val="edge"/>
              <c:yMode val="edge"/>
              <c:x val="1.6122160326311905E-2"/>
              <c:y val="0.14339278018953905"/>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Gini_Format!$H$94:$H$105</c:f>
              <c:numCache>
                <c:formatCode>0.00</c:formatCode>
                <c:ptCount val="12"/>
                <c:pt idx="0">
                  <c:v>0</c:v>
                </c:pt>
                <c:pt idx="1">
                  <c:v>1.3686107021111144E-2</c:v>
                </c:pt>
                <c:pt idx="2">
                  <c:v>2.19891933226572E-2</c:v>
                </c:pt>
                <c:pt idx="3">
                  <c:v>8.3569604051158444E-2</c:v>
                </c:pt>
                <c:pt idx="4">
                  <c:v>9.2220408138928928E-2</c:v>
                </c:pt>
                <c:pt idx="5">
                  <c:v>0.3655962467409829</c:v>
                </c:pt>
                <c:pt idx="6">
                  <c:v>0.42864599318730595</c:v>
                </c:pt>
                <c:pt idx="7">
                  <c:v>0.45184315567448069</c:v>
                </c:pt>
                <c:pt idx="8">
                  <c:v>0.77905272953106874</c:v>
                </c:pt>
                <c:pt idx="9">
                  <c:v>0.79440781282785866</c:v>
                </c:pt>
                <c:pt idx="10">
                  <c:v>0.87330762975134069</c:v>
                </c:pt>
                <c:pt idx="11">
                  <c:v>1.0000000000000002</c:v>
                </c:pt>
              </c:numCache>
            </c:numRef>
          </c:xVal>
          <c:yVal>
            <c:numRef>
              <c:f>Gini_Format!$H$94:$H$105</c:f>
              <c:numCache>
                <c:formatCode>0.00</c:formatCode>
                <c:ptCount val="12"/>
                <c:pt idx="0">
                  <c:v>0</c:v>
                </c:pt>
                <c:pt idx="1">
                  <c:v>1.3686107021111144E-2</c:v>
                </c:pt>
                <c:pt idx="2">
                  <c:v>2.19891933226572E-2</c:v>
                </c:pt>
                <c:pt idx="3">
                  <c:v>8.3569604051158444E-2</c:v>
                </c:pt>
                <c:pt idx="4">
                  <c:v>9.2220408138928928E-2</c:v>
                </c:pt>
                <c:pt idx="5">
                  <c:v>0.3655962467409829</c:v>
                </c:pt>
                <c:pt idx="6">
                  <c:v>0.42864599318730595</c:v>
                </c:pt>
                <c:pt idx="7">
                  <c:v>0.45184315567448069</c:v>
                </c:pt>
                <c:pt idx="8">
                  <c:v>0.77905272953106874</c:v>
                </c:pt>
                <c:pt idx="9">
                  <c:v>0.79440781282785866</c:v>
                </c:pt>
                <c:pt idx="10">
                  <c:v>0.87330762975134069</c:v>
                </c:pt>
                <c:pt idx="11">
                  <c:v>1.0000000000000002</c:v>
                </c:pt>
              </c:numCache>
            </c:numRef>
          </c:yVal>
          <c:smooth val="1"/>
          <c:extLst>
            <c:ext xmlns:c16="http://schemas.microsoft.com/office/drawing/2014/chart" uri="{C3380CC4-5D6E-409C-BE32-E72D297353CC}">
              <c16:uniqueId val="{00000000-B674-410A-9273-CD0989689220}"/>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B674-410A-9273-CD0989689220}"/>
              </c:ext>
            </c:extLst>
          </c:dPt>
          <c:xVal>
            <c:numRef>
              <c:f>Gini_Format!$H$178:$H$189</c:f>
              <c:numCache>
                <c:formatCode>0.00</c:formatCode>
                <c:ptCount val="12"/>
                <c:pt idx="0">
                  <c:v>0</c:v>
                </c:pt>
                <c:pt idx="1">
                  <c:v>4.3177805010323955E-3</c:v>
                </c:pt>
                <c:pt idx="2">
                  <c:v>1.1007544128936536E-2</c:v>
                </c:pt>
                <c:pt idx="3">
                  <c:v>9.325727140465466E-2</c:v>
                </c:pt>
                <c:pt idx="4">
                  <c:v>0.10127079145171206</c:v>
                </c:pt>
                <c:pt idx="5">
                  <c:v>0.22012082618360357</c:v>
                </c:pt>
                <c:pt idx="6">
                  <c:v>0.23630569086300146</c:v>
                </c:pt>
                <c:pt idx="7">
                  <c:v>0.24312177618043185</c:v>
                </c:pt>
                <c:pt idx="8">
                  <c:v>0.6813951776130287</c:v>
                </c:pt>
                <c:pt idx="9">
                  <c:v>0.88327904972428972</c:v>
                </c:pt>
                <c:pt idx="10">
                  <c:v>0.92246382695219187</c:v>
                </c:pt>
                <c:pt idx="11">
                  <c:v>1</c:v>
                </c:pt>
              </c:numCache>
            </c:numRef>
          </c:xVal>
          <c:yVal>
            <c:numRef>
              <c:f>Gini_Format!$G$178:$G$189</c:f>
              <c:numCache>
                <c:formatCode>0.00</c:formatCode>
                <c:ptCount val="12"/>
                <c:pt idx="0">
                  <c:v>0</c:v>
                </c:pt>
                <c:pt idx="1">
                  <c:v>2.0574426410451801E-3</c:v>
                </c:pt>
                <c:pt idx="2">
                  <c:v>8.6299290006598382E-3</c:v>
                </c:pt>
                <c:pt idx="3">
                  <c:v>1.7703678640373258E-2</c:v>
                </c:pt>
                <c:pt idx="4">
                  <c:v>3.0070099537271747E-2</c:v>
                </c:pt>
                <c:pt idx="5">
                  <c:v>4.2785924050606536E-2</c:v>
                </c:pt>
                <c:pt idx="6">
                  <c:v>8.0997415434134676E-2</c:v>
                </c:pt>
                <c:pt idx="7">
                  <c:v>0.15554298639807518</c:v>
                </c:pt>
                <c:pt idx="8">
                  <c:v>0.3071288313755236</c:v>
                </c:pt>
                <c:pt idx="9">
                  <c:v>0.49803114281752947</c:v>
                </c:pt>
                <c:pt idx="10">
                  <c:v>0.70345267576068349</c:v>
                </c:pt>
                <c:pt idx="11">
                  <c:v>1</c:v>
                </c:pt>
              </c:numCache>
            </c:numRef>
          </c:yVal>
          <c:smooth val="0"/>
          <c:extLst>
            <c:ext xmlns:c16="http://schemas.microsoft.com/office/drawing/2014/chart" uri="{C3380CC4-5D6E-409C-BE32-E72D297353CC}">
              <c16:uniqueId val="{00000002-B674-410A-9273-CD0989689220}"/>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Precipitation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301861863580613"/>
          <c:y val="0.1566342980154827"/>
          <c:w val="0.54960252622417904"/>
          <c:h val="0.65904922055244786"/>
        </c:manualLayout>
      </c:layout>
      <c:scatterChart>
        <c:scatterStyle val="smoothMarker"/>
        <c:varyColors val="0"/>
        <c:ser>
          <c:idx val="1"/>
          <c:order val="1"/>
          <c:tx>
            <c:v>Equality Line</c:v>
          </c:tx>
          <c:spPr>
            <a:ln w="19050" cap="rnd">
              <a:solidFill>
                <a:schemeClr val="accent2"/>
              </a:solidFill>
              <a:round/>
            </a:ln>
            <a:effectLst/>
          </c:spPr>
          <c:marker>
            <c:symbol val="none"/>
          </c:marker>
          <c:xVal>
            <c:numRef>
              <c:f>Gini_Format!$H$115:$H$126</c:f>
              <c:numCache>
                <c:formatCode>0.00</c:formatCode>
                <c:ptCount val="12"/>
                <c:pt idx="0">
                  <c:v>0</c:v>
                </c:pt>
                <c:pt idx="1">
                  <c:v>1.3686107021111144E-2</c:v>
                </c:pt>
                <c:pt idx="2">
                  <c:v>2.19891933226572E-2</c:v>
                </c:pt>
                <c:pt idx="3">
                  <c:v>8.3569604051158444E-2</c:v>
                </c:pt>
                <c:pt idx="4">
                  <c:v>9.2220408138928928E-2</c:v>
                </c:pt>
                <c:pt idx="5">
                  <c:v>0.3655962467409829</c:v>
                </c:pt>
                <c:pt idx="6">
                  <c:v>0.42864599318730595</c:v>
                </c:pt>
                <c:pt idx="7">
                  <c:v>0.45184315567448069</c:v>
                </c:pt>
                <c:pt idx="8">
                  <c:v>0.77905272953106874</c:v>
                </c:pt>
                <c:pt idx="9">
                  <c:v>0.79440781282785866</c:v>
                </c:pt>
                <c:pt idx="10">
                  <c:v>0.87330762975134069</c:v>
                </c:pt>
                <c:pt idx="11">
                  <c:v>1.0000000000000002</c:v>
                </c:pt>
              </c:numCache>
            </c:numRef>
          </c:xVal>
          <c:yVal>
            <c:numRef>
              <c:f>Gini_Format!$H$115:$H$126</c:f>
              <c:numCache>
                <c:formatCode>0.00</c:formatCode>
                <c:ptCount val="12"/>
                <c:pt idx="0">
                  <c:v>0</c:v>
                </c:pt>
                <c:pt idx="1">
                  <c:v>1.3686107021111144E-2</c:v>
                </c:pt>
                <c:pt idx="2">
                  <c:v>2.19891933226572E-2</c:v>
                </c:pt>
                <c:pt idx="3">
                  <c:v>8.3569604051158444E-2</c:v>
                </c:pt>
                <c:pt idx="4">
                  <c:v>9.2220408138928928E-2</c:v>
                </c:pt>
                <c:pt idx="5">
                  <c:v>0.3655962467409829</c:v>
                </c:pt>
                <c:pt idx="6">
                  <c:v>0.42864599318730595</c:v>
                </c:pt>
                <c:pt idx="7">
                  <c:v>0.45184315567448069</c:v>
                </c:pt>
                <c:pt idx="8">
                  <c:v>0.77905272953106874</c:v>
                </c:pt>
                <c:pt idx="9">
                  <c:v>0.79440781282785866</c:v>
                </c:pt>
                <c:pt idx="10">
                  <c:v>0.87330762975134069</c:v>
                </c:pt>
                <c:pt idx="11">
                  <c:v>1.0000000000000002</c:v>
                </c:pt>
              </c:numCache>
            </c:numRef>
          </c:yVal>
          <c:smooth val="1"/>
          <c:extLst>
            <c:ext xmlns:c16="http://schemas.microsoft.com/office/drawing/2014/chart" uri="{C3380CC4-5D6E-409C-BE32-E72D297353CC}">
              <c16:uniqueId val="{00000000-CE50-4050-923F-1253AB66A50F}"/>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CE50-4050-923F-1253AB66A50F}"/>
              </c:ext>
            </c:extLst>
          </c:dPt>
          <c:xVal>
            <c:numRef>
              <c:f>Gini_Format!$H$199:$H$210</c:f>
              <c:numCache>
                <c:formatCode>0.00</c:formatCode>
                <c:ptCount val="12"/>
                <c:pt idx="0">
                  <c:v>0</c:v>
                </c:pt>
                <c:pt idx="1">
                  <c:v>4.3177805010323955E-3</c:v>
                </c:pt>
                <c:pt idx="2">
                  <c:v>1.1007544128936536E-2</c:v>
                </c:pt>
                <c:pt idx="3">
                  <c:v>9.325727140465466E-2</c:v>
                </c:pt>
                <c:pt idx="4">
                  <c:v>0.10127079145171206</c:v>
                </c:pt>
                <c:pt idx="5">
                  <c:v>0.22012082618360357</c:v>
                </c:pt>
                <c:pt idx="6">
                  <c:v>0.23630569086300146</c:v>
                </c:pt>
                <c:pt idx="7">
                  <c:v>0.24312177618043185</c:v>
                </c:pt>
                <c:pt idx="8">
                  <c:v>0.6813951776130287</c:v>
                </c:pt>
                <c:pt idx="9">
                  <c:v>0.88327904972428972</c:v>
                </c:pt>
                <c:pt idx="10">
                  <c:v>0.92246382695219187</c:v>
                </c:pt>
                <c:pt idx="11">
                  <c:v>1</c:v>
                </c:pt>
              </c:numCache>
            </c:numRef>
          </c:xVal>
          <c:yVal>
            <c:numRef>
              <c:f>Gini_Format!$G$199:$G$210</c:f>
              <c:numCache>
                <c:formatCode>0.00</c:formatCode>
                <c:ptCount val="12"/>
                <c:pt idx="0">
                  <c:v>0</c:v>
                </c:pt>
                <c:pt idx="1">
                  <c:v>5.6387986055587242E-3</c:v>
                </c:pt>
                <c:pt idx="2">
                  <c:v>1.1360188457287819E-2</c:v>
                </c:pt>
                <c:pt idx="3">
                  <c:v>2.024176629132083E-2</c:v>
                </c:pt>
                <c:pt idx="4">
                  <c:v>3.2012888050712042E-2</c:v>
                </c:pt>
                <c:pt idx="5">
                  <c:v>5.7762823909743397E-2</c:v>
                </c:pt>
                <c:pt idx="6">
                  <c:v>8.8550981159494335E-2</c:v>
                </c:pt>
                <c:pt idx="7">
                  <c:v>0.1404898543639673</c:v>
                </c:pt>
                <c:pt idx="8">
                  <c:v>0.26486530011936027</c:v>
                </c:pt>
                <c:pt idx="9">
                  <c:v>0.43265145785843007</c:v>
                </c:pt>
                <c:pt idx="10">
                  <c:v>0.64822411816596082</c:v>
                </c:pt>
                <c:pt idx="11">
                  <c:v>1</c:v>
                </c:pt>
              </c:numCache>
            </c:numRef>
          </c:yVal>
          <c:smooth val="0"/>
          <c:extLst>
            <c:ext xmlns:c16="http://schemas.microsoft.com/office/drawing/2014/chart" uri="{C3380CC4-5D6E-409C-BE32-E72D297353CC}">
              <c16:uniqueId val="{00000002-CE50-4050-923F-1253AB66A50F}"/>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ETa</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Gini_Format!$H$136:$H$147</c:f>
              <c:numCache>
                <c:formatCode>0.00</c:formatCode>
                <c:ptCount val="12"/>
                <c:pt idx="0">
                  <c:v>0</c:v>
                </c:pt>
                <c:pt idx="1">
                  <c:v>1.3686107021111144E-2</c:v>
                </c:pt>
                <c:pt idx="2">
                  <c:v>2.19891933226572E-2</c:v>
                </c:pt>
                <c:pt idx="3">
                  <c:v>8.3569604051158444E-2</c:v>
                </c:pt>
                <c:pt idx="4">
                  <c:v>9.2220408138928928E-2</c:v>
                </c:pt>
                <c:pt idx="5">
                  <c:v>0.3655962467409829</c:v>
                </c:pt>
                <c:pt idx="6">
                  <c:v>0.42864599318730595</c:v>
                </c:pt>
                <c:pt idx="7">
                  <c:v>0.45184315567448069</c:v>
                </c:pt>
                <c:pt idx="8">
                  <c:v>0.77905272953106874</c:v>
                </c:pt>
                <c:pt idx="9">
                  <c:v>0.79440781282785866</c:v>
                </c:pt>
                <c:pt idx="10">
                  <c:v>0.87330762975134069</c:v>
                </c:pt>
                <c:pt idx="11">
                  <c:v>1.0000000000000002</c:v>
                </c:pt>
              </c:numCache>
            </c:numRef>
          </c:xVal>
          <c:yVal>
            <c:numRef>
              <c:f>Gini_Format!$H$136:$H$147</c:f>
              <c:numCache>
                <c:formatCode>0.00</c:formatCode>
                <c:ptCount val="12"/>
                <c:pt idx="0">
                  <c:v>0</c:v>
                </c:pt>
                <c:pt idx="1">
                  <c:v>1.3686107021111144E-2</c:v>
                </c:pt>
                <c:pt idx="2">
                  <c:v>2.19891933226572E-2</c:v>
                </c:pt>
                <c:pt idx="3">
                  <c:v>8.3569604051158444E-2</c:v>
                </c:pt>
                <c:pt idx="4">
                  <c:v>9.2220408138928928E-2</c:v>
                </c:pt>
                <c:pt idx="5">
                  <c:v>0.3655962467409829</c:v>
                </c:pt>
                <c:pt idx="6">
                  <c:v>0.42864599318730595</c:v>
                </c:pt>
                <c:pt idx="7">
                  <c:v>0.45184315567448069</c:v>
                </c:pt>
                <c:pt idx="8">
                  <c:v>0.77905272953106874</c:v>
                </c:pt>
                <c:pt idx="9">
                  <c:v>0.79440781282785866</c:v>
                </c:pt>
                <c:pt idx="10">
                  <c:v>0.87330762975134069</c:v>
                </c:pt>
                <c:pt idx="11">
                  <c:v>1.0000000000000002</c:v>
                </c:pt>
              </c:numCache>
            </c:numRef>
          </c:yVal>
          <c:smooth val="1"/>
          <c:extLst>
            <c:ext xmlns:c16="http://schemas.microsoft.com/office/drawing/2014/chart" uri="{C3380CC4-5D6E-409C-BE32-E72D297353CC}">
              <c16:uniqueId val="{00000000-FCD6-4386-BA01-F6CCAEF650EB}"/>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FCD6-4386-BA01-F6CCAEF650EB}"/>
              </c:ext>
            </c:extLst>
          </c:dPt>
          <c:xVal>
            <c:numRef>
              <c:f>Gini_Format!$H$220:$H$231</c:f>
              <c:numCache>
                <c:formatCode>0.00</c:formatCode>
                <c:ptCount val="12"/>
                <c:pt idx="0">
                  <c:v>0</c:v>
                </c:pt>
                <c:pt idx="1">
                  <c:v>4.3177805010323955E-3</c:v>
                </c:pt>
                <c:pt idx="2">
                  <c:v>1.1007544128936536E-2</c:v>
                </c:pt>
                <c:pt idx="3">
                  <c:v>9.325727140465466E-2</c:v>
                </c:pt>
                <c:pt idx="4">
                  <c:v>0.10127079145171206</c:v>
                </c:pt>
                <c:pt idx="5">
                  <c:v>0.22012082618360357</c:v>
                </c:pt>
                <c:pt idx="6">
                  <c:v>0.23630569086300146</c:v>
                </c:pt>
                <c:pt idx="7">
                  <c:v>0.24312177618043185</c:v>
                </c:pt>
                <c:pt idx="8">
                  <c:v>0.6813951776130287</c:v>
                </c:pt>
                <c:pt idx="9">
                  <c:v>0.88327904972428972</c:v>
                </c:pt>
                <c:pt idx="10">
                  <c:v>0.92246382695219187</c:v>
                </c:pt>
                <c:pt idx="11">
                  <c:v>1</c:v>
                </c:pt>
              </c:numCache>
            </c:numRef>
          </c:xVal>
          <c:yVal>
            <c:numRef>
              <c:f>Gini_Format!$G$220:$G$231</c:f>
              <c:numCache>
                <c:formatCode>0.00</c:formatCode>
                <c:ptCount val="12"/>
                <c:pt idx="0">
                  <c:v>0</c:v>
                </c:pt>
                <c:pt idx="1">
                  <c:v>0</c:v>
                </c:pt>
                <c:pt idx="2">
                  <c:v>0</c:v>
                </c:pt>
                <c:pt idx="3">
                  <c:v>0</c:v>
                </c:pt>
                <c:pt idx="4">
                  <c:v>5.4290577913134646E-3</c:v>
                </c:pt>
                <c:pt idx="5">
                  <c:v>1.3271339033212672E-2</c:v>
                </c:pt>
                <c:pt idx="6">
                  <c:v>4.2635773025661156E-2</c:v>
                </c:pt>
                <c:pt idx="7">
                  <c:v>7.6185424270137081E-2</c:v>
                </c:pt>
                <c:pt idx="8">
                  <c:v>0.18981189410229665</c:v>
                </c:pt>
                <c:pt idx="9">
                  <c:v>0.43188628237804488</c:v>
                </c:pt>
                <c:pt idx="10">
                  <c:v>0.6826176704974718</c:v>
                </c:pt>
                <c:pt idx="11">
                  <c:v>1</c:v>
                </c:pt>
              </c:numCache>
            </c:numRef>
          </c:yVal>
          <c:smooth val="0"/>
          <c:extLst>
            <c:ext xmlns:c16="http://schemas.microsoft.com/office/drawing/2014/chart" uri="{C3380CC4-5D6E-409C-BE32-E72D297353CC}">
              <c16:uniqueId val="{00000002-FCD6-4386-BA01-F6CCAEF650EB}"/>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Available Water</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Gini_Format!$H$157:$H$168</c:f>
              <c:numCache>
                <c:formatCode>0.00</c:formatCode>
                <c:ptCount val="12"/>
                <c:pt idx="0">
                  <c:v>0</c:v>
                </c:pt>
                <c:pt idx="1">
                  <c:v>1.3686107021111144E-2</c:v>
                </c:pt>
                <c:pt idx="2">
                  <c:v>2.19891933226572E-2</c:v>
                </c:pt>
                <c:pt idx="3">
                  <c:v>8.3569604051158444E-2</c:v>
                </c:pt>
                <c:pt idx="4">
                  <c:v>9.2220408138928928E-2</c:v>
                </c:pt>
                <c:pt idx="5">
                  <c:v>0.3655962467409829</c:v>
                </c:pt>
                <c:pt idx="6">
                  <c:v>0.42864599318730595</c:v>
                </c:pt>
                <c:pt idx="7">
                  <c:v>0.45184315567448069</c:v>
                </c:pt>
                <c:pt idx="8">
                  <c:v>0.77905272953106874</c:v>
                </c:pt>
                <c:pt idx="9">
                  <c:v>0.79440781282785866</c:v>
                </c:pt>
                <c:pt idx="10">
                  <c:v>0.87330762975134069</c:v>
                </c:pt>
                <c:pt idx="11">
                  <c:v>1.0000000000000002</c:v>
                </c:pt>
              </c:numCache>
            </c:numRef>
          </c:xVal>
          <c:yVal>
            <c:numRef>
              <c:f>Gini_Format!$H$157:$H$168</c:f>
              <c:numCache>
                <c:formatCode>0.00</c:formatCode>
                <c:ptCount val="12"/>
                <c:pt idx="0">
                  <c:v>0</c:v>
                </c:pt>
                <c:pt idx="1">
                  <c:v>1.3686107021111144E-2</c:v>
                </c:pt>
                <c:pt idx="2">
                  <c:v>2.19891933226572E-2</c:v>
                </c:pt>
                <c:pt idx="3">
                  <c:v>8.3569604051158444E-2</c:v>
                </c:pt>
                <c:pt idx="4">
                  <c:v>9.2220408138928928E-2</c:v>
                </c:pt>
                <c:pt idx="5">
                  <c:v>0.3655962467409829</c:v>
                </c:pt>
                <c:pt idx="6">
                  <c:v>0.42864599318730595</c:v>
                </c:pt>
                <c:pt idx="7">
                  <c:v>0.45184315567448069</c:v>
                </c:pt>
                <c:pt idx="8">
                  <c:v>0.77905272953106874</c:v>
                </c:pt>
                <c:pt idx="9">
                  <c:v>0.79440781282785866</c:v>
                </c:pt>
                <c:pt idx="10">
                  <c:v>0.87330762975134069</c:v>
                </c:pt>
                <c:pt idx="11">
                  <c:v>1.0000000000000002</c:v>
                </c:pt>
              </c:numCache>
            </c:numRef>
          </c:yVal>
          <c:smooth val="1"/>
          <c:extLst>
            <c:ext xmlns:c16="http://schemas.microsoft.com/office/drawing/2014/chart" uri="{C3380CC4-5D6E-409C-BE32-E72D297353CC}">
              <c16:uniqueId val="{00000000-9F64-4493-8891-F5AE2EA0F291}"/>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9F64-4493-8891-F5AE2EA0F291}"/>
              </c:ext>
            </c:extLst>
          </c:dPt>
          <c:xVal>
            <c:numRef>
              <c:f>Gini_Format!$H$241:$H$252</c:f>
              <c:numCache>
                <c:formatCode>0.00</c:formatCode>
                <c:ptCount val="12"/>
                <c:pt idx="0">
                  <c:v>0</c:v>
                </c:pt>
                <c:pt idx="1">
                  <c:v>4.3177805010323955E-3</c:v>
                </c:pt>
                <c:pt idx="2">
                  <c:v>1.1007544128936536E-2</c:v>
                </c:pt>
                <c:pt idx="3">
                  <c:v>9.325727140465466E-2</c:v>
                </c:pt>
                <c:pt idx="4">
                  <c:v>0.10127079145171206</c:v>
                </c:pt>
                <c:pt idx="5">
                  <c:v>0.22012082618360357</c:v>
                </c:pt>
                <c:pt idx="6">
                  <c:v>0.23630569086300146</c:v>
                </c:pt>
                <c:pt idx="7">
                  <c:v>0.24312177618043185</c:v>
                </c:pt>
                <c:pt idx="8">
                  <c:v>0.6813951776130287</c:v>
                </c:pt>
                <c:pt idx="9">
                  <c:v>0.88327904972428972</c:v>
                </c:pt>
                <c:pt idx="10">
                  <c:v>0.92246382695219187</c:v>
                </c:pt>
                <c:pt idx="11">
                  <c:v>1</c:v>
                </c:pt>
              </c:numCache>
            </c:numRef>
          </c:xVal>
          <c:yVal>
            <c:numRef>
              <c:f>Gini_Format!$G$241:$G$252</c:f>
              <c:numCache>
                <c:formatCode>0.00</c:formatCode>
                <c:ptCount val="12"/>
                <c:pt idx="0">
                  <c:v>0</c:v>
                </c:pt>
                <c:pt idx="1">
                  <c:v>3.4593541506786328E-3</c:v>
                </c:pt>
                <c:pt idx="2">
                  <c:v>8.4563958488458896E-3</c:v>
                </c:pt>
                <c:pt idx="3">
                  <c:v>2.716718886649204E-2</c:v>
                </c:pt>
                <c:pt idx="4">
                  <c:v>5.8484705667197864E-2</c:v>
                </c:pt>
                <c:pt idx="5">
                  <c:v>0.11995535831641736</c:v>
                </c:pt>
                <c:pt idx="6">
                  <c:v>0.19235727687211288</c:v>
                </c:pt>
                <c:pt idx="7">
                  <c:v>0.2807703857888626</c:v>
                </c:pt>
                <c:pt idx="8">
                  <c:v>0.42856152939230518</c:v>
                </c:pt>
                <c:pt idx="9">
                  <c:v>0.58280948033410229</c:v>
                </c:pt>
                <c:pt idx="10">
                  <c:v>0.78504307612918367</c:v>
                </c:pt>
                <c:pt idx="11">
                  <c:v>1</c:v>
                </c:pt>
              </c:numCache>
            </c:numRef>
          </c:yVal>
          <c:smooth val="0"/>
          <c:extLst>
            <c:ext xmlns:c16="http://schemas.microsoft.com/office/drawing/2014/chart" uri="{C3380CC4-5D6E-409C-BE32-E72D297353CC}">
              <c16:uniqueId val="{00000002-9F64-4493-8891-F5AE2EA0F291}"/>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 total</a:t>
                </a:r>
                <a:r>
                  <a:rPr lang="en-US" baseline="0"/>
                  <a:t> available water</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 based on population of each country in the basin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Gini_Format!$H$6:$H$17</c:f>
              <c:numCache>
                <c:formatCode>0.00</c:formatCode>
                <c:ptCount val="12"/>
                <c:pt idx="0">
                  <c:v>0</c:v>
                </c:pt>
                <c:pt idx="1">
                  <c:v>0.3138345928266002</c:v>
                </c:pt>
                <c:pt idx="2">
                  <c:v>0.31865767550688434</c:v>
                </c:pt>
                <c:pt idx="3">
                  <c:v>0.34172287556186176</c:v>
                </c:pt>
                <c:pt idx="4">
                  <c:v>0.35621072640357393</c:v>
                </c:pt>
                <c:pt idx="5">
                  <c:v>0.39892852569062959</c:v>
                </c:pt>
                <c:pt idx="6">
                  <c:v>0.47273674565859569</c:v>
                </c:pt>
                <c:pt idx="7">
                  <c:v>0.51758473013830564</c:v>
                </c:pt>
                <c:pt idx="8">
                  <c:v>0.67429750228954155</c:v>
                </c:pt>
                <c:pt idx="9">
                  <c:v>0.8125579783152137</c:v>
                </c:pt>
                <c:pt idx="10">
                  <c:v>0.95922869985784354</c:v>
                </c:pt>
                <c:pt idx="11">
                  <c:v>1</c:v>
                </c:pt>
              </c:numCache>
            </c:numRef>
          </c:xVal>
          <c:yVal>
            <c:numRef>
              <c:f>Gini_Format!$H$6:$H$17</c:f>
              <c:numCache>
                <c:formatCode>0.00</c:formatCode>
                <c:ptCount val="12"/>
                <c:pt idx="0">
                  <c:v>0</c:v>
                </c:pt>
                <c:pt idx="1">
                  <c:v>0.3138345928266002</c:v>
                </c:pt>
                <c:pt idx="2">
                  <c:v>0.31865767550688434</c:v>
                </c:pt>
                <c:pt idx="3">
                  <c:v>0.34172287556186176</c:v>
                </c:pt>
                <c:pt idx="4">
                  <c:v>0.35621072640357393</c:v>
                </c:pt>
                <c:pt idx="5">
                  <c:v>0.39892852569062959</c:v>
                </c:pt>
                <c:pt idx="6">
                  <c:v>0.47273674565859569</c:v>
                </c:pt>
                <c:pt idx="7">
                  <c:v>0.51758473013830564</c:v>
                </c:pt>
                <c:pt idx="8">
                  <c:v>0.67429750228954155</c:v>
                </c:pt>
                <c:pt idx="9">
                  <c:v>0.8125579783152137</c:v>
                </c:pt>
                <c:pt idx="10">
                  <c:v>0.95922869985784354</c:v>
                </c:pt>
                <c:pt idx="11">
                  <c:v>1</c:v>
                </c:pt>
              </c:numCache>
            </c:numRef>
          </c:yVal>
          <c:smooth val="1"/>
          <c:extLst>
            <c:ext xmlns:c16="http://schemas.microsoft.com/office/drawing/2014/chart" uri="{C3380CC4-5D6E-409C-BE32-E72D297353CC}">
              <c16:uniqueId val="{00000000-A424-4BE1-A3E1-60691B9B545F}"/>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Precipitation</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A424-4BE1-A3E1-60691B9B545F}"/>
              </c:ext>
            </c:extLst>
          </c:dPt>
          <c:xVal>
            <c:numRef>
              <c:f>Gini_Format!$H$6:$H$17</c:f>
              <c:numCache>
                <c:formatCode>0.00</c:formatCode>
                <c:ptCount val="12"/>
                <c:pt idx="0">
                  <c:v>0</c:v>
                </c:pt>
                <c:pt idx="1">
                  <c:v>0.3138345928266002</c:v>
                </c:pt>
                <c:pt idx="2">
                  <c:v>0.31865767550688434</c:v>
                </c:pt>
                <c:pt idx="3">
                  <c:v>0.34172287556186176</c:v>
                </c:pt>
                <c:pt idx="4">
                  <c:v>0.35621072640357393</c:v>
                </c:pt>
                <c:pt idx="5">
                  <c:v>0.39892852569062959</c:v>
                </c:pt>
                <c:pt idx="6">
                  <c:v>0.47273674565859569</c:v>
                </c:pt>
                <c:pt idx="7">
                  <c:v>0.51758473013830564</c:v>
                </c:pt>
                <c:pt idx="8">
                  <c:v>0.67429750228954155</c:v>
                </c:pt>
                <c:pt idx="9">
                  <c:v>0.8125579783152137</c:v>
                </c:pt>
                <c:pt idx="10">
                  <c:v>0.95922869985784354</c:v>
                </c:pt>
                <c:pt idx="11">
                  <c:v>1</c:v>
                </c:pt>
              </c:numCache>
            </c:numRef>
          </c:xVal>
          <c:yVal>
            <c:numRef>
              <c:f>Gini_Format!$G$6:$G$17</c:f>
              <c:numCache>
                <c:formatCode>0.00</c:formatCode>
                <c:ptCount val="12"/>
                <c:pt idx="0">
                  <c:v>0</c:v>
                </c:pt>
                <c:pt idx="1">
                  <c:v>2.0572122059260146E-3</c:v>
                </c:pt>
                <c:pt idx="2">
                  <c:v>8.6289624421381217E-3</c:v>
                </c:pt>
                <c:pt idx="3">
                  <c:v>1.7701695815085312E-2</c:v>
                </c:pt>
                <c:pt idx="4">
                  <c:v>3.0178732413705139E-2</c:v>
                </c:pt>
                <c:pt idx="5">
                  <c:v>4.2893132745155806E-2</c:v>
                </c:pt>
                <c:pt idx="6">
                  <c:v>8.1100344412985081E-2</c:v>
                </c:pt>
                <c:pt idx="7">
                  <c:v>0.15563756621705813</c:v>
                </c:pt>
                <c:pt idx="8">
                  <c:v>0.30720643346615872</c:v>
                </c:pt>
                <c:pt idx="9">
                  <c:v>0.49808736370607998</c:v>
                </c:pt>
                <c:pt idx="10">
                  <c:v>0.70348588928344968</c:v>
                </c:pt>
                <c:pt idx="11">
                  <c:v>0.99999999999999978</c:v>
                </c:pt>
              </c:numCache>
            </c:numRef>
          </c:yVal>
          <c:smooth val="0"/>
          <c:extLst>
            <c:ext xmlns:c16="http://schemas.microsoft.com/office/drawing/2014/chart" uri="{C3380CC4-5D6E-409C-BE32-E72D297353CC}">
              <c16:uniqueId val="{00000002-A424-4BE1-A3E1-60691B9B545F}"/>
            </c:ext>
          </c:extLst>
        </c:ser>
        <c:ser>
          <c:idx val="2"/>
          <c:order val="2"/>
          <c:tx>
            <c:v>ETa</c:v>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Gini_Format!$H$27:$H$38</c:f>
              <c:numCache>
                <c:formatCode>0.00</c:formatCode>
                <c:ptCount val="12"/>
                <c:pt idx="0">
                  <c:v>0</c:v>
                </c:pt>
                <c:pt idx="1">
                  <c:v>4.8230826802841548E-3</c:v>
                </c:pt>
                <c:pt idx="2">
                  <c:v>2.788828273526155E-2</c:v>
                </c:pt>
                <c:pt idx="3">
                  <c:v>7.0606082022317218E-2</c:v>
                </c:pt>
                <c:pt idx="4">
                  <c:v>8.5093932864029373E-2</c:v>
                </c:pt>
                <c:pt idx="5">
                  <c:v>0.15890215283199549</c:v>
                </c:pt>
                <c:pt idx="6">
                  <c:v>0.47273674565859564</c:v>
                </c:pt>
                <c:pt idx="7">
                  <c:v>0.51758473013830553</c:v>
                </c:pt>
                <c:pt idx="8">
                  <c:v>0.67429750228954144</c:v>
                </c:pt>
                <c:pt idx="9">
                  <c:v>0.82096822383217116</c:v>
                </c:pt>
                <c:pt idx="10">
                  <c:v>0.9592286998578432</c:v>
                </c:pt>
                <c:pt idx="11">
                  <c:v>0.99999999999999989</c:v>
                </c:pt>
              </c:numCache>
            </c:numRef>
          </c:xVal>
          <c:yVal>
            <c:numRef>
              <c:f>Gini_Format!$G$27:$G$38</c:f>
              <c:numCache>
                <c:formatCode>0.00</c:formatCode>
                <c:ptCount val="12"/>
                <c:pt idx="0">
                  <c:v>0</c:v>
                </c:pt>
                <c:pt idx="1">
                  <c:v>5.6387986055587242E-3</c:v>
                </c:pt>
                <c:pt idx="2">
                  <c:v>1.1360188457287819E-2</c:v>
                </c:pt>
                <c:pt idx="3">
                  <c:v>2.024176629132083E-2</c:v>
                </c:pt>
                <c:pt idx="4">
                  <c:v>3.2012888050712042E-2</c:v>
                </c:pt>
                <c:pt idx="5">
                  <c:v>5.7762823909743397E-2</c:v>
                </c:pt>
                <c:pt idx="6">
                  <c:v>8.8550981159494335E-2</c:v>
                </c:pt>
                <c:pt idx="7">
                  <c:v>0.1404898543639673</c:v>
                </c:pt>
                <c:pt idx="8">
                  <c:v>0.26486530011936027</c:v>
                </c:pt>
                <c:pt idx="9">
                  <c:v>0.43265145785843007</c:v>
                </c:pt>
                <c:pt idx="10">
                  <c:v>0.64822411816596082</c:v>
                </c:pt>
                <c:pt idx="11">
                  <c:v>1</c:v>
                </c:pt>
              </c:numCache>
            </c:numRef>
          </c:yVal>
          <c:smooth val="0"/>
          <c:extLst>
            <c:ext xmlns:c16="http://schemas.microsoft.com/office/drawing/2014/chart" uri="{C3380CC4-5D6E-409C-BE32-E72D297353CC}">
              <c16:uniqueId val="{00000003-A424-4BE1-A3E1-60691B9B545F}"/>
            </c:ext>
          </c:extLst>
        </c:ser>
        <c:ser>
          <c:idx val="3"/>
          <c:order val="3"/>
          <c:tx>
            <c:v>Internal AW</c:v>
          </c:tx>
          <c:spPr>
            <a:ln w="19050" cap="rnd">
              <a:solidFill>
                <a:schemeClr val="accent4"/>
              </a:solidFill>
              <a:round/>
            </a:ln>
            <a:effectLst/>
          </c:spPr>
          <c:marker>
            <c:symbol val="circle"/>
            <c:size val="5"/>
            <c:spPr>
              <a:solidFill>
                <a:schemeClr val="accent4"/>
              </a:solidFill>
              <a:ln w="9525">
                <a:solidFill>
                  <a:schemeClr val="accent4"/>
                </a:solidFill>
              </a:ln>
              <a:effectLst/>
            </c:spPr>
          </c:marker>
          <c:xVal>
            <c:numRef>
              <c:f>Gini_Format!$H$49:$H$60</c:f>
              <c:numCache>
                <c:formatCode>0.00</c:formatCode>
                <c:ptCount val="12"/>
                <c:pt idx="0">
                  <c:v>0</c:v>
                </c:pt>
                <c:pt idx="1">
                  <c:v>0.31383459282660014</c:v>
                </c:pt>
                <c:pt idx="2">
                  <c:v>0.45209506885227224</c:v>
                </c:pt>
                <c:pt idx="3">
                  <c:v>0.49286636899442893</c:v>
                </c:pt>
                <c:pt idx="4">
                  <c:v>0.50735421983614104</c:v>
                </c:pt>
                <c:pt idx="5">
                  <c:v>0.51217730251642524</c:v>
                </c:pt>
                <c:pt idx="6">
                  <c:v>0.5352425025714026</c:v>
                </c:pt>
                <c:pt idx="7">
                  <c:v>0.57796030185845826</c:v>
                </c:pt>
                <c:pt idx="8">
                  <c:v>0.65176852182642442</c:v>
                </c:pt>
                <c:pt idx="9">
                  <c:v>0.69661650630613436</c:v>
                </c:pt>
                <c:pt idx="10">
                  <c:v>0.85332927845737028</c:v>
                </c:pt>
                <c:pt idx="11">
                  <c:v>1</c:v>
                </c:pt>
              </c:numCache>
            </c:numRef>
          </c:xVal>
          <c:yVal>
            <c:numRef>
              <c:f>Gini_Format!$G$49:$G$60</c:f>
              <c:numCache>
                <c:formatCode>0.00</c:formatCode>
                <c:ptCount val="12"/>
                <c:pt idx="0">
                  <c:v>0</c:v>
                </c:pt>
                <c:pt idx="1">
                  <c:v>0</c:v>
                </c:pt>
                <c:pt idx="2">
                  <c:v>0</c:v>
                </c:pt>
                <c:pt idx="3">
                  <c:v>0</c:v>
                </c:pt>
                <c:pt idx="4">
                  <c:v>5.4290577913134646E-3</c:v>
                </c:pt>
                <c:pt idx="5">
                  <c:v>1.3271339033212672E-2</c:v>
                </c:pt>
                <c:pt idx="6">
                  <c:v>4.2635773025661156E-2</c:v>
                </c:pt>
                <c:pt idx="7">
                  <c:v>7.6185424270137081E-2</c:v>
                </c:pt>
                <c:pt idx="8">
                  <c:v>0.18981189410229665</c:v>
                </c:pt>
                <c:pt idx="9">
                  <c:v>0.43188628237804488</c:v>
                </c:pt>
                <c:pt idx="10">
                  <c:v>0.6826176704974718</c:v>
                </c:pt>
                <c:pt idx="11">
                  <c:v>1</c:v>
                </c:pt>
              </c:numCache>
            </c:numRef>
          </c:yVal>
          <c:smooth val="0"/>
          <c:extLst>
            <c:ext xmlns:c16="http://schemas.microsoft.com/office/drawing/2014/chart" uri="{C3380CC4-5D6E-409C-BE32-E72D297353CC}">
              <c16:uniqueId val="{00000004-A424-4BE1-A3E1-60691B9B545F}"/>
            </c:ext>
          </c:extLst>
        </c:ser>
        <c:ser>
          <c:idx val="4"/>
          <c:order val="4"/>
          <c:tx>
            <c:v>Total AW</c:v>
          </c:tx>
          <c:spPr>
            <a:ln w="19050" cap="rnd">
              <a:solidFill>
                <a:schemeClr val="accent5"/>
              </a:solidFill>
              <a:round/>
            </a:ln>
            <a:effectLst/>
          </c:spPr>
          <c:marker>
            <c:symbol val="circle"/>
            <c:size val="5"/>
            <c:spPr>
              <a:solidFill>
                <a:schemeClr val="accent5"/>
              </a:solidFill>
              <a:ln w="9525">
                <a:solidFill>
                  <a:schemeClr val="accent5"/>
                </a:solidFill>
              </a:ln>
              <a:effectLst/>
            </c:spPr>
          </c:marker>
          <c:xVal>
            <c:numRef>
              <c:f>Gini_Format!$H$70:$H$81</c:f>
              <c:numCache>
                <c:formatCode>0.00</c:formatCode>
                <c:ptCount val="12"/>
                <c:pt idx="0">
                  <c:v>0</c:v>
                </c:pt>
                <c:pt idx="1">
                  <c:v>1.4487850841712153E-2</c:v>
                </c:pt>
                <c:pt idx="2">
                  <c:v>1.931093352199631E-2</c:v>
                </c:pt>
                <c:pt idx="3">
                  <c:v>4.2376133576973701E-2</c:v>
                </c:pt>
                <c:pt idx="4">
                  <c:v>8.5093932864029373E-2</c:v>
                </c:pt>
                <c:pt idx="5">
                  <c:v>0.12586523300618602</c:v>
                </c:pt>
                <c:pt idx="6">
                  <c:v>0.19967345297415212</c:v>
                </c:pt>
                <c:pt idx="7">
                  <c:v>0.33793392899982422</c:v>
                </c:pt>
                <c:pt idx="8">
                  <c:v>0.65176852182642442</c:v>
                </c:pt>
                <c:pt idx="9">
                  <c:v>0.69661650630613436</c:v>
                </c:pt>
                <c:pt idx="10">
                  <c:v>0.8432872278487642</c:v>
                </c:pt>
                <c:pt idx="11">
                  <c:v>1</c:v>
                </c:pt>
              </c:numCache>
            </c:numRef>
          </c:xVal>
          <c:yVal>
            <c:numRef>
              <c:f>Gini_Format!$G$70:$G$81</c:f>
              <c:numCache>
                <c:formatCode>0.00</c:formatCode>
                <c:ptCount val="12"/>
                <c:pt idx="0">
                  <c:v>0</c:v>
                </c:pt>
                <c:pt idx="1">
                  <c:v>3.4593541506786328E-3</c:v>
                </c:pt>
                <c:pt idx="2">
                  <c:v>8.4563958488458896E-3</c:v>
                </c:pt>
                <c:pt idx="3">
                  <c:v>2.716718886649204E-2</c:v>
                </c:pt>
                <c:pt idx="4">
                  <c:v>5.8484705667197864E-2</c:v>
                </c:pt>
                <c:pt idx="5">
                  <c:v>0.11995535831641736</c:v>
                </c:pt>
                <c:pt idx="6">
                  <c:v>0.19235727687211288</c:v>
                </c:pt>
                <c:pt idx="7">
                  <c:v>0.2807703857888626</c:v>
                </c:pt>
                <c:pt idx="8">
                  <c:v>0.42856152939230518</c:v>
                </c:pt>
                <c:pt idx="9">
                  <c:v>0.58280948033410229</c:v>
                </c:pt>
                <c:pt idx="10">
                  <c:v>0.78504307612918367</c:v>
                </c:pt>
                <c:pt idx="11">
                  <c:v>1</c:v>
                </c:pt>
              </c:numCache>
            </c:numRef>
          </c:yVal>
          <c:smooth val="0"/>
          <c:extLst>
            <c:ext xmlns:c16="http://schemas.microsoft.com/office/drawing/2014/chart" uri="{C3380CC4-5D6E-409C-BE32-E72D297353CC}">
              <c16:uniqueId val="{00000005-A424-4BE1-A3E1-60691B9B545F}"/>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Criteria </a:t>
                </a:r>
                <a:endParaRPr lang="en-US"/>
              </a:p>
            </c:rich>
          </c:tx>
          <c:layout>
            <c:manualLayout>
              <c:xMode val="edge"/>
              <c:yMode val="edge"/>
              <c:x val="0.30931893106762737"/>
              <c:y val="0.8987774266708676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variables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 based on cropland area in each country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650902999652733"/>
          <c:y val="0.18478675798830643"/>
          <c:w val="0.64746825356505833"/>
          <c:h val="0.67073597635553017"/>
        </c:manualLayout>
      </c:layout>
      <c:scatterChart>
        <c:scatterStyle val="smoothMarker"/>
        <c:varyColors val="0"/>
        <c:ser>
          <c:idx val="1"/>
          <c:order val="1"/>
          <c:tx>
            <c:v>Equality Line</c:v>
          </c:tx>
          <c:spPr>
            <a:ln w="19050" cap="rnd">
              <a:solidFill>
                <a:schemeClr val="accent2"/>
              </a:solidFill>
              <a:round/>
            </a:ln>
            <a:effectLst/>
          </c:spPr>
          <c:marker>
            <c:symbol val="none"/>
          </c:marker>
          <c:xVal>
            <c:numRef>
              <c:f>Gini_Format!$H$94:$H$105</c:f>
              <c:numCache>
                <c:formatCode>0.00</c:formatCode>
                <c:ptCount val="12"/>
                <c:pt idx="0">
                  <c:v>0</c:v>
                </c:pt>
                <c:pt idx="1">
                  <c:v>1.3686107021111144E-2</c:v>
                </c:pt>
                <c:pt idx="2">
                  <c:v>2.19891933226572E-2</c:v>
                </c:pt>
                <c:pt idx="3">
                  <c:v>8.3569604051158444E-2</c:v>
                </c:pt>
                <c:pt idx="4">
                  <c:v>9.2220408138928928E-2</c:v>
                </c:pt>
                <c:pt idx="5">
                  <c:v>0.3655962467409829</c:v>
                </c:pt>
                <c:pt idx="6">
                  <c:v>0.42864599318730595</c:v>
                </c:pt>
                <c:pt idx="7">
                  <c:v>0.45184315567448069</c:v>
                </c:pt>
                <c:pt idx="8">
                  <c:v>0.77905272953106874</c:v>
                </c:pt>
                <c:pt idx="9">
                  <c:v>0.79440781282785866</c:v>
                </c:pt>
                <c:pt idx="10">
                  <c:v>0.87330762975134069</c:v>
                </c:pt>
                <c:pt idx="11">
                  <c:v>1.0000000000000002</c:v>
                </c:pt>
              </c:numCache>
            </c:numRef>
          </c:xVal>
          <c:yVal>
            <c:numRef>
              <c:f>Gini_Format!$H$94:$H$105</c:f>
              <c:numCache>
                <c:formatCode>0.00</c:formatCode>
                <c:ptCount val="12"/>
                <c:pt idx="0">
                  <c:v>0</c:v>
                </c:pt>
                <c:pt idx="1">
                  <c:v>1.3686107021111144E-2</c:v>
                </c:pt>
                <c:pt idx="2">
                  <c:v>2.19891933226572E-2</c:v>
                </c:pt>
                <c:pt idx="3">
                  <c:v>8.3569604051158444E-2</c:v>
                </c:pt>
                <c:pt idx="4">
                  <c:v>9.2220408138928928E-2</c:v>
                </c:pt>
                <c:pt idx="5">
                  <c:v>0.3655962467409829</c:v>
                </c:pt>
                <c:pt idx="6">
                  <c:v>0.42864599318730595</c:v>
                </c:pt>
                <c:pt idx="7">
                  <c:v>0.45184315567448069</c:v>
                </c:pt>
                <c:pt idx="8">
                  <c:v>0.77905272953106874</c:v>
                </c:pt>
                <c:pt idx="9">
                  <c:v>0.79440781282785866</c:v>
                </c:pt>
                <c:pt idx="10">
                  <c:v>0.87330762975134069</c:v>
                </c:pt>
                <c:pt idx="11">
                  <c:v>1.0000000000000002</c:v>
                </c:pt>
              </c:numCache>
            </c:numRef>
          </c:yVal>
          <c:smooth val="1"/>
          <c:extLst>
            <c:ext xmlns:c16="http://schemas.microsoft.com/office/drawing/2014/chart" uri="{C3380CC4-5D6E-409C-BE32-E72D297353CC}">
              <c16:uniqueId val="{00000000-2F06-4107-8D68-53965567B71F}"/>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Precipitation</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2F06-4107-8D68-53965567B71F}"/>
              </c:ext>
            </c:extLst>
          </c:dPt>
          <c:xVal>
            <c:numRef>
              <c:f>Gini_Format!$H$94:$H$105</c:f>
              <c:numCache>
                <c:formatCode>0.00</c:formatCode>
                <c:ptCount val="12"/>
                <c:pt idx="0">
                  <c:v>0</c:v>
                </c:pt>
                <c:pt idx="1">
                  <c:v>1.3686107021111144E-2</c:v>
                </c:pt>
                <c:pt idx="2">
                  <c:v>2.19891933226572E-2</c:v>
                </c:pt>
                <c:pt idx="3">
                  <c:v>8.3569604051158444E-2</c:v>
                </c:pt>
                <c:pt idx="4">
                  <c:v>9.2220408138928928E-2</c:v>
                </c:pt>
                <c:pt idx="5">
                  <c:v>0.3655962467409829</c:v>
                </c:pt>
                <c:pt idx="6">
                  <c:v>0.42864599318730595</c:v>
                </c:pt>
                <c:pt idx="7">
                  <c:v>0.45184315567448069</c:v>
                </c:pt>
                <c:pt idx="8">
                  <c:v>0.77905272953106874</c:v>
                </c:pt>
                <c:pt idx="9">
                  <c:v>0.79440781282785866</c:v>
                </c:pt>
                <c:pt idx="10">
                  <c:v>0.87330762975134069</c:v>
                </c:pt>
                <c:pt idx="11">
                  <c:v>1.0000000000000002</c:v>
                </c:pt>
              </c:numCache>
            </c:numRef>
          </c:xVal>
          <c:yVal>
            <c:numRef>
              <c:f>Gini_Format!$G$94:$G$105</c:f>
              <c:numCache>
                <c:formatCode>0.00</c:formatCode>
                <c:ptCount val="12"/>
                <c:pt idx="0">
                  <c:v>0</c:v>
                </c:pt>
                <c:pt idx="1">
                  <c:v>2.0572122059260146E-3</c:v>
                </c:pt>
                <c:pt idx="2">
                  <c:v>8.6289624421381217E-3</c:v>
                </c:pt>
                <c:pt idx="3">
                  <c:v>1.7701695815085312E-2</c:v>
                </c:pt>
                <c:pt idx="4">
                  <c:v>3.0178732413705139E-2</c:v>
                </c:pt>
                <c:pt idx="5">
                  <c:v>4.2893132745155806E-2</c:v>
                </c:pt>
                <c:pt idx="6">
                  <c:v>8.1100344412985081E-2</c:v>
                </c:pt>
                <c:pt idx="7">
                  <c:v>0.15563756621705813</c:v>
                </c:pt>
                <c:pt idx="8">
                  <c:v>0.30720643346615872</c:v>
                </c:pt>
                <c:pt idx="9">
                  <c:v>0.49808736370607998</c:v>
                </c:pt>
                <c:pt idx="10">
                  <c:v>0.70348588928344968</c:v>
                </c:pt>
                <c:pt idx="11">
                  <c:v>0.99999999999999978</c:v>
                </c:pt>
              </c:numCache>
            </c:numRef>
          </c:yVal>
          <c:smooth val="0"/>
          <c:extLst>
            <c:ext xmlns:c16="http://schemas.microsoft.com/office/drawing/2014/chart" uri="{C3380CC4-5D6E-409C-BE32-E72D297353CC}">
              <c16:uniqueId val="{00000002-2F06-4107-8D68-53965567B71F}"/>
            </c:ext>
          </c:extLst>
        </c:ser>
        <c:ser>
          <c:idx val="2"/>
          <c:order val="2"/>
          <c:tx>
            <c:v>ETa</c:v>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Gini_Format!$H$115:$H$126</c:f>
              <c:numCache>
                <c:formatCode>0.00</c:formatCode>
                <c:ptCount val="12"/>
                <c:pt idx="0">
                  <c:v>0</c:v>
                </c:pt>
                <c:pt idx="1">
                  <c:v>1.3686107021111144E-2</c:v>
                </c:pt>
                <c:pt idx="2">
                  <c:v>2.19891933226572E-2</c:v>
                </c:pt>
                <c:pt idx="3">
                  <c:v>8.3569604051158444E-2</c:v>
                </c:pt>
                <c:pt idx="4">
                  <c:v>9.2220408138928928E-2</c:v>
                </c:pt>
                <c:pt idx="5">
                  <c:v>0.3655962467409829</c:v>
                </c:pt>
                <c:pt idx="6">
                  <c:v>0.42864599318730595</c:v>
                </c:pt>
                <c:pt idx="7">
                  <c:v>0.45184315567448069</c:v>
                </c:pt>
                <c:pt idx="8">
                  <c:v>0.77905272953106874</c:v>
                </c:pt>
                <c:pt idx="9">
                  <c:v>0.79440781282785866</c:v>
                </c:pt>
                <c:pt idx="10">
                  <c:v>0.87330762975134069</c:v>
                </c:pt>
                <c:pt idx="11">
                  <c:v>1.0000000000000002</c:v>
                </c:pt>
              </c:numCache>
            </c:numRef>
          </c:xVal>
          <c:yVal>
            <c:numRef>
              <c:f>Gini_Format!$G$115:$G$126</c:f>
              <c:numCache>
                <c:formatCode>0.00</c:formatCode>
                <c:ptCount val="12"/>
                <c:pt idx="0">
                  <c:v>0</c:v>
                </c:pt>
                <c:pt idx="1">
                  <c:v>5.6387986055587242E-3</c:v>
                </c:pt>
                <c:pt idx="2">
                  <c:v>1.1360188457287819E-2</c:v>
                </c:pt>
                <c:pt idx="3">
                  <c:v>2.024176629132083E-2</c:v>
                </c:pt>
                <c:pt idx="4">
                  <c:v>3.2012888050712042E-2</c:v>
                </c:pt>
                <c:pt idx="5">
                  <c:v>5.7762823909743397E-2</c:v>
                </c:pt>
                <c:pt idx="6">
                  <c:v>8.8550981159494335E-2</c:v>
                </c:pt>
                <c:pt idx="7">
                  <c:v>0.1404898543639673</c:v>
                </c:pt>
                <c:pt idx="8">
                  <c:v>0.26486530011936027</c:v>
                </c:pt>
                <c:pt idx="9">
                  <c:v>0.43265145785843007</c:v>
                </c:pt>
                <c:pt idx="10">
                  <c:v>0.64822411816596082</c:v>
                </c:pt>
                <c:pt idx="11">
                  <c:v>1</c:v>
                </c:pt>
              </c:numCache>
            </c:numRef>
          </c:yVal>
          <c:smooth val="0"/>
          <c:extLst>
            <c:ext xmlns:c16="http://schemas.microsoft.com/office/drawing/2014/chart" uri="{C3380CC4-5D6E-409C-BE32-E72D297353CC}">
              <c16:uniqueId val="{00000003-2F06-4107-8D68-53965567B71F}"/>
            </c:ext>
          </c:extLst>
        </c:ser>
        <c:ser>
          <c:idx val="3"/>
          <c:order val="3"/>
          <c:tx>
            <c:v>Internal AW</c:v>
          </c:tx>
          <c:spPr>
            <a:ln w="19050" cap="rnd">
              <a:solidFill>
                <a:schemeClr val="accent4"/>
              </a:solidFill>
              <a:round/>
            </a:ln>
            <a:effectLst/>
          </c:spPr>
          <c:marker>
            <c:symbol val="circle"/>
            <c:size val="5"/>
            <c:spPr>
              <a:solidFill>
                <a:schemeClr val="accent4"/>
              </a:solidFill>
              <a:ln w="9525">
                <a:solidFill>
                  <a:schemeClr val="accent4"/>
                </a:solidFill>
              </a:ln>
              <a:effectLst/>
            </c:spPr>
          </c:marker>
          <c:xVal>
            <c:numRef>
              <c:f>Gini_Format!$H$136:$H$147</c:f>
              <c:numCache>
                <c:formatCode>0.00</c:formatCode>
                <c:ptCount val="12"/>
                <c:pt idx="0">
                  <c:v>0</c:v>
                </c:pt>
                <c:pt idx="1">
                  <c:v>1.3686107021111144E-2</c:v>
                </c:pt>
                <c:pt idx="2">
                  <c:v>2.19891933226572E-2</c:v>
                </c:pt>
                <c:pt idx="3">
                  <c:v>8.3569604051158444E-2</c:v>
                </c:pt>
                <c:pt idx="4">
                  <c:v>9.2220408138928928E-2</c:v>
                </c:pt>
                <c:pt idx="5">
                  <c:v>0.3655962467409829</c:v>
                </c:pt>
                <c:pt idx="6">
                  <c:v>0.42864599318730595</c:v>
                </c:pt>
                <c:pt idx="7">
                  <c:v>0.45184315567448069</c:v>
                </c:pt>
                <c:pt idx="8">
                  <c:v>0.77905272953106874</c:v>
                </c:pt>
                <c:pt idx="9">
                  <c:v>0.79440781282785866</c:v>
                </c:pt>
                <c:pt idx="10">
                  <c:v>0.87330762975134069</c:v>
                </c:pt>
                <c:pt idx="11">
                  <c:v>1.0000000000000002</c:v>
                </c:pt>
              </c:numCache>
            </c:numRef>
          </c:xVal>
          <c:yVal>
            <c:numRef>
              <c:f>Gini_Format!$G$136:$G$147</c:f>
              <c:numCache>
                <c:formatCode>0.00</c:formatCode>
                <c:ptCount val="12"/>
                <c:pt idx="0">
                  <c:v>0</c:v>
                </c:pt>
                <c:pt idx="1">
                  <c:v>0</c:v>
                </c:pt>
                <c:pt idx="2">
                  <c:v>0</c:v>
                </c:pt>
                <c:pt idx="3">
                  <c:v>0</c:v>
                </c:pt>
                <c:pt idx="4">
                  <c:v>5.4290577913134646E-3</c:v>
                </c:pt>
                <c:pt idx="5">
                  <c:v>1.3271339033212672E-2</c:v>
                </c:pt>
                <c:pt idx="6">
                  <c:v>4.2635773025661156E-2</c:v>
                </c:pt>
                <c:pt idx="7">
                  <c:v>7.6185424270137081E-2</c:v>
                </c:pt>
                <c:pt idx="8">
                  <c:v>0.18981189410229665</c:v>
                </c:pt>
                <c:pt idx="9">
                  <c:v>0.43188628237804488</c:v>
                </c:pt>
                <c:pt idx="10">
                  <c:v>0.6826176704974718</c:v>
                </c:pt>
                <c:pt idx="11">
                  <c:v>1</c:v>
                </c:pt>
              </c:numCache>
            </c:numRef>
          </c:yVal>
          <c:smooth val="0"/>
          <c:extLst>
            <c:ext xmlns:c16="http://schemas.microsoft.com/office/drawing/2014/chart" uri="{C3380CC4-5D6E-409C-BE32-E72D297353CC}">
              <c16:uniqueId val="{00000004-2F06-4107-8D68-53965567B71F}"/>
            </c:ext>
          </c:extLst>
        </c:ser>
        <c:ser>
          <c:idx val="4"/>
          <c:order val="4"/>
          <c:tx>
            <c:v>Total AW</c:v>
          </c:tx>
          <c:spPr>
            <a:ln w="19050" cap="rnd">
              <a:solidFill>
                <a:schemeClr val="accent5"/>
              </a:solidFill>
              <a:round/>
            </a:ln>
            <a:effectLst/>
          </c:spPr>
          <c:marker>
            <c:symbol val="circle"/>
            <c:size val="5"/>
            <c:spPr>
              <a:solidFill>
                <a:schemeClr val="accent5"/>
              </a:solidFill>
              <a:ln w="9525">
                <a:solidFill>
                  <a:schemeClr val="accent5"/>
                </a:solidFill>
              </a:ln>
              <a:effectLst/>
            </c:spPr>
          </c:marker>
          <c:xVal>
            <c:numRef>
              <c:f>Gini_Format!$H$157:$H$168</c:f>
              <c:numCache>
                <c:formatCode>0.00</c:formatCode>
                <c:ptCount val="12"/>
                <c:pt idx="0">
                  <c:v>0</c:v>
                </c:pt>
                <c:pt idx="1">
                  <c:v>1.3686107021111144E-2</c:v>
                </c:pt>
                <c:pt idx="2">
                  <c:v>2.19891933226572E-2</c:v>
                </c:pt>
                <c:pt idx="3">
                  <c:v>8.3569604051158444E-2</c:v>
                </c:pt>
                <c:pt idx="4">
                  <c:v>9.2220408138928928E-2</c:v>
                </c:pt>
                <c:pt idx="5">
                  <c:v>0.3655962467409829</c:v>
                </c:pt>
                <c:pt idx="6">
                  <c:v>0.42864599318730595</c:v>
                </c:pt>
                <c:pt idx="7">
                  <c:v>0.45184315567448069</c:v>
                </c:pt>
                <c:pt idx="8">
                  <c:v>0.77905272953106874</c:v>
                </c:pt>
                <c:pt idx="9">
                  <c:v>0.79440781282785866</c:v>
                </c:pt>
                <c:pt idx="10">
                  <c:v>0.87330762975134069</c:v>
                </c:pt>
                <c:pt idx="11">
                  <c:v>1.0000000000000002</c:v>
                </c:pt>
              </c:numCache>
            </c:numRef>
          </c:xVal>
          <c:yVal>
            <c:numRef>
              <c:f>Gini_Format!$G$157:$G$168</c:f>
              <c:numCache>
                <c:formatCode>0.00</c:formatCode>
                <c:ptCount val="12"/>
                <c:pt idx="0">
                  <c:v>0</c:v>
                </c:pt>
                <c:pt idx="1">
                  <c:v>3.4593541506786328E-3</c:v>
                </c:pt>
                <c:pt idx="2">
                  <c:v>8.4563958488458896E-3</c:v>
                </c:pt>
                <c:pt idx="3">
                  <c:v>2.716718886649204E-2</c:v>
                </c:pt>
                <c:pt idx="4">
                  <c:v>5.8484705667197864E-2</c:v>
                </c:pt>
                <c:pt idx="5">
                  <c:v>0.11995535831641736</c:v>
                </c:pt>
                <c:pt idx="6">
                  <c:v>0.19235727687211288</c:v>
                </c:pt>
                <c:pt idx="7">
                  <c:v>0.2807703857888626</c:v>
                </c:pt>
                <c:pt idx="8">
                  <c:v>0.42856152939230518</c:v>
                </c:pt>
                <c:pt idx="9">
                  <c:v>0.58280948033410229</c:v>
                </c:pt>
                <c:pt idx="10">
                  <c:v>0.78504307612918367</c:v>
                </c:pt>
                <c:pt idx="11">
                  <c:v>1</c:v>
                </c:pt>
              </c:numCache>
            </c:numRef>
          </c:yVal>
          <c:smooth val="0"/>
          <c:extLst>
            <c:ext xmlns:c16="http://schemas.microsoft.com/office/drawing/2014/chart" uri="{C3380CC4-5D6E-409C-BE32-E72D297353CC}">
              <c16:uniqueId val="{00000005-2F06-4107-8D68-53965567B71F}"/>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t>
                </a:r>
                <a:r>
                  <a:rPr lang="en-US" sz="1000" b="0" i="0" u="none" strike="noStrike" baseline="0">
                    <a:effectLst/>
                  </a:rPr>
                  <a:t>Criteria</a:t>
                </a:r>
                <a:endParaRPr lang="en-US" baseline="0"/>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variables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 based on area of each country in the basin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457098300252266"/>
          <c:y val="0.16423456145227788"/>
          <c:w val="0.69762923864608828"/>
          <c:h val="0.66127160527769036"/>
        </c:manualLayout>
      </c:layout>
      <c:scatterChart>
        <c:scatterStyle val="smoothMarker"/>
        <c:varyColors val="0"/>
        <c:ser>
          <c:idx val="1"/>
          <c:order val="1"/>
          <c:tx>
            <c:v>Equality Line</c:v>
          </c:tx>
          <c:spPr>
            <a:ln w="19050" cap="rnd">
              <a:solidFill>
                <a:schemeClr val="accent2"/>
              </a:solidFill>
              <a:round/>
            </a:ln>
            <a:effectLst/>
          </c:spPr>
          <c:marker>
            <c:symbol val="none"/>
          </c:marker>
          <c:xVal>
            <c:numRef>
              <c:f>Gini_Format!$H$94:$H$105</c:f>
              <c:numCache>
                <c:formatCode>0.00</c:formatCode>
                <c:ptCount val="12"/>
                <c:pt idx="0">
                  <c:v>0</c:v>
                </c:pt>
                <c:pt idx="1">
                  <c:v>1.3686107021111144E-2</c:v>
                </c:pt>
                <c:pt idx="2">
                  <c:v>2.19891933226572E-2</c:v>
                </c:pt>
                <c:pt idx="3">
                  <c:v>8.3569604051158444E-2</c:v>
                </c:pt>
                <c:pt idx="4">
                  <c:v>9.2220408138928928E-2</c:v>
                </c:pt>
                <c:pt idx="5">
                  <c:v>0.3655962467409829</c:v>
                </c:pt>
                <c:pt idx="6">
                  <c:v>0.42864599318730595</c:v>
                </c:pt>
                <c:pt idx="7">
                  <c:v>0.45184315567448069</c:v>
                </c:pt>
                <c:pt idx="8">
                  <c:v>0.77905272953106874</c:v>
                </c:pt>
                <c:pt idx="9">
                  <c:v>0.79440781282785866</c:v>
                </c:pt>
                <c:pt idx="10">
                  <c:v>0.87330762975134069</c:v>
                </c:pt>
                <c:pt idx="11">
                  <c:v>1.0000000000000002</c:v>
                </c:pt>
              </c:numCache>
            </c:numRef>
          </c:xVal>
          <c:yVal>
            <c:numRef>
              <c:f>Gini_Format!$H$94:$H$105</c:f>
              <c:numCache>
                <c:formatCode>0.00</c:formatCode>
                <c:ptCount val="12"/>
                <c:pt idx="0">
                  <c:v>0</c:v>
                </c:pt>
                <c:pt idx="1">
                  <c:v>1.3686107021111144E-2</c:v>
                </c:pt>
                <c:pt idx="2">
                  <c:v>2.19891933226572E-2</c:v>
                </c:pt>
                <c:pt idx="3">
                  <c:v>8.3569604051158444E-2</c:v>
                </c:pt>
                <c:pt idx="4">
                  <c:v>9.2220408138928928E-2</c:v>
                </c:pt>
                <c:pt idx="5">
                  <c:v>0.3655962467409829</c:v>
                </c:pt>
                <c:pt idx="6">
                  <c:v>0.42864599318730595</c:v>
                </c:pt>
                <c:pt idx="7">
                  <c:v>0.45184315567448069</c:v>
                </c:pt>
                <c:pt idx="8">
                  <c:v>0.77905272953106874</c:v>
                </c:pt>
                <c:pt idx="9">
                  <c:v>0.79440781282785866</c:v>
                </c:pt>
                <c:pt idx="10">
                  <c:v>0.87330762975134069</c:v>
                </c:pt>
                <c:pt idx="11">
                  <c:v>1.0000000000000002</c:v>
                </c:pt>
              </c:numCache>
            </c:numRef>
          </c:yVal>
          <c:smooth val="1"/>
          <c:extLst>
            <c:ext xmlns:c16="http://schemas.microsoft.com/office/drawing/2014/chart" uri="{C3380CC4-5D6E-409C-BE32-E72D297353CC}">
              <c16:uniqueId val="{00000000-4A33-431A-81E3-498CBA7A5D7C}"/>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Precipitation</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4A33-431A-81E3-498CBA7A5D7C}"/>
              </c:ext>
            </c:extLst>
          </c:dPt>
          <c:xVal>
            <c:numRef>
              <c:f>Gini_Format!$H$178:$H$189</c:f>
              <c:numCache>
                <c:formatCode>0.00</c:formatCode>
                <c:ptCount val="12"/>
                <c:pt idx="0">
                  <c:v>0</c:v>
                </c:pt>
                <c:pt idx="1">
                  <c:v>4.3177805010323955E-3</c:v>
                </c:pt>
                <c:pt idx="2">
                  <c:v>1.1007544128936536E-2</c:v>
                </c:pt>
                <c:pt idx="3">
                  <c:v>9.325727140465466E-2</c:v>
                </c:pt>
                <c:pt idx="4">
                  <c:v>0.10127079145171206</c:v>
                </c:pt>
                <c:pt idx="5">
                  <c:v>0.22012082618360357</c:v>
                </c:pt>
                <c:pt idx="6">
                  <c:v>0.23630569086300146</c:v>
                </c:pt>
                <c:pt idx="7">
                  <c:v>0.24312177618043185</c:v>
                </c:pt>
                <c:pt idx="8">
                  <c:v>0.6813951776130287</c:v>
                </c:pt>
                <c:pt idx="9">
                  <c:v>0.88327904972428972</c:v>
                </c:pt>
                <c:pt idx="10">
                  <c:v>0.92246382695219187</c:v>
                </c:pt>
                <c:pt idx="11">
                  <c:v>1</c:v>
                </c:pt>
              </c:numCache>
            </c:numRef>
          </c:xVal>
          <c:yVal>
            <c:numRef>
              <c:f>Gini_Format!$G$178:$G$189</c:f>
              <c:numCache>
                <c:formatCode>0.00</c:formatCode>
                <c:ptCount val="12"/>
                <c:pt idx="0">
                  <c:v>0</c:v>
                </c:pt>
                <c:pt idx="1">
                  <c:v>2.0574426410451801E-3</c:v>
                </c:pt>
                <c:pt idx="2">
                  <c:v>8.6299290006598382E-3</c:v>
                </c:pt>
                <c:pt idx="3">
                  <c:v>1.7703678640373258E-2</c:v>
                </c:pt>
                <c:pt idx="4">
                  <c:v>3.0070099537271747E-2</c:v>
                </c:pt>
                <c:pt idx="5">
                  <c:v>4.2785924050606536E-2</c:v>
                </c:pt>
                <c:pt idx="6">
                  <c:v>8.0997415434134676E-2</c:v>
                </c:pt>
                <c:pt idx="7">
                  <c:v>0.15554298639807518</c:v>
                </c:pt>
                <c:pt idx="8">
                  <c:v>0.3071288313755236</c:v>
                </c:pt>
                <c:pt idx="9">
                  <c:v>0.49803114281752947</c:v>
                </c:pt>
                <c:pt idx="10">
                  <c:v>0.70345267576068349</c:v>
                </c:pt>
                <c:pt idx="11">
                  <c:v>1</c:v>
                </c:pt>
              </c:numCache>
            </c:numRef>
          </c:yVal>
          <c:smooth val="0"/>
          <c:extLst>
            <c:ext xmlns:c16="http://schemas.microsoft.com/office/drawing/2014/chart" uri="{C3380CC4-5D6E-409C-BE32-E72D297353CC}">
              <c16:uniqueId val="{00000002-4A33-431A-81E3-498CBA7A5D7C}"/>
            </c:ext>
          </c:extLst>
        </c:ser>
        <c:ser>
          <c:idx val="2"/>
          <c:order val="2"/>
          <c:tx>
            <c:v>ETa</c:v>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Gini_Format!$H$199:$H$210</c:f>
              <c:numCache>
                <c:formatCode>0.00</c:formatCode>
                <c:ptCount val="12"/>
                <c:pt idx="0">
                  <c:v>0</c:v>
                </c:pt>
                <c:pt idx="1">
                  <c:v>4.3177805010323955E-3</c:v>
                </c:pt>
                <c:pt idx="2">
                  <c:v>1.1007544128936536E-2</c:v>
                </c:pt>
                <c:pt idx="3">
                  <c:v>9.325727140465466E-2</c:v>
                </c:pt>
                <c:pt idx="4">
                  <c:v>0.10127079145171206</c:v>
                </c:pt>
                <c:pt idx="5">
                  <c:v>0.22012082618360357</c:v>
                </c:pt>
                <c:pt idx="6">
                  <c:v>0.23630569086300146</c:v>
                </c:pt>
                <c:pt idx="7">
                  <c:v>0.24312177618043185</c:v>
                </c:pt>
                <c:pt idx="8">
                  <c:v>0.6813951776130287</c:v>
                </c:pt>
                <c:pt idx="9">
                  <c:v>0.88327904972428972</c:v>
                </c:pt>
                <c:pt idx="10">
                  <c:v>0.92246382695219187</c:v>
                </c:pt>
                <c:pt idx="11">
                  <c:v>1</c:v>
                </c:pt>
              </c:numCache>
            </c:numRef>
          </c:xVal>
          <c:yVal>
            <c:numRef>
              <c:f>Gini_Format!$G$199:$G$210</c:f>
              <c:numCache>
                <c:formatCode>0.00</c:formatCode>
                <c:ptCount val="12"/>
                <c:pt idx="0">
                  <c:v>0</c:v>
                </c:pt>
                <c:pt idx="1">
                  <c:v>5.6387986055587242E-3</c:v>
                </c:pt>
                <c:pt idx="2">
                  <c:v>1.1360188457287819E-2</c:v>
                </c:pt>
                <c:pt idx="3">
                  <c:v>2.024176629132083E-2</c:v>
                </c:pt>
                <c:pt idx="4">
                  <c:v>3.2012888050712042E-2</c:v>
                </c:pt>
                <c:pt idx="5">
                  <c:v>5.7762823909743397E-2</c:v>
                </c:pt>
                <c:pt idx="6">
                  <c:v>8.8550981159494335E-2</c:v>
                </c:pt>
                <c:pt idx="7">
                  <c:v>0.1404898543639673</c:v>
                </c:pt>
                <c:pt idx="8">
                  <c:v>0.26486530011936027</c:v>
                </c:pt>
                <c:pt idx="9">
                  <c:v>0.43265145785843007</c:v>
                </c:pt>
                <c:pt idx="10">
                  <c:v>0.64822411816596082</c:v>
                </c:pt>
                <c:pt idx="11">
                  <c:v>1</c:v>
                </c:pt>
              </c:numCache>
            </c:numRef>
          </c:yVal>
          <c:smooth val="0"/>
          <c:extLst>
            <c:ext xmlns:c16="http://schemas.microsoft.com/office/drawing/2014/chart" uri="{C3380CC4-5D6E-409C-BE32-E72D297353CC}">
              <c16:uniqueId val="{00000003-4A33-431A-81E3-498CBA7A5D7C}"/>
            </c:ext>
          </c:extLst>
        </c:ser>
        <c:ser>
          <c:idx val="3"/>
          <c:order val="3"/>
          <c:tx>
            <c:v>Internal AW</c:v>
          </c:tx>
          <c:spPr>
            <a:ln w="19050" cap="rnd">
              <a:solidFill>
                <a:schemeClr val="accent4"/>
              </a:solidFill>
              <a:round/>
            </a:ln>
            <a:effectLst/>
          </c:spPr>
          <c:marker>
            <c:symbol val="circle"/>
            <c:size val="5"/>
            <c:spPr>
              <a:solidFill>
                <a:schemeClr val="accent4"/>
              </a:solidFill>
              <a:ln w="9525">
                <a:solidFill>
                  <a:schemeClr val="accent4"/>
                </a:solidFill>
              </a:ln>
              <a:effectLst/>
            </c:spPr>
          </c:marker>
          <c:xVal>
            <c:numRef>
              <c:f>Gini_Format!$H$220:$H$231</c:f>
              <c:numCache>
                <c:formatCode>0.00</c:formatCode>
                <c:ptCount val="12"/>
                <c:pt idx="0">
                  <c:v>0</c:v>
                </c:pt>
                <c:pt idx="1">
                  <c:v>4.3177805010323955E-3</c:v>
                </c:pt>
                <c:pt idx="2">
                  <c:v>1.1007544128936536E-2</c:v>
                </c:pt>
                <c:pt idx="3">
                  <c:v>9.325727140465466E-2</c:v>
                </c:pt>
                <c:pt idx="4">
                  <c:v>0.10127079145171206</c:v>
                </c:pt>
                <c:pt idx="5">
                  <c:v>0.22012082618360357</c:v>
                </c:pt>
                <c:pt idx="6">
                  <c:v>0.23630569086300146</c:v>
                </c:pt>
                <c:pt idx="7">
                  <c:v>0.24312177618043185</c:v>
                </c:pt>
                <c:pt idx="8">
                  <c:v>0.6813951776130287</c:v>
                </c:pt>
                <c:pt idx="9">
                  <c:v>0.88327904972428972</c:v>
                </c:pt>
                <c:pt idx="10">
                  <c:v>0.92246382695219187</c:v>
                </c:pt>
                <c:pt idx="11">
                  <c:v>1</c:v>
                </c:pt>
              </c:numCache>
            </c:numRef>
          </c:xVal>
          <c:yVal>
            <c:numRef>
              <c:f>Gini_Format!$G$220:$G$231</c:f>
              <c:numCache>
                <c:formatCode>0.00</c:formatCode>
                <c:ptCount val="12"/>
                <c:pt idx="0">
                  <c:v>0</c:v>
                </c:pt>
                <c:pt idx="1">
                  <c:v>0</c:v>
                </c:pt>
                <c:pt idx="2">
                  <c:v>0</c:v>
                </c:pt>
                <c:pt idx="3">
                  <c:v>0</c:v>
                </c:pt>
                <c:pt idx="4">
                  <c:v>5.4290577913134646E-3</c:v>
                </c:pt>
                <c:pt idx="5">
                  <c:v>1.3271339033212672E-2</c:v>
                </c:pt>
                <c:pt idx="6">
                  <c:v>4.2635773025661156E-2</c:v>
                </c:pt>
                <c:pt idx="7">
                  <c:v>7.6185424270137081E-2</c:v>
                </c:pt>
                <c:pt idx="8">
                  <c:v>0.18981189410229665</c:v>
                </c:pt>
                <c:pt idx="9">
                  <c:v>0.43188628237804488</c:v>
                </c:pt>
                <c:pt idx="10">
                  <c:v>0.6826176704974718</c:v>
                </c:pt>
                <c:pt idx="11">
                  <c:v>1</c:v>
                </c:pt>
              </c:numCache>
            </c:numRef>
          </c:yVal>
          <c:smooth val="0"/>
          <c:extLst>
            <c:ext xmlns:c16="http://schemas.microsoft.com/office/drawing/2014/chart" uri="{C3380CC4-5D6E-409C-BE32-E72D297353CC}">
              <c16:uniqueId val="{00000004-4A33-431A-81E3-498CBA7A5D7C}"/>
            </c:ext>
          </c:extLst>
        </c:ser>
        <c:ser>
          <c:idx val="4"/>
          <c:order val="4"/>
          <c:tx>
            <c:v>Total AW</c:v>
          </c:tx>
          <c:spPr>
            <a:ln w="19050" cap="rnd">
              <a:solidFill>
                <a:schemeClr val="accent5"/>
              </a:solidFill>
              <a:round/>
            </a:ln>
            <a:effectLst/>
          </c:spPr>
          <c:marker>
            <c:symbol val="circle"/>
            <c:size val="5"/>
            <c:spPr>
              <a:solidFill>
                <a:schemeClr val="accent5"/>
              </a:solidFill>
              <a:ln w="9525">
                <a:solidFill>
                  <a:schemeClr val="accent5"/>
                </a:solidFill>
              </a:ln>
              <a:effectLst/>
            </c:spPr>
          </c:marker>
          <c:xVal>
            <c:numRef>
              <c:f>Gini_Format!$H$241:$H$252</c:f>
              <c:numCache>
                <c:formatCode>0.00</c:formatCode>
                <c:ptCount val="12"/>
                <c:pt idx="0">
                  <c:v>0</c:v>
                </c:pt>
                <c:pt idx="1">
                  <c:v>4.3177805010323955E-3</c:v>
                </c:pt>
                <c:pt idx="2">
                  <c:v>1.1007544128936536E-2</c:v>
                </c:pt>
                <c:pt idx="3">
                  <c:v>9.325727140465466E-2</c:v>
                </c:pt>
                <c:pt idx="4">
                  <c:v>0.10127079145171206</c:v>
                </c:pt>
                <c:pt idx="5">
                  <c:v>0.22012082618360357</c:v>
                </c:pt>
                <c:pt idx="6">
                  <c:v>0.23630569086300146</c:v>
                </c:pt>
                <c:pt idx="7">
                  <c:v>0.24312177618043185</c:v>
                </c:pt>
                <c:pt idx="8">
                  <c:v>0.6813951776130287</c:v>
                </c:pt>
                <c:pt idx="9">
                  <c:v>0.88327904972428972</c:v>
                </c:pt>
                <c:pt idx="10">
                  <c:v>0.92246382695219187</c:v>
                </c:pt>
                <c:pt idx="11">
                  <c:v>1</c:v>
                </c:pt>
              </c:numCache>
            </c:numRef>
          </c:xVal>
          <c:yVal>
            <c:numRef>
              <c:f>Gini_Format!$G$241:$G$252</c:f>
              <c:numCache>
                <c:formatCode>0.00</c:formatCode>
                <c:ptCount val="12"/>
                <c:pt idx="0">
                  <c:v>0</c:v>
                </c:pt>
                <c:pt idx="1">
                  <c:v>3.4593541506786328E-3</c:v>
                </c:pt>
                <c:pt idx="2">
                  <c:v>8.4563958488458896E-3</c:v>
                </c:pt>
                <c:pt idx="3">
                  <c:v>2.716718886649204E-2</c:v>
                </c:pt>
                <c:pt idx="4">
                  <c:v>5.8484705667197864E-2</c:v>
                </c:pt>
                <c:pt idx="5">
                  <c:v>0.11995535831641736</c:v>
                </c:pt>
                <c:pt idx="6">
                  <c:v>0.19235727687211288</c:v>
                </c:pt>
                <c:pt idx="7">
                  <c:v>0.2807703857888626</c:v>
                </c:pt>
                <c:pt idx="8">
                  <c:v>0.42856152939230518</c:v>
                </c:pt>
                <c:pt idx="9">
                  <c:v>0.58280948033410229</c:v>
                </c:pt>
                <c:pt idx="10">
                  <c:v>0.78504307612918367</c:v>
                </c:pt>
                <c:pt idx="11">
                  <c:v>1</c:v>
                </c:pt>
              </c:numCache>
            </c:numRef>
          </c:yVal>
          <c:smooth val="0"/>
          <c:extLst>
            <c:ext xmlns:c16="http://schemas.microsoft.com/office/drawing/2014/chart" uri="{C3380CC4-5D6E-409C-BE32-E72D297353CC}">
              <c16:uniqueId val="{00000005-4A33-431A-81E3-498CBA7A5D7C}"/>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t>
                </a:r>
                <a:r>
                  <a:rPr lang="en-US" sz="1000" b="0" i="0" u="none" strike="noStrike" baseline="0">
                    <a:effectLst/>
                  </a:rPr>
                  <a:t>Criteria</a:t>
                </a:r>
                <a:endParaRPr lang="en-US" baseline="0"/>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variables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layout>
        <c:manualLayout>
          <c:xMode val="edge"/>
          <c:yMode val="edge"/>
          <c:x val="0.81944879380053437"/>
          <c:y val="0.38221744320590534"/>
          <c:w val="0.18021896777407129"/>
          <c:h val="0.349143219407329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6.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4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6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6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6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6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6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6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6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_rels/drawing3.xml.rels><?xml version="1.0" encoding="UTF-8" standalone="yes"?>
<Relationships xmlns="http://schemas.openxmlformats.org/package/2006/relationships"><Relationship Id="rId8" Type="http://schemas.openxmlformats.org/officeDocument/2006/relationships/chart" Target="../charts/chart23.xml"/><Relationship Id="rId13" Type="http://schemas.openxmlformats.org/officeDocument/2006/relationships/chart" Target="../charts/chart28.xml"/><Relationship Id="rId3" Type="http://schemas.openxmlformats.org/officeDocument/2006/relationships/chart" Target="../charts/chart18.xml"/><Relationship Id="rId7" Type="http://schemas.openxmlformats.org/officeDocument/2006/relationships/chart" Target="../charts/chart22.xml"/><Relationship Id="rId12" Type="http://schemas.openxmlformats.org/officeDocument/2006/relationships/chart" Target="../charts/chart27.xml"/><Relationship Id="rId2" Type="http://schemas.openxmlformats.org/officeDocument/2006/relationships/chart" Target="../charts/chart17.xml"/><Relationship Id="rId1" Type="http://schemas.openxmlformats.org/officeDocument/2006/relationships/chart" Target="../charts/chart16.xml"/><Relationship Id="rId6" Type="http://schemas.openxmlformats.org/officeDocument/2006/relationships/chart" Target="../charts/chart21.xml"/><Relationship Id="rId11" Type="http://schemas.openxmlformats.org/officeDocument/2006/relationships/chart" Target="../charts/chart26.xml"/><Relationship Id="rId5" Type="http://schemas.openxmlformats.org/officeDocument/2006/relationships/chart" Target="../charts/chart20.xml"/><Relationship Id="rId15" Type="http://schemas.openxmlformats.org/officeDocument/2006/relationships/chart" Target="../charts/chart30.xml"/><Relationship Id="rId10" Type="http://schemas.openxmlformats.org/officeDocument/2006/relationships/chart" Target="../charts/chart25.xml"/><Relationship Id="rId4" Type="http://schemas.openxmlformats.org/officeDocument/2006/relationships/chart" Target="../charts/chart19.xml"/><Relationship Id="rId9" Type="http://schemas.openxmlformats.org/officeDocument/2006/relationships/chart" Target="../charts/chart24.xml"/><Relationship Id="rId14" Type="http://schemas.openxmlformats.org/officeDocument/2006/relationships/chart" Target="../charts/chart29.xml"/></Relationships>
</file>

<file path=xl/drawings/_rels/drawing4.xml.rels><?xml version="1.0" encoding="UTF-8" standalone="yes"?>
<Relationships xmlns="http://schemas.openxmlformats.org/package/2006/relationships"><Relationship Id="rId8" Type="http://schemas.openxmlformats.org/officeDocument/2006/relationships/chart" Target="../charts/chart38.xml"/><Relationship Id="rId13" Type="http://schemas.openxmlformats.org/officeDocument/2006/relationships/chart" Target="../charts/chart43.xml"/><Relationship Id="rId3" Type="http://schemas.openxmlformats.org/officeDocument/2006/relationships/chart" Target="../charts/chart33.xml"/><Relationship Id="rId7" Type="http://schemas.openxmlformats.org/officeDocument/2006/relationships/chart" Target="../charts/chart37.xml"/><Relationship Id="rId12" Type="http://schemas.openxmlformats.org/officeDocument/2006/relationships/chart" Target="../charts/chart42.xml"/><Relationship Id="rId2" Type="http://schemas.openxmlformats.org/officeDocument/2006/relationships/chart" Target="../charts/chart32.xml"/><Relationship Id="rId1" Type="http://schemas.openxmlformats.org/officeDocument/2006/relationships/chart" Target="../charts/chart31.xml"/><Relationship Id="rId6" Type="http://schemas.openxmlformats.org/officeDocument/2006/relationships/chart" Target="../charts/chart36.xml"/><Relationship Id="rId11" Type="http://schemas.openxmlformats.org/officeDocument/2006/relationships/chart" Target="../charts/chart41.xml"/><Relationship Id="rId5" Type="http://schemas.openxmlformats.org/officeDocument/2006/relationships/chart" Target="../charts/chart35.xml"/><Relationship Id="rId15" Type="http://schemas.openxmlformats.org/officeDocument/2006/relationships/chart" Target="../charts/chart45.xml"/><Relationship Id="rId10" Type="http://schemas.openxmlformats.org/officeDocument/2006/relationships/chart" Target="../charts/chart40.xml"/><Relationship Id="rId4" Type="http://schemas.openxmlformats.org/officeDocument/2006/relationships/chart" Target="../charts/chart34.xml"/><Relationship Id="rId9" Type="http://schemas.openxmlformats.org/officeDocument/2006/relationships/chart" Target="../charts/chart39.xml"/><Relationship Id="rId14" Type="http://schemas.openxmlformats.org/officeDocument/2006/relationships/chart" Target="../charts/chart44.xml"/></Relationships>
</file>

<file path=xl/drawings/_rels/drawing5.xml.rels><?xml version="1.0" encoding="UTF-8" standalone="yes"?>
<Relationships xmlns="http://schemas.openxmlformats.org/package/2006/relationships"><Relationship Id="rId8" Type="http://schemas.openxmlformats.org/officeDocument/2006/relationships/chart" Target="../charts/chart53.xml"/><Relationship Id="rId13" Type="http://schemas.openxmlformats.org/officeDocument/2006/relationships/chart" Target="../charts/chart58.xml"/><Relationship Id="rId3" Type="http://schemas.openxmlformats.org/officeDocument/2006/relationships/chart" Target="../charts/chart48.xml"/><Relationship Id="rId7" Type="http://schemas.openxmlformats.org/officeDocument/2006/relationships/chart" Target="../charts/chart52.xml"/><Relationship Id="rId12" Type="http://schemas.openxmlformats.org/officeDocument/2006/relationships/chart" Target="../charts/chart57.xml"/><Relationship Id="rId2" Type="http://schemas.openxmlformats.org/officeDocument/2006/relationships/chart" Target="../charts/chart47.xml"/><Relationship Id="rId1" Type="http://schemas.openxmlformats.org/officeDocument/2006/relationships/chart" Target="../charts/chart46.xml"/><Relationship Id="rId6" Type="http://schemas.openxmlformats.org/officeDocument/2006/relationships/chart" Target="../charts/chart51.xml"/><Relationship Id="rId11" Type="http://schemas.openxmlformats.org/officeDocument/2006/relationships/chart" Target="../charts/chart56.xml"/><Relationship Id="rId5" Type="http://schemas.openxmlformats.org/officeDocument/2006/relationships/chart" Target="../charts/chart50.xml"/><Relationship Id="rId15" Type="http://schemas.openxmlformats.org/officeDocument/2006/relationships/chart" Target="../charts/chart60.xml"/><Relationship Id="rId10" Type="http://schemas.openxmlformats.org/officeDocument/2006/relationships/chart" Target="../charts/chart55.xml"/><Relationship Id="rId4" Type="http://schemas.openxmlformats.org/officeDocument/2006/relationships/chart" Target="../charts/chart49.xml"/><Relationship Id="rId9" Type="http://schemas.openxmlformats.org/officeDocument/2006/relationships/chart" Target="../charts/chart54.xml"/><Relationship Id="rId14" Type="http://schemas.openxmlformats.org/officeDocument/2006/relationships/chart" Target="../charts/chart59.xml"/></Relationships>
</file>

<file path=xl/drawings/_rels/drawing6.xml.rels><?xml version="1.0" encoding="UTF-8" standalone="yes"?>
<Relationships xmlns="http://schemas.openxmlformats.org/package/2006/relationships"><Relationship Id="rId8" Type="http://schemas.openxmlformats.org/officeDocument/2006/relationships/chart" Target="../charts/chart68.xml"/><Relationship Id="rId13" Type="http://schemas.openxmlformats.org/officeDocument/2006/relationships/chart" Target="../charts/chart73.xml"/><Relationship Id="rId3" Type="http://schemas.openxmlformats.org/officeDocument/2006/relationships/chart" Target="../charts/chart63.xml"/><Relationship Id="rId7" Type="http://schemas.openxmlformats.org/officeDocument/2006/relationships/chart" Target="../charts/chart67.xml"/><Relationship Id="rId12" Type="http://schemas.openxmlformats.org/officeDocument/2006/relationships/chart" Target="../charts/chart72.xml"/><Relationship Id="rId2" Type="http://schemas.openxmlformats.org/officeDocument/2006/relationships/chart" Target="../charts/chart62.xml"/><Relationship Id="rId1" Type="http://schemas.openxmlformats.org/officeDocument/2006/relationships/chart" Target="../charts/chart61.xml"/><Relationship Id="rId6" Type="http://schemas.openxmlformats.org/officeDocument/2006/relationships/chart" Target="../charts/chart66.xml"/><Relationship Id="rId11" Type="http://schemas.openxmlformats.org/officeDocument/2006/relationships/chart" Target="../charts/chart71.xml"/><Relationship Id="rId5" Type="http://schemas.openxmlformats.org/officeDocument/2006/relationships/chart" Target="../charts/chart65.xml"/><Relationship Id="rId15" Type="http://schemas.openxmlformats.org/officeDocument/2006/relationships/chart" Target="../charts/chart75.xml"/><Relationship Id="rId10" Type="http://schemas.openxmlformats.org/officeDocument/2006/relationships/chart" Target="../charts/chart70.xml"/><Relationship Id="rId4" Type="http://schemas.openxmlformats.org/officeDocument/2006/relationships/chart" Target="../charts/chart64.xml"/><Relationship Id="rId9" Type="http://schemas.openxmlformats.org/officeDocument/2006/relationships/chart" Target="../charts/chart69.xml"/><Relationship Id="rId14" Type="http://schemas.openxmlformats.org/officeDocument/2006/relationships/chart" Target="../charts/chart74.xml"/></Relationships>
</file>

<file path=xl/drawings/_rels/drawing7.xml.rels><?xml version="1.0" encoding="UTF-8" standalone="yes"?>
<Relationships xmlns="http://schemas.openxmlformats.org/package/2006/relationships"><Relationship Id="rId8" Type="http://schemas.openxmlformats.org/officeDocument/2006/relationships/chart" Target="../charts/chart83.xml"/><Relationship Id="rId13" Type="http://schemas.openxmlformats.org/officeDocument/2006/relationships/chart" Target="../charts/chart88.xml"/><Relationship Id="rId3" Type="http://schemas.openxmlformats.org/officeDocument/2006/relationships/chart" Target="../charts/chart78.xml"/><Relationship Id="rId7" Type="http://schemas.openxmlformats.org/officeDocument/2006/relationships/chart" Target="../charts/chart82.xml"/><Relationship Id="rId12" Type="http://schemas.openxmlformats.org/officeDocument/2006/relationships/chart" Target="../charts/chart87.xml"/><Relationship Id="rId2" Type="http://schemas.openxmlformats.org/officeDocument/2006/relationships/chart" Target="../charts/chart77.xml"/><Relationship Id="rId1" Type="http://schemas.openxmlformats.org/officeDocument/2006/relationships/chart" Target="../charts/chart76.xml"/><Relationship Id="rId6" Type="http://schemas.openxmlformats.org/officeDocument/2006/relationships/chart" Target="../charts/chart81.xml"/><Relationship Id="rId11" Type="http://schemas.openxmlformats.org/officeDocument/2006/relationships/chart" Target="../charts/chart86.xml"/><Relationship Id="rId5" Type="http://schemas.openxmlformats.org/officeDocument/2006/relationships/chart" Target="../charts/chart80.xml"/><Relationship Id="rId15" Type="http://schemas.openxmlformats.org/officeDocument/2006/relationships/chart" Target="../charts/chart90.xml"/><Relationship Id="rId10" Type="http://schemas.openxmlformats.org/officeDocument/2006/relationships/chart" Target="../charts/chart85.xml"/><Relationship Id="rId4" Type="http://schemas.openxmlformats.org/officeDocument/2006/relationships/chart" Target="../charts/chart79.xml"/><Relationship Id="rId9" Type="http://schemas.openxmlformats.org/officeDocument/2006/relationships/chart" Target="../charts/chart84.xml"/><Relationship Id="rId14" Type="http://schemas.openxmlformats.org/officeDocument/2006/relationships/chart" Target="../charts/chart89.xml"/></Relationships>
</file>

<file path=xl/drawings/_rels/drawing8.xml.rels><?xml version="1.0" encoding="UTF-8" standalone="yes"?>
<Relationships xmlns="http://schemas.openxmlformats.org/package/2006/relationships"><Relationship Id="rId8" Type="http://schemas.openxmlformats.org/officeDocument/2006/relationships/chart" Target="../charts/chart98.xml"/><Relationship Id="rId13" Type="http://schemas.openxmlformats.org/officeDocument/2006/relationships/chart" Target="../charts/chart103.xml"/><Relationship Id="rId3" Type="http://schemas.openxmlformats.org/officeDocument/2006/relationships/chart" Target="../charts/chart93.xml"/><Relationship Id="rId7" Type="http://schemas.openxmlformats.org/officeDocument/2006/relationships/chart" Target="../charts/chart97.xml"/><Relationship Id="rId12" Type="http://schemas.openxmlformats.org/officeDocument/2006/relationships/chart" Target="../charts/chart102.xml"/><Relationship Id="rId2" Type="http://schemas.openxmlformats.org/officeDocument/2006/relationships/chart" Target="../charts/chart92.xml"/><Relationship Id="rId1" Type="http://schemas.openxmlformats.org/officeDocument/2006/relationships/chart" Target="../charts/chart91.xml"/><Relationship Id="rId6" Type="http://schemas.openxmlformats.org/officeDocument/2006/relationships/chart" Target="../charts/chart96.xml"/><Relationship Id="rId11" Type="http://schemas.openxmlformats.org/officeDocument/2006/relationships/chart" Target="../charts/chart101.xml"/><Relationship Id="rId5" Type="http://schemas.openxmlformats.org/officeDocument/2006/relationships/chart" Target="../charts/chart95.xml"/><Relationship Id="rId15" Type="http://schemas.openxmlformats.org/officeDocument/2006/relationships/chart" Target="../charts/chart105.xml"/><Relationship Id="rId10" Type="http://schemas.openxmlformats.org/officeDocument/2006/relationships/chart" Target="../charts/chart100.xml"/><Relationship Id="rId4" Type="http://schemas.openxmlformats.org/officeDocument/2006/relationships/chart" Target="../charts/chart94.xml"/><Relationship Id="rId9" Type="http://schemas.openxmlformats.org/officeDocument/2006/relationships/chart" Target="../charts/chart99.xml"/><Relationship Id="rId14" Type="http://schemas.openxmlformats.org/officeDocument/2006/relationships/chart" Target="../charts/chart104.xml"/></Relationships>
</file>

<file path=xl/drawings/_rels/drawing9.xml.rels><?xml version="1.0" encoding="UTF-8" standalone="yes"?>
<Relationships xmlns="http://schemas.openxmlformats.org/package/2006/relationships"><Relationship Id="rId8" Type="http://schemas.openxmlformats.org/officeDocument/2006/relationships/chart" Target="../charts/chart113.xml"/><Relationship Id="rId13" Type="http://schemas.openxmlformats.org/officeDocument/2006/relationships/chart" Target="../charts/chart118.xml"/><Relationship Id="rId3" Type="http://schemas.openxmlformats.org/officeDocument/2006/relationships/chart" Target="../charts/chart108.xml"/><Relationship Id="rId7" Type="http://schemas.openxmlformats.org/officeDocument/2006/relationships/chart" Target="../charts/chart112.xml"/><Relationship Id="rId12" Type="http://schemas.openxmlformats.org/officeDocument/2006/relationships/chart" Target="../charts/chart117.xml"/><Relationship Id="rId2" Type="http://schemas.openxmlformats.org/officeDocument/2006/relationships/chart" Target="../charts/chart107.xml"/><Relationship Id="rId1" Type="http://schemas.openxmlformats.org/officeDocument/2006/relationships/chart" Target="../charts/chart106.xml"/><Relationship Id="rId6" Type="http://schemas.openxmlformats.org/officeDocument/2006/relationships/chart" Target="../charts/chart111.xml"/><Relationship Id="rId11" Type="http://schemas.openxmlformats.org/officeDocument/2006/relationships/chart" Target="../charts/chart116.xml"/><Relationship Id="rId5" Type="http://schemas.openxmlformats.org/officeDocument/2006/relationships/chart" Target="../charts/chart110.xml"/><Relationship Id="rId15" Type="http://schemas.openxmlformats.org/officeDocument/2006/relationships/chart" Target="../charts/chart120.xml"/><Relationship Id="rId10" Type="http://schemas.openxmlformats.org/officeDocument/2006/relationships/chart" Target="../charts/chart115.xml"/><Relationship Id="rId4" Type="http://schemas.openxmlformats.org/officeDocument/2006/relationships/chart" Target="../charts/chart109.xml"/><Relationship Id="rId9" Type="http://schemas.openxmlformats.org/officeDocument/2006/relationships/chart" Target="../charts/chart114.xml"/><Relationship Id="rId14" Type="http://schemas.openxmlformats.org/officeDocument/2006/relationships/chart" Target="../charts/chart119.xml"/></Relationships>
</file>

<file path=xl/drawings/_rels/drawing10.xml.rels><?xml version="1.0" encoding="UTF-8" standalone="yes"?>
<Relationships xmlns="http://schemas.openxmlformats.org/package/2006/relationships"><Relationship Id="rId8" Type="http://schemas.openxmlformats.org/officeDocument/2006/relationships/chart" Target="../charts/chart128.xml"/><Relationship Id="rId13" Type="http://schemas.openxmlformats.org/officeDocument/2006/relationships/chart" Target="../charts/chart133.xml"/><Relationship Id="rId18" Type="http://schemas.openxmlformats.org/officeDocument/2006/relationships/chart" Target="../charts/chart138.xml"/><Relationship Id="rId3" Type="http://schemas.openxmlformats.org/officeDocument/2006/relationships/chart" Target="../charts/chart123.xml"/><Relationship Id="rId21" Type="http://schemas.openxmlformats.org/officeDocument/2006/relationships/chart" Target="../charts/chart141.xml"/><Relationship Id="rId7" Type="http://schemas.openxmlformats.org/officeDocument/2006/relationships/chart" Target="../charts/chart127.xml"/><Relationship Id="rId12" Type="http://schemas.openxmlformats.org/officeDocument/2006/relationships/chart" Target="../charts/chart132.xml"/><Relationship Id="rId17" Type="http://schemas.openxmlformats.org/officeDocument/2006/relationships/chart" Target="../charts/chart137.xml"/><Relationship Id="rId25" Type="http://schemas.openxmlformats.org/officeDocument/2006/relationships/chart" Target="../charts/chart145.xml"/><Relationship Id="rId2" Type="http://schemas.openxmlformats.org/officeDocument/2006/relationships/chart" Target="../charts/chart122.xml"/><Relationship Id="rId16" Type="http://schemas.openxmlformats.org/officeDocument/2006/relationships/chart" Target="../charts/chart136.xml"/><Relationship Id="rId20" Type="http://schemas.openxmlformats.org/officeDocument/2006/relationships/chart" Target="../charts/chart140.xml"/><Relationship Id="rId1" Type="http://schemas.openxmlformats.org/officeDocument/2006/relationships/chart" Target="../charts/chart121.xml"/><Relationship Id="rId6" Type="http://schemas.openxmlformats.org/officeDocument/2006/relationships/chart" Target="../charts/chart126.xml"/><Relationship Id="rId11" Type="http://schemas.openxmlformats.org/officeDocument/2006/relationships/chart" Target="../charts/chart131.xml"/><Relationship Id="rId24" Type="http://schemas.openxmlformats.org/officeDocument/2006/relationships/chart" Target="../charts/chart144.xml"/><Relationship Id="rId5" Type="http://schemas.openxmlformats.org/officeDocument/2006/relationships/chart" Target="../charts/chart125.xml"/><Relationship Id="rId15" Type="http://schemas.openxmlformats.org/officeDocument/2006/relationships/chart" Target="../charts/chart135.xml"/><Relationship Id="rId23" Type="http://schemas.openxmlformats.org/officeDocument/2006/relationships/chart" Target="../charts/chart143.xml"/><Relationship Id="rId10" Type="http://schemas.openxmlformats.org/officeDocument/2006/relationships/chart" Target="../charts/chart130.xml"/><Relationship Id="rId19" Type="http://schemas.openxmlformats.org/officeDocument/2006/relationships/chart" Target="../charts/chart139.xml"/><Relationship Id="rId4" Type="http://schemas.openxmlformats.org/officeDocument/2006/relationships/chart" Target="../charts/chart124.xml"/><Relationship Id="rId9" Type="http://schemas.openxmlformats.org/officeDocument/2006/relationships/chart" Target="../charts/chart129.xml"/><Relationship Id="rId14" Type="http://schemas.openxmlformats.org/officeDocument/2006/relationships/chart" Target="../charts/chart134.xml"/><Relationship Id="rId22" Type="http://schemas.openxmlformats.org/officeDocument/2006/relationships/chart" Target="../charts/chart142.xml"/></Relationships>
</file>

<file path=xl/drawings/_rels/drawing11.xml.rels><?xml version="1.0" encoding="UTF-8" standalone="yes"?>
<Relationships xmlns="http://schemas.openxmlformats.org/package/2006/relationships"><Relationship Id="rId3" Type="http://schemas.openxmlformats.org/officeDocument/2006/relationships/chart" Target="../charts/chart148.xml"/><Relationship Id="rId2" Type="http://schemas.openxmlformats.org/officeDocument/2006/relationships/chart" Target="../charts/chart147.xml"/><Relationship Id="rId1" Type="http://schemas.openxmlformats.org/officeDocument/2006/relationships/chart" Target="../charts/chart146.xml"/><Relationship Id="rId6" Type="http://schemas.openxmlformats.org/officeDocument/2006/relationships/chart" Target="../charts/chart151.xml"/><Relationship Id="rId5" Type="http://schemas.openxmlformats.org/officeDocument/2006/relationships/chart" Target="../charts/chart150.xml"/><Relationship Id="rId4" Type="http://schemas.openxmlformats.org/officeDocument/2006/relationships/chart" Target="../charts/chart149.xml"/></Relationships>
</file>

<file path=xl/drawings/_rels/drawing12.xml.rels><?xml version="1.0" encoding="UTF-8" standalone="yes"?>
<Relationships xmlns="http://schemas.openxmlformats.org/package/2006/relationships"><Relationship Id="rId8" Type="http://schemas.openxmlformats.org/officeDocument/2006/relationships/chart" Target="../charts/chart159.xml"/><Relationship Id="rId13" Type="http://schemas.openxmlformats.org/officeDocument/2006/relationships/chart" Target="../charts/chart164.xml"/><Relationship Id="rId3" Type="http://schemas.openxmlformats.org/officeDocument/2006/relationships/chart" Target="../charts/chart154.xml"/><Relationship Id="rId7" Type="http://schemas.openxmlformats.org/officeDocument/2006/relationships/chart" Target="../charts/chart158.xml"/><Relationship Id="rId12" Type="http://schemas.openxmlformats.org/officeDocument/2006/relationships/chart" Target="../charts/chart163.xml"/><Relationship Id="rId2" Type="http://schemas.openxmlformats.org/officeDocument/2006/relationships/chart" Target="../charts/chart153.xml"/><Relationship Id="rId1" Type="http://schemas.openxmlformats.org/officeDocument/2006/relationships/chart" Target="../charts/chart152.xml"/><Relationship Id="rId6" Type="http://schemas.openxmlformats.org/officeDocument/2006/relationships/chart" Target="../charts/chart157.xml"/><Relationship Id="rId11" Type="http://schemas.openxmlformats.org/officeDocument/2006/relationships/chart" Target="../charts/chart162.xml"/><Relationship Id="rId5" Type="http://schemas.openxmlformats.org/officeDocument/2006/relationships/chart" Target="../charts/chart156.xml"/><Relationship Id="rId15" Type="http://schemas.openxmlformats.org/officeDocument/2006/relationships/chart" Target="../charts/chart166.xml"/><Relationship Id="rId10" Type="http://schemas.openxmlformats.org/officeDocument/2006/relationships/chart" Target="../charts/chart161.xml"/><Relationship Id="rId4" Type="http://schemas.openxmlformats.org/officeDocument/2006/relationships/chart" Target="../charts/chart155.xml"/><Relationship Id="rId9" Type="http://schemas.openxmlformats.org/officeDocument/2006/relationships/chart" Target="../charts/chart160.xml"/><Relationship Id="rId14" Type="http://schemas.openxmlformats.org/officeDocument/2006/relationships/chart" Target="../charts/chart165.xml"/></Relationships>
</file>

<file path=xl/drawings/drawing1.xml><?xml version="1.0" encoding="utf-8"?>
<xdr:wsDr xmlns:xdr="http://schemas.openxmlformats.org/drawingml/2006/spreadsheetDrawing" xmlns:a="http://schemas.openxmlformats.org/drawingml/2006/main">
  <xdr:twoCellAnchor editAs="oneCell">
    <xdr:from>
      <xdr:col>34</xdr:col>
      <xdr:colOff>0</xdr:colOff>
      <xdr:row>34</xdr:row>
      <xdr:rowOff>0</xdr:rowOff>
    </xdr:from>
    <xdr:to>
      <xdr:col>34</xdr:col>
      <xdr:colOff>617220</xdr:colOff>
      <xdr:row>35</xdr:row>
      <xdr:rowOff>1</xdr:rowOff>
    </xdr:to>
    <xdr:pic>
      <xdr:nvPicPr>
        <xdr:cNvPr id="8" name="Picture 7">
          <a:extLst>
            <a:ext uri="{FF2B5EF4-FFF2-40B4-BE49-F238E27FC236}">
              <a16:creationId xmlns:a16="http://schemas.microsoft.com/office/drawing/2014/main" id="{F55A5DD4-914A-4A19-98F3-BBEC757EAE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073080" y="5966460"/>
          <a:ext cx="617220" cy="1752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36</xdr:col>
      <xdr:colOff>0</xdr:colOff>
      <xdr:row>35</xdr:row>
      <xdr:rowOff>0</xdr:rowOff>
    </xdr:from>
    <xdr:to>
      <xdr:col>36</xdr:col>
      <xdr:colOff>617220</xdr:colOff>
      <xdr:row>35</xdr:row>
      <xdr:rowOff>175260</xdr:rowOff>
    </xdr:to>
    <xdr:pic>
      <xdr:nvPicPr>
        <xdr:cNvPr id="9" name="Picture 8">
          <a:extLst>
            <a:ext uri="{FF2B5EF4-FFF2-40B4-BE49-F238E27FC236}">
              <a16:creationId xmlns:a16="http://schemas.microsoft.com/office/drawing/2014/main" id="{320C6AE6-7FAC-4BC4-9653-3CB42E38E6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039040" y="6141720"/>
          <a:ext cx="617220" cy="1752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9</xdr:col>
      <xdr:colOff>625083</xdr:colOff>
      <xdr:row>92</xdr:row>
      <xdr:rowOff>0</xdr:rowOff>
    </xdr:from>
    <xdr:to>
      <xdr:col>13</xdr:col>
      <xdr:colOff>955524</xdr:colOff>
      <xdr:row>107</xdr:row>
      <xdr:rowOff>133048</xdr:rowOff>
    </xdr:to>
    <xdr:graphicFrame macro="">
      <xdr:nvGraphicFramePr>
        <xdr:cNvPr id="2" name="Chart 1">
          <a:extLst>
            <a:ext uri="{FF2B5EF4-FFF2-40B4-BE49-F238E27FC236}">
              <a16:creationId xmlns:a16="http://schemas.microsoft.com/office/drawing/2014/main" id="{7088DC8D-4F82-4B8C-ACB1-C878D97635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625083</xdr:colOff>
      <xdr:row>113</xdr:row>
      <xdr:rowOff>0</xdr:rowOff>
    </xdr:from>
    <xdr:to>
      <xdr:col>13</xdr:col>
      <xdr:colOff>955524</xdr:colOff>
      <xdr:row>128</xdr:row>
      <xdr:rowOff>133048</xdr:rowOff>
    </xdr:to>
    <xdr:graphicFrame macro="">
      <xdr:nvGraphicFramePr>
        <xdr:cNvPr id="3" name="Chart 2">
          <a:extLst>
            <a:ext uri="{FF2B5EF4-FFF2-40B4-BE49-F238E27FC236}">
              <a16:creationId xmlns:a16="http://schemas.microsoft.com/office/drawing/2014/main" id="{5B63570F-357C-436D-AB90-FE06AD1641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625083</xdr:colOff>
      <xdr:row>134</xdr:row>
      <xdr:rowOff>0</xdr:rowOff>
    </xdr:from>
    <xdr:to>
      <xdr:col>13</xdr:col>
      <xdr:colOff>955524</xdr:colOff>
      <xdr:row>149</xdr:row>
      <xdr:rowOff>133048</xdr:rowOff>
    </xdr:to>
    <xdr:graphicFrame macro="">
      <xdr:nvGraphicFramePr>
        <xdr:cNvPr id="4" name="Chart 3">
          <a:extLst>
            <a:ext uri="{FF2B5EF4-FFF2-40B4-BE49-F238E27FC236}">
              <a16:creationId xmlns:a16="http://schemas.microsoft.com/office/drawing/2014/main" id="{1810C7CD-C588-4951-A94D-B3F866384F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628893</xdr:colOff>
      <xdr:row>154</xdr:row>
      <xdr:rowOff>158749</xdr:rowOff>
    </xdr:from>
    <xdr:to>
      <xdr:col>13</xdr:col>
      <xdr:colOff>1016000</xdr:colOff>
      <xdr:row>170</xdr:row>
      <xdr:rowOff>84666</xdr:rowOff>
    </xdr:to>
    <xdr:graphicFrame macro="">
      <xdr:nvGraphicFramePr>
        <xdr:cNvPr id="5" name="Chart 4">
          <a:extLst>
            <a:ext uri="{FF2B5EF4-FFF2-40B4-BE49-F238E27FC236}">
              <a16:creationId xmlns:a16="http://schemas.microsoft.com/office/drawing/2014/main" id="{98C1B20D-404F-46A0-8D96-8863F23781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625083</xdr:colOff>
      <xdr:row>4</xdr:row>
      <xdr:rowOff>0</xdr:rowOff>
    </xdr:from>
    <xdr:to>
      <xdr:col>13</xdr:col>
      <xdr:colOff>955524</xdr:colOff>
      <xdr:row>19</xdr:row>
      <xdr:rowOff>133048</xdr:rowOff>
    </xdr:to>
    <xdr:graphicFrame macro="">
      <xdr:nvGraphicFramePr>
        <xdr:cNvPr id="6" name="Chart 5">
          <a:extLst>
            <a:ext uri="{FF2B5EF4-FFF2-40B4-BE49-F238E27FC236}">
              <a16:creationId xmlns:a16="http://schemas.microsoft.com/office/drawing/2014/main" id="{08F80111-2672-4FFB-9C27-0CED219151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625083</xdr:colOff>
      <xdr:row>25</xdr:row>
      <xdr:rowOff>0</xdr:rowOff>
    </xdr:from>
    <xdr:to>
      <xdr:col>13</xdr:col>
      <xdr:colOff>955524</xdr:colOff>
      <xdr:row>40</xdr:row>
      <xdr:rowOff>133048</xdr:rowOff>
    </xdr:to>
    <xdr:graphicFrame macro="">
      <xdr:nvGraphicFramePr>
        <xdr:cNvPr id="7" name="Chart 6">
          <a:extLst>
            <a:ext uri="{FF2B5EF4-FFF2-40B4-BE49-F238E27FC236}">
              <a16:creationId xmlns:a16="http://schemas.microsoft.com/office/drawing/2014/main" id="{3BA7F3DD-15AF-4C28-8F6D-C63F55BBFE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709218</xdr:colOff>
      <xdr:row>46</xdr:row>
      <xdr:rowOff>141443</xdr:rowOff>
    </xdr:from>
    <xdr:to>
      <xdr:col>13</xdr:col>
      <xdr:colOff>1093548</xdr:colOff>
      <xdr:row>62</xdr:row>
      <xdr:rowOff>152400</xdr:rowOff>
    </xdr:to>
    <xdr:graphicFrame macro="">
      <xdr:nvGraphicFramePr>
        <xdr:cNvPr id="8" name="Chart 7">
          <a:extLst>
            <a:ext uri="{FF2B5EF4-FFF2-40B4-BE49-F238E27FC236}">
              <a16:creationId xmlns:a16="http://schemas.microsoft.com/office/drawing/2014/main" id="{01457103-23EB-4A41-96BB-B34CB5E54B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625083</xdr:colOff>
      <xdr:row>68</xdr:row>
      <xdr:rowOff>0</xdr:rowOff>
    </xdr:from>
    <xdr:to>
      <xdr:col>13</xdr:col>
      <xdr:colOff>955524</xdr:colOff>
      <xdr:row>83</xdr:row>
      <xdr:rowOff>133048</xdr:rowOff>
    </xdr:to>
    <xdr:graphicFrame macro="">
      <xdr:nvGraphicFramePr>
        <xdr:cNvPr id="9" name="Chart 8">
          <a:extLst>
            <a:ext uri="{FF2B5EF4-FFF2-40B4-BE49-F238E27FC236}">
              <a16:creationId xmlns:a16="http://schemas.microsoft.com/office/drawing/2014/main" id="{589AEEEA-A719-4114-90B9-EBAEF9DBA4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9</xdr:col>
      <xdr:colOff>625083</xdr:colOff>
      <xdr:row>176</xdr:row>
      <xdr:rowOff>0</xdr:rowOff>
    </xdr:from>
    <xdr:to>
      <xdr:col>13</xdr:col>
      <xdr:colOff>955524</xdr:colOff>
      <xdr:row>191</xdr:row>
      <xdr:rowOff>133048</xdr:rowOff>
    </xdr:to>
    <xdr:graphicFrame macro="">
      <xdr:nvGraphicFramePr>
        <xdr:cNvPr id="10" name="Chart 9">
          <a:extLst>
            <a:ext uri="{FF2B5EF4-FFF2-40B4-BE49-F238E27FC236}">
              <a16:creationId xmlns:a16="http://schemas.microsoft.com/office/drawing/2014/main" id="{A8414902-6905-4019-B96A-5A2A8B4F71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xdr:col>
      <xdr:colOff>625083</xdr:colOff>
      <xdr:row>197</xdr:row>
      <xdr:rowOff>0</xdr:rowOff>
    </xdr:from>
    <xdr:to>
      <xdr:col>13</xdr:col>
      <xdr:colOff>955524</xdr:colOff>
      <xdr:row>212</xdr:row>
      <xdr:rowOff>133048</xdr:rowOff>
    </xdr:to>
    <xdr:graphicFrame macro="">
      <xdr:nvGraphicFramePr>
        <xdr:cNvPr id="11" name="Chart 10">
          <a:extLst>
            <a:ext uri="{FF2B5EF4-FFF2-40B4-BE49-F238E27FC236}">
              <a16:creationId xmlns:a16="http://schemas.microsoft.com/office/drawing/2014/main" id="{6A4E0B91-4CCB-4E17-8062-424D0D6900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9</xdr:col>
      <xdr:colOff>625083</xdr:colOff>
      <xdr:row>218</xdr:row>
      <xdr:rowOff>0</xdr:rowOff>
    </xdr:from>
    <xdr:to>
      <xdr:col>13</xdr:col>
      <xdr:colOff>955524</xdr:colOff>
      <xdr:row>233</xdr:row>
      <xdr:rowOff>133048</xdr:rowOff>
    </xdr:to>
    <xdr:graphicFrame macro="">
      <xdr:nvGraphicFramePr>
        <xdr:cNvPr id="12" name="Chart 11">
          <a:extLst>
            <a:ext uri="{FF2B5EF4-FFF2-40B4-BE49-F238E27FC236}">
              <a16:creationId xmlns:a16="http://schemas.microsoft.com/office/drawing/2014/main" id="{D7E4E8D4-8E31-4C9D-80D2-BB9D671297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628893</xdr:colOff>
      <xdr:row>238</xdr:row>
      <xdr:rowOff>158749</xdr:rowOff>
    </xdr:from>
    <xdr:to>
      <xdr:col>13</xdr:col>
      <xdr:colOff>1016000</xdr:colOff>
      <xdr:row>254</xdr:row>
      <xdr:rowOff>84666</xdr:rowOff>
    </xdr:to>
    <xdr:graphicFrame macro="">
      <xdr:nvGraphicFramePr>
        <xdr:cNvPr id="13" name="Chart 12">
          <a:extLst>
            <a:ext uri="{FF2B5EF4-FFF2-40B4-BE49-F238E27FC236}">
              <a16:creationId xmlns:a16="http://schemas.microsoft.com/office/drawing/2014/main" id="{A0D603AD-E443-44D3-AA80-D3AB4B208B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14</xdr:col>
      <xdr:colOff>808183</xdr:colOff>
      <xdr:row>4</xdr:row>
      <xdr:rowOff>11546</xdr:rowOff>
    </xdr:from>
    <xdr:to>
      <xdr:col>19</xdr:col>
      <xdr:colOff>542637</xdr:colOff>
      <xdr:row>20</xdr:row>
      <xdr:rowOff>59849</xdr:rowOff>
    </xdr:to>
    <xdr:graphicFrame macro="">
      <xdr:nvGraphicFramePr>
        <xdr:cNvPr id="14" name="Chart 13">
          <a:extLst>
            <a:ext uri="{FF2B5EF4-FFF2-40B4-BE49-F238E27FC236}">
              <a16:creationId xmlns:a16="http://schemas.microsoft.com/office/drawing/2014/main" id="{09505BF2-79D8-4C60-A134-E715535C41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14</xdr:col>
      <xdr:colOff>819609</xdr:colOff>
      <xdr:row>20</xdr:row>
      <xdr:rowOff>135518</xdr:rowOff>
    </xdr:from>
    <xdr:to>
      <xdr:col>19</xdr:col>
      <xdr:colOff>551162</xdr:colOff>
      <xdr:row>37</xdr:row>
      <xdr:rowOff>39688</xdr:rowOff>
    </xdr:to>
    <xdr:graphicFrame macro="">
      <xdr:nvGraphicFramePr>
        <xdr:cNvPr id="15" name="Chart 14">
          <a:extLst>
            <a:ext uri="{FF2B5EF4-FFF2-40B4-BE49-F238E27FC236}">
              <a16:creationId xmlns:a16="http://schemas.microsoft.com/office/drawing/2014/main" id="{916BE03E-B9E5-487F-A9F9-B89E04B2F2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14</xdr:col>
      <xdr:colOff>779115</xdr:colOff>
      <xdr:row>38</xdr:row>
      <xdr:rowOff>14636</xdr:rowOff>
    </xdr:from>
    <xdr:to>
      <xdr:col>19</xdr:col>
      <xdr:colOff>552939</xdr:colOff>
      <xdr:row>54</xdr:row>
      <xdr:rowOff>133251</xdr:rowOff>
    </xdr:to>
    <xdr:graphicFrame macro="">
      <xdr:nvGraphicFramePr>
        <xdr:cNvPr id="16" name="Chart 15">
          <a:extLst>
            <a:ext uri="{FF2B5EF4-FFF2-40B4-BE49-F238E27FC236}">
              <a16:creationId xmlns:a16="http://schemas.microsoft.com/office/drawing/2014/main" id="{897B472E-E0F3-4A98-80BE-2622013F2A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9</xdr:col>
      <xdr:colOff>625083</xdr:colOff>
      <xdr:row>92</xdr:row>
      <xdr:rowOff>0</xdr:rowOff>
    </xdr:from>
    <xdr:to>
      <xdr:col>13</xdr:col>
      <xdr:colOff>955524</xdr:colOff>
      <xdr:row>107</xdr:row>
      <xdr:rowOff>133048</xdr:rowOff>
    </xdr:to>
    <xdr:graphicFrame macro="">
      <xdr:nvGraphicFramePr>
        <xdr:cNvPr id="2" name="Chart 1">
          <a:extLst>
            <a:ext uri="{FF2B5EF4-FFF2-40B4-BE49-F238E27FC236}">
              <a16:creationId xmlns:a16="http://schemas.microsoft.com/office/drawing/2014/main" id="{2C4E73A3-65D7-45E8-97B7-B2EDD64FC3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625083</xdr:colOff>
      <xdr:row>113</xdr:row>
      <xdr:rowOff>0</xdr:rowOff>
    </xdr:from>
    <xdr:to>
      <xdr:col>13</xdr:col>
      <xdr:colOff>955524</xdr:colOff>
      <xdr:row>128</xdr:row>
      <xdr:rowOff>133048</xdr:rowOff>
    </xdr:to>
    <xdr:graphicFrame macro="">
      <xdr:nvGraphicFramePr>
        <xdr:cNvPr id="3" name="Chart 2">
          <a:extLst>
            <a:ext uri="{FF2B5EF4-FFF2-40B4-BE49-F238E27FC236}">
              <a16:creationId xmlns:a16="http://schemas.microsoft.com/office/drawing/2014/main" id="{B8EC65B9-BA0E-4DC9-9DD1-BF3CAABAFF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625083</xdr:colOff>
      <xdr:row>134</xdr:row>
      <xdr:rowOff>0</xdr:rowOff>
    </xdr:from>
    <xdr:to>
      <xdr:col>13</xdr:col>
      <xdr:colOff>955524</xdr:colOff>
      <xdr:row>149</xdr:row>
      <xdr:rowOff>133048</xdr:rowOff>
    </xdr:to>
    <xdr:graphicFrame macro="">
      <xdr:nvGraphicFramePr>
        <xdr:cNvPr id="4" name="Chart 3">
          <a:extLst>
            <a:ext uri="{FF2B5EF4-FFF2-40B4-BE49-F238E27FC236}">
              <a16:creationId xmlns:a16="http://schemas.microsoft.com/office/drawing/2014/main" id="{BC540AED-5031-4BFA-B358-2AD73AA68B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628893</xdr:colOff>
      <xdr:row>154</xdr:row>
      <xdr:rowOff>158749</xdr:rowOff>
    </xdr:from>
    <xdr:to>
      <xdr:col>13</xdr:col>
      <xdr:colOff>1016000</xdr:colOff>
      <xdr:row>170</xdr:row>
      <xdr:rowOff>84666</xdr:rowOff>
    </xdr:to>
    <xdr:graphicFrame macro="">
      <xdr:nvGraphicFramePr>
        <xdr:cNvPr id="5" name="Chart 4">
          <a:extLst>
            <a:ext uri="{FF2B5EF4-FFF2-40B4-BE49-F238E27FC236}">
              <a16:creationId xmlns:a16="http://schemas.microsoft.com/office/drawing/2014/main" id="{E974245E-4408-4B62-8253-5F3943BDBA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625083</xdr:colOff>
      <xdr:row>4</xdr:row>
      <xdr:rowOff>0</xdr:rowOff>
    </xdr:from>
    <xdr:to>
      <xdr:col>13</xdr:col>
      <xdr:colOff>955524</xdr:colOff>
      <xdr:row>19</xdr:row>
      <xdr:rowOff>133048</xdr:rowOff>
    </xdr:to>
    <xdr:graphicFrame macro="">
      <xdr:nvGraphicFramePr>
        <xdr:cNvPr id="6" name="Chart 5">
          <a:extLst>
            <a:ext uri="{FF2B5EF4-FFF2-40B4-BE49-F238E27FC236}">
              <a16:creationId xmlns:a16="http://schemas.microsoft.com/office/drawing/2014/main" id="{0F4E3552-EC18-4516-B2B0-EE99FE444D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625083</xdr:colOff>
      <xdr:row>25</xdr:row>
      <xdr:rowOff>0</xdr:rowOff>
    </xdr:from>
    <xdr:to>
      <xdr:col>13</xdr:col>
      <xdr:colOff>955524</xdr:colOff>
      <xdr:row>40</xdr:row>
      <xdr:rowOff>133048</xdr:rowOff>
    </xdr:to>
    <xdr:graphicFrame macro="">
      <xdr:nvGraphicFramePr>
        <xdr:cNvPr id="7" name="Chart 6">
          <a:extLst>
            <a:ext uri="{FF2B5EF4-FFF2-40B4-BE49-F238E27FC236}">
              <a16:creationId xmlns:a16="http://schemas.microsoft.com/office/drawing/2014/main" id="{BB4609A2-C94C-46F0-80C2-B9B2D5C570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709218</xdr:colOff>
      <xdr:row>46</xdr:row>
      <xdr:rowOff>141443</xdr:rowOff>
    </xdr:from>
    <xdr:to>
      <xdr:col>13</xdr:col>
      <xdr:colOff>1093548</xdr:colOff>
      <xdr:row>62</xdr:row>
      <xdr:rowOff>152400</xdr:rowOff>
    </xdr:to>
    <xdr:graphicFrame macro="">
      <xdr:nvGraphicFramePr>
        <xdr:cNvPr id="8" name="Chart 7">
          <a:extLst>
            <a:ext uri="{FF2B5EF4-FFF2-40B4-BE49-F238E27FC236}">
              <a16:creationId xmlns:a16="http://schemas.microsoft.com/office/drawing/2014/main" id="{69C1D48A-50FB-44AD-A10B-E60AEB68BD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625083</xdr:colOff>
      <xdr:row>68</xdr:row>
      <xdr:rowOff>0</xdr:rowOff>
    </xdr:from>
    <xdr:to>
      <xdr:col>13</xdr:col>
      <xdr:colOff>955524</xdr:colOff>
      <xdr:row>83</xdr:row>
      <xdr:rowOff>133048</xdr:rowOff>
    </xdr:to>
    <xdr:graphicFrame macro="">
      <xdr:nvGraphicFramePr>
        <xdr:cNvPr id="9" name="Chart 8">
          <a:extLst>
            <a:ext uri="{FF2B5EF4-FFF2-40B4-BE49-F238E27FC236}">
              <a16:creationId xmlns:a16="http://schemas.microsoft.com/office/drawing/2014/main" id="{27EFC301-5920-4595-A7E9-DECF2C221F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9</xdr:col>
      <xdr:colOff>625083</xdr:colOff>
      <xdr:row>176</xdr:row>
      <xdr:rowOff>0</xdr:rowOff>
    </xdr:from>
    <xdr:to>
      <xdr:col>13</xdr:col>
      <xdr:colOff>955524</xdr:colOff>
      <xdr:row>191</xdr:row>
      <xdr:rowOff>133048</xdr:rowOff>
    </xdr:to>
    <xdr:graphicFrame macro="">
      <xdr:nvGraphicFramePr>
        <xdr:cNvPr id="10" name="Chart 9">
          <a:extLst>
            <a:ext uri="{FF2B5EF4-FFF2-40B4-BE49-F238E27FC236}">
              <a16:creationId xmlns:a16="http://schemas.microsoft.com/office/drawing/2014/main" id="{0264ED50-E44F-4DFF-A8D0-4863777FD7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xdr:col>
      <xdr:colOff>625083</xdr:colOff>
      <xdr:row>197</xdr:row>
      <xdr:rowOff>0</xdr:rowOff>
    </xdr:from>
    <xdr:to>
      <xdr:col>13</xdr:col>
      <xdr:colOff>955524</xdr:colOff>
      <xdr:row>212</xdr:row>
      <xdr:rowOff>133048</xdr:rowOff>
    </xdr:to>
    <xdr:graphicFrame macro="">
      <xdr:nvGraphicFramePr>
        <xdr:cNvPr id="11" name="Chart 10">
          <a:extLst>
            <a:ext uri="{FF2B5EF4-FFF2-40B4-BE49-F238E27FC236}">
              <a16:creationId xmlns:a16="http://schemas.microsoft.com/office/drawing/2014/main" id="{355ECAB1-4006-415F-AB9E-3B2F65A316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9</xdr:col>
      <xdr:colOff>625083</xdr:colOff>
      <xdr:row>218</xdr:row>
      <xdr:rowOff>0</xdr:rowOff>
    </xdr:from>
    <xdr:to>
      <xdr:col>13</xdr:col>
      <xdr:colOff>955524</xdr:colOff>
      <xdr:row>233</xdr:row>
      <xdr:rowOff>133048</xdr:rowOff>
    </xdr:to>
    <xdr:graphicFrame macro="">
      <xdr:nvGraphicFramePr>
        <xdr:cNvPr id="12" name="Chart 11">
          <a:extLst>
            <a:ext uri="{FF2B5EF4-FFF2-40B4-BE49-F238E27FC236}">
              <a16:creationId xmlns:a16="http://schemas.microsoft.com/office/drawing/2014/main" id="{FA951D55-76D8-4EDF-BC7B-CD2A326247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628893</xdr:colOff>
      <xdr:row>238</xdr:row>
      <xdr:rowOff>158749</xdr:rowOff>
    </xdr:from>
    <xdr:to>
      <xdr:col>13</xdr:col>
      <xdr:colOff>1016000</xdr:colOff>
      <xdr:row>254</xdr:row>
      <xdr:rowOff>84666</xdr:rowOff>
    </xdr:to>
    <xdr:graphicFrame macro="">
      <xdr:nvGraphicFramePr>
        <xdr:cNvPr id="13" name="Chart 12">
          <a:extLst>
            <a:ext uri="{FF2B5EF4-FFF2-40B4-BE49-F238E27FC236}">
              <a16:creationId xmlns:a16="http://schemas.microsoft.com/office/drawing/2014/main" id="{E4C7502A-C019-4D12-8126-5E53FABB3B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14</xdr:col>
      <xdr:colOff>808183</xdr:colOff>
      <xdr:row>4</xdr:row>
      <xdr:rowOff>11546</xdr:rowOff>
    </xdr:from>
    <xdr:to>
      <xdr:col>19</xdr:col>
      <xdr:colOff>542637</xdr:colOff>
      <xdr:row>20</xdr:row>
      <xdr:rowOff>59849</xdr:rowOff>
    </xdr:to>
    <xdr:graphicFrame macro="">
      <xdr:nvGraphicFramePr>
        <xdr:cNvPr id="14" name="Chart 13">
          <a:extLst>
            <a:ext uri="{FF2B5EF4-FFF2-40B4-BE49-F238E27FC236}">
              <a16:creationId xmlns:a16="http://schemas.microsoft.com/office/drawing/2014/main" id="{FF048EF2-D10B-4C8E-A846-DCA7F5C0FB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14</xdr:col>
      <xdr:colOff>819609</xdr:colOff>
      <xdr:row>20</xdr:row>
      <xdr:rowOff>135518</xdr:rowOff>
    </xdr:from>
    <xdr:to>
      <xdr:col>19</xdr:col>
      <xdr:colOff>551162</xdr:colOff>
      <xdr:row>37</xdr:row>
      <xdr:rowOff>39688</xdr:rowOff>
    </xdr:to>
    <xdr:graphicFrame macro="">
      <xdr:nvGraphicFramePr>
        <xdr:cNvPr id="15" name="Chart 14">
          <a:extLst>
            <a:ext uri="{FF2B5EF4-FFF2-40B4-BE49-F238E27FC236}">
              <a16:creationId xmlns:a16="http://schemas.microsoft.com/office/drawing/2014/main" id="{5ED86A9F-EB71-486A-B038-0798553DC3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14</xdr:col>
      <xdr:colOff>779115</xdr:colOff>
      <xdr:row>38</xdr:row>
      <xdr:rowOff>14636</xdr:rowOff>
    </xdr:from>
    <xdr:to>
      <xdr:col>19</xdr:col>
      <xdr:colOff>552939</xdr:colOff>
      <xdr:row>54</xdr:row>
      <xdr:rowOff>133251</xdr:rowOff>
    </xdr:to>
    <xdr:graphicFrame macro="">
      <xdr:nvGraphicFramePr>
        <xdr:cNvPr id="16" name="Chart 15">
          <a:extLst>
            <a:ext uri="{FF2B5EF4-FFF2-40B4-BE49-F238E27FC236}">
              <a16:creationId xmlns:a16="http://schemas.microsoft.com/office/drawing/2014/main" id="{CEA9C602-464D-4B84-9632-102E21015C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9</xdr:col>
      <xdr:colOff>625083</xdr:colOff>
      <xdr:row>92</xdr:row>
      <xdr:rowOff>0</xdr:rowOff>
    </xdr:from>
    <xdr:to>
      <xdr:col>13</xdr:col>
      <xdr:colOff>955524</xdr:colOff>
      <xdr:row>107</xdr:row>
      <xdr:rowOff>133048</xdr:rowOff>
    </xdr:to>
    <xdr:graphicFrame macro="">
      <xdr:nvGraphicFramePr>
        <xdr:cNvPr id="2" name="Chart 1">
          <a:extLst>
            <a:ext uri="{FF2B5EF4-FFF2-40B4-BE49-F238E27FC236}">
              <a16:creationId xmlns:a16="http://schemas.microsoft.com/office/drawing/2014/main" id="{8004CA63-49DD-4E2E-87F1-1333CCCA23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625083</xdr:colOff>
      <xdr:row>113</xdr:row>
      <xdr:rowOff>0</xdr:rowOff>
    </xdr:from>
    <xdr:to>
      <xdr:col>13</xdr:col>
      <xdr:colOff>955524</xdr:colOff>
      <xdr:row>128</xdr:row>
      <xdr:rowOff>133048</xdr:rowOff>
    </xdr:to>
    <xdr:graphicFrame macro="">
      <xdr:nvGraphicFramePr>
        <xdr:cNvPr id="3" name="Chart 2">
          <a:extLst>
            <a:ext uri="{FF2B5EF4-FFF2-40B4-BE49-F238E27FC236}">
              <a16:creationId xmlns:a16="http://schemas.microsoft.com/office/drawing/2014/main" id="{C559114A-C1A2-487E-AD7F-62A23D281E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625083</xdr:colOff>
      <xdr:row>134</xdr:row>
      <xdr:rowOff>0</xdr:rowOff>
    </xdr:from>
    <xdr:to>
      <xdr:col>13</xdr:col>
      <xdr:colOff>955524</xdr:colOff>
      <xdr:row>149</xdr:row>
      <xdr:rowOff>133048</xdr:rowOff>
    </xdr:to>
    <xdr:graphicFrame macro="">
      <xdr:nvGraphicFramePr>
        <xdr:cNvPr id="4" name="Chart 3">
          <a:extLst>
            <a:ext uri="{FF2B5EF4-FFF2-40B4-BE49-F238E27FC236}">
              <a16:creationId xmlns:a16="http://schemas.microsoft.com/office/drawing/2014/main" id="{6B4DDF63-E4C1-4080-AB2D-4BC4402DBC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628893</xdr:colOff>
      <xdr:row>154</xdr:row>
      <xdr:rowOff>158749</xdr:rowOff>
    </xdr:from>
    <xdr:to>
      <xdr:col>13</xdr:col>
      <xdr:colOff>1016000</xdr:colOff>
      <xdr:row>170</xdr:row>
      <xdr:rowOff>84666</xdr:rowOff>
    </xdr:to>
    <xdr:graphicFrame macro="">
      <xdr:nvGraphicFramePr>
        <xdr:cNvPr id="5" name="Chart 4">
          <a:extLst>
            <a:ext uri="{FF2B5EF4-FFF2-40B4-BE49-F238E27FC236}">
              <a16:creationId xmlns:a16="http://schemas.microsoft.com/office/drawing/2014/main" id="{8AAB9AD8-5562-414A-ACB9-7E60F3AB51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625083</xdr:colOff>
      <xdr:row>4</xdr:row>
      <xdr:rowOff>0</xdr:rowOff>
    </xdr:from>
    <xdr:to>
      <xdr:col>13</xdr:col>
      <xdr:colOff>955524</xdr:colOff>
      <xdr:row>19</xdr:row>
      <xdr:rowOff>133048</xdr:rowOff>
    </xdr:to>
    <xdr:graphicFrame macro="">
      <xdr:nvGraphicFramePr>
        <xdr:cNvPr id="6" name="Chart 5">
          <a:extLst>
            <a:ext uri="{FF2B5EF4-FFF2-40B4-BE49-F238E27FC236}">
              <a16:creationId xmlns:a16="http://schemas.microsoft.com/office/drawing/2014/main" id="{8AD95B54-77D8-45DC-99F7-C3D37DCDA4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625083</xdr:colOff>
      <xdr:row>25</xdr:row>
      <xdr:rowOff>0</xdr:rowOff>
    </xdr:from>
    <xdr:to>
      <xdr:col>13</xdr:col>
      <xdr:colOff>955524</xdr:colOff>
      <xdr:row>40</xdr:row>
      <xdr:rowOff>133048</xdr:rowOff>
    </xdr:to>
    <xdr:graphicFrame macro="">
      <xdr:nvGraphicFramePr>
        <xdr:cNvPr id="7" name="Chart 6">
          <a:extLst>
            <a:ext uri="{FF2B5EF4-FFF2-40B4-BE49-F238E27FC236}">
              <a16:creationId xmlns:a16="http://schemas.microsoft.com/office/drawing/2014/main" id="{33A0573F-82E4-478B-9C9D-A99CB774B0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709218</xdr:colOff>
      <xdr:row>46</xdr:row>
      <xdr:rowOff>141443</xdr:rowOff>
    </xdr:from>
    <xdr:to>
      <xdr:col>13</xdr:col>
      <xdr:colOff>1093548</xdr:colOff>
      <xdr:row>62</xdr:row>
      <xdr:rowOff>152400</xdr:rowOff>
    </xdr:to>
    <xdr:graphicFrame macro="">
      <xdr:nvGraphicFramePr>
        <xdr:cNvPr id="8" name="Chart 7">
          <a:extLst>
            <a:ext uri="{FF2B5EF4-FFF2-40B4-BE49-F238E27FC236}">
              <a16:creationId xmlns:a16="http://schemas.microsoft.com/office/drawing/2014/main" id="{F53597D1-7FA8-4A81-AC68-C883CE92F4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625083</xdr:colOff>
      <xdr:row>68</xdr:row>
      <xdr:rowOff>0</xdr:rowOff>
    </xdr:from>
    <xdr:to>
      <xdr:col>13</xdr:col>
      <xdr:colOff>955524</xdr:colOff>
      <xdr:row>83</xdr:row>
      <xdr:rowOff>133048</xdr:rowOff>
    </xdr:to>
    <xdr:graphicFrame macro="">
      <xdr:nvGraphicFramePr>
        <xdr:cNvPr id="9" name="Chart 8">
          <a:extLst>
            <a:ext uri="{FF2B5EF4-FFF2-40B4-BE49-F238E27FC236}">
              <a16:creationId xmlns:a16="http://schemas.microsoft.com/office/drawing/2014/main" id="{92A5A08A-C393-43F5-A8F2-F95910BDEE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9</xdr:col>
      <xdr:colOff>625083</xdr:colOff>
      <xdr:row>176</xdr:row>
      <xdr:rowOff>0</xdr:rowOff>
    </xdr:from>
    <xdr:to>
      <xdr:col>13</xdr:col>
      <xdr:colOff>955524</xdr:colOff>
      <xdr:row>191</xdr:row>
      <xdr:rowOff>133048</xdr:rowOff>
    </xdr:to>
    <xdr:graphicFrame macro="">
      <xdr:nvGraphicFramePr>
        <xdr:cNvPr id="10" name="Chart 9">
          <a:extLst>
            <a:ext uri="{FF2B5EF4-FFF2-40B4-BE49-F238E27FC236}">
              <a16:creationId xmlns:a16="http://schemas.microsoft.com/office/drawing/2014/main" id="{266B13CC-6846-4DCD-81CD-B6A6478540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xdr:col>
      <xdr:colOff>625083</xdr:colOff>
      <xdr:row>197</xdr:row>
      <xdr:rowOff>0</xdr:rowOff>
    </xdr:from>
    <xdr:to>
      <xdr:col>13</xdr:col>
      <xdr:colOff>955524</xdr:colOff>
      <xdr:row>212</xdr:row>
      <xdr:rowOff>133048</xdr:rowOff>
    </xdr:to>
    <xdr:graphicFrame macro="">
      <xdr:nvGraphicFramePr>
        <xdr:cNvPr id="11" name="Chart 10">
          <a:extLst>
            <a:ext uri="{FF2B5EF4-FFF2-40B4-BE49-F238E27FC236}">
              <a16:creationId xmlns:a16="http://schemas.microsoft.com/office/drawing/2014/main" id="{B9E82383-3077-4451-83C2-C4B088F21D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9</xdr:col>
      <xdr:colOff>625083</xdr:colOff>
      <xdr:row>218</xdr:row>
      <xdr:rowOff>0</xdr:rowOff>
    </xdr:from>
    <xdr:to>
      <xdr:col>13</xdr:col>
      <xdr:colOff>955524</xdr:colOff>
      <xdr:row>233</xdr:row>
      <xdr:rowOff>133048</xdr:rowOff>
    </xdr:to>
    <xdr:graphicFrame macro="">
      <xdr:nvGraphicFramePr>
        <xdr:cNvPr id="12" name="Chart 11">
          <a:extLst>
            <a:ext uri="{FF2B5EF4-FFF2-40B4-BE49-F238E27FC236}">
              <a16:creationId xmlns:a16="http://schemas.microsoft.com/office/drawing/2014/main" id="{496B453F-CECE-45BB-83DD-73BE7FF15B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628893</xdr:colOff>
      <xdr:row>238</xdr:row>
      <xdr:rowOff>158749</xdr:rowOff>
    </xdr:from>
    <xdr:to>
      <xdr:col>13</xdr:col>
      <xdr:colOff>1016000</xdr:colOff>
      <xdr:row>254</xdr:row>
      <xdr:rowOff>84666</xdr:rowOff>
    </xdr:to>
    <xdr:graphicFrame macro="">
      <xdr:nvGraphicFramePr>
        <xdr:cNvPr id="13" name="Chart 12">
          <a:extLst>
            <a:ext uri="{FF2B5EF4-FFF2-40B4-BE49-F238E27FC236}">
              <a16:creationId xmlns:a16="http://schemas.microsoft.com/office/drawing/2014/main" id="{76286724-B76B-450F-A0C9-14A6FC33D1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14</xdr:col>
      <xdr:colOff>808183</xdr:colOff>
      <xdr:row>4</xdr:row>
      <xdr:rowOff>11546</xdr:rowOff>
    </xdr:from>
    <xdr:to>
      <xdr:col>19</xdr:col>
      <xdr:colOff>542637</xdr:colOff>
      <xdr:row>20</xdr:row>
      <xdr:rowOff>59849</xdr:rowOff>
    </xdr:to>
    <xdr:graphicFrame macro="">
      <xdr:nvGraphicFramePr>
        <xdr:cNvPr id="14" name="Chart 13">
          <a:extLst>
            <a:ext uri="{FF2B5EF4-FFF2-40B4-BE49-F238E27FC236}">
              <a16:creationId xmlns:a16="http://schemas.microsoft.com/office/drawing/2014/main" id="{25967248-F076-4A6C-9376-7C6300637A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14</xdr:col>
      <xdr:colOff>819609</xdr:colOff>
      <xdr:row>20</xdr:row>
      <xdr:rowOff>135518</xdr:rowOff>
    </xdr:from>
    <xdr:to>
      <xdr:col>19</xdr:col>
      <xdr:colOff>551162</xdr:colOff>
      <xdr:row>37</xdr:row>
      <xdr:rowOff>39688</xdr:rowOff>
    </xdr:to>
    <xdr:graphicFrame macro="">
      <xdr:nvGraphicFramePr>
        <xdr:cNvPr id="15" name="Chart 14">
          <a:extLst>
            <a:ext uri="{FF2B5EF4-FFF2-40B4-BE49-F238E27FC236}">
              <a16:creationId xmlns:a16="http://schemas.microsoft.com/office/drawing/2014/main" id="{9A955C56-A7B4-4287-9128-F1035AEE87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14</xdr:col>
      <xdr:colOff>779115</xdr:colOff>
      <xdr:row>38</xdr:row>
      <xdr:rowOff>14636</xdr:rowOff>
    </xdr:from>
    <xdr:to>
      <xdr:col>19</xdr:col>
      <xdr:colOff>552939</xdr:colOff>
      <xdr:row>54</xdr:row>
      <xdr:rowOff>133251</xdr:rowOff>
    </xdr:to>
    <xdr:graphicFrame macro="">
      <xdr:nvGraphicFramePr>
        <xdr:cNvPr id="16" name="Chart 15">
          <a:extLst>
            <a:ext uri="{FF2B5EF4-FFF2-40B4-BE49-F238E27FC236}">
              <a16:creationId xmlns:a16="http://schemas.microsoft.com/office/drawing/2014/main" id="{CA9F8AE9-BD84-412E-B76A-D7A6AEE306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9</xdr:col>
      <xdr:colOff>625083</xdr:colOff>
      <xdr:row>92</xdr:row>
      <xdr:rowOff>0</xdr:rowOff>
    </xdr:from>
    <xdr:to>
      <xdr:col>13</xdr:col>
      <xdr:colOff>955524</xdr:colOff>
      <xdr:row>107</xdr:row>
      <xdr:rowOff>133048</xdr:rowOff>
    </xdr:to>
    <xdr:graphicFrame macro="">
      <xdr:nvGraphicFramePr>
        <xdr:cNvPr id="2" name="Chart 1">
          <a:extLst>
            <a:ext uri="{FF2B5EF4-FFF2-40B4-BE49-F238E27FC236}">
              <a16:creationId xmlns:a16="http://schemas.microsoft.com/office/drawing/2014/main" id="{B4906243-CC91-40C7-8F54-8466F0A2C1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625083</xdr:colOff>
      <xdr:row>113</xdr:row>
      <xdr:rowOff>0</xdr:rowOff>
    </xdr:from>
    <xdr:to>
      <xdr:col>13</xdr:col>
      <xdr:colOff>955524</xdr:colOff>
      <xdr:row>128</xdr:row>
      <xdr:rowOff>133048</xdr:rowOff>
    </xdr:to>
    <xdr:graphicFrame macro="">
      <xdr:nvGraphicFramePr>
        <xdr:cNvPr id="3" name="Chart 2">
          <a:extLst>
            <a:ext uri="{FF2B5EF4-FFF2-40B4-BE49-F238E27FC236}">
              <a16:creationId xmlns:a16="http://schemas.microsoft.com/office/drawing/2014/main" id="{F95D04D0-4E3E-4F3C-B3D0-ABBD90D500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625083</xdr:colOff>
      <xdr:row>134</xdr:row>
      <xdr:rowOff>0</xdr:rowOff>
    </xdr:from>
    <xdr:to>
      <xdr:col>13</xdr:col>
      <xdr:colOff>955524</xdr:colOff>
      <xdr:row>149</xdr:row>
      <xdr:rowOff>133048</xdr:rowOff>
    </xdr:to>
    <xdr:graphicFrame macro="">
      <xdr:nvGraphicFramePr>
        <xdr:cNvPr id="4" name="Chart 3">
          <a:extLst>
            <a:ext uri="{FF2B5EF4-FFF2-40B4-BE49-F238E27FC236}">
              <a16:creationId xmlns:a16="http://schemas.microsoft.com/office/drawing/2014/main" id="{6581C3C7-BF1E-4D88-A0CF-345D40034D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628893</xdr:colOff>
      <xdr:row>154</xdr:row>
      <xdr:rowOff>158749</xdr:rowOff>
    </xdr:from>
    <xdr:to>
      <xdr:col>13</xdr:col>
      <xdr:colOff>1016000</xdr:colOff>
      <xdr:row>170</xdr:row>
      <xdr:rowOff>84666</xdr:rowOff>
    </xdr:to>
    <xdr:graphicFrame macro="">
      <xdr:nvGraphicFramePr>
        <xdr:cNvPr id="5" name="Chart 4">
          <a:extLst>
            <a:ext uri="{FF2B5EF4-FFF2-40B4-BE49-F238E27FC236}">
              <a16:creationId xmlns:a16="http://schemas.microsoft.com/office/drawing/2014/main" id="{A2D495F6-97F6-4532-AC22-016471AAE7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625083</xdr:colOff>
      <xdr:row>4</xdr:row>
      <xdr:rowOff>0</xdr:rowOff>
    </xdr:from>
    <xdr:to>
      <xdr:col>13</xdr:col>
      <xdr:colOff>955524</xdr:colOff>
      <xdr:row>19</xdr:row>
      <xdr:rowOff>133048</xdr:rowOff>
    </xdr:to>
    <xdr:graphicFrame macro="">
      <xdr:nvGraphicFramePr>
        <xdr:cNvPr id="6" name="Chart 5">
          <a:extLst>
            <a:ext uri="{FF2B5EF4-FFF2-40B4-BE49-F238E27FC236}">
              <a16:creationId xmlns:a16="http://schemas.microsoft.com/office/drawing/2014/main" id="{5D7DF1EA-A811-4E9F-B610-A3EFCB8C13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625083</xdr:colOff>
      <xdr:row>25</xdr:row>
      <xdr:rowOff>0</xdr:rowOff>
    </xdr:from>
    <xdr:to>
      <xdr:col>13</xdr:col>
      <xdr:colOff>955524</xdr:colOff>
      <xdr:row>40</xdr:row>
      <xdr:rowOff>133048</xdr:rowOff>
    </xdr:to>
    <xdr:graphicFrame macro="">
      <xdr:nvGraphicFramePr>
        <xdr:cNvPr id="7" name="Chart 6">
          <a:extLst>
            <a:ext uri="{FF2B5EF4-FFF2-40B4-BE49-F238E27FC236}">
              <a16:creationId xmlns:a16="http://schemas.microsoft.com/office/drawing/2014/main" id="{29858958-5DDC-4370-957B-38E57A3A7D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709218</xdr:colOff>
      <xdr:row>46</xdr:row>
      <xdr:rowOff>141443</xdr:rowOff>
    </xdr:from>
    <xdr:to>
      <xdr:col>13</xdr:col>
      <xdr:colOff>1093548</xdr:colOff>
      <xdr:row>62</xdr:row>
      <xdr:rowOff>152400</xdr:rowOff>
    </xdr:to>
    <xdr:graphicFrame macro="">
      <xdr:nvGraphicFramePr>
        <xdr:cNvPr id="8" name="Chart 7">
          <a:extLst>
            <a:ext uri="{FF2B5EF4-FFF2-40B4-BE49-F238E27FC236}">
              <a16:creationId xmlns:a16="http://schemas.microsoft.com/office/drawing/2014/main" id="{2F83F999-8E83-44FD-9200-81B41D6B89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625083</xdr:colOff>
      <xdr:row>68</xdr:row>
      <xdr:rowOff>0</xdr:rowOff>
    </xdr:from>
    <xdr:to>
      <xdr:col>13</xdr:col>
      <xdr:colOff>955524</xdr:colOff>
      <xdr:row>83</xdr:row>
      <xdr:rowOff>133048</xdr:rowOff>
    </xdr:to>
    <xdr:graphicFrame macro="">
      <xdr:nvGraphicFramePr>
        <xdr:cNvPr id="9" name="Chart 8">
          <a:extLst>
            <a:ext uri="{FF2B5EF4-FFF2-40B4-BE49-F238E27FC236}">
              <a16:creationId xmlns:a16="http://schemas.microsoft.com/office/drawing/2014/main" id="{067A3444-2728-4439-A611-B5CB7924B2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9</xdr:col>
      <xdr:colOff>625083</xdr:colOff>
      <xdr:row>176</xdr:row>
      <xdr:rowOff>0</xdr:rowOff>
    </xdr:from>
    <xdr:to>
      <xdr:col>13</xdr:col>
      <xdr:colOff>955524</xdr:colOff>
      <xdr:row>191</xdr:row>
      <xdr:rowOff>133048</xdr:rowOff>
    </xdr:to>
    <xdr:graphicFrame macro="">
      <xdr:nvGraphicFramePr>
        <xdr:cNvPr id="10" name="Chart 9">
          <a:extLst>
            <a:ext uri="{FF2B5EF4-FFF2-40B4-BE49-F238E27FC236}">
              <a16:creationId xmlns:a16="http://schemas.microsoft.com/office/drawing/2014/main" id="{F72A4D4F-4DC3-4291-90E0-4F2C3E6097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xdr:col>
      <xdr:colOff>625083</xdr:colOff>
      <xdr:row>197</xdr:row>
      <xdr:rowOff>0</xdr:rowOff>
    </xdr:from>
    <xdr:to>
      <xdr:col>13</xdr:col>
      <xdr:colOff>955524</xdr:colOff>
      <xdr:row>212</xdr:row>
      <xdr:rowOff>133048</xdr:rowOff>
    </xdr:to>
    <xdr:graphicFrame macro="">
      <xdr:nvGraphicFramePr>
        <xdr:cNvPr id="11" name="Chart 10">
          <a:extLst>
            <a:ext uri="{FF2B5EF4-FFF2-40B4-BE49-F238E27FC236}">
              <a16:creationId xmlns:a16="http://schemas.microsoft.com/office/drawing/2014/main" id="{899DF081-E1F5-477D-AA73-662B6F189F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9</xdr:col>
      <xdr:colOff>625083</xdr:colOff>
      <xdr:row>218</xdr:row>
      <xdr:rowOff>0</xdr:rowOff>
    </xdr:from>
    <xdr:to>
      <xdr:col>13</xdr:col>
      <xdr:colOff>955524</xdr:colOff>
      <xdr:row>233</xdr:row>
      <xdr:rowOff>133048</xdr:rowOff>
    </xdr:to>
    <xdr:graphicFrame macro="">
      <xdr:nvGraphicFramePr>
        <xdr:cNvPr id="12" name="Chart 11">
          <a:extLst>
            <a:ext uri="{FF2B5EF4-FFF2-40B4-BE49-F238E27FC236}">
              <a16:creationId xmlns:a16="http://schemas.microsoft.com/office/drawing/2014/main" id="{40B2E674-3229-4559-8123-59FF882FE9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628893</xdr:colOff>
      <xdr:row>238</xdr:row>
      <xdr:rowOff>158749</xdr:rowOff>
    </xdr:from>
    <xdr:to>
      <xdr:col>13</xdr:col>
      <xdr:colOff>1016000</xdr:colOff>
      <xdr:row>254</xdr:row>
      <xdr:rowOff>84666</xdr:rowOff>
    </xdr:to>
    <xdr:graphicFrame macro="">
      <xdr:nvGraphicFramePr>
        <xdr:cNvPr id="13" name="Chart 12">
          <a:extLst>
            <a:ext uri="{FF2B5EF4-FFF2-40B4-BE49-F238E27FC236}">
              <a16:creationId xmlns:a16="http://schemas.microsoft.com/office/drawing/2014/main" id="{DC7F1BC3-9E3F-4347-9105-058087D4D8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14</xdr:col>
      <xdr:colOff>808183</xdr:colOff>
      <xdr:row>4</xdr:row>
      <xdr:rowOff>11546</xdr:rowOff>
    </xdr:from>
    <xdr:to>
      <xdr:col>19</xdr:col>
      <xdr:colOff>542637</xdr:colOff>
      <xdr:row>20</xdr:row>
      <xdr:rowOff>59849</xdr:rowOff>
    </xdr:to>
    <xdr:graphicFrame macro="">
      <xdr:nvGraphicFramePr>
        <xdr:cNvPr id="14" name="Chart 13">
          <a:extLst>
            <a:ext uri="{FF2B5EF4-FFF2-40B4-BE49-F238E27FC236}">
              <a16:creationId xmlns:a16="http://schemas.microsoft.com/office/drawing/2014/main" id="{8DFBF636-E896-4994-BDB4-77E84B7950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14</xdr:col>
      <xdr:colOff>819609</xdr:colOff>
      <xdr:row>20</xdr:row>
      <xdr:rowOff>135518</xdr:rowOff>
    </xdr:from>
    <xdr:to>
      <xdr:col>19</xdr:col>
      <xdr:colOff>551162</xdr:colOff>
      <xdr:row>37</xdr:row>
      <xdr:rowOff>39688</xdr:rowOff>
    </xdr:to>
    <xdr:graphicFrame macro="">
      <xdr:nvGraphicFramePr>
        <xdr:cNvPr id="15" name="Chart 14">
          <a:extLst>
            <a:ext uri="{FF2B5EF4-FFF2-40B4-BE49-F238E27FC236}">
              <a16:creationId xmlns:a16="http://schemas.microsoft.com/office/drawing/2014/main" id="{37AC5396-A705-41F9-8253-324D190071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14</xdr:col>
      <xdr:colOff>779115</xdr:colOff>
      <xdr:row>38</xdr:row>
      <xdr:rowOff>14636</xdr:rowOff>
    </xdr:from>
    <xdr:to>
      <xdr:col>19</xdr:col>
      <xdr:colOff>552939</xdr:colOff>
      <xdr:row>54</xdr:row>
      <xdr:rowOff>133251</xdr:rowOff>
    </xdr:to>
    <xdr:graphicFrame macro="">
      <xdr:nvGraphicFramePr>
        <xdr:cNvPr id="16" name="Chart 15">
          <a:extLst>
            <a:ext uri="{FF2B5EF4-FFF2-40B4-BE49-F238E27FC236}">
              <a16:creationId xmlns:a16="http://schemas.microsoft.com/office/drawing/2014/main" id="{0FC1E574-1059-4653-A97E-C2A0858A37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9</xdr:col>
      <xdr:colOff>625083</xdr:colOff>
      <xdr:row>92</xdr:row>
      <xdr:rowOff>0</xdr:rowOff>
    </xdr:from>
    <xdr:to>
      <xdr:col>13</xdr:col>
      <xdr:colOff>955524</xdr:colOff>
      <xdr:row>107</xdr:row>
      <xdr:rowOff>133048</xdr:rowOff>
    </xdr:to>
    <xdr:graphicFrame macro="">
      <xdr:nvGraphicFramePr>
        <xdr:cNvPr id="2" name="Chart 1">
          <a:extLst>
            <a:ext uri="{FF2B5EF4-FFF2-40B4-BE49-F238E27FC236}">
              <a16:creationId xmlns:a16="http://schemas.microsoft.com/office/drawing/2014/main" id="{ED970F2A-4439-4723-BF2D-C9A640E342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625083</xdr:colOff>
      <xdr:row>113</xdr:row>
      <xdr:rowOff>0</xdr:rowOff>
    </xdr:from>
    <xdr:to>
      <xdr:col>13</xdr:col>
      <xdr:colOff>955524</xdr:colOff>
      <xdr:row>128</xdr:row>
      <xdr:rowOff>133048</xdr:rowOff>
    </xdr:to>
    <xdr:graphicFrame macro="">
      <xdr:nvGraphicFramePr>
        <xdr:cNvPr id="3" name="Chart 2">
          <a:extLst>
            <a:ext uri="{FF2B5EF4-FFF2-40B4-BE49-F238E27FC236}">
              <a16:creationId xmlns:a16="http://schemas.microsoft.com/office/drawing/2014/main" id="{0EF9A005-0BA3-4B30-8DDE-69EBDD25A9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625083</xdr:colOff>
      <xdr:row>134</xdr:row>
      <xdr:rowOff>0</xdr:rowOff>
    </xdr:from>
    <xdr:to>
      <xdr:col>13</xdr:col>
      <xdr:colOff>955524</xdr:colOff>
      <xdr:row>149</xdr:row>
      <xdr:rowOff>133048</xdr:rowOff>
    </xdr:to>
    <xdr:graphicFrame macro="">
      <xdr:nvGraphicFramePr>
        <xdr:cNvPr id="4" name="Chart 3">
          <a:extLst>
            <a:ext uri="{FF2B5EF4-FFF2-40B4-BE49-F238E27FC236}">
              <a16:creationId xmlns:a16="http://schemas.microsoft.com/office/drawing/2014/main" id="{1CCB8877-16B9-49C6-A3F8-7CCC1C3709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628893</xdr:colOff>
      <xdr:row>154</xdr:row>
      <xdr:rowOff>158749</xdr:rowOff>
    </xdr:from>
    <xdr:to>
      <xdr:col>13</xdr:col>
      <xdr:colOff>1016000</xdr:colOff>
      <xdr:row>170</xdr:row>
      <xdr:rowOff>84666</xdr:rowOff>
    </xdr:to>
    <xdr:graphicFrame macro="">
      <xdr:nvGraphicFramePr>
        <xdr:cNvPr id="5" name="Chart 4">
          <a:extLst>
            <a:ext uri="{FF2B5EF4-FFF2-40B4-BE49-F238E27FC236}">
              <a16:creationId xmlns:a16="http://schemas.microsoft.com/office/drawing/2014/main" id="{1E69E23A-E87D-44FC-84B3-B713558FDA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625083</xdr:colOff>
      <xdr:row>4</xdr:row>
      <xdr:rowOff>0</xdr:rowOff>
    </xdr:from>
    <xdr:to>
      <xdr:col>13</xdr:col>
      <xdr:colOff>955524</xdr:colOff>
      <xdr:row>19</xdr:row>
      <xdr:rowOff>133048</xdr:rowOff>
    </xdr:to>
    <xdr:graphicFrame macro="">
      <xdr:nvGraphicFramePr>
        <xdr:cNvPr id="6" name="Chart 5">
          <a:extLst>
            <a:ext uri="{FF2B5EF4-FFF2-40B4-BE49-F238E27FC236}">
              <a16:creationId xmlns:a16="http://schemas.microsoft.com/office/drawing/2014/main" id="{D130D525-B07B-484A-AE03-C228E15C2D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625083</xdr:colOff>
      <xdr:row>25</xdr:row>
      <xdr:rowOff>0</xdr:rowOff>
    </xdr:from>
    <xdr:to>
      <xdr:col>13</xdr:col>
      <xdr:colOff>955524</xdr:colOff>
      <xdr:row>40</xdr:row>
      <xdr:rowOff>133048</xdr:rowOff>
    </xdr:to>
    <xdr:graphicFrame macro="">
      <xdr:nvGraphicFramePr>
        <xdr:cNvPr id="7" name="Chart 6">
          <a:extLst>
            <a:ext uri="{FF2B5EF4-FFF2-40B4-BE49-F238E27FC236}">
              <a16:creationId xmlns:a16="http://schemas.microsoft.com/office/drawing/2014/main" id="{2FB30459-7425-44A2-B3D8-5A4FA15305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709218</xdr:colOff>
      <xdr:row>46</xdr:row>
      <xdr:rowOff>141443</xdr:rowOff>
    </xdr:from>
    <xdr:to>
      <xdr:col>13</xdr:col>
      <xdr:colOff>1093548</xdr:colOff>
      <xdr:row>62</xdr:row>
      <xdr:rowOff>152400</xdr:rowOff>
    </xdr:to>
    <xdr:graphicFrame macro="">
      <xdr:nvGraphicFramePr>
        <xdr:cNvPr id="8" name="Chart 7">
          <a:extLst>
            <a:ext uri="{FF2B5EF4-FFF2-40B4-BE49-F238E27FC236}">
              <a16:creationId xmlns:a16="http://schemas.microsoft.com/office/drawing/2014/main" id="{C6ABACCD-A2A7-4D98-8968-12C3A695F2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625083</xdr:colOff>
      <xdr:row>68</xdr:row>
      <xdr:rowOff>0</xdr:rowOff>
    </xdr:from>
    <xdr:to>
      <xdr:col>13</xdr:col>
      <xdr:colOff>955524</xdr:colOff>
      <xdr:row>83</xdr:row>
      <xdr:rowOff>133048</xdr:rowOff>
    </xdr:to>
    <xdr:graphicFrame macro="">
      <xdr:nvGraphicFramePr>
        <xdr:cNvPr id="9" name="Chart 8">
          <a:extLst>
            <a:ext uri="{FF2B5EF4-FFF2-40B4-BE49-F238E27FC236}">
              <a16:creationId xmlns:a16="http://schemas.microsoft.com/office/drawing/2014/main" id="{7428F58A-C5A7-4369-83AB-45B228B9E2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9</xdr:col>
      <xdr:colOff>625083</xdr:colOff>
      <xdr:row>176</xdr:row>
      <xdr:rowOff>0</xdr:rowOff>
    </xdr:from>
    <xdr:to>
      <xdr:col>13</xdr:col>
      <xdr:colOff>955524</xdr:colOff>
      <xdr:row>191</xdr:row>
      <xdr:rowOff>133048</xdr:rowOff>
    </xdr:to>
    <xdr:graphicFrame macro="">
      <xdr:nvGraphicFramePr>
        <xdr:cNvPr id="10" name="Chart 9">
          <a:extLst>
            <a:ext uri="{FF2B5EF4-FFF2-40B4-BE49-F238E27FC236}">
              <a16:creationId xmlns:a16="http://schemas.microsoft.com/office/drawing/2014/main" id="{655E6477-18D3-400E-A79E-DEA19146AB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xdr:col>
      <xdr:colOff>625083</xdr:colOff>
      <xdr:row>197</xdr:row>
      <xdr:rowOff>0</xdr:rowOff>
    </xdr:from>
    <xdr:to>
      <xdr:col>13</xdr:col>
      <xdr:colOff>955524</xdr:colOff>
      <xdr:row>212</xdr:row>
      <xdr:rowOff>133048</xdr:rowOff>
    </xdr:to>
    <xdr:graphicFrame macro="">
      <xdr:nvGraphicFramePr>
        <xdr:cNvPr id="11" name="Chart 10">
          <a:extLst>
            <a:ext uri="{FF2B5EF4-FFF2-40B4-BE49-F238E27FC236}">
              <a16:creationId xmlns:a16="http://schemas.microsoft.com/office/drawing/2014/main" id="{CEA37A4B-FA28-4C1A-807B-DE1E2BBE6F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9</xdr:col>
      <xdr:colOff>625083</xdr:colOff>
      <xdr:row>218</xdr:row>
      <xdr:rowOff>0</xdr:rowOff>
    </xdr:from>
    <xdr:to>
      <xdr:col>13</xdr:col>
      <xdr:colOff>955524</xdr:colOff>
      <xdr:row>233</xdr:row>
      <xdr:rowOff>133048</xdr:rowOff>
    </xdr:to>
    <xdr:graphicFrame macro="">
      <xdr:nvGraphicFramePr>
        <xdr:cNvPr id="12" name="Chart 11">
          <a:extLst>
            <a:ext uri="{FF2B5EF4-FFF2-40B4-BE49-F238E27FC236}">
              <a16:creationId xmlns:a16="http://schemas.microsoft.com/office/drawing/2014/main" id="{8FA04394-EDE0-4D6C-A222-771DDAC2DC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628893</xdr:colOff>
      <xdr:row>238</xdr:row>
      <xdr:rowOff>158749</xdr:rowOff>
    </xdr:from>
    <xdr:to>
      <xdr:col>13</xdr:col>
      <xdr:colOff>1016000</xdr:colOff>
      <xdr:row>254</xdr:row>
      <xdr:rowOff>84666</xdr:rowOff>
    </xdr:to>
    <xdr:graphicFrame macro="">
      <xdr:nvGraphicFramePr>
        <xdr:cNvPr id="13" name="Chart 12">
          <a:extLst>
            <a:ext uri="{FF2B5EF4-FFF2-40B4-BE49-F238E27FC236}">
              <a16:creationId xmlns:a16="http://schemas.microsoft.com/office/drawing/2014/main" id="{F5F21705-F084-41EE-BEEA-5B45B1EF34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14</xdr:col>
      <xdr:colOff>808183</xdr:colOff>
      <xdr:row>4</xdr:row>
      <xdr:rowOff>11546</xdr:rowOff>
    </xdr:from>
    <xdr:to>
      <xdr:col>19</xdr:col>
      <xdr:colOff>542637</xdr:colOff>
      <xdr:row>20</xdr:row>
      <xdr:rowOff>59849</xdr:rowOff>
    </xdr:to>
    <xdr:graphicFrame macro="">
      <xdr:nvGraphicFramePr>
        <xdr:cNvPr id="14" name="Chart 13">
          <a:extLst>
            <a:ext uri="{FF2B5EF4-FFF2-40B4-BE49-F238E27FC236}">
              <a16:creationId xmlns:a16="http://schemas.microsoft.com/office/drawing/2014/main" id="{D00A64F4-EAF0-4B59-979B-3489FB6D4E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14</xdr:col>
      <xdr:colOff>819609</xdr:colOff>
      <xdr:row>20</xdr:row>
      <xdr:rowOff>135518</xdr:rowOff>
    </xdr:from>
    <xdr:to>
      <xdr:col>19</xdr:col>
      <xdr:colOff>551162</xdr:colOff>
      <xdr:row>37</xdr:row>
      <xdr:rowOff>39688</xdr:rowOff>
    </xdr:to>
    <xdr:graphicFrame macro="">
      <xdr:nvGraphicFramePr>
        <xdr:cNvPr id="15" name="Chart 14">
          <a:extLst>
            <a:ext uri="{FF2B5EF4-FFF2-40B4-BE49-F238E27FC236}">
              <a16:creationId xmlns:a16="http://schemas.microsoft.com/office/drawing/2014/main" id="{41D6FF50-B15F-4E87-897C-23EA6F47C8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14</xdr:col>
      <xdr:colOff>779115</xdr:colOff>
      <xdr:row>38</xdr:row>
      <xdr:rowOff>14636</xdr:rowOff>
    </xdr:from>
    <xdr:to>
      <xdr:col>19</xdr:col>
      <xdr:colOff>552939</xdr:colOff>
      <xdr:row>54</xdr:row>
      <xdr:rowOff>133251</xdr:rowOff>
    </xdr:to>
    <xdr:graphicFrame macro="">
      <xdr:nvGraphicFramePr>
        <xdr:cNvPr id="16" name="Chart 15">
          <a:extLst>
            <a:ext uri="{FF2B5EF4-FFF2-40B4-BE49-F238E27FC236}">
              <a16:creationId xmlns:a16="http://schemas.microsoft.com/office/drawing/2014/main" id="{13B1DE10-9748-47F1-A88D-2B362A9FDE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9</xdr:col>
      <xdr:colOff>625083</xdr:colOff>
      <xdr:row>92</xdr:row>
      <xdr:rowOff>0</xdr:rowOff>
    </xdr:from>
    <xdr:to>
      <xdr:col>13</xdr:col>
      <xdr:colOff>955524</xdr:colOff>
      <xdr:row>107</xdr:row>
      <xdr:rowOff>133048</xdr:rowOff>
    </xdr:to>
    <xdr:graphicFrame macro="">
      <xdr:nvGraphicFramePr>
        <xdr:cNvPr id="2" name="Chart 1">
          <a:extLst>
            <a:ext uri="{FF2B5EF4-FFF2-40B4-BE49-F238E27FC236}">
              <a16:creationId xmlns:a16="http://schemas.microsoft.com/office/drawing/2014/main" id="{EA1FD5AB-E593-453D-8B3D-DD1B46AA9F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625083</xdr:colOff>
      <xdr:row>113</xdr:row>
      <xdr:rowOff>0</xdr:rowOff>
    </xdr:from>
    <xdr:to>
      <xdr:col>13</xdr:col>
      <xdr:colOff>955524</xdr:colOff>
      <xdr:row>128</xdr:row>
      <xdr:rowOff>133048</xdr:rowOff>
    </xdr:to>
    <xdr:graphicFrame macro="">
      <xdr:nvGraphicFramePr>
        <xdr:cNvPr id="3" name="Chart 2">
          <a:extLst>
            <a:ext uri="{FF2B5EF4-FFF2-40B4-BE49-F238E27FC236}">
              <a16:creationId xmlns:a16="http://schemas.microsoft.com/office/drawing/2014/main" id="{E575E909-D559-484D-9BD5-70EA568A55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625083</xdr:colOff>
      <xdr:row>134</xdr:row>
      <xdr:rowOff>0</xdr:rowOff>
    </xdr:from>
    <xdr:to>
      <xdr:col>13</xdr:col>
      <xdr:colOff>955524</xdr:colOff>
      <xdr:row>149</xdr:row>
      <xdr:rowOff>133048</xdr:rowOff>
    </xdr:to>
    <xdr:graphicFrame macro="">
      <xdr:nvGraphicFramePr>
        <xdr:cNvPr id="4" name="Chart 3">
          <a:extLst>
            <a:ext uri="{FF2B5EF4-FFF2-40B4-BE49-F238E27FC236}">
              <a16:creationId xmlns:a16="http://schemas.microsoft.com/office/drawing/2014/main" id="{0A066EA0-10A1-4BB1-B2CC-7CDEC2D79E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628893</xdr:colOff>
      <xdr:row>154</xdr:row>
      <xdr:rowOff>158749</xdr:rowOff>
    </xdr:from>
    <xdr:to>
      <xdr:col>13</xdr:col>
      <xdr:colOff>1016000</xdr:colOff>
      <xdr:row>170</xdr:row>
      <xdr:rowOff>84666</xdr:rowOff>
    </xdr:to>
    <xdr:graphicFrame macro="">
      <xdr:nvGraphicFramePr>
        <xdr:cNvPr id="5" name="Chart 4">
          <a:extLst>
            <a:ext uri="{FF2B5EF4-FFF2-40B4-BE49-F238E27FC236}">
              <a16:creationId xmlns:a16="http://schemas.microsoft.com/office/drawing/2014/main" id="{0337BE4A-F074-4BBC-9C70-2E3EDE4D21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625083</xdr:colOff>
      <xdr:row>4</xdr:row>
      <xdr:rowOff>0</xdr:rowOff>
    </xdr:from>
    <xdr:to>
      <xdr:col>13</xdr:col>
      <xdr:colOff>955524</xdr:colOff>
      <xdr:row>19</xdr:row>
      <xdr:rowOff>133048</xdr:rowOff>
    </xdr:to>
    <xdr:graphicFrame macro="">
      <xdr:nvGraphicFramePr>
        <xdr:cNvPr id="6" name="Chart 5">
          <a:extLst>
            <a:ext uri="{FF2B5EF4-FFF2-40B4-BE49-F238E27FC236}">
              <a16:creationId xmlns:a16="http://schemas.microsoft.com/office/drawing/2014/main" id="{5B951677-6CC5-4130-8611-14A3D0BBB7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625083</xdr:colOff>
      <xdr:row>25</xdr:row>
      <xdr:rowOff>0</xdr:rowOff>
    </xdr:from>
    <xdr:to>
      <xdr:col>13</xdr:col>
      <xdr:colOff>955524</xdr:colOff>
      <xdr:row>40</xdr:row>
      <xdr:rowOff>133048</xdr:rowOff>
    </xdr:to>
    <xdr:graphicFrame macro="">
      <xdr:nvGraphicFramePr>
        <xdr:cNvPr id="7" name="Chart 6">
          <a:extLst>
            <a:ext uri="{FF2B5EF4-FFF2-40B4-BE49-F238E27FC236}">
              <a16:creationId xmlns:a16="http://schemas.microsoft.com/office/drawing/2014/main" id="{37E85857-76B7-4A4D-AF19-969A76CDAC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709218</xdr:colOff>
      <xdr:row>46</xdr:row>
      <xdr:rowOff>141443</xdr:rowOff>
    </xdr:from>
    <xdr:to>
      <xdr:col>13</xdr:col>
      <xdr:colOff>1093548</xdr:colOff>
      <xdr:row>62</xdr:row>
      <xdr:rowOff>152400</xdr:rowOff>
    </xdr:to>
    <xdr:graphicFrame macro="">
      <xdr:nvGraphicFramePr>
        <xdr:cNvPr id="8" name="Chart 7">
          <a:extLst>
            <a:ext uri="{FF2B5EF4-FFF2-40B4-BE49-F238E27FC236}">
              <a16:creationId xmlns:a16="http://schemas.microsoft.com/office/drawing/2014/main" id="{80A8EB56-408B-4DEB-9F5F-8C70678399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625083</xdr:colOff>
      <xdr:row>68</xdr:row>
      <xdr:rowOff>0</xdr:rowOff>
    </xdr:from>
    <xdr:to>
      <xdr:col>13</xdr:col>
      <xdr:colOff>955524</xdr:colOff>
      <xdr:row>83</xdr:row>
      <xdr:rowOff>133048</xdr:rowOff>
    </xdr:to>
    <xdr:graphicFrame macro="">
      <xdr:nvGraphicFramePr>
        <xdr:cNvPr id="9" name="Chart 8">
          <a:extLst>
            <a:ext uri="{FF2B5EF4-FFF2-40B4-BE49-F238E27FC236}">
              <a16:creationId xmlns:a16="http://schemas.microsoft.com/office/drawing/2014/main" id="{3E14A932-622F-4DE4-AB57-A050D552F8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9</xdr:col>
      <xdr:colOff>625083</xdr:colOff>
      <xdr:row>176</xdr:row>
      <xdr:rowOff>0</xdr:rowOff>
    </xdr:from>
    <xdr:to>
      <xdr:col>13</xdr:col>
      <xdr:colOff>955524</xdr:colOff>
      <xdr:row>191</xdr:row>
      <xdr:rowOff>133048</xdr:rowOff>
    </xdr:to>
    <xdr:graphicFrame macro="">
      <xdr:nvGraphicFramePr>
        <xdr:cNvPr id="10" name="Chart 9">
          <a:extLst>
            <a:ext uri="{FF2B5EF4-FFF2-40B4-BE49-F238E27FC236}">
              <a16:creationId xmlns:a16="http://schemas.microsoft.com/office/drawing/2014/main" id="{98E83609-49E5-4C0E-BAC3-EEEBF735E8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xdr:col>
      <xdr:colOff>625083</xdr:colOff>
      <xdr:row>197</xdr:row>
      <xdr:rowOff>0</xdr:rowOff>
    </xdr:from>
    <xdr:to>
      <xdr:col>13</xdr:col>
      <xdr:colOff>955524</xdr:colOff>
      <xdr:row>212</xdr:row>
      <xdr:rowOff>133048</xdr:rowOff>
    </xdr:to>
    <xdr:graphicFrame macro="">
      <xdr:nvGraphicFramePr>
        <xdr:cNvPr id="11" name="Chart 10">
          <a:extLst>
            <a:ext uri="{FF2B5EF4-FFF2-40B4-BE49-F238E27FC236}">
              <a16:creationId xmlns:a16="http://schemas.microsoft.com/office/drawing/2014/main" id="{F88EC9BD-B866-403E-84E8-718BB2F84D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9</xdr:col>
      <xdr:colOff>625083</xdr:colOff>
      <xdr:row>218</xdr:row>
      <xdr:rowOff>0</xdr:rowOff>
    </xdr:from>
    <xdr:to>
      <xdr:col>13</xdr:col>
      <xdr:colOff>955524</xdr:colOff>
      <xdr:row>233</xdr:row>
      <xdr:rowOff>133048</xdr:rowOff>
    </xdr:to>
    <xdr:graphicFrame macro="">
      <xdr:nvGraphicFramePr>
        <xdr:cNvPr id="12" name="Chart 11">
          <a:extLst>
            <a:ext uri="{FF2B5EF4-FFF2-40B4-BE49-F238E27FC236}">
              <a16:creationId xmlns:a16="http://schemas.microsoft.com/office/drawing/2014/main" id="{2EF38F78-82DE-4841-A0A7-DE6CD8C955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628893</xdr:colOff>
      <xdr:row>238</xdr:row>
      <xdr:rowOff>158749</xdr:rowOff>
    </xdr:from>
    <xdr:to>
      <xdr:col>13</xdr:col>
      <xdr:colOff>1016000</xdr:colOff>
      <xdr:row>254</xdr:row>
      <xdr:rowOff>84666</xdr:rowOff>
    </xdr:to>
    <xdr:graphicFrame macro="">
      <xdr:nvGraphicFramePr>
        <xdr:cNvPr id="13" name="Chart 12">
          <a:extLst>
            <a:ext uri="{FF2B5EF4-FFF2-40B4-BE49-F238E27FC236}">
              <a16:creationId xmlns:a16="http://schemas.microsoft.com/office/drawing/2014/main" id="{499C5FD0-A74F-47C2-8C8C-A3EAB9F758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14</xdr:col>
      <xdr:colOff>808183</xdr:colOff>
      <xdr:row>4</xdr:row>
      <xdr:rowOff>11546</xdr:rowOff>
    </xdr:from>
    <xdr:to>
      <xdr:col>19</xdr:col>
      <xdr:colOff>542637</xdr:colOff>
      <xdr:row>20</xdr:row>
      <xdr:rowOff>59849</xdr:rowOff>
    </xdr:to>
    <xdr:graphicFrame macro="">
      <xdr:nvGraphicFramePr>
        <xdr:cNvPr id="14" name="Chart 13">
          <a:extLst>
            <a:ext uri="{FF2B5EF4-FFF2-40B4-BE49-F238E27FC236}">
              <a16:creationId xmlns:a16="http://schemas.microsoft.com/office/drawing/2014/main" id="{23B2EE99-D5B8-40AF-BFDE-63A77A0483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14</xdr:col>
      <xdr:colOff>819609</xdr:colOff>
      <xdr:row>20</xdr:row>
      <xdr:rowOff>135518</xdr:rowOff>
    </xdr:from>
    <xdr:to>
      <xdr:col>19</xdr:col>
      <xdr:colOff>551162</xdr:colOff>
      <xdr:row>37</xdr:row>
      <xdr:rowOff>39688</xdr:rowOff>
    </xdr:to>
    <xdr:graphicFrame macro="">
      <xdr:nvGraphicFramePr>
        <xdr:cNvPr id="15" name="Chart 14">
          <a:extLst>
            <a:ext uri="{FF2B5EF4-FFF2-40B4-BE49-F238E27FC236}">
              <a16:creationId xmlns:a16="http://schemas.microsoft.com/office/drawing/2014/main" id="{51B09C74-96E5-4DFD-ADC9-B62A2BB6A5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14</xdr:col>
      <xdr:colOff>779115</xdr:colOff>
      <xdr:row>38</xdr:row>
      <xdr:rowOff>14636</xdr:rowOff>
    </xdr:from>
    <xdr:to>
      <xdr:col>19</xdr:col>
      <xdr:colOff>552939</xdr:colOff>
      <xdr:row>54</xdr:row>
      <xdr:rowOff>133251</xdr:rowOff>
    </xdr:to>
    <xdr:graphicFrame macro="">
      <xdr:nvGraphicFramePr>
        <xdr:cNvPr id="16" name="Chart 15">
          <a:extLst>
            <a:ext uri="{FF2B5EF4-FFF2-40B4-BE49-F238E27FC236}">
              <a16:creationId xmlns:a16="http://schemas.microsoft.com/office/drawing/2014/main" id="{2FBD452B-0542-4381-B42E-C0D19571F7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9</xdr:col>
      <xdr:colOff>625083</xdr:colOff>
      <xdr:row>92</xdr:row>
      <xdr:rowOff>0</xdr:rowOff>
    </xdr:from>
    <xdr:to>
      <xdr:col>13</xdr:col>
      <xdr:colOff>955524</xdr:colOff>
      <xdr:row>107</xdr:row>
      <xdr:rowOff>133048</xdr:rowOff>
    </xdr:to>
    <xdr:graphicFrame macro="">
      <xdr:nvGraphicFramePr>
        <xdr:cNvPr id="2" name="Chart 1">
          <a:extLst>
            <a:ext uri="{FF2B5EF4-FFF2-40B4-BE49-F238E27FC236}">
              <a16:creationId xmlns:a16="http://schemas.microsoft.com/office/drawing/2014/main" id="{B7723B82-763F-4305-97A9-95D711388A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625083</xdr:colOff>
      <xdr:row>113</xdr:row>
      <xdr:rowOff>0</xdr:rowOff>
    </xdr:from>
    <xdr:to>
      <xdr:col>13</xdr:col>
      <xdr:colOff>955524</xdr:colOff>
      <xdr:row>128</xdr:row>
      <xdr:rowOff>133048</xdr:rowOff>
    </xdr:to>
    <xdr:graphicFrame macro="">
      <xdr:nvGraphicFramePr>
        <xdr:cNvPr id="3" name="Chart 2">
          <a:extLst>
            <a:ext uri="{FF2B5EF4-FFF2-40B4-BE49-F238E27FC236}">
              <a16:creationId xmlns:a16="http://schemas.microsoft.com/office/drawing/2014/main" id="{4FEB274E-3B84-4C81-9D10-61C7C8C7EF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625083</xdr:colOff>
      <xdr:row>134</xdr:row>
      <xdr:rowOff>0</xdr:rowOff>
    </xdr:from>
    <xdr:to>
      <xdr:col>13</xdr:col>
      <xdr:colOff>955524</xdr:colOff>
      <xdr:row>149</xdr:row>
      <xdr:rowOff>133048</xdr:rowOff>
    </xdr:to>
    <xdr:graphicFrame macro="">
      <xdr:nvGraphicFramePr>
        <xdr:cNvPr id="4" name="Chart 3">
          <a:extLst>
            <a:ext uri="{FF2B5EF4-FFF2-40B4-BE49-F238E27FC236}">
              <a16:creationId xmlns:a16="http://schemas.microsoft.com/office/drawing/2014/main" id="{9F5665C2-BF3B-4B33-BDC1-DC2066B19C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628893</xdr:colOff>
      <xdr:row>154</xdr:row>
      <xdr:rowOff>158749</xdr:rowOff>
    </xdr:from>
    <xdr:to>
      <xdr:col>13</xdr:col>
      <xdr:colOff>1016000</xdr:colOff>
      <xdr:row>170</xdr:row>
      <xdr:rowOff>84666</xdr:rowOff>
    </xdr:to>
    <xdr:graphicFrame macro="">
      <xdr:nvGraphicFramePr>
        <xdr:cNvPr id="5" name="Chart 4">
          <a:extLst>
            <a:ext uri="{FF2B5EF4-FFF2-40B4-BE49-F238E27FC236}">
              <a16:creationId xmlns:a16="http://schemas.microsoft.com/office/drawing/2014/main" id="{9CBD442B-F67D-4E39-99BE-F50EF2454B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625083</xdr:colOff>
      <xdr:row>4</xdr:row>
      <xdr:rowOff>0</xdr:rowOff>
    </xdr:from>
    <xdr:to>
      <xdr:col>13</xdr:col>
      <xdr:colOff>955524</xdr:colOff>
      <xdr:row>19</xdr:row>
      <xdr:rowOff>133048</xdr:rowOff>
    </xdr:to>
    <xdr:graphicFrame macro="">
      <xdr:nvGraphicFramePr>
        <xdr:cNvPr id="6" name="Chart 5">
          <a:extLst>
            <a:ext uri="{FF2B5EF4-FFF2-40B4-BE49-F238E27FC236}">
              <a16:creationId xmlns:a16="http://schemas.microsoft.com/office/drawing/2014/main" id="{53B3D784-B0DF-41EB-BB6F-5DA0634825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625083</xdr:colOff>
      <xdr:row>25</xdr:row>
      <xdr:rowOff>0</xdr:rowOff>
    </xdr:from>
    <xdr:to>
      <xdr:col>13</xdr:col>
      <xdr:colOff>955524</xdr:colOff>
      <xdr:row>40</xdr:row>
      <xdr:rowOff>133048</xdr:rowOff>
    </xdr:to>
    <xdr:graphicFrame macro="">
      <xdr:nvGraphicFramePr>
        <xdr:cNvPr id="7" name="Chart 6">
          <a:extLst>
            <a:ext uri="{FF2B5EF4-FFF2-40B4-BE49-F238E27FC236}">
              <a16:creationId xmlns:a16="http://schemas.microsoft.com/office/drawing/2014/main" id="{1F5D5116-1A9B-41E8-8F2F-20C60532BC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709218</xdr:colOff>
      <xdr:row>46</xdr:row>
      <xdr:rowOff>141443</xdr:rowOff>
    </xdr:from>
    <xdr:to>
      <xdr:col>13</xdr:col>
      <xdr:colOff>1093548</xdr:colOff>
      <xdr:row>62</xdr:row>
      <xdr:rowOff>152400</xdr:rowOff>
    </xdr:to>
    <xdr:graphicFrame macro="">
      <xdr:nvGraphicFramePr>
        <xdr:cNvPr id="8" name="Chart 7">
          <a:extLst>
            <a:ext uri="{FF2B5EF4-FFF2-40B4-BE49-F238E27FC236}">
              <a16:creationId xmlns:a16="http://schemas.microsoft.com/office/drawing/2014/main" id="{7F44C6B4-6A9D-4951-BE22-F83C36DF7C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625083</xdr:colOff>
      <xdr:row>68</xdr:row>
      <xdr:rowOff>0</xdr:rowOff>
    </xdr:from>
    <xdr:to>
      <xdr:col>13</xdr:col>
      <xdr:colOff>955524</xdr:colOff>
      <xdr:row>83</xdr:row>
      <xdr:rowOff>133048</xdr:rowOff>
    </xdr:to>
    <xdr:graphicFrame macro="">
      <xdr:nvGraphicFramePr>
        <xdr:cNvPr id="9" name="Chart 8">
          <a:extLst>
            <a:ext uri="{FF2B5EF4-FFF2-40B4-BE49-F238E27FC236}">
              <a16:creationId xmlns:a16="http://schemas.microsoft.com/office/drawing/2014/main" id="{63705D50-A4E6-4DE5-98B2-FE6998808F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9</xdr:col>
      <xdr:colOff>625083</xdr:colOff>
      <xdr:row>176</xdr:row>
      <xdr:rowOff>0</xdr:rowOff>
    </xdr:from>
    <xdr:to>
      <xdr:col>13</xdr:col>
      <xdr:colOff>955524</xdr:colOff>
      <xdr:row>191</xdr:row>
      <xdr:rowOff>133048</xdr:rowOff>
    </xdr:to>
    <xdr:graphicFrame macro="">
      <xdr:nvGraphicFramePr>
        <xdr:cNvPr id="10" name="Chart 9">
          <a:extLst>
            <a:ext uri="{FF2B5EF4-FFF2-40B4-BE49-F238E27FC236}">
              <a16:creationId xmlns:a16="http://schemas.microsoft.com/office/drawing/2014/main" id="{CA2AF33C-2FD5-445B-9FB2-E87CC8339B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xdr:col>
      <xdr:colOff>625083</xdr:colOff>
      <xdr:row>197</xdr:row>
      <xdr:rowOff>0</xdr:rowOff>
    </xdr:from>
    <xdr:to>
      <xdr:col>13</xdr:col>
      <xdr:colOff>955524</xdr:colOff>
      <xdr:row>212</xdr:row>
      <xdr:rowOff>133048</xdr:rowOff>
    </xdr:to>
    <xdr:graphicFrame macro="">
      <xdr:nvGraphicFramePr>
        <xdr:cNvPr id="11" name="Chart 10">
          <a:extLst>
            <a:ext uri="{FF2B5EF4-FFF2-40B4-BE49-F238E27FC236}">
              <a16:creationId xmlns:a16="http://schemas.microsoft.com/office/drawing/2014/main" id="{FC1A5B16-BF0C-4303-85DA-197EE11A56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9</xdr:col>
      <xdr:colOff>625083</xdr:colOff>
      <xdr:row>218</xdr:row>
      <xdr:rowOff>0</xdr:rowOff>
    </xdr:from>
    <xdr:to>
      <xdr:col>13</xdr:col>
      <xdr:colOff>955524</xdr:colOff>
      <xdr:row>233</xdr:row>
      <xdr:rowOff>133048</xdr:rowOff>
    </xdr:to>
    <xdr:graphicFrame macro="">
      <xdr:nvGraphicFramePr>
        <xdr:cNvPr id="12" name="Chart 11">
          <a:extLst>
            <a:ext uri="{FF2B5EF4-FFF2-40B4-BE49-F238E27FC236}">
              <a16:creationId xmlns:a16="http://schemas.microsoft.com/office/drawing/2014/main" id="{07DC2312-4C05-40AC-B6C4-9377B0AEB6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628893</xdr:colOff>
      <xdr:row>238</xdr:row>
      <xdr:rowOff>158749</xdr:rowOff>
    </xdr:from>
    <xdr:to>
      <xdr:col>13</xdr:col>
      <xdr:colOff>1016000</xdr:colOff>
      <xdr:row>254</xdr:row>
      <xdr:rowOff>84666</xdr:rowOff>
    </xdr:to>
    <xdr:graphicFrame macro="">
      <xdr:nvGraphicFramePr>
        <xdr:cNvPr id="13" name="Chart 12">
          <a:extLst>
            <a:ext uri="{FF2B5EF4-FFF2-40B4-BE49-F238E27FC236}">
              <a16:creationId xmlns:a16="http://schemas.microsoft.com/office/drawing/2014/main" id="{907DE9E5-C7F1-4181-A4D0-4AF4FD108C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14</xdr:col>
      <xdr:colOff>808183</xdr:colOff>
      <xdr:row>4</xdr:row>
      <xdr:rowOff>11546</xdr:rowOff>
    </xdr:from>
    <xdr:to>
      <xdr:col>19</xdr:col>
      <xdr:colOff>542637</xdr:colOff>
      <xdr:row>20</xdr:row>
      <xdr:rowOff>59849</xdr:rowOff>
    </xdr:to>
    <xdr:graphicFrame macro="">
      <xdr:nvGraphicFramePr>
        <xdr:cNvPr id="14" name="Chart 13">
          <a:extLst>
            <a:ext uri="{FF2B5EF4-FFF2-40B4-BE49-F238E27FC236}">
              <a16:creationId xmlns:a16="http://schemas.microsoft.com/office/drawing/2014/main" id="{2267634E-51A0-428D-965E-16BFBE20AC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14</xdr:col>
      <xdr:colOff>819609</xdr:colOff>
      <xdr:row>20</xdr:row>
      <xdr:rowOff>135518</xdr:rowOff>
    </xdr:from>
    <xdr:to>
      <xdr:col>19</xdr:col>
      <xdr:colOff>551162</xdr:colOff>
      <xdr:row>37</xdr:row>
      <xdr:rowOff>39688</xdr:rowOff>
    </xdr:to>
    <xdr:graphicFrame macro="">
      <xdr:nvGraphicFramePr>
        <xdr:cNvPr id="15" name="Chart 14">
          <a:extLst>
            <a:ext uri="{FF2B5EF4-FFF2-40B4-BE49-F238E27FC236}">
              <a16:creationId xmlns:a16="http://schemas.microsoft.com/office/drawing/2014/main" id="{06E2C692-D1AB-457E-A5FC-B06E46C023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14</xdr:col>
      <xdr:colOff>779115</xdr:colOff>
      <xdr:row>38</xdr:row>
      <xdr:rowOff>14636</xdr:rowOff>
    </xdr:from>
    <xdr:to>
      <xdr:col>19</xdr:col>
      <xdr:colOff>552939</xdr:colOff>
      <xdr:row>54</xdr:row>
      <xdr:rowOff>133251</xdr:rowOff>
    </xdr:to>
    <xdr:graphicFrame macro="">
      <xdr:nvGraphicFramePr>
        <xdr:cNvPr id="16" name="Chart 15">
          <a:extLst>
            <a:ext uri="{FF2B5EF4-FFF2-40B4-BE49-F238E27FC236}">
              <a16:creationId xmlns:a16="http://schemas.microsoft.com/office/drawing/2014/main" id="{EBE52BF9-68ED-4338-BBAB-753FC3334C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9</xdr:col>
      <xdr:colOff>625083</xdr:colOff>
      <xdr:row>92</xdr:row>
      <xdr:rowOff>0</xdr:rowOff>
    </xdr:from>
    <xdr:to>
      <xdr:col>13</xdr:col>
      <xdr:colOff>955524</xdr:colOff>
      <xdr:row>107</xdr:row>
      <xdr:rowOff>133048</xdr:rowOff>
    </xdr:to>
    <xdr:graphicFrame macro="">
      <xdr:nvGraphicFramePr>
        <xdr:cNvPr id="2" name="Chart 1">
          <a:extLst>
            <a:ext uri="{FF2B5EF4-FFF2-40B4-BE49-F238E27FC236}">
              <a16:creationId xmlns:a16="http://schemas.microsoft.com/office/drawing/2014/main" id="{2C01979B-F3AC-43E1-8496-753B730379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625083</xdr:colOff>
      <xdr:row>113</xdr:row>
      <xdr:rowOff>0</xdr:rowOff>
    </xdr:from>
    <xdr:to>
      <xdr:col>13</xdr:col>
      <xdr:colOff>955524</xdr:colOff>
      <xdr:row>128</xdr:row>
      <xdr:rowOff>133048</xdr:rowOff>
    </xdr:to>
    <xdr:graphicFrame macro="">
      <xdr:nvGraphicFramePr>
        <xdr:cNvPr id="3" name="Chart 2">
          <a:extLst>
            <a:ext uri="{FF2B5EF4-FFF2-40B4-BE49-F238E27FC236}">
              <a16:creationId xmlns:a16="http://schemas.microsoft.com/office/drawing/2014/main" id="{E76EF99F-A0A0-4C74-AC0C-FE5573F8A0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625083</xdr:colOff>
      <xdr:row>134</xdr:row>
      <xdr:rowOff>0</xdr:rowOff>
    </xdr:from>
    <xdr:to>
      <xdr:col>13</xdr:col>
      <xdr:colOff>955524</xdr:colOff>
      <xdr:row>149</xdr:row>
      <xdr:rowOff>133048</xdr:rowOff>
    </xdr:to>
    <xdr:graphicFrame macro="">
      <xdr:nvGraphicFramePr>
        <xdr:cNvPr id="4" name="Chart 3">
          <a:extLst>
            <a:ext uri="{FF2B5EF4-FFF2-40B4-BE49-F238E27FC236}">
              <a16:creationId xmlns:a16="http://schemas.microsoft.com/office/drawing/2014/main" id="{DA5D536D-C85A-4B02-8D4D-239AE66156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628893</xdr:colOff>
      <xdr:row>154</xdr:row>
      <xdr:rowOff>158749</xdr:rowOff>
    </xdr:from>
    <xdr:to>
      <xdr:col>13</xdr:col>
      <xdr:colOff>1016000</xdr:colOff>
      <xdr:row>170</xdr:row>
      <xdr:rowOff>84666</xdr:rowOff>
    </xdr:to>
    <xdr:graphicFrame macro="">
      <xdr:nvGraphicFramePr>
        <xdr:cNvPr id="5" name="Chart 4">
          <a:extLst>
            <a:ext uri="{FF2B5EF4-FFF2-40B4-BE49-F238E27FC236}">
              <a16:creationId xmlns:a16="http://schemas.microsoft.com/office/drawing/2014/main" id="{D6847244-2427-4E95-A2AF-82745103F2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625083</xdr:colOff>
      <xdr:row>4</xdr:row>
      <xdr:rowOff>0</xdr:rowOff>
    </xdr:from>
    <xdr:to>
      <xdr:col>13</xdr:col>
      <xdr:colOff>955524</xdr:colOff>
      <xdr:row>19</xdr:row>
      <xdr:rowOff>133048</xdr:rowOff>
    </xdr:to>
    <xdr:graphicFrame macro="">
      <xdr:nvGraphicFramePr>
        <xdr:cNvPr id="6" name="Chart 5">
          <a:extLst>
            <a:ext uri="{FF2B5EF4-FFF2-40B4-BE49-F238E27FC236}">
              <a16:creationId xmlns:a16="http://schemas.microsoft.com/office/drawing/2014/main" id="{68CB37DF-44D9-4B7B-A6ED-BBD972B457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625083</xdr:colOff>
      <xdr:row>25</xdr:row>
      <xdr:rowOff>0</xdr:rowOff>
    </xdr:from>
    <xdr:to>
      <xdr:col>13</xdr:col>
      <xdr:colOff>955524</xdr:colOff>
      <xdr:row>40</xdr:row>
      <xdr:rowOff>133048</xdr:rowOff>
    </xdr:to>
    <xdr:graphicFrame macro="">
      <xdr:nvGraphicFramePr>
        <xdr:cNvPr id="7" name="Chart 6">
          <a:extLst>
            <a:ext uri="{FF2B5EF4-FFF2-40B4-BE49-F238E27FC236}">
              <a16:creationId xmlns:a16="http://schemas.microsoft.com/office/drawing/2014/main" id="{4865034A-EF8A-4ECA-9D40-2F2FD1599F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709218</xdr:colOff>
      <xdr:row>46</xdr:row>
      <xdr:rowOff>141443</xdr:rowOff>
    </xdr:from>
    <xdr:to>
      <xdr:col>13</xdr:col>
      <xdr:colOff>1093548</xdr:colOff>
      <xdr:row>62</xdr:row>
      <xdr:rowOff>152400</xdr:rowOff>
    </xdr:to>
    <xdr:graphicFrame macro="">
      <xdr:nvGraphicFramePr>
        <xdr:cNvPr id="8" name="Chart 7">
          <a:extLst>
            <a:ext uri="{FF2B5EF4-FFF2-40B4-BE49-F238E27FC236}">
              <a16:creationId xmlns:a16="http://schemas.microsoft.com/office/drawing/2014/main" id="{3E0198A7-B884-4673-83FE-89A4A35DAF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625083</xdr:colOff>
      <xdr:row>68</xdr:row>
      <xdr:rowOff>0</xdr:rowOff>
    </xdr:from>
    <xdr:to>
      <xdr:col>13</xdr:col>
      <xdr:colOff>955524</xdr:colOff>
      <xdr:row>83</xdr:row>
      <xdr:rowOff>133048</xdr:rowOff>
    </xdr:to>
    <xdr:graphicFrame macro="">
      <xdr:nvGraphicFramePr>
        <xdr:cNvPr id="9" name="Chart 8">
          <a:extLst>
            <a:ext uri="{FF2B5EF4-FFF2-40B4-BE49-F238E27FC236}">
              <a16:creationId xmlns:a16="http://schemas.microsoft.com/office/drawing/2014/main" id="{15415D20-B217-465A-B546-B28A614BFD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9</xdr:col>
      <xdr:colOff>625083</xdr:colOff>
      <xdr:row>176</xdr:row>
      <xdr:rowOff>0</xdr:rowOff>
    </xdr:from>
    <xdr:to>
      <xdr:col>13</xdr:col>
      <xdr:colOff>955524</xdr:colOff>
      <xdr:row>191</xdr:row>
      <xdr:rowOff>133048</xdr:rowOff>
    </xdr:to>
    <xdr:graphicFrame macro="">
      <xdr:nvGraphicFramePr>
        <xdr:cNvPr id="10" name="Chart 9">
          <a:extLst>
            <a:ext uri="{FF2B5EF4-FFF2-40B4-BE49-F238E27FC236}">
              <a16:creationId xmlns:a16="http://schemas.microsoft.com/office/drawing/2014/main" id="{0C2147F9-7E78-4F3B-AB40-90E32349FE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xdr:col>
      <xdr:colOff>625083</xdr:colOff>
      <xdr:row>197</xdr:row>
      <xdr:rowOff>0</xdr:rowOff>
    </xdr:from>
    <xdr:to>
      <xdr:col>13</xdr:col>
      <xdr:colOff>955524</xdr:colOff>
      <xdr:row>212</xdr:row>
      <xdr:rowOff>133048</xdr:rowOff>
    </xdr:to>
    <xdr:graphicFrame macro="">
      <xdr:nvGraphicFramePr>
        <xdr:cNvPr id="11" name="Chart 10">
          <a:extLst>
            <a:ext uri="{FF2B5EF4-FFF2-40B4-BE49-F238E27FC236}">
              <a16:creationId xmlns:a16="http://schemas.microsoft.com/office/drawing/2014/main" id="{A7A2DD89-7576-4C2B-B93D-DF5A2832E5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9</xdr:col>
      <xdr:colOff>625083</xdr:colOff>
      <xdr:row>218</xdr:row>
      <xdr:rowOff>0</xdr:rowOff>
    </xdr:from>
    <xdr:to>
      <xdr:col>13</xdr:col>
      <xdr:colOff>955524</xdr:colOff>
      <xdr:row>233</xdr:row>
      <xdr:rowOff>133048</xdr:rowOff>
    </xdr:to>
    <xdr:graphicFrame macro="">
      <xdr:nvGraphicFramePr>
        <xdr:cNvPr id="12" name="Chart 11">
          <a:extLst>
            <a:ext uri="{FF2B5EF4-FFF2-40B4-BE49-F238E27FC236}">
              <a16:creationId xmlns:a16="http://schemas.microsoft.com/office/drawing/2014/main" id="{B3013BDC-3200-41BF-9AD8-0954C8206D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628893</xdr:colOff>
      <xdr:row>238</xdr:row>
      <xdr:rowOff>158749</xdr:rowOff>
    </xdr:from>
    <xdr:to>
      <xdr:col>13</xdr:col>
      <xdr:colOff>1016000</xdr:colOff>
      <xdr:row>254</xdr:row>
      <xdr:rowOff>84666</xdr:rowOff>
    </xdr:to>
    <xdr:graphicFrame macro="">
      <xdr:nvGraphicFramePr>
        <xdr:cNvPr id="13" name="Chart 12">
          <a:extLst>
            <a:ext uri="{FF2B5EF4-FFF2-40B4-BE49-F238E27FC236}">
              <a16:creationId xmlns:a16="http://schemas.microsoft.com/office/drawing/2014/main" id="{CAB3E81A-5B90-4F4D-9A28-C7BA207CD7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14</xdr:col>
      <xdr:colOff>808183</xdr:colOff>
      <xdr:row>4</xdr:row>
      <xdr:rowOff>11546</xdr:rowOff>
    </xdr:from>
    <xdr:to>
      <xdr:col>19</xdr:col>
      <xdr:colOff>542637</xdr:colOff>
      <xdr:row>20</xdr:row>
      <xdr:rowOff>59849</xdr:rowOff>
    </xdr:to>
    <xdr:graphicFrame macro="">
      <xdr:nvGraphicFramePr>
        <xdr:cNvPr id="14" name="Chart 13">
          <a:extLst>
            <a:ext uri="{FF2B5EF4-FFF2-40B4-BE49-F238E27FC236}">
              <a16:creationId xmlns:a16="http://schemas.microsoft.com/office/drawing/2014/main" id="{EE417CE2-737E-4994-9EA8-661442531C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14</xdr:col>
      <xdr:colOff>819609</xdr:colOff>
      <xdr:row>20</xdr:row>
      <xdr:rowOff>135518</xdr:rowOff>
    </xdr:from>
    <xdr:to>
      <xdr:col>19</xdr:col>
      <xdr:colOff>551162</xdr:colOff>
      <xdr:row>37</xdr:row>
      <xdr:rowOff>39688</xdr:rowOff>
    </xdr:to>
    <xdr:graphicFrame macro="">
      <xdr:nvGraphicFramePr>
        <xdr:cNvPr id="15" name="Chart 14">
          <a:extLst>
            <a:ext uri="{FF2B5EF4-FFF2-40B4-BE49-F238E27FC236}">
              <a16:creationId xmlns:a16="http://schemas.microsoft.com/office/drawing/2014/main" id="{6A08E791-1CBC-4017-B88E-0DBF1B4D61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14</xdr:col>
      <xdr:colOff>779115</xdr:colOff>
      <xdr:row>38</xdr:row>
      <xdr:rowOff>14636</xdr:rowOff>
    </xdr:from>
    <xdr:to>
      <xdr:col>19</xdr:col>
      <xdr:colOff>552939</xdr:colOff>
      <xdr:row>54</xdr:row>
      <xdr:rowOff>133251</xdr:rowOff>
    </xdr:to>
    <xdr:graphicFrame macro="">
      <xdr:nvGraphicFramePr>
        <xdr:cNvPr id="16" name="Chart 15">
          <a:extLst>
            <a:ext uri="{FF2B5EF4-FFF2-40B4-BE49-F238E27FC236}">
              <a16:creationId xmlns:a16="http://schemas.microsoft.com/office/drawing/2014/main" id="{910B93A7-76AD-4CEB-A01C-4108A73E41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9</xdr:col>
      <xdr:colOff>625083</xdr:colOff>
      <xdr:row>92</xdr:row>
      <xdr:rowOff>0</xdr:rowOff>
    </xdr:from>
    <xdr:to>
      <xdr:col>13</xdr:col>
      <xdr:colOff>955524</xdr:colOff>
      <xdr:row>107</xdr:row>
      <xdr:rowOff>133048</xdr:rowOff>
    </xdr:to>
    <xdr:graphicFrame macro="">
      <xdr:nvGraphicFramePr>
        <xdr:cNvPr id="2" name="Chart 1">
          <a:extLst>
            <a:ext uri="{FF2B5EF4-FFF2-40B4-BE49-F238E27FC236}">
              <a16:creationId xmlns:a16="http://schemas.microsoft.com/office/drawing/2014/main" id="{00000000-0008-0000-0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625083</xdr:colOff>
      <xdr:row>113</xdr:row>
      <xdr:rowOff>0</xdr:rowOff>
    </xdr:from>
    <xdr:to>
      <xdr:col>13</xdr:col>
      <xdr:colOff>955524</xdr:colOff>
      <xdr:row>128</xdr:row>
      <xdr:rowOff>133048</xdr:rowOff>
    </xdr:to>
    <xdr:graphicFrame macro="">
      <xdr:nvGraphicFramePr>
        <xdr:cNvPr id="4" name="Chart 3">
          <a:extLst>
            <a:ext uri="{FF2B5EF4-FFF2-40B4-BE49-F238E27FC236}">
              <a16:creationId xmlns:a16="http://schemas.microsoft.com/office/drawing/2014/main" id="{00000000-0008-0000-03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625083</xdr:colOff>
      <xdr:row>134</xdr:row>
      <xdr:rowOff>0</xdr:rowOff>
    </xdr:from>
    <xdr:to>
      <xdr:col>13</xdr:col>
      <xdr:colOff>955524</xdr:colOff>
      <xdr:row>149</xdr:row>
      <xdr:rowOff>133048</xdr:rowOff>
    </xdr:to>
    <xdr:graphicFrame macro="">
      <xdr:nvGraphicFramePr>
        <xdr:cNvPr id="5" name="Chart 4">
          <a:extLst>
            <a:ext uri="{FF2B5EF4-FFF2-40B4-BE49-F238E27FC236}">
              <a16:creationId xmlns:a16="http://schemas.microsoft.com/office/drawing/2014/main" id="{00000000-0008-0000-03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628893</xdr:colOff>
      <xdr:row>154</xdr:row>
      <xdr:rowOff>158749</xdr:rowOff>
    </xdr:from>
    <xdr:to>
      <xdr:col>13</xdr:col>
      <xdr:colOff>1016000</xdr:colOff>
      <xdr:row>170</xdr:row>
      <xdr:rowOff>84666</xdr:rowOff>
    </xdr:to>
    <xdr:graphicFrame macro="">
      <xdr:nvGraphicFramePr>
        <xdr:cNvPr id="6" name="Chart 5">
          <a:extLst>
            <a:ext uri="{FF2B5EF4-FFF2-40B4-BE49-F238E27FC236}">
              <a16:creationId xmlns:a16="http://schemas.microsoft.com/office/drawing/2014/main" id="{00000000-0008-0000-03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625083</xdr:colOff>
      <xdr:row>4</xdr:row>
      <xdr:rowOff>0</xdr:rowOff>
    </xdr:from>
    <xdr:to>
      <xdr:col>13</xdr:col>
      <xdr:colOff>955524</xdr:colOff>
      <xdr:row>19</xdr:row>
      <xdr:rowOff>133048</xdr:rowOff>
    </xdr:to>
    <xdr:graphicFrame macro="">
      <xdr:nvGraphicFramePr>
        <xdr:cNvPr id="7" name="Chart 6">
          <a:extLst>
            <a:ext uri="{FF2B5EF4-FFF2-40B4-BE49-F238E27FC236}">
              <a16:creationId xmlns:a16="http://schemas.microsoft.com/office/drawing/2014/main" id="{00000000-0008-0000-03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625083</xdr:colOff>
      <xdr:row>25</xdr:row>
      <xdr:rowOff>0</xdr:rowOff>
    </xdr:from>
    <xdr:to>
      <xdr:col>13</xdr:col>
      <xdr:colOff>955524</xdr:colOff>
      <xdr:row>40</xdr:row>
      <xdr:rowOff>133048</xdr:rowOff>
    </xdr:to>
    <xdr:graphicFrame macro="">
      <xdr:nvGraphicFramePr>
        <xdr:cNvPr id="8" name="Chart 7">
          <a:extLst>
            <a:ext uri="{FF2B5EF4-FFF2-40B4-BE49-F238E27FC236}">
              <a16:creationId xmlns:a16="http://schemas.microsoft.com/office/drawing/2014/main" id="{00000000-0008-0000-03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515254</xdr:colOff>
      <xdr:row>46</xdr:row>
      <xdr:rowOff>155298</xdr:rowOff>
    </xdr:from>
    <xdr:to>
      <xdr:col>13</xdr:col>
      <xdr:colOff>303336</xdr:colOff>
      <xdr:row>62</xdr:row>
      <xdr:rowOff>92049</xdr:rowOff>
    </xdr:to>
    <xdr:graphicFrame macro="">
      <xdr:nvGraphicFramePr>
        <xdr:cNvPr id="9" name="Chart 8">
          <a:extLst>
            <a:ext uri="{FF2B5EF4-FFF2-40B4-BE49-F238E27FC236}">
              <a16:creationId xmlns:a16="http://schemas.microsoft.com/office/drawing/2014/main" id="{00000000-0008-0000-03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515254</xdr:colOff>
      <xdr:row>46</xdr:row>
      <xdr:rowOff>155298</xdr:rowOff>
    </xdr:from>
    <xdr:to>
      <xdr:col>13</xdr:col>
      <xdr:colOff>899584</xdr:colOff>
      <xdr:row>63</xdr:row>
      <xdr:rowOff>0</xdr:rowOff>
    </xdr:to>
    <xdr:graphicFrame macro="">
      <xdr:nvGraphicFramePr>
        <xdr:cNvPr id="10" name="Chart 9">
          <a:extLst>
            <a:ext uri="{FF2B5EF4-FFF2-40B4-BE49-F238E27FC236}">
              <a16:creationId xmlns:a16="http://schemas.microsoft.com/office/drawing/2014/main" id="{00000000-0008-0000-03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9</xdr:col>
      <xdr:colOff>625083</xdr:colOff>
      <xdr:row>68</xdr:row>
      <xdr:rowOff>0</xdr:rowOff>
    </xdr:from>
    <xdr:to>
      <xdr:col>13</xdr:col>
      <xdr:colOff>955524</xdr:colOff>
      <xdr:row>83</xdr:row>
      <xdr:rowOff>133048</xdr:rowOff>
    </xdr:to>
    <xdr:graphicFrame macro="">
      <xdr:nvGraphicFramePr>
        <xdr:cNvPr id="11" name="Chart 10">
          <a:extLst>
            <a:ext uri="{FF2B5EF4-FFF2-40B4-BE49-F238E27FC236}">
              <a16:creationId xmlns:a16="http://schemas.microsoft.com/office/drawing/2014/main" id="{00000000-0008-0000-03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xdr:col>
      <xdr:colOff>628893</xdr:colOff>
      <xdr:row>278</xdr:row>
      <xdr:rowOff>158749</xdr:rowOff>
    </xdr:from>
    <xdr:to>
      <xdr:col>13</xdr:col>
      <xdr:colOff>1016000</xdr:colOff>
      <xdr:row>294</xdr:row>
      <xdr:rowOff>84666</xdr:rowOff>
    </xdr:to>
    <xdr:graphicFrame macro="">
      <xdr:nvGraphicFramePr>
        <xdr:cNvPr id="13" name="Chart 12">
          <a:extLst>
            <a:ext uri="{FF2B5EF4-FFF2-40B4-BE49-F238E27FC236}">
              <a16:creationId xmlns:a16="http://schemas.microsoft.com/office/drawing/2014/main" id="{47EF1745-B088-49EC-B4F7-65F50FBBF2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9</xdr:col>
      <xdr:colOff>625083</xdr:colOff>
      <xdr:row>259</xdr:row>
      <xdr:rowOff>0</xdr:rowOff>
    </xdr:from>
    <xdr:to>
      <xdr:col>13</xdr:col>
      <xdr:colOff>955524</xdr:colOff>
      <xdr:row>274</xdr:row>
      <xdr:rowOff>133048</xdr:rowOff>
    </xdr:to>
    <xdr:graphicFrame macro="">
      <xdr:nvGraphicFramePr>
        <xdr:cNvPr id="15" name="Chart 14">
          <a:extLst>
            <a:ext uri="{FF2B5EF4-FFF2-40B4-BE49-F238E27FC236}">
              <a16:creationId xmlns:a16="http://schemas.microsoft.com/office/drawing/2014/main" id="{18EAD28B-AF05-401C-959E-2186D26456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551813</xdr:colOff>
      <xdr:row>320</xdr:row>
      <xdr:rowOff>117231</xdr:rowOff>
    </xdr:from>
    <xdr:to>
      <xdr:col>13</xdr:col>
      <xdr:colOff>882254</xdr:colOff>
      <xdr:row>336</xdr:row>
      <xdr:rowOff>45125</xdr:rowOff>
    </xdr:to>
    <xdr:graphicFrame macro="">
      <xdr:nvGraphicFramePr>
        <xdr:cNvPr id="17" name="Chart 16">
          <a:extLst>
            <a:ext uri="{FF2B5EF4-FFF2-40B4-BE49-F238E27FC236}">
              <a16:creationId xmlns:a16="http://schemas.microsoft.com/office/drawing/2014/main" id="{6478814F-8C49-4819-97BC-948E3013ED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9</xdr:col>
      <xdr:colOff>625083</xdr:colOff>
      <xdr:row>383</xdr:row>
      <xdr:rowOff>0</xdr:rowOff>
    </xdr:from>
    <xdr:to>
      <xdr:col>13</xdr:col>
      <xdr:colOff>955524</xdr:colOff>
      <xdr:row>398</xdr:row>
      <xdr:rowOff>133048</xdr:rowOff>
    </xdr:to>
    <xdr:graphicFrame macro="">
      <xdr:nvGraphicFramePr>
        <xdr:cNvPr id="18" name="Chart 17">
          <a:extLst>
            <a:ext uri="{FF2B5EF4-FFF2-40B4-BE49-F238E27FC236}">
              <a16:creationId xmlns:a16="http://schemas.microsoft.com/office/drawing/2014/main" id="{F9C58760-3BF0-4D06-8ECC-427164B095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9</xdr:col>
      <xdr:colOff>625083</xdr:colOff>
      <xdr:row>176</xdr:row>
      <xdr:rowOff>0</xdr:rowOff>
    </xdr:from>
    <xdr:to>
      <xdr:col>13</xdr:col>
      <xdr:colOff>955524</xdr:colOff>
      <xdr:row>191</xdr:row>
      <xdr:rowOff>133048</xdr:rowOff>
    </xdr:to>
    <xdr:graphicFrame macro="">
      <xdr:nvGraphicFramePr>
        <xdr:cNvPr id="16" name="Chart 15">
          <a:extLst>
            <a:ext uri="{FF2B5EF4-FFF2-40B4-BE49-F238E27FC236}">
              <a16:creationId xmlns:a16="http://schemas.microsoft.com/office/drawing/2014/main" id="{A1FFBC14-23AC-4293-8EC1-471144E24C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9</xdr:col>
      <xdr:colOff>625083</xdr:colOff>
      <xdr:row>197</xdr:row>
      <xdr:rowOff>0</xdr:rowOff>
    </xdr:from>
    <xdr:to>
      <xdr:col>13</xdr:col>
      <xdr:colOff>955524</xdr:colOff>
      <xdr:row>212</xdr:row>
      <xdr:rowOff>133048</xdr:rowOff>
    </xdr:to>
    <xdr:graphicFrame macro="">
      <xdr:nvGraphicFramePr>
        <xdr:cNvPr id="19" name="Chart 18">
          <a:extLst>
            <a:ext uri="{FF2B5EF4-FFF2-40B4-BE49-F238E27FC236}">
              <a16:creationId xmlns:a16="http://schemas.microsoft.com/office/drawing/2014/main" id="{02D26C15-9789-45A4-9D83-148DDA4580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9</xdr:col>
      <xdr:colOff>625083</xdr:colOff>
      <xdr:row>218</xdr:row>
      <xdr:rowOff>0</xdr:rowOff>
    </xdr:from>
    <xdr:to>
      <xdr:col>13</xdr:col>
      <xdr:colOff>955524</xdr:colOff>
      <xdr:row>233</xdr:row>
      <xdr:rowOff>133048</xdr:rowOff>
    </xdr:to>
    <xdr:graphicFrame macro="">
      <xdr:nvGraphicFramePr>
        <xdr:cNvPr id="20" name="Chart 19">
          <a:extLst>
            <a:ext uri="{FF2B5EF4-FFF2-40B4-BE49-F238E27FC236}">
              <a16:creationId xmlns:a16="http://schemas.microsoft.com/office/drawing/2014/main" id="{CBE8E767-AC39-47F8-BC71-4263BD574A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9</xdr:col>
      <xdr:colOff>628893</xdr:colOff>
      <xdr:row>238</xdr:row>
      <xdr:rowOff>158749</xdr:rowOff>
    </xdr:from>
    <xdr:to>
      <xdr:col>13</xdr:col>
      <xdr:colOff>1016000</xdr:colOff>
      <xdr:row>254</xdr:row>
      <xdr:rowOff>84666</xdr:rowOff>
    </xdr:to>
    <xdr:graphicFrame macro="">
      <xdr:nvGraphicFramePr>
        <xdr:cNvPr id="21" name="Chart 20">
          <a:extLst>
            <a:ext uri="{FF2B5EF4-FFF2-40B4-BE49-F238E27FC236}">
              <a16:creationId xmlns:a16="http://schemas.microsoft.com/office/drawing/2014/main" id="{A19C1B65-F5A9-4320-97CD-FBA07D26B0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9</xdr:col>
      <xdr:colOff>628893</xdr:colOff>
      <xdr:row>359</xdr:row>
      <xdr:rowOff>158749</xdr:rowOff>
    </xdr:from>
    <xdr:to>
      <xdr:col>13</xdr:col>
      <xdr:colOff>1016000</xdr:colOff>
      <xdr:row>375</xdr:row>
      <xdr:rowOff>84666</xdr:rowOff>
    </xdr:to>
    <xdr:graphicFrame macro="">
      <xdr:nvGraphicFramePr>
        <xdr:cNvPr id="23" name="Chart 22">
          <a:extLst>
            <a:ext uri="{FF2B5EF4-FFF2-40B4-BE49-F238E27FC236}">
              <a16:creationId xmlns:a16="http://schemas.microsoft.com/office/drawing/2014/main" id="{B42CF3C9-7353-417E-94A4-CF7C5601E4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14</xdr:col>
      <xdr:colOff>808183</xdr:colOff>
      <xdr:row>4</xdr:row>
      <xdr:rowOff>11546</xdr:rowOff>
    </xdr:from>
    <xdr:to>
      <xdr:col>19</xdr:col>
      <xdr:colOff>542637</xdr:colOff>
      <xdr:row>20</xdr:row>
      <xdr:rowOff>59849</xdr:rowOff>
    </xdr:to>
    <xdr:graphicFrame macro="">
      <xdr:nvGraphicFramePr>
        <xdr:cNvPr id="22" name="Chart 21">
          <a:extLst>
            <a:ext uri="{FF2B5EF4-FFF2-40B4-BE49-F238E27FC236}">
              <a16:creationId xmlns:a16="http://schemas.microsoft.com/office/drawing/2014/main" id="{D8F4513C-B152-43F4-A70E-67F099F86B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14</xdr:col>
      <xdr:colOff>819609</xdr:colOff>
      <xdr:row>20</xdr:row>
      <xdr:rowOff>135518</xdr:rowOff>
    </xdr:from>
    <xdr:to>
      <xdr:col>19</xdr:col>
      <xdr:colOff>609600</xdr:colOff>
      <xdr:row>37</xdr:row>
      <xdr:rowOff>84666</xdr:rowOff>
    </xdr:to>
    <xdr:graphicFrame macro="">
      <xdr:nvGraphicFramePr>
        <xdr:cNvPr id="25" name="Chart 24">
          <a:extLst>
            <a:ext uri="{FF2B5EF4-FFF2-40B4-BE49-F238E27FC236}">
              <a16:creationId xmlns:a16="http://schemas.microsoft.com/office/drawing/2014/main" id="{5DA7822F-861D-43AD-9B28-67D1829A15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14</xdr:col>
      <xdr:colOff>812981</xdr:colOff>
      <xdr:row>38</xdr:row>
      <xdr:rowOff>133169</xdr:rowOff>
    </xdr:from>
    <xdr:to>
      <xdr:col>19</xdr:col>
      <xdr:colOff>694267</xdr:colOff>
      <xdr:row>55</xdr:row>
      <xdr:rowOff>99384</xdr:rowOff>
    </xdr:to>
    <xdr:graphicFrame macro="">
      <xdr:nvGraphicFramePr>
        <xdr:cNvPr id="26" name="Chart 25">
          <a:extLst>
            <a:ext uri="{FF2B5EF4-FFF2-40B4-BE49-F238E27FC236}">
              <a16:creationId xmlns:a16="http://schemas.microsoft.com/office/drawing/2014/main" id="{3A8A9B48-DCF7-4E10-877E-5F4BB96B16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9</xdr:col>
      <xdr:colOff>628893</xdr:colOff>
      <xdr:row>340</xdr:row>
      <xdr:rowOff>158749</xdr:rowOff>
    </xdr:from>
    <xdr:to>
      <xdr:col>13</xdr:col>
      <xdr:colOff>1016000</xdr:colOff>
      <xdr:row>356</xdr:row>
      <xdr:rowOff>84666</xdr:rowOff>
    </xdr:to>
    <xdr:graphicFrame macro="">
      <xdr:nvGraphicFramePr>
        <xdr:cNvPr id="29" name="Chart 28">
          <a:extLst>
            <a:ext uri="{FF2B5EF4-FFF2-40B4-BE49-F238E27FC236}">
              <a16:creationId xmlns:a16="http://schemas.microsoft.com/office/drawing/2014/main" id="{F4DE6C12-75E8-47E0-997A-88A74D6B3B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9</xdr:col>
      <xdr:colOff>584931</xdr:colOff>
      <xdr:row>298</xdr:row>
      <xdr:rowOff>158749</xdr:rowOff>
    </xdr:from>
    <xdr:to>
      <xdr:col>13</xdr:col>
      <xdr:colOff>972038</xdr:colOff>
      <xdr:row>314</xdr:row>
      <xdr:rowOff>84666</xdr:rowOff>
    </xdr:to>
    <xdr:graphicFrame macro="">
      <xdr:nvGraphicFramePr>
        <xdr:cNvPr id="30" name="Chart 29">
          <a:extLst>
            <a:ext uri="{FF2B5EF4-FFF2-40B4-BE49-F238E27FC236}">
              <a16:creationId xmlns:a16="http://schemas.microsoft.com/office/drawing/2014/main" id="{AAA13BE1-D03D-4F1C-B47D-1E4D0A762D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15</xdr:col>
      <xdr:colOff>11723</xdr:colOff>
      <xdr:row>318</xdr:row>
      <xdr:rowOff>26378</xdr:rowOff>
    </xdr:from>
    <xdr:to>
      <xdr:col>19</xdr:col>
      <xdr:colOff>316524</xdr:colOff>
      <xdr:row>334</xdr:row>
      <xdr:rowOff>93785</xdr:rowOff>
    </xdr:to>
    <xdr:graphicFrame macro="">
      <xdr:nvGraphicFramePr>
        <xdr:cNvPr id="32" name="Chart 31">
          <a:extLst>
            <a:ext uri="{FF2B5EF4-FFF2-40B4-BE49-F238E27FC236}">
              <a16:creationId xmlns:a16="http://schemas.microsoft.com/office/drawing/2014/main" id="{B088738E-60EC-477E-B7CA-A0C2378ABE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14</xdr:col>
      <xdr:colOff>711200</xdr:colOff>
      <xdr:row>296</xdr:row>
      <xdr:rowOff>67734</xdr:rowOff>
    </xdr:from>
    <xdr:to>
      <xdr:col>19</xdr:col>
      <xdr:colOff>199292</xdr:colOff>
      <xdr:row>312</xdr:row>
      <xdr:rowOff>134165</xdr:rowOff>
    </xdr:to>
    <xdr:graphicFrame macro="">
      <xdr:nvGraphicFramePr>
        <xdr:cNvPr id="36" name="Chart 35">
          <a:extLst>
            <a:ext uri="{FF2B5EF4-FFF2-40B4-BE49-F238E27FC236}">
              <a16:creationId xmlns:a16="http://schemas.microsoft.com/office/drawing/2014/main" id="{7212A0A7-E88D-4427-BC57-495EBD6625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14</xdr:col>
      <xdr:colOff>19050</xdr:colOff>
      <xdr:row>3</xdr:row>
      <xdr:rowOff>60374</xdr:rowOff>
    </xdr:from>
    <xdr:to>
      <xdr:col>20</xdr:col>
      <xdr:colOff>498231</xdr:colOff>
      <xdr:row>17</xdr:row>
      <xdr:rowOff>114300</xdr:rowOff>
    </xdr:to>
    <xdr:graphicFrame macro="">
      <xdr:nvGraphicFramePr>
        <xdr:cNvPr id="4" name="Chart 3">
          <a:extLst>
            <a:ext uri="{FF2B5EF4-FFF2-40B4-BE49-F238E27FC236}">
              <a16:creationId xmlns:a16="http://schemas.microsoft.com/office/drawing/2014/main" id="{1AB20537-8F84-4C25-A232-B58BCD28E4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34</xdr:col>
      <xdr:colOff>319380</xdr:colOff>
      <xdr:row>1</xdr:row>
      <xdr:rowOff>41444</xdr:rowOff>
    </xdr:from>
    <xdr:to>
      <xdr:col>41</xdr:col>
      <xdr:colOff>190500</xdr:colOff>
      <xdr:row>16</xdr:row>
      <xdr:rowOff>0</xdr:rowOff>
    </xdr:to>
    <xdr:graphicFrame macro="">
      <xdr:nvGraphicFramePr>
        <xdr:cNvPr id="5" name="Chart 4">
          <a:extLst>
            <a:ext uri="{FF2B5EF4-FFF2-40B4-BE49-F238E27FC236}">
              <a16:creationId xmlns:a16="http://schemas.microsoft.com/office/drawing/2014/main" id="{2FA24060-174D-46C4-A9AC-27AE8A566E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85725</xdr:colOff>
      <xdr:row>19</xdr:row>
      <xdr:rowOff>146538</xdr:rowOff>
    </xdr:from>
    <xdr:to>
      <xdr:col>20</xdr:col>
      <xdr:colOff>498231</xdr:colOff>
      <xdr:row>34</xdr:row>
      <xdr:rowOff>57149</xdr:rowOff>
    </xdr:to>
    <xdr:graphicFrame macro="">
      <xdr:nvGraphicFramePr>
        <xdr:cNvPr id="6" name="Chart 5">
          <a:extLst>
            <a:ext uri="{FF2B5EF4-FFF2-40B4-BE49-F238E27FC236}">
              <a16:creationId xmlns:a16="http://schemas.microsoft.com/office/drawing/2014/main" id="{B447DE82-F053-4D10-A910-EB27A36A6B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270712</xdr:colOff>
      <xdr:row>36</xdr:row>
      <xdr:rowOff>77202</xdr:rowOff>
    </xdr:from>
    <xdr:to>
      <xdr:col>14</xdr:col>
      <xdr:colOff>270712</xdr:colOff>
      <xdr:row>52</xdr:row>
      <xdr:rowOff>93244</xdr:rowOff>
    </xdr:to>
    <xdr:graphicFrame macro="">
      <xdr:nvGraphicFramePr>
        <xdr:cNvPr id="2" name="Chart 1">
          <a:extLst>
            <a:ext uri="{FF2B5EF4-FFF2-40B4-BE49-F238E27FC236}">
              <a16:creationId xmlns:a16="http://schemas.microsoft.com/office/drawing/2014/main" id="{781C061E-CFC8-472C-A4AC-A2361A8762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40106</xdr:colOff>
      <xdr:row>55</xdr:row>
      <xdr:rowOff>167439</xdr:rowOff>
    </xdr:from>
    <xdr:to>
      <xdr:col>10</xdr:col>
      <xdr:colOff>641685</xdr:colOff>
      <xdr:row>73</xdr:row>
      <xdr:rowOff>13033</xdr:rowOff>
    </xdr:to>
    <xdr:graphicFrame macro="">
      <xdr:nvGraphicFramePr>
        <xdr:cNvPr id="15" name="Chart 14">
          <a:extLst>
            <a:ext uri="{FF2B5EF4-FFF2-40B4-BE49-F238E27FC236}">
              <a16:creationId xmlns:a16="http://schemas.microsoft.com/office/drawing/2014/main" id="{9D349409-763D-45A7-9FA9-41D67CDED0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511342</xdr:colOff>
      <xdr:row>75</xdr:row>
      <xdr:rowOff>80211</xdr:rowOff>
    </xdr:from>
    <xdr:to>
      <xdr:col>10</xdr:col>
      <xdr:colOff>651711</xdr:colOff>
      <xdr:row>92</xdr:row>
      <xdr:rowOff>133349</xdr:rowOff>
    </xdr:to>
    <xdr:graphicFrame macro="">
      <xdr:nvGraphicFramePr>
        <xdr:cNvPr id="16" name="Chart 15">
          <a:extLst>
            <a:ext uri="{FF2B5EF4-FFF2-40B4-BE49-F238E27FC236}">
              <a16:creationId xmlns:a16="http://schemas.microsoft.com/office/drawing/2014/main" id="{F72A23D7-4116-413F-9AB0-E82B4E3DE0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9</xdr:col>
      <xdr:colOff>625083</xdr:colOff>
      <xdr:row>92</xdr:row>
      <xdr:rowOff>0</xdr:rowOff>
    </xdr:from>
    <xdr:to>
      <xdr:col>13</xdr:col>
      <xdr:colOff>955524</xdr:colOff>
      <xdr:row>107</xdr:row>
      <xdr:rowOff>133048</xdr:rowOff>
    </xdr:to>
    <xdr:graphicFrame macro="">
      <xdr:nvGraphicFramePr>
        <xdr:cNvPr id="2" name="Chart 1">
          <a:extLst>
            <a:ext uri="{FF2B5EF4-FFF2-40B4-BE49-F238E27FC236}">
              <a16:creationId xmlns:a16="http://schemas.microsoft.com/office/drawing/2014/main" id="{F280E261-1CE6-4F0F-850B-C6519037DB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625083</xdr:colOff>
      <xdr:row>113</xdr:row>
      <xdr:rowOff>0</xdr:rowOff>
    </xdr:from>
    <xdr:to>
      <xdr:col>13</xdr:col>
      <xdr:colOff>955524</xdr:colOff>
      <xdr:row>128</xdr:row>
      <xdr:rowOff>133048</xdr:rowOff>
    </xdr:to>
    <xdr:graphicFrame macro="">
      <xdr:nvGraphicFramePr>
        <xdr:cNvPr id="3" name="Chart 2">
          <a:extLst>
            <a:ext uri="{FF2B5EF4-FFF2-40B4-BE49-F238E27FC236}">
              <a16:creationId xmlns:a16="http://schemas.microsoft.com/office/drawing/2014/main" id="{558EA3A5-32DE-4A1A-B661-93A60F2483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625083</xdr:colOff>
      <xdr:row>134</xdr:row>
      <xdr:rowOff>0</xdr:rowOff>
    </xdr:from>
    <xdr:to>
      <xdr:col>13</xdr:col>
      <xdr:colOff>955524</xdr:colOff>
      <xdr:row>149</xdr:row>
      <xdr:rowOff>133048</xdr:rowOff>
    </xdr:to>
    <xdr:graphicFrame macro="">
      <xdr:nvGraphicFramePr>
        <xdr:cNvPr id="4" name="Chart 3">
          <a:extLst>
            <a:ext uri="{FF2B5EF4-FFF2-40B4-BE49-F238E27FC236}">
              <a16:creationId xmlns:a16="http://schemas.microsoft.com/office/drawing/2014/main" id="{8BE89BA2-DF6B-478D-B54E-80362BF2B3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628893</xdr:colOff>
      <xdr:row>154</xdr:row>
      <xdr:rowOff>158749</xdr:rowOff>
    </xdr:from>
    <xdr:to>
      <xdr:col>13</xdr:col>
      <xdr:colOff>1016000</xdr:colOff>
      <xdr:row>170</xdr:row>
      <xdr:rowOff>84666</xdr:rowOff>
    </xdr:to>
    <xdr:graphicFrame macro="">
      <xdr:nvGraphicFramePr>
        <xdr:cNvPr id="5" name="Chart 4">
          <a:extLst>
            <a:ext uri="{FF2B5EF4-FFF2-40B4-BE49-F238E27FC236}">
              <a16:creationId xmlns:a16="http://schemas.microsoft.com/office/drawing/2014/main" id="{4FD6F179-E9C1-46B5-8794-593C0ECDAB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625083</xdr:colOff>
      <xdr:row>4</xdr:row>
      <xdr:rowOff>0</xdr:rowOff>
    </xdr:from>
    <xdr:to>
      <xdr:col>13</xdr:col>
      <xdr:colOff>955524</xdr:colOff>
      <xdr:row>19</xdr:row>
      <xdr:rowOff>133048</xdr:rowOff>
    </xdr:to>
    <xdr:graphicFrame macro="">
      <xdr:nvGraphicFramePr>
        <xdr:cNvPr id="6" name="Chart 5">
          <a:extLst>
            <a:ext uri="{FF2B5EF4-FFF2-40B4-BE49-F238E27FC236}">
              <a16:creationId xmlns:a16="http://schemas.microsoft.com/office/drawing/2014/main" id="{335ED93F-6B81-4B25-8C2F-0A8615DD7B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625083</xdr:colOff>
      <xdr:row>25</xdr:row>
      <xdr:rowOff>0</xdr:rowOff>
    </xdr:from>
    <xdr:to>
      <xdr:col>13</xdr:col>
      <xdr:colOff>955524</xdr:colOff>
      <xdr:row>40</xdr:row>
      <xdr:rowOff>133048</xdr:rowOff>
    </xdr:to>
    <xdr:graphicFrame macro="">
      <xdr:nvGraphicFramePr>
        <xdr:cNvPr id="7" name="Chart 6">
          <a:extLst>
            <a:ext uri="{FF2B5EF4-FFF2-40B4-BE49-F238E27FC236}">
              <a16:creationId xmlns:a16="http://schemas.microsoft.com/office/drawing/2014/main" id="{86EB2123-B1F2-43BB-A3E9-747B397B79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709218</xdr:colOff>
      <xdr:row>46</xdr:row>
      <xdr:rowOff>141443</xdr:rowOff>
    </xdr:from>
    <xdr:to>
      <xdr:col>13</xdr:col>
      <xdr:colOff>1093548</xdr:colOff>
      <xdr:row>62</xdr:row>
      <xdr:rowOff>152400</xdr:rowOff>
    </xdr:to>
    <xdr:graphicFrame macro="">
      <xdr:nvGraphicFramePr>
        <xdr:cNvPr id="9" name="Chart 8">
          <a:extLst>
            <a:ext uri="{FF2B5EF4-FFF2-40B4-BE49-F238E27FC236}">
              <a16:creationId xmlns:a16="http://schemas.microsoft.com/office/drawing/2014/main" id="{D2C44908-0B82-45CC-B29F-4561CB74B1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625083</xdr:colOff>
      <xdr:row>68</xdr:row>
      <xdr:rowOff>0</xdr:rowOff>
    </xdr:from>
    <xdr:to>
      <xdr:col>13</xdr:col>
      <xdr:colOff>955524</xdr:colOff>
      <xdr:row>83</xdr:row>
      <xdr:rowOff>133048</xdr:rowOff>
    </xdr:to>
    <xdr:graphicFrame macro="">
      <xdr:nvGraphicFramePr>
        <xdr:cNvPr id="10" name="Chart 9">
          <a:extLst>
            <a:ext uri="{FF2B5EF4-FFF2-40B4-BE49-F238E27FC236}">
              <a16:creationId xmlns:a16="http://schemas.microsoft.com/office/drawing/2014/main" id="{5E36C67A-7BFE-4FA6-AAB9-BCAF54F507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9</xdr:col>
      <xdr:colOff>625083</xdr:colOff>
      <xdr:row>176</xdr:row>
      <xdr:rowOff>0</xdr:rowOff>
    </xdr:from>
    <xdr:to>
      <xdr:col>13</xdr:col>
      <xdr:colOff>955524</xdr:colOff>
      <xdr:row>191</xdr:row>
      <xdr:rowOff>133048</xdr:rowOff>
    </xdr:to>
    <xdr:graphicFrame macro="">
      <xdr:nvGraphicFramePr>
        <xdr:cNvPr id="15" name="Chart 14">
          <a:extLst>
            <a:ext uri="{FF2B5EF4-FFF2-40B4-BE49-F238E27FC236}">
              <a16:creationId xmlns:a16="http://schemas.microsoft.com/office/drawing/2014/main" id="{9DE3ECAB-1A22-4BC6-A546-33BF2944C8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xdr:col>
      <xdr:colOff>625083</xdr:colOff>
      <xdr:row>197</xdr:row>
      <xdr:rowOff>0</xdr:rowOff>
    </xdr:from>
    <xdr:to>
      <xdr:col>13</xdr:col>
      <xdr:colOff>955524</xdr:colOff>
      <xdr:row>212</xdr:row>
      <xdr:rowOff>133048</xdr:rowOff>
    </xdr:to>
    <xdr:graphicFrame macro="">
      <xdr:nvGraphicFramePr>
        <xdr:cNvPr id="16" name="Chart 15">
          <a:extLst>
            <a:ext uri="{FF2B5EF4-FFF2-40B4-BE49-F238E27FC236}">
              <a16:creationId xmlns:a16="http://schemas.microsoft.com/office/drawing/2014/main" id="{2E7669D0-7839-4CDC-ABE5-798263295C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9</xdr:col>
      <xdr:colOff>625083</xdr:colOff>
      <xdr:row>218</xdr:row>
      <xdr:rowOff>0</xdr:rowOff>
    </xdr:from>
    <xdr:to>
      <xdr:col>13</xdr:col>
      <xdr:colOff>955524</xdr:colOff>
      <xdr:row>233</xdr:row>
      <xdr:rowOff>133048</xdr:rowOff>
    </xdr:to>
    <xdr:graphicFrame macro="">
      <xdr:nvGraphicFramePr>
        <xdr:cNvPr id="17" name="Chart 16">
          <a:extLst>
            <a:ext uri="{FF2B5EF4-FFF2-40B4-BE49-F238E27FC236}">
              <a16:creationId xmlns:a16="http://schemas.microsoft.com/office/drawing/2014/main" id="{081938A7-3348-4F3C-9C82-A50D1E1F1C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628893</xdr:colOff>
      <xdr:row>238</xdr:row>
      <xdr:rowOff>158749</xdr:rowOff>
    </xdr:from>
    <xdr:to>
      <xdr:col>13</xdr:col>
      <xdr:colOff>1016000</xdr:colOff>
      <xdr:row>254</xdr:row>
      <xdr:rowOff>84666</xdr:rowOff>
    </xdr:to>
    <xdr:graphicFrame macro="">
      <xdr:nvGraphicFramePr>
        <xdr:cNvPr id="18" name="Chart 17">
          <a:extLst>
            <a:ext uri="{FF2B5EF4-FFF2-40B4-BE49-F238E27FC236}">
              <a16:creationId xmlns:a16="http://schemas.microsoft.com/office/drawing/2014/main" id="{6BD6D68D-BE90-4956-A9CB-BCCC24F1AE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14</xdr:col>
      <xdr:colOff>808183</xdr:colOff>
      <xdr:row>4</xdr:row>
      <xdr:rowOff>11546</xdr:rowOff>
    </xdr:from>
    <xdr:to>
      <xdr:col>19</xdr:col>
      <xdr:colOff>542637</xdr:colOff>
      <xdr:row>20</xdr:row>
      <xdr:rowOff>59849</xdr:rowOff>
    </xdr:to>
    <xdr:graphicFrame macro="">
      <xdr:nvGraphicFramePr>
        <xdr:cNvPr id="20" name="Chart 19">
          <a:extLst>
            <a:ext uri="{FF2B5EF4-FFF2-40B4-BE49-F238E27FC236}">
              <a16:creationId xmlns:a16="http://schemas.microsoft.com/office/drawing/2014/main" id="{29FC85A4-7679-436D-9FEB-B436364739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14</xdr:col>
      <xdr:colOff>819609</xdr:colOff>
      <xdr:row>20</xdr:row>
      <xdr:rowOff>135518</xdr:rowOff>
    </xdr:from>
    <xdr:to>
      <xdr:col>19</xdr:col>
      <xdr:colOff>551162</xdr:colOff>
      <xdr:row>37</xdr:row>
      <xdr:rowOff>39688</xdr:rowOff>
    </xdr:to>
    <xdr:graphicFrame macro="">
      <xdr:nvGraphicFramePr>
        <xdr:cNvPr id="21" name="Chart 20">
          <a:extLst>
            <a:ext uri="{FF2B5EF4-FFF2-40B4-BE49-F238E27FC236}">
              <a16:creationId xmlns:a16="http://schemas.microsoft.com/office/drawing/2014/main" id="{5CBBC611-9238-45F9-B1EC-DCC73D7063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14</xdr:col>
      <xdr:colOff>779115</xdr:colOff>
      <xdr:row>38</xdr:row>
      <xdr:rowOff>14636</xdr:rowOff>
    </xdr:from>
    <xdr:to>
      <xdr:col>19</xdr:col>
      <xdr:colOff>552939</xdr:colOff>
      <xdr:row>54</xdr:row>
      <xdr:rowOff>133251</xdr:rowOff>
    </xdr:to>
    <xdr:graphicFrame macro="">
      <xdr:nvGraphicFramePr>
        <xdr:cNvPr id="22" name="Chart 21">
          <a:extLst>
            <a:ext uri="{FF2B5EF4-FFF2-40B4-BE49-F238E27FC236}">
              <a16:creationId xmlns:a16="http://schemas.microsoft.com/office/drawing/2014/main" id="{9B2646AA-72B4-4709-ACA0-AE89733E15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8FB4F3C-9887-446C-A65D-4CAB06A54B71}" name="Table_1463109" displayName="Table_1463109" ref="B4:N5" headerRowDxfId="1318" dataDxfId="1316" totalsRowDxfId="1315" headerRowBorderDxfId="1317">
  <tableColumns count="13">
    <tableColumn id="1" xr3:uid="{6E8FFCEA-9517-4F01-A546-97DC8E53B5C8}" name="Countries " dataDxfId="1314"/>
    <tableColumn id="2" xr3:uid="{1A991A5D-379F-49BA-A826-5C898997C908}" name=" " dataDxfId="1313"/>
    <tableColumn id="3" xr3:uid="{0C86D298-529E-4134-8EAC-4E53FBC9C5F1}" name="Burundi" dataDxfId="1312" dataCellStyle="Comma">
      <calculatedColumnFormula>C6</calculatedColumnFormula>
    </tableColumn>
    <tableColumn id="4" xr3:uid="{E6961E70-6C7C-4CC9-A8DA-22B71163C18B}" name="DRC" dataDxfId="1311" dataCellStyle="Comma">
      <calculatedColumnFormula>C7</calculatedColumnFormula>
    </tableColumn>
    <tableColumn id="5" xr3:uid="{709FD7D5-1763-4EBF-805A-915D591D921E}" name="Egypt" dataDxfId="1310" dataCellStyle="Comma">
      <calculatedColumnFormula>C8</calculatedColumnFormula>
    </tableColumn>
    <tableColumn id="6" xr3:uid="{EFECF8A7-803B-46DC-B80B-5B123B28F743}" name="Eritrea" dataDxfId="1309" dataCellStyle="Comma">
      <calculatedColumnFormula>C9</calculatedColumnFormula>
    </tableColumn>
    <tableColumn id="7" xr3:uid="{CEB0E25C-510E-48ED-8B3A-CD19F0846021}" name="Ethiopia" dataDxfId="1308" dataCellStyle="Comma">
      <calculatedColumnFormula>C10</calculatedColumnFormula>
    </tableColumn>
    <tableColumn id="8" xr3:uid="{425369DD-877D-428A-9348-3A54F90F0A54}" name="Kenya" dataDxfId="1307" dataCellStyle="Comma">
      <calculatedColumnFormula>C11</calculatedColumnFormula>
    </tableColumn>
    <tableColumn id="9" xr3:uid="{1E97E088-5963-4898-A72D-21907C5B6A49}" name="Rwanda" dataDxfId="1306" dataCellStyle="Comma">
      <calculatedColumnFormula>C12</calculatedColumnFormula>
    </tableColumn>
    <tableColumn id="10" xr3:uid="{204C381A-7B78-4263-9A3E-E7F0258FC39E}" name="Sudan" dataDxfId="1305" dataCellStyle="Comma">
      <calculatedColumnFormula>C13</calculatedColumnFormula>
    </tableColumn>
    <tableColumn id="11" xr3:uid="{C57A257F-4C11-424D-AC4C-0A224979CD39}" name="S. Sudan" dataDxfId="1304" dataCellStyle="Comma">
      <calculatedColumnFormula>C14</calculatedColumnFormula>
    </tableColumn>
    <tableColumn id="12" xr3:uid="{A4DF2C25-158D-4C30-BC84-DFBDBF6DEC4F}" name="Tanzania" dataDxfId="1303" dataCellStyle="Comma">
      <calculatedColumnFormula>C15</calculatedColumnFormula>
    </tableColumn>
    <tableColumn id="13" xr3:uid="{2A3020C3-1148-4BC7-979B-D3E8B175DBBD}" name="Uganda" dataDxfId="1302" dataCellStyle="Comma">
      <calculatedColumnFormula>C16</calculatedColumnFormula>
    </tableColumn>
  </tableColumns>
  <tableStyleInfo name="Envy_area_11-style"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5B7ECE0F-6D42-4571-B31F-FEA450D6DF14}" name="Table_146341211" displayName="Table_146341211" ref="B22:N23" headerRowDxfId="1301" dataDxfId="1299" totalsRowDxfId="1298" headerRowBorderDxfId="1300">
  <tableColumns count="13">
    <tableColumn id="1" xr3:uid="{1CD1F333-6887-45C2-A3BC-9AD543335FAF}" name="Countries " dataDxfId="1297"/>
    <tableColumn id="2" xr3:uid="{F8D8E347-9730-4A1E-841D-D923693AB4BD}" name=" " dataDxfId="1296"/>
    <tableColumn id="3" xr3:uid="{3074A994-AD82-4D71-938B-017E0964409C}" name="Burundi" dataDxfId="1295" dataCellStyle="Comma">
      <calculatedColumnFormula>C24</calculatedColumnFormula>
    </tableColumn>
    <tableColumn id="4" xr3:uid="{5D3D4E1E-6E25-41EF-B116-12087887A65E}" name="DRC" dataDxfId="1294" dataCellStyle="Comma">
      <calculatedColumnFormula>C25</calculatedColumnFormula>
    </tableColumn>
    <tableColumn id="5" xr3:uid="{105AC144-26B1-46CE-B0D0-DD7F7CC5611C}" name="Egypt" dataDxfId="1293" dataCellStyle="Comma">
      <calculatedColumnFormula>C26</calculatedColumnFormula>
    </tableColumn>
    <tableColumn id="6" xr3:uid="{42A1A4AB-846F-43DC-8F0F-9BADB1FA0CA0}" name="Eritrea" dataDxfId="1292" dataCellStyle="Comma">
      <calculatedColumnFormula>C27</calculatedColumnFormula>
    </tableColumn>
    <tableColumn id="7" xr3:uid="{2F9F7648-92AA-4F86-9A49-CB28A523032E}" name="Ethiopia" dataDxfId="1291" dataCellStyle="Comma">
      <calculatedColumnFormula>C28</calculatedColumnFormula>
    </tableColumn>
    <tableColumn id="8" xr3:uid="{D4E99822-EC60-4805-8300-A3796E05A029}" name="Kenya" dataDxfId="1290" dataCellStyle="Comma">
      <calculatedColumnFormula>C29</calculatedColumnFormula>
    </tableColumn>
    <tableColumn id="9" xr3:uid="{451353BD-F791-4433-BCAC-3AD303FC5546}" name="Rwanda" dataDxfId="1289" dataCellStyle="Comma">
      <calculatedColumnFormula>C30</calculatedColumnFormula>
    </tableColumn>
    <tableColumn id="10" xr3:uid="{24A65C52-BA98-4899-95B8-CDAC7F6CC1A5}" name="Sudan" dataDxfId="1288" dataCellStyle="Comma">
      <calculatedColumnFormula>C31</calculatedColumnFormula>
    </tableColumn>
    <tableColumn id="11" xr3:uid="{1676E591-B0A4-4A6F-9564-028CC470A0D9}" name="S. Sudan" dataDxfId="1287" dataCellStyle="Comma">
      <calculatedColumnFormula>C32</calculatedColumnFormula>
    </tableColumn>
    <tableColumn id="12" xr3:uid="{B48DC2BF-DD2E-4E1C-8170-0F771EF58ED5}" name="Tanzania" dataDxfId="1286" dataCellStyle="Comma">
      <calculatedColumnFormula>C33</calculatedColumnFormula>
    </tableColumn>
    <tableColumn id="13" xr3:uid="{AB17A527-E4DE-4D8C-9465-9D53D63F8211}" name="Uganda" dataDxfId="1285" dataCellStyle="Comma">
      <calculatedColumnFormula>C34</calculatedColumnFormula>
    </tableColumn>
  </tableColumns>
  <tableStyleInfo name="Envy_area_11-style" showFirstColumn="1" showLastColumn="1"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292BA337-0028-43E3-9E9A-4FDE2C469824}" name="Table_14634571419" displayName="Table_14634571419" ref="B58:N59" headerRowDxfId="1284" dataDxfId="1282" totalsRowDxfId="1281" headerRowBorderDxfId="1283">
  <tableColumns count="13">
    <tableColumn id="1" xr3:uid="{28390DDA-5868-4E26-9206-E2893DF8BCE9}" name="Countries " dataDxfId="1280"/>
    <tableColumn id="2" xr3:uid="{AB759200-EEF2-487D-8C13-5CDDE2AD3A49}" name=" " dataDxfId="1279"/>
    <tableColumn id="3" xr3:uid="{ED4EF5DE-5BB6-4519-91E9-263AD457AC4D}" name="Burundi" dataDxfId="1278" dataCellStyle="Comma">
      <calculatedColumnFormula>C60</calculatedColumnFormula>
    </tableColumn>
    <tableColumn id="4" xr3:uid="{41C0CEC4-E6FA-4F29-B86F-04B0A7688936}" name="DRC" dataDxfId="1277" dataCellStyle="Comma">
      <calculatedColumnFormula>C61</calculatedColumnFormula>
    </tableColumn>
    <tableColumn id="5" xr3:uid="{38436BFA-EEC8-4CA4-887A-C15D219E019D}" name="Egypt" dataDxfId="1276" dataCellStyle="Comma">
      <calculatedColumnFormula>C62</calculatedColumnFormula>
    </tableColumn>
    <tableColumn id="6" xr3:uid="{CF0C07A0-3616-4D6E-A549-593FFDE2300D}" name="Eritrea" dataDxfId="1275" dataCellStyle="Comma">
      <calculatedColumnFormula>C63</calculatedColumnFormula>
    </tableColumn>
    <tableColumn id="7" xr3:uid="{497EC17D-BE6C-40EA-89C7-E2D8309250B2}" name="Ethiopia" dataDxfId="1274" dataCellStyle="Comma">
      <calculatedColumnFormula>C64</calculatedColumnFormula>
    </tableColumn>
    <tableColumn id="8" xr3:uid="{D329B575-8086-4478-9B9C-5F56E152BF57}" name="Kenya" dataDxfId="1273" dataCellStyle="Comma">
      <calculatedColumnFormula>C65</calculatedColumnFormula>
    </tableColumn>
    <tableColumn id="9" xr3:uid="{5B1E48DF-AC2B-4A25-B07A-6E992298CADA}" name="Rwanda" dataDxfId="1272" dataCellStyle="Comma">
      <calculatedColumnFormula>C66</calculatedColumnFormula>
    </tableColumn>
    <tableColumn id="10" xr3:uid="{B34B0613-68C7-47E1-B97F-8BAD53AF235D}" name="Sudan" dataDxfId="1271" dataCellStyle="Comma">
      <calculatedColumnFormula>C67</calculatedColumnFormula>
    </tableColumn>
    <tableColumn id="11" xr3:uid="{B634F7FC-8FA3-4794-B191-DF2464C2BDD7}" name="S. Sudan" dataDxfId="1270" dataCellStyle="Comma">
      <calculatedColumnFormula>C68</calculatedColumnFormula>
    </tableColumn>
    <tableColumn id="12" xr3:uid="{3F5E2E0D-3618-481F-93C1-F65B831E210B}" name="Tanzania" dataDxfId="1269" dataCellStyle="Comma">
      <calculatedColumnFormula>C69</calculatedColumnFormula>
    </tableColumn>
    <tableColumn id="13" xr3:uid="{9C9E816C-D888-4FE2-AE8D-FA10D7EF8588}" name="Uganda" dataDxfId="1268" dataCellStyle="Comma">
      <calculatedColumnFormula>C70</calculatedColumnFormula>
    </tableColumn>
  </tableColumns>
  <tableStyleInfo name="Envy_area_11-style" showFirstColumn="1" showLastColumn="1"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C93FF6A9-3C87-4E9D-AAA3-7D9627C380E1}" name="Table_1463451520" displayName="Table_1463451520" ref="B40:N41" headerRowDxfId="1267" dataDxfId="1265" totalsRowDxfId="1264" headerRowBorderDxfId="1266">
  <tableColumns count="13">
    <tableColumn id="1" xr3:uid="{825A4136-C81D-408D-BCBD-2B9DD0A5D008}" name="Countries " dataDxfId="1263"/>
    <tableColumn id="2" xr3:uid="{7C8E0D44-FD3D-4C58-AA3E-6502DE6834B4}" name=" " dataDxfId="1262"/>
    <tableColumn id="3" xr3:uid="{0B8A7138-3F1F-40F3-9277-F3261DA4E338}" name="Burundi" dataDxfId="1261" dataCellStyle="Comma">
      <calculatedColumnFormula>C42</calculatedColumnFormula>
    </tableColumn>
    <tableColumn id="4" xr3:uid="{4306BBAC-35C3-4B9F-8148-EBD6BDEF68A6}" name="DRC" dataDxfId="1260" dataCellStyle="Comma">
      <calculatedColumnFormula>C43</calculatedColumnFormula>
    </tableColumn>
    <tableColumn id="5" xr3:uid="{A1BBDB7A-9EB0-467A-B03C-D7026565C7CD}" name="Egypt" dataDxfId="1259" dataCellStyle="Comma">
      <calculatedColumnFormula>C44</calculatedColumnFormula>
    </tableColumn>
    <tableColumn id="6" xr3:uid="{631C971D-096F-4CF7-ABD7-9EC6A4E84248}" name="Eritrea" dataDxfId="1258" dataCellStyle="Comma">
      <calculatedColumnFormula>C45</calculatedColumnFormula>
    </tableColumn>
    <tableColumn id="7" xr3:uid="{10090B2B-3EE9-4511-AFD1-70584E642D57}" name="Ethiopia" dataDxfId="1257" dataCellStyle="Comma">
      <calculatedColumnFormula>C46</calculatedColumnFormula>
    </tableColumn>
    <tableColumn id="8" xr3:uid="{8E557C6F-20AE-4625-8107-24C710470490}" name="Kenya" dataDxfId="1256" dataCellStyle="Comma">
      <calculatedColumnFormula>C47</calculatedColumnFormula>
    </tableColumn>
    <tableColumn id="9" xr3:uid="{78E054EE-35C0-4BF6-B70F-52C28921D8EE}" name="Rwanda" dataDxfId="1255" dataCellStyle="Comma">
      <calculatedColumnFormula>C48</calculatedColumnFormula>
    </tableColumn>
    <tableColumn id="10" xr3:uid="{DB0C114B-95C0-4120-AA12-CE5993BD2F99}" name="Sudan" dataDxfId="1254" dataCellStyle="Comma">
      <calculatedColumnFormula>C49</calculatedColumnFormula>
    </tableColumn>
    <tableColumn id="11" xr3:uid="{B0210DC7-4982-4B9B-9DBC-F10A99C6BE6D}" name="S. Sudan" dataDxfId="1253" dataCellStyle="Comma">
      <calculatedColumnFormula>C50</calculatedColumnFormula>
    </tableColumn>
    <tableColumn id="12" xr3:uid="{EBAFF06F-EB3E-4413-A1F8-289F6E43811F}" name="Tanzania" dataDxfId="1252" dataCellStyle="Comma">
      <calculatedColumnFormula>C51</calculatedColumnFormula>
    </tableColumn>
    <tableColumn id="13" xr3:uid="{9D2325D9-697D-4FC3-BAD1-813C41FEE101}" name="Uganda" dataDxfId="1251" dataCellStyle="Comma">
      <calculatedColumnFormula>C52</calculatedColumnFormula>
    </tableColumn>
  </tableColumns>
  <tableStyleInfo name="Envy_area_11-style" showFirstColumn="1" showLastColumn="1"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48692AC-9BBC-444C-B232-A003B36D94C6}" name="Table_1463457811291821" displayName="Table_1463457811291821" ref="B132:N133" headerRowDxfId="1250" dataDxfId="1248" totalsRowDxfId="1247" headerRowBorderDxfId="1249">
  <tableColumns count="13">
    <tableColumn id="1" xr3:uid="{31728184-A53F-4DF4-8B57-5D5798E1D664}" name="Countries " dataDxfId="1246"/>
    <tableColumn id="2" xr3:uid="{2BADBB58-74AC-474E-9D8E-43E83CC9CE3D}" name=" " dataDxfId="1245"/>
    <tableColumn id="3" xr3:uid="{57FAD77E-8D42-42DF-BEF4-2481D653898D}" name="Burundi" dataDxfId="1244" dataCellStyle="Comma">
      <calculatedColumnFormula>C134</calculatedColumnFormula>
    </tableColumn>
    <tableColumn id="4" xr3:uid="{DD4796A4-61EA-4E6B-BF8C-287690B8740F}" name="DRC" dataDxfId="1243" dataCellStyle="Comma">
      <calculatedColumnFormula>C135</calculatedColumnFormula>
    </tableColumn>
    <tableColumn id="5" xr3:uid="{9C527D08-7D6E-4D45-A6AF-C2891C054958}" name="Egypt" dataDxfId="1242" dataCellStyle="Comma">
      <calculatedColumnFormula>C136</calculatedColumnFormula>
    </tableColumn>
    <tableColumn id="6" xr3:uid="{9C08B7C4-BACD-4282-A015-EDFB721C6506}" name="Eritrea" dataDxfId="1241" dataCellStyle="Comma">
      <calculatedColumnFormula>C137</calculatedColumnFormula>
    </tableColumn>
    <tableColumn id="7" xr3:uid="{121DEEC0-6541-45BE-8C35-DFC8A39C351F}" name="Ethiopia" dataDxfId="1240" dataCellStyle="Comma">
      <calculatedColumnFormula>C138</calculatedColumnFormula>
    </tableColumn>
    <tableColumn id="8" xr3:uid="{6A0DFB66-7D74-40F5-A727-6D4DD99F12F6}" name="Kenya" dataDxfId="1239" dataCellStyle="Comma">
      <calculatedColumnFormula>C139</calculatedColumnFormula>
    </tableColumn>
    <tableColumn id="9" xr3:uid="{1FE93095-070F-49FD-8940-09CB8E0BFB3F}" name="Rwanda" dataDxfId="1238" dataCellStyle="Comma">
      <calculatedColumnFormula>C140</calculatedColumnFormula>
    </tableColumn>
    <tableColumn id="10" xr3:uid="{F90338F4-AD6B-46D1-AD6D-DF71ABD78B72}" name="Sudan" dataDxfId="1237" dataCellStyle="Comma">
      <calculatedColumnFormula>C141</calculatedColumnFormula>
    </tableColumn>
    <tableColumn id="11" xr3:uid="{1132EF83-D7DD-4508-90B3-A432B6D0F73F}" name="S. Sudan" dataDxfId="1236" dataCellStyle="Comma">
      <calculatedColumnFormula>C142</calculatedColumnFormula>
    </tableColumn>
    <tableColumn id="12" xr3:uid="{E485C2B1-D3B3-4FF1-AF6E-DC0BE78C46D2}" name="Tanzania" dataDxfId="1235" dataCellStyle="Comma">
      <calculatedColumnFormula>C143</calculatedColumnFormula>
    </tableColumn>
    <tableColumn id="13" xr3:uid="{A67B3419-3ECB-4295-8FDD-50C19E233969}" name="Uganda" dataDxfId="1234" dataCellStyle="Comma">
      <calculatedColumnFormula>C144</calculatedColumnFormula>
    </tableColumn>
  </tableColumns>
  <tableStyleInfo name="Envy_area_11-style" showFirstColumn="1" showLastColumn="1"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B6094AC3-4961-46EB-BCEF-D1FDF98E0BD4}" name="Table_146345781121722" displayName="Table_146345781121722" ref="B114:N115" headerRowDxfId="1233" dataDxfId="1231" totalsRowDxfId="1230" headerRowBorderDxfId="1232">
  <tableColumns count="13">
    <tableColumn id="1" xr3:uid="{74DAD208-DBCE-400A-BD23-C85A1A804792}" name="Countries " dataDxfId="1229"/>
    <tableColumn id="2" xr3:uid="{0214B169-D2FC-4E80-9D0A-6D360C2527EA}" name=" " dataDxfId="1228"/>
    <tableColumn id="3" xr3:uid="{F1392330-C5C4-4C96-9C09-7DE1536356BC}" name="Burundi" dataDxfId="1227" dataCellStyle="Comma">
      <calculatedColumnFormula>C116</calculatedColumnFormula>
    </tableColumn>
    <tableColumn id="4" xr3:uid="{E1664EC2-59D9-4066-8441-CCBFF7D64703}" name="DRC" dataDxfId="1226" dataCellStyle="Comma">
      <calculatedColumnFormula>C117</calculatedColumnFormula>
    </tableColumn>
    <tableColumn id="5" xr3:uid="{B4F96C2C-7DFE-47BB-B665-97D2BF2158A0}" name="Egypt" dataDxfId="1225" dataCellStyle="Comma">
      <calculatedColumnFormula>C118</calculatedColumnFormula>
    </tableColumn>
    <tableColumn id="6" xr3:uid="{5390487D-C7C3-4F87-B6B0-520E1CF0B058}" name="Eritrea" dataDxfId="1224" dataCellStyle="Comma">
      <calculatedColumnFormula>C119</calculatedColumnFormula>
    </tableColumn>
    <tableColumn id="7" xr3:uid="{006C5F41-428A-4CF1-90D6-E636C56FB8F0}" name="Ethiopia" dataDxfId="1223" dataCellStyle="Comma">
      <calculatedColumnFormula>C120</calculatedColumnFormula>
    </tableColumn>
    <tableColumn id="8" xr3:uid="{84B9D700-261B-4BCC-AD05-E7F50FEB0AA0}" name="Kenya" dataDxfId="1222" dataCellStyle="Comma">
      <calculatedColumnFormula>C121</calculatedColumnFormula>
    </tableColumn>
    <tableColumn id="9" xr3:uid="{BD6BF7AD-B635-4375-B2F1-9A922054CBAB}" name="Rwanda" dataDxfId="1221" dataCellStyle="Comma">
      <calculatedColumnFormula>C122</calculatedColumnFormula>
    </tableColumn>
    <tableColumn id="10" xr3:uid="{A238987A-9A50-4C9A-AF62-68052EE65462}" name="Sudan" dataDxfId="1220" dataCellStyle="Comma">
      <calculatedColumnFormula>C123</calculatedColumnFormula>
    </tableColumn>
    <tableColumn id="11" xr3:uid="{44E7CDE3-5374-458C-9A5E-B8867BC3F586}" name="S. Sudan" dataDxfId="1219" dataCellStyle="Comma">
      <calculatedColumnFormula>C124</calculatedColumnFormula>
    </tableColumn>
    <tableColumn id="12" xr3:uid="{125DC35D-3E9F-470F-BCD7-076259F50525}" name="Tanzania" dataDxfId="1218" dataCellStyle="Comma">
      <calculatedColumnFormula>C125</calculatedColumnFormula>
    </tableColumn>
    <tableColumn id="13" xr3:uid="{9B33FE7B-9151-4F2D-A60B-9CF71B0681BC}" name="Uganda" dataDxfId="1217" dataCellStyle="Comma">
      <calculatedColumnFormula>C126</calculatedColumnFormula>
    </tableColumn>
  </tableColumns>
  <tableStyleInfo name="Envy_area_11-style" showFirstColumn="1" showLastColumn="1"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8FD60CA4-A400-488D-9B97-B67E2340E321}" name="Table_14634578111623" displayName="Table_14634578111623" ref="B96:N97" headerRowDxfId="1216" dataDxfId="1214" totalsRowDxfId="1213" headerRowBorderDxfId="1215">
  <tableColumns count="13">
    <tableColumn id="1" xr3:uid="{2DB6515E-31F6-4551-83D8-EADBE46D1FBE}" name="Countries " dataDxfId="1212"/>
    <tableColumn id="2" xr3:uid="{0136EBEE-645F-4A61-8FA0-D11FEEA85AAD}" name=" " dataDxfId="1211"/>
    <tableColumn id="3" xr3:uid="{569F5DA9-B74C-48F3-A2CD-D95FD7BB3BAF}" name="Burundi" dataDxfId="1210" dataCellStyle="Comma">
      <calculatedColumnFormula>C98</calculatedColumnFormula>
    </tableColumn>
    <tableColumn id="4" xr3:uid="{F2D35C64-6930-4E5D-9286-A3C7D3908F05}" name="DRC" dataDxfId="1209" dataCellStyle="Comma">
      <calculatedColumnFormula>C99</calculatedColumnFormula>
    </tableColumn>
    <tableColumn id="5" xr3:uid="{537E635C-ED6A-4F7B-B79B-925A8B974C14}" name="Egypt" dataDxfId="1208" dataCellStyle="Comma">
      <calculatedColumnFormula>C100</calculatedColumnFormula>
    </tableColumn>
    <tableColumn id="6" xr3:uid="{DF208FD3-6E48-49AE-94D3-86AC3C664DE6}" name="Eritrea" dataDxfId="1207" dataCellStyle="Comma">
      <calculatedColumnFormula>C101</calculatedColumnFormula>
    </tableColumn>
    <tableColumn id="7" xr3:uid="{47D6DB76-8140-41BF-AC2A-3B6A245A3A58}" name="Ethiopia" dataDxfId="1206" dataCellStyle="Comma">
      <calculatedColumnFormula>C102</calculatedColumnFormula>
    </tableColumn>
    <tableColumn id="8" xr3:uid="{CD71F4E8-CBAC-4DB0-99C3-E0E3A6CC5DC4}" name="Kenya" dataDxfId="1205" dataCellStyle="Comma">
      <calculatedColumnFormula>C103</calculatedColumnFormula>
    </tableColumn>
    <tableColumn id="9" xr3:uid="{73FE745E-023D-4B0A-9ECD-E161D6195DDB}" name="Rwanda" dataDxfId="1204" dataCellStyle="Comma">
      <calculatedColumnFormula>C104</calculatedColumnFormula>
    </tableColumn>
    <tableColumn id="10" xr3:uid="{40FF9135-D6E4-44B1-99F3-C73452B19880}" name="Sudan" dataDxfId="1203" dataCellStyle="Comma">
      <calculatedColumnFormula>C105</calculatedColumnFormula>
    </tableColumn>
    <tableColumn id="11" xr3:uid="{EFF20AC7-04B0-4022-A881-CBD18A8439C5}" name="S. Sudan" dataDxfId="1202" dataCellStyle="Comma">
      <calculatedColumnFormula>C106</calculatedColumnFormula>
    </tableColumn>
    <tableColumn id="12" xr3:uid="{42292469-5E49-4359-8826-6462D978B8C0}" name="Tanzania" dataDxfId="1201" dataCellStyle="Comma">
      <calculatedColumnFormula>C107</calculatedColumnFormula>
    </tableColumn>
    <tableColumn id="13" xr3:uid="{66606026-669B-4FAA-8CD5-7128B8251CD1}" name="Uganda" dataDxfId="1200" dataCellStyle="Comma">
      <calculatedColumnFormula>C108</calculatedColumnFormula>
    </tableColumn>
  </tableColumns>
  <tableStyleInfo name="Envy_area_11-style" showFirstColumn="1" showLastColumn="1"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55535FA5-E7C4-4A93-A19A-670761B6046A}" name="Table_146345781324" displayName="Table_146345781324" ref="B78:N79" headerRowDxfId="1199" dataDxfId="1197" totalsRowDxfId="1196" headerRowBorderDxfId="1198">
  <tableColumns count="13">
    <tableColumn id="1" xr3:uid="{076625C2-B753-4808-A93B-BF700EEB92B9}" name="Countries " dataDxfId="1195"/>
    <tableColumn id="2" xr3:uid="{F2CE22A4-4DDB-46FE-887B-17FD17F2F42B}" name=" " dataDxfId="1194"/>
    <tableColumn id="3" xr3:uid="{E4649245-0230-464B-A797-24FDB4E0EF1E}" name="Burundi" dataDxfId="1193" dataCellStyle="Comma">
      <calculatedColumnFormula>C80</calculatedColumnFormula>
    </tableColumn>
    <tableColumn id="4" xr3:uid="{CB819468-5D1C-4FBD-9B11-B2C5506A6412}" name="DRC" dataDxfId="1192" dataCellStyle="Comma">
      <calculatedColumnFormula>C81</calculatedColumnFormula>
    </tableColumn>
    <tableColumn id="5" xr3:uid="{4B5F662E-3856-415B-B621-6E881791A0F7}" name="Egypt" dataDxfId="1191" dataCellStyle="Comma">
      <calculatedColumnFormula>C82</calculatedColumnFormula>
    </tableColumn>
    <tableColumn id="6" xr3:uid="{5F635CDB-1789-40AA-AB1F-6D9B701A8F78}" name="Eritrea" dataDxfId="1190" dataCellStyle="Comma">
      <calculatedColumnFormula>C83</calculatedColumnFormula>
    </tableColumn>
    <tableColumn id="7" xr3:uid="{0E061157-DF35-4719-AAA0-9B11BDB383A0}" name="Ethiopia" dataDxfId="1189" dataCellStyle="Comma">
      <calculatedColumnFormula>C84</calculatedColumnFormula>
    </tableColumn>
    <tableColumn id="8" xr3:uid="{7B8F9561-CA63-433C-934D-4194CA82E3DB}" name="Kenya" dataDxfId="1188" dataCellStyle="Comma">
      <calculatedColumnFormula>C85</calculatedColumnFormula>
    </tableColumn>
    <tableColumn id="9" xr3:uid="{E34EF6F7-B368-4FA3-8933-FDB07C60573C}" name="Rwanda" dataDxfId="1187" dataCellStyle="Comma">
      <calculatedColumnFormula>C86</calculatedColumnFormula>
    </tableColumn>
    <tableColumn id="10" xr3:uid="{22AC459D-297C-4874-927B-99A0D32DA6D2}" name="Sudan" dataDxfId="1186" dataCellStyle="Comma">
      <calculatedColumnFormula>C87</calculatedColumnFormula>
    </tableColumn>
    <tableColumn id="11" xr3:uid="{CFBD35BE-3424-4774-8FEA-B55885296C09}" name="S. Sudan" dataDxfId="1185" dataCellStyle="Comma">
      <calculatedColumnFormula>C88</calculatedColumnFormula>
    </tableColumn>
    <tableColumn id="12" xr3:uid="{B3148A36-4A4B-4435-9B53-8399B1D483B1}" name="Tanzania" dataDxfId="1184" dataCellStyle="Comma">
      <calculatedColumnFormula>C89</calculatedColumnFormula>
    </tableColumn>
    <tableColumn id="13" xr3:uid="{48BB92B4-C3C0-4239-921D-2FEDB644E90C}" name="Uganda" dataDxfId="1183" dataCellStyle="Comma">
      <calculatedColumnFormula>C90</calculatedColumnFormula>
    </tableColumn>
  </tableColumns>
  <tableStyleInfo name="Envy_area_11-style" showFirstColumn="1" showLastColumn="1"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67597A40-2671-4EDC-8619-5779286B04E4}" name="Table_146310938" displayName="Table_146310938" ref="B4:N5" headerRowDxfId="1182" dataDxfId="1180" totalsRowDxfId="1179" headerRowBorderDxfId="1181">
  <tableColumns count="13">
    <tableColumn id="1" xr3:uid="{00D0D4EC-AB4F-40A6-B9B4-AB612F73F52D}" name="Countries " dataDxfId="1178"/>
    <tableColumn id="2" xr3:uid="{838AC25A-C68D-4E16-A0E7-0716714D73CD}" name=" " dataDxfId="1177"/>
    <tableColumn id="3" xr3:uid="{1DC4AABA-51FA-4296-82D0-6186E2824755}" name="Burundi" dataDxfId="1176" dataCellStyle="Comma">
      <calculatedColumnFormula>C6</calculatedColumnFormula>
    </tableColumn>
    <tableColumn id="4" xr3:uid="{7AB3857E-D52B-4F73-A4E4-EB91D64831B4}" name="DRC" dataDxfId="1175" dataCellStyle="Comma">
      <calculatedColumnFormula>C7</calculatedColumnFormula>
    </tableColumn>
    <tableColumn id="5" xr3:uid="{623A29E9-23B5-49E3-916F-04DFDDA1F768}" name="Egypt" dataDxfId="1174" dataCellStyle="Comma">
      <calculatedColumnFormula>C8</calculatedColumnFormula>
    </tableColumn>
    <tableColumn id="6" xr3:uid="{8E1846E3-B72C-4B10-A301-854EBCD53A26}" name="Eritrea" dataDxfId="1173" dataCellStyle="Comma">
      <calculatedColumnFormula>C9</calculatedColumnFormula>
    </tableColumn>
    <tableColumn id="7" xr3:uid="{E7C351F5-FF66-4CE8-8337-1FFF7074537C}" name="Ethiopia" dataDxfId="1172" dataCellStyle="Comma">
      <calculatedColumnFormula>C10</calculatedColumnFormula>
    </tableColumn>
    <tableColumn id="8" xr3:uid="{AA6B1AF4-2D2A-4D1F-9D24-2CE2342E052A}" name="Kenya" dataDxfId="1171" dataCellStyle="Comma">
      <calculatedColumnFormula>C11</calculatedColumnFormula>
    </tableColumn>
    <tableColumn id="9" xr3:uid="{32830C44-CD72-47D7-8DFE-D203D8A11188}" name="Rwanda" dataDxfId="1170" dataCellStyle="Comma">
      <calculatedColumnFormula>C12</calculatedColumnFormula>
    </tableColumn>
    <tableColumn id="10" xr3:uid="{50AED21F-67A8-47E5-97EC-D3251EF66604}" name="Sudan" dataDxfId="1169" dataCellStyle="Comma">
      <calculatedColumnFormula>C13</calculatedColumnFormula>
    </tableColumn>
    <tableColumn id="11" xr3:uid="{CB454C7E-0CBE-461D-855F-5563C2005D0D}" name="S. Sudan" dataDxfId="1168" dataCellStyle="Comma">
      <calculatedColumnFormula>C14</calculatedColumnFormula>
    </tableColumn>
    <tableColumn id="12" xr3:uid="{181F1E38-D252-4FAE-93B4-987287C21B75}" name="Tanzania" dataDxfId="1167" dataCellStyle="Comma">
      <calculatedColumnFormula>C15</calculatedColumnFormula>
    </tableColumn>
    <tableColumn id="13" xr3:uid="{69CC1599-B78F-46A3-9701-F163A741EA17}" name="Uganda" dataDxfId="1166" dataCellStyle="Comma">
      <calculatedColumnFormula>C16</calculatedColumnFormula>
    </tableColumn>
  </tableColumns>
  <tableStyleInfo name="Envy_area_11-style" showFirstColumn="1" showLastColumn="1"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71E9B337-25B2-4D8E-816F-DF3FD82C27C3}" name="Table_14634121139" displayName="Table_14634121139" ref="B22:N23" headerRowDxfId="1165" dataDxfId="1163" totalsRowDxfId="1162" headerRowBorderDxfId="1164">
  <tableColumns count="13">
    <tableColumn id="1" xr3:uid="{60078BD0-12C9-4192-A864-0D69A21D110D}" name="Countries " dataDxfId="1161"/>
    <tableColumn id="2" xr3:uid="{CEB13604-4FCD-4272-841C-D5338140F952}" name=" " dataDxfId="1160"/>
    <tableColumn id="3" xr3:uid="{A83EB522-6B12-4B6B-BF0F-8241A22132B6}" name="Burundi" dataDxfId="1159" dataCellStyle="Comma">
      <calculatedColumnFormula>C24</calculatedColumnFormula>
    </tableColumn>
    <tableColumn id="4" xr3:uid="{EA92A08D-474F-434D-B464-C5AD3BB559DB}" name="DRC" dataDxfId="1158" dataCellStyle="Comma">
      <calculatedColumnFormula>C25</calculatedColumnFormula>
    </tableColumn>
    <tableColumn id="5" xr3:uid="{63C209ED-E7D2-4A1A-9993-5A29D303B6C0}" name="Egypt" dataDxfId="1157" dataCellStyle="Comma">
      <calculatedColumnFormula>C26</calculatedColumnFormula>
    </tableColumn>
    <tableColumn id="6" xr3:uid="{B11467DD-0C8A-4592-8949-D0239C1D3F80}" name="Eritrea" dataDxfId="1156" dataCellStyle="Comma">
      <calculatedColumnFormula>C27</calculatedColumnFormula>
    </tableColumn>
    <tableColumn id="7" xr3:uid="{C7446058-2D28-4C3A-936E-2EE99686AB52}" name="Ethiopia" dataDxfId="1155" dataCellStyle="Comma">
      <calculatedColumnFormula>C28</calculatedColumnFormula>
    </tableColumn>
    <tableColumn id="8" xr3:uid="{78C079C9-F3CE-4454-94C8-ADD989CF54CA}" name="Kenya" dataDxfId="1154" dataCellStyle="Comma">
      <calculatedColumnFormula>C29</calculatedColumnFormula>
    </tableColumn>
    <tableColumn id="9" xr3:uid="{E8419B07-9AB3-4061-A4B7-92C583DCAE15}" name="Rwanda" dataDxfId="1153" dataCellStyle="Comma">
      <calculatedColumnFormula>C30</calculatedColumnFormula>
    </tableColumn>
    <tableColumn id="10" xr3:uid="{A53AC7C4-7C53-4008-B6A1-2E2990BE529C}" name="Sudan" dataDxfId="1152" dataCellStyle="Comma">
      <calculatedColumnFormula>C31</calculatedColumnFormula>
    </tableColumn>
    <tableColumn id="11" xr3:uid="{053A8D5C-EA61-4181-B0BD-9AAA97AD9F56}" name="S. Sudan" dataDxfId="1151" dataCellStyle="Comma">
      <calculatedColumnFormula>C32</calculatedColumnFormula>
    </tableColumn>
    <tableColumn id="12" xr3:uid="{7D5FC262-7E88-4C9E-8994-90D15A613A00}" name="Tanzania" dataDxfId="1150" dataCellStyle="Comma">
      <calculatedColumnFormula>C33</calculatedColumnFormula>
    </tableColumn>
    <tableColumn id="13" xr3:uid="{6B3B8CDF-6E0E-4E48-B942-153BF68D84FD}" name="Uganda" dataDxfId="1149" dataCellStyle="Comma">
      <calculatedColumnFormula>C34</calculatedColumnFormula>
    </tableColumn>
  </tableColumns>
  <tableStyleInfo name="Envy_area_11-style" showFirstColumn="1" showLastColumn="1"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 xr:uid="{8EC3B35F-4FDC-4951-9A50-494E52908CC5}" name="Table_1463457141940" displayName="Table_1463457141940" ref="B58:N59" headerRowDxfId="1148" dataDxfId="1146" totalsRowDxfId="1145" headerRowBorderDxfId="1147">
  <tableColumns count="13">
    <tableColumn id="1" xr3:uid="{1E00913C-36E6-463E-9D94-A6C08F2D04CD}" name="Countries " dataDxfId="1144"/>
    <tableColumn id="2" xr3:uid="{8EA5B481-4565-4D54-94E4-2B0E01095492}" name=" " dataDxfId="1143"/>
    <tableColumn id="3" xr3:uid="{3C53D111-CE24-4F65-955C-16C02A81AF58}" name="Burundi" dataDxfId="1142" dataCellStyle="Comma">
      <calculatedColumnFormula>C60</calculatedColumnFormula>
    </tableColumn>
    <tableColumn id="4" xr3:uid="{B06629D6-F7A1-491D-B241-E8716EAC1095}" name="DRC" dataDxfId="1141" dataCellStyle="Comma">
      <calculatedColumnFormula>C61</calculatedColumnFormula>
    </tableColumn>
    <tableColumn id="5" xr3:uid="{38D56ABA-9C75-45C2-BDA0-7B827B3BF8D6}" name="Egypt" dataDxfId="1140" dataCellStyle="Comma">
      <calculatedColumnFormula>C62</calculatedColumnFormula>
    </tableColumn>
    <tableColumn id="6" xr3:uid="{72B634BF-F911-403D-B5C5-4EE34FC93918}" name="Eritrea" dataDxfId="1139" dataCellStyle="Comma">
      <calculatedColumnFormula>C63</calculatedColumnFormula>
    </tableColumn>
    <tableColumn id="7" xr3:uid="{F113C07A-ABAF-4164-87BF-1B5FF3D6A5CD}" name="Ethiopia" dataDxfId="1138" dataCellStyle="Comma">
      <calculatedColumnFormula>C64</calculatedColumnFormula>
    </tableColumn>
    <tableColumn id="8" xr3:uid="{F8F7A430-27BA-477C-B1D2-BCF75FD120D0}" name="Kenya" dataDxfId="1137" dataCellStyle="Comma">
      <calculatedColumnFormula>C65</calculatedColumnFormula>
    </tableColumn>
    <tableColumn id="9" xr3:uid="{E2EA924E-AA5E-4E73-ADA0-3BD5CB8C01B2}" name="Rwanda" dataDxfId="1136" dataCellStyle="Comma">
      <calculatedColumnFormula>C66</calculatedColumnFormula>
    </tableColumn>
    <tableColumn id="10" xr3:uid="{011CE17F-1508-44AD-8D81-E3E42A760877}" name="Sudan" dataDxfId="1135" dataCellStyle="Comma">
      <calculatedColumnFormula>C67</calculatedColumnFormula>
    </tableColumn>
    <tableColumn id="11" xr3:uid="{811B51E9-5DDE-46F7-8F1F-3F67945D9DF2}" name="S. Sudan" dataDxfId="1134" dataCellStyle="Comma">
      <calculatedColumnFormula>C68</calculatedColumnFormula>
    </tableColumn>
    <tableColumn id="12" xr3:uid="{40162D50-D03B-4C61-B987-09FB1C816288}" name="Tanzania" dataDxfId="1133" dataCellStyle="Comma">
      <calculatedColumnFormula>C69</calculatedColumnFormula>
    </tableColumn>
    <tableColumn id="13" xr3:uid="{5DCD47F8-044F-4D71-B5DC-A89CC01CC88B}" name="Uganda" dataDxfId="1132" dataCellStyle="Comma">
      <calculatedColumnFormula>C70</calculatedColumnFormula>
    </tableColumn>
  </tableColumns>
  <tableStyleInfo name="Envy_area_11-style" showFirstColumn="1" showLastColumn="1"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 xr:uid="{9CCD344F-FE2D-40B4-98C8-E0E2F0C99167}" name="Table_146345152041" displayName="Table_146345152041" ref="B40:N41" headerRowDxfId="1131" dataDxfId="1129" totalsRowDxfId="1128" headerRowBorderDxfId="1130">
  <tableColumns count="13">
    <tableColumn id="1" xr3:uid="{8D0AE9FD-5C81-4DCC-83F3-ADF35A150B82}" name="Countries " dataDxfId="1127"/>
    <tableColumn id="2" xr3:uid="{1873DDEF-3715-42F6-80AF-CE5E701799E1}" name=" " dataDxfId="1126"/>
    <tableColumn id="3" xr3:uid="{35E0C7BF-01B8-400F-9CC0-FC59921917BC}" name="Burundi" dataDxfId="1125" dataCellStyle="Comma">
      <calculatedColumnFormula>C42</calculatedColumnFormula>
    </tableColumn>
    <tableColumn id="4" xr3:uid="{11B1B62B-1BF9-4099-863E-4E515F963774}" name="DRC" dataDxfId="1124" dataCellStyle="Comma">
      <calculatedColumnFormula>C43</calculatedColumnFormula>
    </tableColumn>
    <tableColumn id="5" xr3:uid="{85A0576E-8383-4D7F-A584-3C8970F1C6ED}" name="Egypt" dataDxfId="1123" dataCellStyle="Comma">
      <calculatedColumnFormula>C44</calculatedColumnFormula>
    </tableColumn>
    <tableColumn id="6" xr3:uid="{9A26A5BE-31E6-4519-A131-DAFD28529DC6}" name="Eritrea" dataDxfId="1122" dataCellStyle="Comma">
      <calculatedColumnFormula>C45</calculatedColumnFormula>
    </tableColumn>
    <tableColumn id="7" xr3:uid="{622A98F6-6797-4939-8B0D-E8C76CA081D8}" name="Ethiopia" dataDxfId="1121" dataCellStyle="Comma">
      <calculatedColumnFormula>C46</calculatedColumnFormula>
    </tableColumn>
    <tableColumn id="8" xr3:uid="{3C391A26-FC08-4339-8C0D-43FA316EA314}" name="Kenya" dataDxfId="1120" dataCellStyle="Comma">
      <calculatedColumnFormula>C47</calculatedColumnFormula>
    </tableColumn>
    <tableColumn id="9" xr3:uid="{7FB5C307-2743-428D-96B3-16B6DCF888D3}" name="Rwanda" dataDxfId="1119" dataCellStyle="Comma">
      <calculatedColumnFormula>C48</calculatedColumnFormula>
    </tableColumn>
    <tableColumn id="10" xr3:uid="{F18AA8CF-24A9-4E24-861D-2F0645390006}" name="Sudan" dataDxfId="1118" dataCellStyle="Comma">
      <calculatedColumnFormula>C49</calculatedColumnFormula>
    </tableColumn>
    <tableColumn id="11" xr3:uid="{44AEE35C-C1EE-4845-AAB7-FDFBAD5BAC2B}" name="S. Sudan" dataDxfId="1117" dataCellStyle="Comma">
      <calculatedColumnFormula>C50</calculatedColumnFormula>
    </tableColumn>
    <tableColumn id="12" xr3:uid="{5BAA2C6C-3F58-464D-9D49-CEFF18C5F69F}" name="Tanzania" dataDxfId="1116" dataCellStyle="Comma">
      <calculatedColumnFormula>C51</calculatedColumnFormula>
    </tableColumn>
    <tableColumn id="13" xr3:uid="{88757E11-C0F3-4FFF-A249-526300C3397D}" name="Uganda" dataDxfId="1115" dataCellStyle="Comma">
      <calculatedColumnFormula>C52</calculatedColumnFormula>
    </tableColumn>
  </tableColumns>
  <tableStyleInfo name="Envy_area_11-style" showFirstColumn="1" showLastColumn="1"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 xr:uid="{C9D048FF-F838-4CC8-ADB8-6E02E184C93B}" name="Table_146345781129182142" displayName="Table_146345781129182142" ref="B132:N133" headerRowDxfId="1114" dataDxfId="1112" totalsRowDxfId="1111" headerRowBorderDxfId="1113">
  <tableColumns count="13">
    <tableColumn id="1" xr3:uid="{FAE7F704-AA01-472A-8816-163EC2481CE1}" name="Countries " dataDxfId="1110"/>
    <tableColumn id="2" xr3:uid="{93EAEDF1-894A-4FF0-9D3A-08CB294E9B8A}" name=" " dataDxfId="1109"/>
    <tableColumn id="3" xr3:uid="{C5EEE608-FDCD-41C8-AC43-B6B5E0C13A84}" name="Burundi" dataDxfId="1108" dataCellStyle="Comma">
      <calculatedColumnFormula>C134</calculatedColumnFormula>
    </tableColumn>
    <tableColumn id="4" xr3:uid="{FCD97E8A-D35A-46E3-BBBC-88D650329350}" name="DRC" dataDxfId="1107" dataCellStyle="Comma">
      <calculatedColumnFormula>C135</calculatedColumnFormula>
    </tableColumn>
    <tableColumn id="5" xr3:uid="{7A91B83B-B6D3-4A6F-9F97-9F0A05A94954}" name="Egypt" dataDxfId="1106" dataCellStyle="Comma">
      <calculatedColumnFormula>C136</calculatedColumnFormula>
    </tableColumn>
    <tableColumn id="6" xr3:uid="{F8F8ABFB-95D9-4844-AF07-CF1C42317939}" name="Eritrea" dataDxfId="1105" dataCellStyle="Comma">
      <calculatedColumnFormula>C137</calculatedColumnFormula>
    </tableColumn>
    <tableColumn id="7" xr3:uid="{36A6E037-A6B7-4A81-AE14-41B11575B3C8}" name="Ethiopia" dataDxfId="1104" dataCellStyle="Comma">
      <calculatedColumnFormula>C138</calculatedColumnFormula>
    </tableColumn>
    <tableColumn id="8" xr3:uid="{AC4CEF96-105A-48FB-B8DF-7FBCB2221FB2}" name="Kenya" dataDxfId="1103" dataCellStyle="Comma">
      <calculatedColumnFormula>C139</calculatedColumnFormula>
    </tableColumn>
    <tableColumn id="9" xr3:uid="{2977049F-6CD8-4374-A8E1-70A7805BE9DC}" name="Rwanda" dataDxfId="1102" dataCellStyle="Comma">
      <calculatedColumnFormula>C140</calculatedColumnFormula>
    </tableColumn>
    <tableColumn id="10" xr3:uid="{D78964B3-CF78-4EA1-BC68-FE7527004A06}" name="Sudan" dataDxfId="1101" dataCellStyle="Comma">
      <calculatedColumnFormula>C141</calculatedColumnFormula>
    </tableColumn>
    <tableColumn id="11" xr3:uid="{A0897044-52AE-4B56-9FBF-FAA316072EE1}" name="S. Sudan" dataDxfId="1100" dataCellStyle="Comma">
      <calculatedColumnFormula>C142</calculatedColumnFormula>
    </tableColumn>
    <tableColumn id="12" xr3:uid="{608AC406-978B-4B4B-812C-2A4701DF809C}" name="Tanzania" dataDxfId="1099" dataCellStyle="Comma">
      <calculatedColumnFormula>C143</calculatedColumnFormula>
    </tableColumn>
    <tableColumn id="13" xr3:uid="{DF00178E-5577-46C8-9989-D1EECC31046B}" name="Uganda" dataDxfId="1098" dataCellStyle="Comma">
      <calculatedColumnFormula>C144</calculatedColumnFormula>
    </tableColumn>
  </tableColumns>
  <tableStyleInfo name="Envy_area_11-style" showFirstColumn="1" showLastColumn="1"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 xr:uid="{228252A0-536E-48FF-B7A0-8F5C48B58035}" name="Table_14634578112172243" displayName="Table_14634578112172243" ref="B114:N115" headerRowDxfId="1097" dataDxfId="1095" totalsRowDxfId="1094" headerRowBorderDxfId="1096">
  <tableColumns count="13">
    <tableColumn id="1" xr3:uid="{A1BD3186-F780-462B-A8ED-15FF37CD5A93}" name="Countries " dataDxfId="1093"/>
    <tableColumn id="2" xr3:uid="{9DF25171-EB47-4EB0-A9FF-28FEF6111602}" name=" " dataDxfId="1092"/>
    <tableColumn id="3" xr3:uid="{2ED4597C-95DF-4C45-8D5E-188B1CD3A2D7}" name="Burundi" dataDxfId="1091" dataCellStyle="Comma">
      <calculatedColumnFormula>C116</calculatedColumnFormula>
    </tableColumn>
    <tableColumn id="4" xr3:uid="{EFBE6485-5DB2-4EBB-A623-92D28F7D2ADC}" name="DRC" dataDxfId="1090" dataCellStyle="Comma">
      <calculatedColumnFormula>C117</calculatedColumnFormula>
    </tableColumn>
    <tableColumn id="5" xr3:uid="{C0B65BA6-582F-4116-BC1E-B9457F4CB09E}" name="Egypt" dataDxfId="1089" dataCellStyle="Comma">
      <calculatedColumnFormula>C118</calculatedColumnFormula>
    </tableColumn>
    <tableColumn id="6" xr3:uid="{A3B0A0E7-6761-46A3-A026-F1ECD6F5E764}" name="Eritrea" dataDxfId="1088" dataCellStyle="Comma">
      <calculatedColumnFormula>C119</calculatedColumnFormula>
    </tableColumn>
    <tableColumn id="7" xr3:uid="{84CD89EB-66A3-406C-A74D-2A20D97CD454}" name="Ethiopia" dataDxfId="1087" dataCellStyle="Comma">
      <calculatedColumnFormula>C120</calculatedColumnFormula>
    </tableColumn>
    <tableColumn id="8" xr3:uid="{CDEBC827-F208-48CD-B8CA-DBDCA09D6789}" name="Kenya" dataDxfId="1086" dataCellStyle="Comma">
      <calculatedColumnFormula>C121</calculatedColumnFormula>
    </tableColumn>
    <tableColumn id="9" xr3:uid="{2012DA60-CFE2-417B-9E34-6CEC90442F9B}" name="Rwanda" dataDxfId="1085" dataCellStyle="Comma">
      <calculatedColumnFormula>C122</calculatedColumnFormula>
    </tableColumn>
    <tableColumn id="10" xr3:uid="{6CECCE77-57A6-4E07-AD07-B73E97457E14}" name="Sudan" dataDxfId="1084" dataCellStyle="Comma">
      <calculatedColumnFormula>C123</calculatedColumnFormula>
    </tableColumn>
    <tableColumn id="11" xr3:uid="{B1C9EB08-F372-4F0B-8787-8B01E4CBCCD3}" name="S. Sudan" dataDxfId="1083" dataCellStyle="Comma">
      <calculatedColumnFormula>C124</calculatedColumnFormula>
    </tableColumn>
    <tableColumn id="12" xr3:uid="{F2DB4078-4260-4EDA-AA03-17605EFC9182}" name="Tanzania" dataDxfId="1082" dataCellStyle="Comma">
      <calculatedColumnFormula>C125</calculatedColumnFormula>
    </tableColumn>
    <tableColumn id="13" xr3:uid="{E004A6D5-CEE7-4D8C-8EBF-83397BB79CA3}" name="Uganda" dataDxfId="1081" dataCellStyle="Comma">
      <calculatedColumnFormula>C126</calculatedColumnFormula>
    </tableColumn>
  </tableColumns>
  <tableStyleInfo name="Envy_area_11-style" showFirstColumn="1" showLastColumn="1"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 xr:uid="{D148D65F-A1EE-46E6-8258-DD8A430E2D14}" name="Table_1463457811162344" displayName="Table_1463457811162344" ref="B96:N97" headerRowDxfId="1080" dataDxfId="1078" totalsRowDxfId="1077" headerRowBorderDxfId="1079">
  <tableColumns count="13">
    <tableColumn id="1" xr3:uid="{4B812554-BE9E-44C4-BCFE-2E6E7B7E23A9}" name="Countries " dataDxfId="1076"/>
    <tableColumn id="2" xr3:uid="{ED06A0EF-EE08-4C42-8E9A-DE67F872E1E1}" name=" " dataDxfId="1075"/>
    <tableColumn id="3" xr3:uid="{734B5423-5064-4425-B9CC-CEB110A6C1F2}" name="Burundi" dataDxfId="1074" dataCellStyle="Comma">
      <calculatedColumnFormula>C98</calculatedColumnFormula>
    </tableColumn>
    <tableColumn id="4" xr3:uid="{26928890-7BA5-414C-906E-C1D137DD5056}" name="DRC" dataDxfId="1073" dataCellStyle="Comma">
      <calculatedColumnFormula>C99</calculatedColumnFormula>
    </tableColumn>
    <tableColumn id="5" xr3:uid="{E7791717-F476-4910-BF12-93A1DD02ED43}" name="Egypt" dataDxfId="1072" dataCellStyle="Comma">
      <calculatedColumnFormula>C100</calculatedColumnFormula>
    </tableColumn>
    <tableColumn id="6" xr3:uid="{C7F4B705-03AE-4B72-BC04-6E697B2B2FC7}" name="Eritrea" dataDxfId="1071" dataCellStyle="Comma">
      <calculatedColumnFormula>C101</calculatedColumnFormula>
    </tableColumn>
    <tableColumn id="7" xr3:uid="{E483AF37-6352-42CA-BFDA-4E9D945DE346}" name="Ethiopia" dataDxfId="1070" dataCellStyle="Comma">
      <calculatedColumnFormula>C102</calculatedColumnFormula>
    </tableColumn>
    <tableColumn id="8" xr3:uid="{E077EF0C-CB49-45FF-A6F9-00DB0D2A29D5}" name="Kenya" dataDxfId="1069" dataCellStyle="Comma">
      <calculatedColumnFormula>C103</calculatedColumnFormula>
    </tableColumn>
    <tableColumn id="9" xr3:uid="{C918733C-48BF-4A1B-BA31-A4F148078855}" name="Rwanda" dataDxfId="1068" dataCellStyle="Comma">
      <calculatedColumnFormula>C104</calculatedColumnFormula>
    </tableColumn>
    <tableColumn id="10" xr3:uid="{64DA92AC-17E0-4876-86E1-38510D20CDCB}" name="Sudan" dataDxfId="1067" dataCellStyle="Comma">
      <calculatedColumnFormula>C105</calculatedColumnFormula>
    </tableColumn>
    <tableColumn id="11" xr3:uid="{803CCE45-2ED3-4737-B764-AEC87CA91350}" name="S. Sudan" dataDxfId="1066" dataCellStyle="Comma">
      <calculatedColumnFormula>C106</calculatedColumnFormula>
    </tableColumn>
    <tableColumn id="12" xr3:uid="{AFF362A5-9CF7-4B4E-9203-D5F0EDF0CF49}" name="Tanzania" dataDxfId="1065" dataCellStyle="Comma">
      <calculatedColumnFormula>C107</calculatedColumnFormula>
    </tableColumn>
    <tableColumn id="13" xr3:uid="{0647132D-4EFB-4F12-9D25-411C5A33B28A}" name="Uganda" dataDxfId="1064" dataCellStyle="Comma">
      <calculatedColumnFormula>C108</calculatedColumnFormula>
    </tableColumn>
  </tableColumns>
  <tableStyleInfo name="Envy_area_11-style" showFirstColumn="1" showLastColumn="1"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 xr:uid="{E1E9DED2-6F1B-4F14-BD17-57AC65A494BE}" name="Table_14634578132445" displayName="Table_14634578132445" ref="B78:N79" headerRowDxfId="1063" dataDxfId="1061" totalsRowDxfId="1060" headerRowBorderDxfId="1062">
  <tableColumns count="13">
    <tableColumn id="1" xr3:uid="{212BC853-532E-4E24-8F43-D81BEFB812A6}" name="Countries " dataDxfId="1059"/>
    <tableColumn id="2" xr3:uid="{1258A8A5-3413-4BDA-8789-E03DF35845AC}" name=" " dataDxfId="1058"/>
    <tableColumn id="3" xr3:uid="{EA3D2474-1404-4EF2-AF94-B09C6E1A870F}" name="Burundi" dataDxfId="1057" dataCellStyle="Comma">
      <calculatedColumnFormula>C80</calculatedColumnFormula>
    </tableColumn>
    <tableColumn id="4" xr3:uid="{FEC1088A-3B76-4E92-B650-BD6AC5AEBAF8}" name="DRC" dataDxfId="1056" dataCellStyle="Comma">
      <calculatedColumnFormula>C81</calculatedColumnFormula>
    </tableColumn>
    <tableColumn id="5" xr3:uid="{12BDEDAB-AA12-4A0F-8D33-10428D69469F}" name="Egypt" dataDxfId="1055" dataCellStyle="Comma">
      <calculatedColumnFormula>C82</calculatedColumnFormula>
    </tableColumn>
    <tableColumn id="6" xr3:uid="{C85C55C1-960B-46CE-945B-6546F6F2DA7E}" name="Eritrea" dataDxfId="1054" dataCellStyle="Comma">
      <calculatedColumnFormula>C83</calculatedColumnFormula>
    </tableColumn>
    <tableColumn id="7" xr3:uid="{DD4B4B73-7145-4D4F-8491-34A74D9E704E}" name="Ethiopia" dataDxfId="1053" dataCellStyle="Comma">
      <calculatedColumnFormula>C84</calculatedColumnFormula>
    </tableColumn>
    <tableColumn id="8" xr3:uid="{67C5A5B2-042B-4A80-BAA0-21FFB225D7AD}" name="Kenya" dataDxfId="1052" dataCellStyle="Comma">
      <calculatedColumnFormula>C85</calculatedColumnFormula>
    </tableColumn>
    <tableColumn id="9" xr3:uid="{52486C61-9FDE-47C5-BD7C-193BEF248E96}" name="Rwanda" dataDxfId="1051" dataCellStyle="Comma">
      <calculatedColumnFormula>C86</calculatedColumnFormula>
    </tableColumn>
    <tableColumn id="10" xr3:uid="{64AC5CD0-1BCE-4965-AA0D-CA0E0DCBAE0C}" name="Sudan" dataDxfId="1050" dataCellStyle="Comma">
      <calculatedColumnFormula>C87</calculatedColumnFormula>
    </tableColumn>
    <tableColumn id="11" xr3:uid="{D7EC48B0-A586-4A46-8C23-13B3A9274F66}" name="S. Sudan" dataDxfId="1049" dataCellStyle="Comma">
      <calculatedColumnFormula>C88</calculatedColumnFormula>
    </tableColumn>
    <tableColumn id="12" xr3:uid="{6BB0DFB6-C291-451F-963F-53121EDFBAA4}" name="Tanzania" dataDxfId="1048" dataCellStyle="Comma">
      <calculatedColumnFormula>C89</calculatedColumnFormula>
    </tableColumn>
    <tableColumn id="13" xr3:uid="{B1BADCDE-D9A0-4D78-9162-70F06456D462}" name="Uganda" dataDxfId="1047" dataCellStyle="Comma">
      <calculatedColumnFormula>C90</calculatedColumnFormula>
    </tableColumn>
  </tableColumns>
  <tableStyleInfo name="Envy_area_11-style" showFirstColumn="1" showLastColumn="1"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 xr:uid="{2B0BCF27-F745-4A42-843E-8D5C0B8F42C4}" name="Table_14631093846" displayName="Table_14631093846" ref="B4:N5" headerRowDxfId="1046" dataDxfId="1044" totalsRowDxfId="1043" headerRowBorderDxfId="1045">
  <tableColumns count="13">
    <tableColumn id="1" xr3:uid="{1F78B563-9AF5-49EC-9F95-6B6D50CE9E95}" name="Countries " dataDxfId="1042"/>
    <tableColumn id="2" xr3:uid="{76C4D716-A9C3-43C9-BA96-07ACA7A25988}" name=" " dataDxfId="1041"/>
    <tableColumn id="3" xr3:uid="{2BCCB357-C1B3-42FB-8639-DD5E4951AFDE}" name="Burundi" dataDxfId="1040" dataCellStyle="Comma">
      <calculatedColumnFormula>C6</calculatedColumnFormula>
    </tableColumn>
    <tableColumn id="4" xr3:uid="{40DB7493-CA2D-4036-98F0-EAB9C33A71FA}" name="DRC" dataDxfId="1039" dataCellStyle="Comma">
      <calculatedColumnFormula>C7</calculatedColumnFormula>
    </tableColumn>
    <tableColumn id="5" xr3:uid="{DCBFA945-E01B-4159-904C-D3CB7960F148}" name="Egypt" dataDxfId="1038" dataCellStyle="Comma">
      <calculatedColumnFormula>C8</calculatedColumnFormula>
    </tableColumn>
    <tableColumn id="6" xr3:uid="{E2CD627A-49BE-466E-9B1F-4280A92B7998}" name="Eritrea" dataDxfId="1037" dataCellStyle="Comma">
      <calculatedColumnFormula>C9</calculatedColumnFormula>
    </tableColumn>
    <tableColumn id="7" xr3:uid="{204C2028-603A-4D96-8C75-B1DB804D6259}" name="Ethiopia" dataDxfId="1036" dataCellStyle="Comma">
      <calculatedColumnFormula>C10</calculatedColumnFormula>
    </tableColumn>
    <tableColumn id="8" xr3:uid="{C5C7B532-8699-4821-BF5E-487B676884E8}" name="Kenya" dataDxfId="1035" dataCellStyle="Comma">
      <calculatedColumnFormula>C11</calculatedColumnFormula>
    </tableColumn>
    <tableColumn id="9" xr3:uid="{8CA4E703-F8B7-4F74-BEBD-458637A8F6BE}" name="Rwanda" dataDxfId="1034" dataCellStyle="Comma">
      <calculatedColumnFormula>C12</calculatedColumnFormula>
    </tableColumn>
    <tableColumn id="10" xr3:uid="{EF62DAAD-AB0E-4F91-9C09-020D31A155AB}" name="Sudan" dataDxfId="1033" dataCellStyle="Comma">
      <calculatedColumnFormula>C13</calculatedColumnFormula>
    </tableColumn>
    <tableColumn id="11" xr3:uid="{A7F4ED06-E253-4F3D-B376-FE617442B90B}" name="S. Sudan" dataDxfId="1032" dataCellStyle="Comma">
      <calculatedColumnFormula>C14</calculatedColumnFormula>
    </tableColumn>
    <tableColumn id="12" xr3:uid="{7D98DB25-62B2-4237-B91A-42F1C619BA2E}" name="Tanzania" dataDxfId="1031" dataCellStyle="Comma">
      <calculatedColumnFormula>C15</calculatedColumnFormula>
    </tableColumn>
    <tableColumn id="13" xr3:uid="{67855913-4E03-4C71-B552-1187AF818B7D}" name="Uganda" dataDxfId="1030" dataCellStyle="Comma">
      <calculatedColumnFormula>C16</calculatedColumnFormula>
    </tableColumn>
  </tableColumns>
  <tableStyleInfo name="Envy_area_11-style" showFirstColumn="1" showLastColumn="1"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 xr:uid="{F0CBB938-3803-4BBD-9E95-B4C5A9A76DCF}" name="Table_1463412113947" displayName="Table_1463412113947" ref="B22:N23" headerRowDxfId="1029" dataDxfId="1027" totalsRowDxfId="1026" headerRowBorderDxfId="1028">
  <tableColumns count="13">
    <tableColumn id="1" xr3:uid="{F75E2F2B-DDAF-4513-870E-5D0A53531360}" name="Countries " dataDxfId="1025"/>
    <tableColumn id="2" xr3:uid="{DB319049-E403-44B6-B680-5F25730CCDCC}" name=" " dataDxfId="1024"/>
    <tableColumn id="3" xr3:uid="{7926F8F3-122C-4C37-8168-F10331078721}" name="Burundi" dataDxfId="1023" dataCellStyle="Comma">
      <calculatedColumnFormula>C24</calculatedColumnFormula>
    </tableColumn>
    <tableColumn id="4" xr3:uid="{A163CFC1-7D51-4884-B379-4294A20DDB3E}" name="DRC" dataDxfId="1022" dataCellStyle="Comma">
      <calculatedColumnFormula>C25</calculatedColumnFormula>
    </tableColumn>
    <tableColumn id="5" xr3:uid="{3F31FB7F-89F9-49EB-96CB-CD9FB15DAF77}" name="Egypt" dataDxfId="1021" dataCellStyle="Comma">
      <calculatedColumnFormula>C26</calculatedColumnFormula>
    </tableColumn>
    <tableColumn id="6" xr3:uid="{2C9E2C1B-27D9-44AE-8CC6-AB14907AE520}" name="Eritrea" dataDxfId="1020" dataCellStyle="Comma">
      <calculatedColumnFormula>C27</calculatedColumnFormula>
    </tableColumn>
    <tableColumn id="7" xr3:uid="{65FC36D5-3A7E-4759-9FC5-80B0D00B0228}" name="Ethiopia" dataDxfId="1019" dataCellStyle="Comma">
      <calculatedColumnFormula>C28</calculatedColumnFormula>
    </tableColumn>
    <tableColumn id="8" xr3:uid="{E368ED94-5B9D-49B9-940D-EE994D280929}" name="Kenya" dataDxfId="1018" dataCellStyle="Comma">
      <calculatedColumnFormula>C29</calculatedColumnFormula>
    </tableColumn>
    <tableColumn id="9" xr3:uid="{B7DA1FD4-009B-48E2-9D86-25CACEA41DC5}" name="Rwanda" dataDxfId="1017" dataCellStyle="Comma">
      <calculatedColumnFormula>C30</calculatedColumnFormula>
    </tableColumn>
    <tableColumn id="10" xr3:uid="{3D56AD8C-7362-476C-A57A-11323C83E507}" name="Sudan" dataDxfId="1016" dataCellStyle="Comma">
      <calculatedColumnFormula>C31</calculatedColumnFormula>
    </tableColumn>
    <tableColumn id="11" xr3:uid="{4A776C8E-1312-447D-B596-363C9A756865}" name="S. Sudan" dataDxfId="1015" dataCellStyle="Comma">
      <calculatedColumnFormula>C32</calculatedColumnFormula>
    </tableColumn>
    <tableColumn id="12" xr3:uid="{29AF4959-E5DE-4F73-854E-F59BE1E2F0C4}" name="Tanzania" dataDxfId="1014" dataCellStyle="Comma">
      <calculatedColumnFormula>C33</calculatedColumnFormula>
    </tableColumn>
    <tableColumn id="13" xr3:uid="{A0216806-DD91-4413-BFEE-504B6B4D9DC0}" name="Uganda" dataDxfId="1013" dataCellStyle="Comma">
      <calculatedColumnFormula>C34</calculatedColumnFormula>
    </tableColumn>
  </tableColumns>
  <tableStyleInfo name="Envy_area_11-style" showFirstColumn="1" showLastColumn="1"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 xr:uid="{B99A2CF1-9CBB-414F-A4E3-EB9A37FB3289}" name="Table_146345714194048" displayName="Table_146345714194048" ref="B58:N59" headerRowDxfId="1012" dataDxfId="1010" totalsRowDxfId="1009" headerRowBorderDxfId="1011">
  <tableColumns count="13">
    <tableColumn id="1" xr3:uid="{8991F081-D0B7-4061-AFEE-2133DF709B63}" name="Countries " dataDxfId="1008"/>
    <tableColumn id="2" xr3:uid="{410E9DC1-FE85-429D-B5AC-FF1ABCF1EB16}" name=" " dataDxfId="1007"/>
    <tableColumn id="3" xr3:uid="{2B8CE384-9033-4787-82FD-04ADEE9C09CE}" name="Burundi" dataDxfId="1006" dataCellStyle="Comma">
      <calculatedColumnFormula>C60</calculatedColumnFormula>
    </tableColumn>
    <tableColumn id="4" xr3:uid="{02E06E37-D5AC-4E57-B427-3B76D05E2B06}" name="DRC" dataDxfId="1005" dataCellStyle="Comma">
      <calculatedColumnFormula>C61</calculatedColumnFormula>
    </tableColumn>
    <tableColumn id="5" xr3:uid="{87B8FD81-4799-4D65-81F7-60971B2D695E}" name="Egypt" dataDxfId="1004" dataCellStyle="Comma">
      <calculatedColumnFormula>C62</calculatedColumnFormula>
    </tableColumn>
    <tableColumn id="6" xr3:uid="{BC5ABE87-B034-48D7-ACA4-3AF15D765288}" name="Eritrea" dataDxfId="1003" dataCellStyle="Comma">
      <calculatedColumnFormula>C63</calculatedColumnFormula>
    </tableColumn>
    <tableColumn id="7" xr3:uid="{338F785F-2C96-4C59-BFCA-2F5B73602091}" name="Ethiopia" dataDxfId="1002" dataCellStyle="Comma">
      <calculatedColumnFormula>C64</calculatedColumnFormula>
    </tableColumn>
    <tableColumn id="8" xr3:uid="{FE92BC10-A7D6-420E-BFBC-42A0137D0990}" name="Kenya" dataDxfId="1001" dataCellStyle="Comma">
      <calculatedColumnFormula>C65</calculatedColumnFormula>
    </tableColumn>
    <tableColumn id="9" xr3:uid="{145748B0-240A-463E-9F60-DAD67BDF67FA}" name="Rwanda" dataDxfId="1000" dataCellStyle="Comma">
      <calculatedColumnFormula>C66</calculatedColumnFormula>
    </tableColumn>
    <tableColumn id="10" xr3:uid="{8A9C941C-2427-4128-A654-EC2DE53D0D64}" name="Sudan" dataDxfId="999" dataCellStyle="Comma">
      <calculatedColumnFormula>C67</calculatedColumnFormula>
    </tableColumn>
    <tableColumn id="11" xr3:uid="{54A87B43-E4CD-4AB2-97A0-AB37A904ABB2}" name="S. Sudan" dataDxfId="998" dataCellStyle="Comma">
      <calculatedColumnFormula>C68</calculatedColumnFormula>
    </tableColumn>
    <tableColumn id="12" xr3:uid="{1A7AB03A-A616-49D1-8771-0563321A0762}" name="Tanzania" dataDxfId="997" dataCellStyle="Comma">
      <calculatedColumnFormula>C69</calculatedColumnFormula>
    </tableColumn>
    <tableColumn id="13" xr3:uid="{B49E8061-4B88-4DA7-822B-FCCD4C9C2DBA}" name="Uganda" dataDxfId="996" dataCellStyle="Comma">
      <calculatedColumnFormula>C70</calculatedColumnFormula>
    </tableColumn>
  </tableColumns>
  <tableStyleInfo name="Envy_area_11-style" showFirstColumn="1" showLastColumn="1"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 xr:uid="{3D458FAE-C967-4D28-A173-9EEC3C50A02E}" name="Table_14634515204149" displayName="Table_14634515204149" ref="B40:N41" headerRowDxfId="995" dataDxfId="993" totalsRowDxfId="992" headerRowBorderDxfId="994">
  <tableColumns count="13">
    <tableColumn id="1" xr3:uid="{3BE21FD7-C170-42C5-B8C4-64AC175D838C}" name="Countries " dataDxfId="991"/>
    <tableColumn id="2" xr3:uid="{484B695F-29EB-485F-BA4E-4DD3C550C049}" name=" " dataDxfId="990"/>
    <tableColumn id="3" xr3:uid="{E22D1899-F7D8-4F01-AC57-3D67C5A174CF}" name="Burundi" dataDxfId="989" dataCellStyle="Comma">
      <calculatedColumnFormula>C42</calculatedColumnFormula>
    </tableColumn>
    <tableColumn id="4" xr3:uid="{572F8833-F71D-4428-8ED9-E8523D38B6E4}" name="DRC" dataDxfId="988" dataCellStyle="Comma">
      <calculatedColumnFormula>C43</calculatedColumnFormula>
    </tableColumn>
    <tableColumn id="5" xr3:uid="{007B9ADE-C253-41AD-A409-DCC2855F9C3C}" name="Egypt" dataDxfId="987" dataCellStyle="Comma">
      <calculatedColumnFormula>C44</calculatedColumnFormula>
    </tableColumn>
    <tableColumn id="6" xr3:uid="{13485729-0B57-40C3-8FB6-5138CC67F9C7}" name="Eritrea" dataDxfId="986" dataCellStyle="Comma">
      <calculatedColumnFormula>C45</calculatedColumnFormula>
    </tableColumn>
    <tableColumn id="7" xr3:uid="{737055DE-1BAE-4509-BCF6-A263598BE916}" name="Ethiopia" dataDxfId="985" dataCellStyle="Comma">
      <calculatedColumnFormula>C46</calculatedColumnFormula>
    </tableColumn>
    <tableColumn id="8" xr3:uid="{9C20EB06-B9B2-4A66-8993-6315C9948C8C}" name="Kenya" dataDxfId="984" dataCellStyle="Comma">
      <calculatedColumnFormula>C47</calculatedColumnFormula>
    </tableColumn>
    <tableColumn id="9" xr3:uid="{B7200FCA-AC0B-4082-8AB3-F73D8844FF68}" name="Rwanda" dataDxfId="983" dataCellStyle="Comma">
      <calculatedColumnFormula>C48</calculatedColumnFormula>
    </tableColumn>
    <tableColumn id="10" xr3:uid="{F7526F1E-1C73-4D1A-962B-0DB2601CBD20}" name="Sudan" dataDxfId="982" dataCellStyle="Comma">
      <calculatedColumnFormula>C49</calculatedColumnFormula>
    </tableColumn>
    <tableColumn id="11" xr3:uid="{E0D5B2F0-E967-44F5-8316-06886D877BE6}" name="S. Sudan" dataDxfId="981" dataCellStyle="Comma">
      <calculatedColumnFormula>C50</calculatedColumnFormula>
    </tableColumn>
    <tableColumn id="12" xr3:uid="{CBC892A6-2DC9-48FD-97D2-53C32DE62149}" name="Tanzania" dataDxfId="980" dataCellStyle="Comma">
      <calculatedColumnFormula>C51</calculatedColumnFormula>
    </tableColumn>
    <tableColumn id="13" xr3:uid="{13B6AA9F-4E8B-4580-8A63-B8A5079C974A}" name="Uganda" dataDxfId="979" dataCellStyle="Comma">
      <calculatedColumnFormula>C52</calculatedColumnFormula>
    </tableColumn>
  </tableColumns>
  <tableStyleInfo name="Envy_area_11-style" showFirstColumn="1" showLastColumn="1"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9" xr:uid="{300D81EE-9EAE-42F3-BD4A-0D1C1854929C}" name="Table_14634578112918214250" displayName="Table_14634578112918214250" ref="B132:N133" headerRowDxfId="978" dataDxfId="976" totalsRowDxfId="975" headerRowBorderDxfId="977">
  <tableColumns count="13">
    <tableColumn id="1" xr3:uid="{7C00EE63-E3EF-4230-8E92-8DDE901BE220}" name="Countries " dataDxfId="974"/>
    <tableColumn id="2" xr3:uid="{16ECB427-0E3D-4572-ABB5-DC6973D2227B}" name=" " dataDxfId="973"/>
    <tableColumn id="3" xr3:uid="{7FEEF1FA-7F55-4F40-9856-3610B6ABCBDA}" name="Burundi" dataDxfId="972" dataCellStyle="Comma">
      <calculatedColumnFormula>C134</calculatedColumnFormula>
    </tableColumn>
    <tableColumn id="4" xr3:uid="{10666BC1-7970-4507-A9E4-5D5FC50FE9E6}" name="DRC" dataDxfId="971" dataCellStyle="Comma">
      <calculatedColumnFormula>C135</calculatedColumnFormula>
    </tableColumn>
    <tableColumn id="5" xr3:uid="{C2F3B635-978E-49D5-BA20-6018DC6BC251}" name="Egypt" dataDxfId="970" dataCellStyle="Comma">
      <calculatedColumnFormula>C136</calculatedColumnFormula>
    </tableColumn>
    <tableColumn id="6" xr3:uid="{0CDC6EBD-ECAD-4E97-A61F-9B955FAC324B}" name="Eritrea" dataDxfId="969" dataCellStyle="Comma">
      <calculatedColumnFormula>C137</calculatedColumnFormula>
    </tableColumn>
    <tableColumn id="7" xr3:uid="{EA442536-6D7D-4712-A9D4-E5C7C1DAE959}" name="Ethiopia" dataDxfId="968" dataCellStyle="Comma">
      <calculatedColumnFormula>C138</calculatedColumnFormula>
    </tableColumn>
    <tableColumn id="8" xr3:uid="{C55B1239-F8A9-40EF-9C16-DC1CFB7CA2A2}" name="Kenya" dataDxfId="967" dataCellStyle="Comma">
      <calculatedColumnFormula>C139</calculatedColumnFormula>
    </tableColumn>
    <tableColumn id="9" xr3:uid="{480CA096-41E3-477E-8076-3869F87C0840}" name="Rwanda" dataDxfId="966" dataCellStyle="Comma">
      <calculatedColumnFormula>C140</calculatedColumnFormula>
    </tableColumn>
    <tableColumn id="10" xr3:uid="{62B085B0-04AE-4AED-AF36-991E1B19B05C}" name="Sudan" dataDxfId="965" dataCellStyle="Comma">
      <calculatedColumnFormula>C141</calculatedColumnFormula>
    </tableColumn>
    <tableColumn id="11" xr3:uid="{3F8ECA0A-35F7-4EAE-AB30-26F2339C70C7}" name="S. Sudan" dataDxfId="964" dataCellStyle="Comma">
      <calculatedColumnFormula>C142</calculatedColumnFormula>
    </tableColumn>
    <tableColumn id="12" xr3:uid="{B7052CA7-2CAD-45CE-8C80-02FE1CCC254D}" name="Tanzania" dataDxfId="963" dataCellStyle="Comma">
      <calculatedColumnFormula>C143</calculatedColumnFormula>
    </tableColumn>
    <tableColumn id="13" xr3:uid="{E93337D3-2F17-4C35-ACE1-3EBB4E4E98C7}" name="Uganda" dataDxfId="962" dataCellStyle="Comma">
      <calculatedColumnFormula>C144</calculatedColumnFormula>
    </tableColumn>
  </tableColumns>
  <tableStyleInfo name="Envy_area_11-style" showFirstColumn="1" showLastColumn="1"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0" xr:uid="{FE84727A-F66E-44D3-BD78-F65EB719D3B6}" name="Table_1463457811217224351" displayName="Table_1463457811217224351" ref="B114:N115" headerRowDxfId="961" dataDxfId="959" totalsRowDxfId="958" headerRowBorderDxfId="960">
  <tableColumns count="13">
    <tableColumn id="1" xr3:uid="{EACE8917-2BF4-4E5B-8744-CFFA65C22F1E}" name="Countries " dataDxfId="957"/>
    <tableColumn id="2" xr3:uid="{2AFAEFB5-2DF7-4BE8-A185-66FA48F6EEE8}" name=" " dataDxfId="956"/>
    <tableColumn id="3" xr3:uid="{10970D55-3F9A-4C45-B970-6BAA5DB2A43E}" name="Burundi" dataDxfId="955" dataCellStyle="Comma">
      <calculatedColumnFormula>C116</calculatedColumnFormula>
    </tableColumn>
    <tableColumn id="4" xr3:uid="{F5E62229-B644-4CE3-8283-D7E6B343F2DA}" name="DRC" dataDxfId="954" dataCellStyle="Comma">
      <calculatedColumnFormula>C117</calculatedColumnFormula>
    </tableColumn>
    <tableColumn id="5" xr3:uid="{28897B6D-9549-46F3-B6D4-EF73139A5FD9}" name="Egypt" dataDxfId="953" dataCellStyle="Comma">
      <calculatedColumnFormula>C118</calculatedColumnFormula>
    </tableColumn>
    <tableColumn id="6" xr3:uid="{73AC8B56-80E2-4733-B355-6701E473A3F9}" name="Eritrea" dataDxfId="952" dataCellStyle="Comma">
      <calculatedColumnFormula>C119</calculatedColumnFormula>
    </tableColumn>
    <tableColumn id="7" xr3:uid="{5F49D638-B783-4236-9F9A-F9DF9E72F10C}" name="Ethiopia" dataDxfId="951" dataCellStyle="Comma">
      <calculatedColumnFormula>C120</calculatedColumnFormula>
    </tableColumn>
    <tableColumn id="8" xr3:uid="{89F39C0F-BF5D-4B8C-BB0E-F9E16284B97D}" name="Kenya" dataDxfId="950" dataCellStyle="Comma">
      <calculatedColumnFormula>C121</calculatedColumnFormula>
    </tableColumn>
    <tableColumn id="9" xr3:uid="{6A177C8F-C9CC-4C5E-918F-E81774EB0142}" name="Rwanda" dataDxfId="949" dataCellStyle="Comma">
      <calculatedColumnFormula>C122</calculatedColumnFormula>
    </tableColumn>
    <tableColumn id="10" xr3:uid="{F9377C46-CA9F-4155-8F85-13BDE2275525}" name="Sudan" dataDxfId="948" dataCellStyle="Comma">
      <calculatedColumnFormula>C123</calculatedColumnFormula>
    </tableColumn>
    <tableColumn id="11" xr3:uid="{051D70F4-E95A-40B4-985D-23FC93EBB0FD}" name="S. Sudan" dataDxfId="947" dataCellStyle="Comma">
      <calculatedColumnFormula>C124</calculatedColumnFormula>
    </tableColumn>
    <tableColumn id="12" xr3:uid="{F1EB40DC-7D55-47D1-99D6-5E9D205B47D8}" name="Tanzania" dataDxfId="946" dataCellStyle="Comma">
      <calculatedColumnFormula>C125</calculatedColumnFormula>
    </tableColumn>
    <tableColumn id="13" xr3:uid="{12A0C3BD-74F0-46A9-A8DB-CEAE1D4C4764}" name="Uganda" dataDxfId="945" dataCellStyle="Comma">
      <calculatedColumnFormula>C126</calculatedColumnFormula>
    </tableColumn>
  </tableColumns>
  <tableStyleInfo name="Envy_area_11-style" showFirstColumn="1" showLastColumn="1"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 xr:uid="{987F3EB6-E7F4-4BC1-BE60-20D998EB6E2B}" name="Table_146345781116234452" displayName="Table_146345781116234452" ref="B96:N97" headerRowDxfId="944" dataDxfId="942" totalsRowDxfId="941" headerRowBorderDxfId="943">
  <tableColumns count="13">
    <tableColumn id="1" xr3:uid="{55A02028-DA42-4C17-AF34-6F9354548F2F}" name="Countries " dataDxfId="940"/>
    <tableColumn id="2" xr3:uid="{EF7189E5-19E0-4755-91EE-F34D569E8C7A}" name=" " dataDxfId="939"/>
    <tableColumn id="3" xr3:uid="{25904001-587E-44BF-873D-AE8CB5CA69B4}" name="Burundi" dataDxfId="938" dataCellStyle="Comma">
      <calculatedColumnFormula>C98</calculatedColumnFormula>
    </tableColumn>
    <tableColumn id="4" xr3:uid="{7ED1C9D2-6A3A-4097-AC58-998B464BB915}" name="DRC" dataDxfId="937" dataCellStyle="Comma">
      <calculatedColumnFormula>C99</calculatedColumnFormula>
    </tableColumn>
    <tableColumn id="5" xr3:uid="{4E231350-A80B-45C2-8EC4-AE21B838D22B}" name="Egypt" dataDxfId="936" dataCellStyle="Comma">
      <calculatedColumnFormula>C100</calculatedColumnFormula>
    </tableColumn>
    <tableColumn id="6" xr3:uid="{0E64D3CF-CB25-459C-AFB0-22DEB3583866}" name="Eritrea" dataDxfId="935" dataCellStyle="Comma">
      <calculatedColumnFormula>C101</calculatedColumnFormula>
    </tableColumn>
    <tableColumn id="7" xr3:uid="{7A363777-FDF3-4B72-8144-31C6D6E7B39F}" name="Ethiopia" dataDxfId="934" dataCellStyle="Comma">
      <calculatedColumnFormula>C102</calculatedColumnFormula>
    </tableColumn>
    <tableColumn id="8" xr3:uid="{08E07E0A-2B9C-4E1F-BFF3-BAE58041B3BE}" name="Kenya" dataDxfId="933" dataCellStyle="Comma">
      <calculatedColumnFormula>C103</calculatedColumnFormula>
    </tableColumn>
    <tableColumn id="9" xr3:uid="{06F15BB3-4D48-4332-BDF3-EE12E2438B67}" name="Rwanda" dataDxfId="932" dataCellStyle="Comma">
      <calculatedColumnFormula>C104</calculatedColumnFormula>
    </tableColumn>
    <tableColumn id="10" xr3:uid="{31CCCEF4-6BC1-4FA0-96AE-98F08C2437E4}" name="Sudan" dataDxfId="931" dataCellStyle="Comma">
      <calculatedColumnFormula>C105</calculatedColumnFormula>
    </tableColumn>
    <tableColumn id="11" xr3:uid="{0F411FFD-C1D6-4D5F-9B03-F153402CD400}" name="S. Sudan" dataDxfId="930" dataCellStyle="Comma">
      <calculatedColumnFormula>C106</calculatedColumnFormula>
    </tableColumn>
    <tableColumn id="12" xr3:uid="{23429A7D-E1A2-4A3D-8F35-7A8B7D5A3766}" name="Tanzania" dataDxfId="929" dataCellStyle="Comma">
      <calculatedColumnFormula>C107</calculatedColumnFormula>
    </tableColumn>
    <tableColumn id="13" xr3:uid="{65BB6381-F659-41AF-9312-AF85CF8C4E0F}" name="Uganda" dataDxfId="928" dataCellStyle="Comma">
      <calculatedColumnFormula>C108</calculatedColumnFormula>
    </tableColumn>
  </tableColumns>
  <tableStyleInfo name="Envy_area_11-style" showFirstColumn="1" showLastColumn="1"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2" xr:uid="{C41857C1-6E7C-4DDA-AC00-B69F276EAB68}" name="Table_1463457813244553" displayName="Table_1463457813244553" ref="B78:N79" headerRowDxfId="927" dataDxfId="925" totalsRowDxfId="924" headerRowBorderDxfId="926">
  <tableColumns count="13">
    <tableColumn id="1" xr3:uid="{992C69B6-10B1-4C79-8F9B-C658489B75C8}" name="Countries " dataDxfId="923"/>
    <tableColumn id="2" xr3:uid="{26868328-1E4D-4B71-B4BE-39D2ABEB25F4}" name=" " dataDxfId="922"/>
    <tableColumn id="3" xr3:uid="{911039B1-67CF-499C-92A9-F9DE0F03C762}" name="Burundi" dataDxfId="921" dataCellStyle="Comma">
      <calculatedColumnFormula>C80</calculatedColumnFormula>
    </tableColumn>
    <tableColumn id="4" xr3:uid="{875E1CA5-EE3F-4B52-BCE6-A880747D8A06}" name="DRC" dataDxfId="920" dataCellStyle="Comma">
      <calculatedColumnFormula>C81</calculatedColumnFormula>
    </tableColumn>
    <tableColumn id="5" xr3:uid="{5A86B9F5-2CB5-4DA6-AF0D-7D5CF1D91CA8}" name="Egypt" dataDxfId="919" dataCellStyle="Comma">
      <calculatedColumnFormula>C82</calculatedColumnFormula>
    </tableColumn>
    <tableColumn id="6" xr3:uid="{F8EA20E2-6BE3-4E20-8856-594FEAFE901C}" name="Eritrea" dataDxfId="918" dataCellStyle="Comma">
      <calculatedColumnFormula>C83</calculatedColumnFormula>
    </tableColumn>
    <tableColumn id="7" xr3:uid="{59BB2E63-1944-45C2-BCCC-05C1F265829D}" name="Ethiopia" dataDxfId="917" dataCellStyle="Comma">
      <calculatedColumnFormula>C84</calculatedColumnFormula>
    </tableColumn>
    <tableColumn id="8" xr3:uid="{B3E85E43-D552-491D-A6C4-BFDBB9490DF2}" name="Kenya" dataDxfId="916" dataCellStyle="Comma">
      <calculatedColumnFormula>C85</calculatedColumnFormula>
    </tableColumn>
    <tableColumn id="9" xr3:uid="{72169180-471B-49BA-A836-09363697F856}" name="Rwanda" dataDxfId="915" dataCellStyle="Comma">
      <calculatedColumnFormula>C86</calculatedColumnFormula>
    </tableColumn>
    <tableColumn id="10" xr3:uid="{BB1607E7-A487-4A65-BC29-1591927EECBC}" name="Sudan" dataDxfId="914" dataCellStyle="Comma">
      <calculatedColumnFormula>C87</calculatedColumnFormula>
    </tableColumn>
    <tableColumn id="11" xr3:uid="{B99F5134-3275-4AB5-A0FA-6E1519576338}" name="S. Sudan" dataDxfId="913" dataCellStyle="Comma">
      <calculatedColumnFormula>C88</calculatedColumnFormula>
    </tableColumn>
    <tableColumn id="12" xr3:uid="{EEC60E59-0B02-40EE-B7E9-9D762178259E}" name="Tanzania" dataDxfId="912" dataCellStyle="Comma">
      <calculatedColumnFormula>C89</calculatedColumnFormula>
    </tableColumn>
    <tableColumn id="13" xr3:uid="{33F31208-B258-43FE-819F-C379DDFCF804}" name="Uganda" dataDxfId="911" dataCellStyle="Comma">
      <calculatedColumnFormula>C90</calculatedColumnFormula>
    </tableColumn>
  </tableColumns>
  <tableStyleInfo name="Envy_area_11-style" showFirstColumn="1" showLastColumn="1"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3" xr:uid="{6866F159-1FC1-43E6-9D15-59B40E2C894E}" name="Table_1463109384654" displayName="Table_1463109384654" ref="B4:N5" headerRowDxfId="910" dataDxfId="908" totalsRowDxfId="907" headerRowBorderDxfId="909">
  <tableColumns count="13">
    <tableColumn id="1" xr3:uid="{D499B051-E593-43F0-9F45-D43D385AC798}" name="Countries " dataDxfId="906"/>
    <tableColumn id="2" xr3:uid="{CC359CBA-7903-4678-A362-244A4A8BA735}" name=" " dataDxfId="905"/>
    <tableColumn id="3" xr3:uid="{66369ABC-4213-48E7-B76D-7B93ABDDF97B}" name="Burundi" dataDxfId="904" dataCellStyle="Comma">
      <calculatedColumnFormula>C6</calculatedColumnFormula>
    </tableColumn>
    <tableColumn id="4" xr3:uid="{A7BEA042-77D7-4EE3-9326-53E411ABB62D}" name="DRC" dataDxfId="903" dataCellStyle="Comma">
      <calculatedColumnFormula>C7</calculatedColumnFormula>
    </tableColumn>
    <tableColumn id="5" xr3:uid="{DBBADE16-6842-439D-A9DD-75C85EAD3897}" name="Egypt" dataDxfId="902" dataCellStyle="Comma">
      <calculatedColumnFormula>C8</calculatedColumnFormula>
    </tableColumn>
    <tableColumn id="6" xr3:uid="{F6270BBA-606B-4557-A8D3-C9BEE9CE17F5}" name="Eritrea" dataDxfId="901" dataCellStyle="Comma">
      <calculatedColumnFormula>C9</calculatedColumnFormula>
    </tableColumn>
    <tableColumn id="7" xr3:uid="{FAB89264-82C9-4C06-9862-B9FE62F70863}" name="Ethiopia" dataDxfId="900" dataCellStyle="Comma">
      <calculatedColumnFormula>C10</calculatedColumnFormula>
    </tableColumn>
    <tableColumn id="8" xr3:uid="{B2B7A813-9B24-4F83-8C58-04A80B3603DC}" name="Kenya" dataDxfId="899" dataCellStyle="Comma">
      <calculatedColumnFormula>C11</calculatedColumnFormula>
    </tableColumn>
    <tableColumn id="9" xr3:uid="{D554224E-E83C-440D-AABD-9F1F170C106D}" name="Rwanda" dataDxfId="898" dataCellStyle="Comma">
      <calculatedColumnFormula>C12</calculatedColumnFormula>
    </tableColumn>
    <tableColumn id="10" xr3:uid="{3698EF36-AB9C-476C-8FBC-82FEA3088FF9}" name="Sudan" dataDxfId="897" dataCellStyle="Comma">
      <calculatedColumnFormula>C13</calculatedColumnFormula>
    </tableColumn>
    <tableColumn id="11" xr3:uid="{2CCEF9B2-E2C6-4D4A-9234-170A2A8B53C3}" name="S. Sudan" dataDxfId="896" dataCellStyle="Comma">
      <calculatedColumnFormula>C14</calculatedColumnFormula>
    </tableColumn>
    <tableColumn id="12" xr3:uid="{84BF8384-A8B7-4DA1-8DAD-063B4F22A0CD}" name="Tanzania" dataDxfId="895" dataCellStyle="Comma">
      <calculatedColumnFormula>C15</calculatedColumnFormula>
    </tableColumn>
    <tableColumn id="13" xr3:uid="{0DA0C195-71D8-4A89-86FD-504A2D71AE5C}" name="Uganda" dataDxfId="894" dataCellStyle="Comma">
      <calculatedColumnFormula>C16</calculatedColumnFormula>
    </tableColumn>
  </tableColumns>
  <tableStyleInfo name="Envy_area_11-style" showFirstColumn="1" showLastColumn="1"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4" xr:uid="{181D8D66-07F0-44DC-9DB2-FF8C05A1D8FD}" name="Table_146341211394755" displayName="Table_146341211394755" ref="B22:N23" headerRowDxfId="893" dataDxfId="891" totalsRowDxfId="890" headerRowBorderDxfId="892">
  <tableColumns count="13">
    <tableColumn id="1" xr3:uid="{D2BEC90D-A021-4AC6-9E4C-C63A3D2F8F51}" name="Countries " dataDxfId="889"/>
    <tableColumn id="2" xr3:uid="{3AD465A4-7D7A-458C-8ADB-77F1290CE4F2}" name=" " dataDxfId="888"/>
    <tableColumn id="3" xr3:uid="{61779504-9671-4C49-8FD0-DCA74C11CB58}" name="Burundi" dataDxfId="887" dataCellStyle="Comma">
      <calculatedColumnFormula>C24</calculatedColumnFormula>
    </tableColumn>
    <tableColumn id="4" xr3:uid="{7B333858-6664-4CAA-87B7-A583ED3A23C2}" name="DRC" dataDxfId="886" dataCellStyle="Comma">
      <calculatedColumnFormula>C25</calculatedColumnFormula>
    </tableColumn>
    <tableColumn id="5" xr3:uid="{71453334-FA90-4F14-AA4D-CF0A5F3DFDDD}" name="Egypt" dataDxfId="885" dataCellStyle="Comma">
      <calculatedColumnFormula>C26</calculatedColumnFormula>
    </tableColumn>
    <tableColumn id="6" xr3:uid="{EDE5AFA1-CB57-407E-BBBE-8F7A9D196B88}" name="Eritrea" dataDxfId="884" dataCellStyle="Comma">
      <calculatedColumnFormula>C27</calculatedColumnFormula>
    </tableColumn>
    <tableColumn id="7" xr3:uid="{4B624E11-5CD3-4FD5-9E25-3C5C73404E1B}" name="Ethiopia" dataDxfId="883" dataCellStyle="Comma">
      <calculatedColumnFormula>C28</calculatedColumnFormula>
    </tableColumn>
    <tableColumn id="8" xr3:uid="{80333FAF-FB65-48B7-89A4-4B331A5F74B9}" name="Kenya" dataDxfId="882" dataCellStyle="Comma">
      <calculatedColumnFormula>C29</calculatedColumnFormula>
    </tableColumn>
    <tableColumn id="9" xr3:uid="{43614C6D-B323-46F5-9A64-11F3FC58F257}" name="Rwanda" dataDxfId="881" dataCellStyle="Comma">
      <calculatedColumnFormula>C30</calculatedColumnFormula>
    </tableColumn>
    <tableColumn id="10" xr3:uid="{1D15ABE4-CB80-4E0F-96B1-A9968F51B6F6}" name="Sudan" dataDxfId="880" dataCellStyle="Comma">
      <calculatedColumnFormula>C31</calculatedColumnFormula>
    </tableColumn>
    <tableColumn id="11" xr3:uid="{6619CB39-2625-47B4-B8F1-88311E09261F}" name="S. Sudan" dataDxfId="879" dataCellStyle="Comma">
      <calculatedColumnFormula>C32</calculatedColumnFormula>
    </tableColumn>
    <tableColumn id="12" xr3:uid="{C0D6D495-DEBD-4371-BDB3-8C9BBF2B757B}" name="Tanzania" dataDxfId="878" dataCellStyle="Comma">
      <calculatedColumnFormula>C33</calculatedColumnFormula>
    </tableColumn>
    <tableColumn id="13" xr3:uid="{1DD44E1C-3D62-410B-B022-38726ECD6276}" name="Uganda" dataDxfId="877" dataCellStyle="Comma">
      <calculatedColumnFormula>C34</calculatedColumnFormula>
    </tableColumn>
  </tableColumns>
  <tableStyleInfo name="Envy_area_11-style" showFirstColumn="1" showLastColumn="1"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5" xr:uid="{14281EB5-66D0-40ED-89A2-100C8FBADA54}" name="Table_14634571419404856" displayName="Table_14634571419404856" ref="B58:N59" headerRowDxfId="876" dataDxfId="874" totalsRowDxfId="873" headerRowBorderDxfId="875">
  <tableColumns count="13">
    <tableColumn id="1" xr3:uid="{CFB3CBF0-26F2-4C1E-B848-624E867BFC51}" name="Countries " dataDxfId="872"/>
    <tableColumn id="2" xr3:uid="{192A469D-3188-43AA-8F9C-E4548C93BE83}" name=" " dataDxfId="871"/>
    <tableColumn id="3" xr3:uid="{9B068356-DEDA-4B2A-802D-06D05843CBC3}" name="Burundi" dataDxfId="870" dataCellStyle="Comma">
      <calculatedColumnFormula>C60</calculatedColumnFormula>
    </tableColumn>
    <tableColumn id="4" xr3:uid="{F26CD6AD-BCA1-4A98-B4C2-F9B2953AA7B6}" name="DRC" dataDxfId="869" dataCellStyle="Comma">
      <calculatedColumnFormula>C61</calculatedColumnFormula>
    </tableColumn>
    <tableColumn id="5" xr3:uid="{E48D43F4-A259-4932-B3A6-474A52A529EB}" name="Egypt" dataDxfId="868" dataCellStyle="Comma">
      <calculatedColumnFormula>C62</calculatedColumnFormula>
    </tableColumn>
    <tableColumn id="6" xr3:uid="{391A1F2A-4349-43F1-9FF0-5BC9FC42E228}" name="Eritrea" dataDxfId="867" dataCellStyle="Comma">
      <calculatedColumnFormula>C63</calculatedColumnFormula>
    </tableColumn>
    <tableColumn id="7" xr3:uid="{9A08A0D5-38AB-431E-B7DB-BB3E049BDC91}" name="Ethiopia" dataDxfId="866" dataCellStyle="Comma">
      <calculatedColumnFormula>C64</calculatedColumnFormula>
    </tableColumn>
    <tableColumn id="8" xr3:uid="{C9327F9F-C1F0-4D04-8D25-3260383A1631}" name="Kenya" dataDxfId="865" dataCellStyle="Comma">
      <calculatedColumnFormula>C65</calculatedColumnFormula>
    </tableColumn>
    <tableColumn id="9" xr3:uid="{320FBCB8-1A9A-420D-8B70-97072C1221DA}" name="Rwanda" dataDxfId="864" dataCellStyle="Comma">
      <calculatedColumnFormula>C66</calculatedColumnFormula>
    </tableColumn>
    <tableColumn id="10" xr3:uid="{9D169AA3-5536-451B-A789-59E9AC0AECAD}" name="Sudan" dataDxfId="863" dataCellStyle="Comma">
      <calculatedColumnFormula>C67</calculatedColumnFormula>
    </tableColumn>
    <tableColumn id="11" xr3:uid="{9D39A04C-5B8C-46D6-87FD-57861C02CAB4}" name="S. Sudan" dataDxfId="862" dataCellStyle="Comma">
      <calculatedColumnFormula>C68</calculatedColumnFormula>
    </tableColumn>
    <tableColumn id="12" xr3:uid="{8F6C7AE0-F97C-44D5-9F16-163C39C9F1C9}" name="Tanzania" dataDxfId="861" dataCellStyle="Comma">
      <calculatedColumnFormula>C69</calculatedColumnFormula>
    </tableColumn>
    <tableColumn id="13" xr3:uid="{C988EC3F-4C02-4241-B1A6-4D996E8296C3}" name="Uganda" dataDxfId="860" dataCellStyle="Comma">
      <calculatedColumnFormula>C70</calculatedColumnFormula>
    </tableColumn>
  </tableColumns>
  <tableStyleInfo name="Envy_area_11-style" showFirstColumn="1" showLastColumn="1"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6" xr:uid="{BF4CB971-9A71-4A8A-851B-99FF471DD0B9}" name="Table_1463451520414957" displayName="Table_1463451520414957" ref="B40:N41" headerRowDxfId="859" dataDxfId="857" totalsRowDxfId="856" headerRowBorderDxfId="858">
  <tableColumns count="13">
    <tableColumn id="1" xr3:uid="{0FD1B0B1-A448-4EA9-BABA-7E349B21DC1B}" name="Countries " dataDxfId="855"/>
    <tableColumn id="2" xr3:uid="{5389AC8B-60C6-442E-872E-A377096304C4}" name=" " dataDxfId="854"/>
    <tableColumn id="3" xr3:uid="{DCEEDA1B-0A79-44B0-B00C-B622FC0A3D17}" name="Burundi" dataDxfId="853" dataCellStyle="Comma">
      <calculatedColumnFormula>C42</calculatedColumnFormula>
    </tableColumn>
    <tableColumn id="4" xr3:uid="{B82B834A-5B6E-443D-9E37-AB781F9BAD59}" name="DRC" dataDxfId="852" dataCellStyle="Comma">
      <calculatedColumnFormula>C43</calculatedColumnFormula>
    </tableColumn>
    <tableColumn id="5" xr3:uid="{EB680F15-7C24-4A5B-B7BE-23EA02662B02}" name="Egypt" dataDxfId="851" dataCellStyle="Comma">
      <calculatedColumnFormula>C44</calculatedColumnFormula>
    </tableColumn>
    <tableColumn id="6" xr3:uid="{36EE23C5-5DEF-457C-B3E4-34C8A5BF211B}" name="Eritrea" dataDxfId="850" dataCellStyle="Comma">
      <calculatedColumnFormula>C45</calculatedColumnFormula>
    </tableColumn>
    <tableColumn id="7" xr3:uid="{4DC90038-D995-4637-972F-38ED9430BC83}" name="Ethiopia" dataDxfId="849" dataCellStyle="Comma">
      <calculatedColumnFormula>C46</calculatedColumnFormula>
    </tableColumn>
    <tableColumn id="8" xr3:uid="{AAC4C219-004C-4BAF-A34A-3ECC293F9CD9}" name="Kenya" dataDxfId="848" dataCellStyle="Comma">
      <calculatedColumnFormula>C47</calculatedColumnFormula>
    </tableColumn>
    <tableColumn id="9" xr3:uid="{24F7B36D-6EA8-439D-919E-CD34EECF6845}" name="Rwanda" dataDxfId="847" dataCellStyle="Comma">
      <calculatedColumnFormula>C48</calculatedColumnFormula>
    </tableColumn>
    <tableColumn id="10" xr3:uid="{4C872809-2460-41BC-A601-538175DFEFB6}" name="Sudan" dataDxfId="846" dataCellStyle="Comma">
      <calculatedColumnFormula>C49</calculatedColumnFormula>
    </tableColumn>
    <tableColumn id="11" xr3:uid="{04CE4B93-EF1A-42FC-8FA4-6ACCFCDD64C9}" name="S. Sudan" dataDxfId="845" dataCellStyle="Comma">
      <calculatedColumnFormula>C50</calculatedColumnFormula>
    </tableColumn>
    <tableColumn id="12" xr3:uid="{2AF9EBB4-4643-472F-856E-2D930E2BC894}" name="Tanzania" dataDxfId="844" dataCellStyle="Comma">
      <calculatedColumnFormula>C51</calculatedColumnFormula>
    </tableColumn>
    <tableColumn id="13" xr3:uid="{DF5882C6-1A5E-4A3F-A24B-DB229791FF45}" name="Uganda" dataDxfId="843" dataCellStyle="Comma">
      <calculatedColumnFormula>C52</calculatedColumnFormula>
    </tableColumn>
  </tableColumns>
  <tableStyleInfo name="Envy_area_11-style" showFirstColumn="1" showLastColumn="1"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7" xr:uid="{DE986A4F-15E5-4364-B3A8-847AB4B1391F}" name="Table_1463457811291821425058" displayName="Table_1463457811291821425058" ref="B132:N133" headerRowDxfId="842" dataDxfId="840" totalsRowDxfId="839" headerRowBorderDxfId="841">
  <tableColumns count="13">
    <tableColumn id="1" xr3:uid="{DEB214BC-E7BA-4EB3-B221-9D82498627F3}" name="Countries " dataDxfId="838"/>
    <tableColumn id="2" xr3:uid="{3F8AD52B-A0AA-43D5-A79E-7A7B12A96DF8}" name=" " dataDxfId="837"/>
    <tableColumn id="3" xr3:uid="{DA0494DA-7797-437A-98BD-6239E640470C}" name="Burundi" dataDxfId="836" dataCellStyle="Comma">
      <calculatedColumnFormula>C134</calculatedColumnFormula>
    </tableColumn>
    <tableColumn id="4" xr3:uid="{49C8F8BF-EC5E-4A14-8F10-6215CD4D0C72}" name="DRC" dataDxfId="835" dataCellStyle="Comma">
      <calculatedColumnFormula>C135</calculatedColumnFormula>
    </tableColumn>
    <tableColumn id="5" xr3:uid="{5C6F2032-BC7A-44D7-8B3C-43E2B22DA106}" name="Egypt" dataDxfId="834" dataCellStyle="Comma">
      <calculatedColumnFormula>C136</calculatedColumnFormula>
    </tableColumn>
    <tableColumn id="6" xr3:uid="{CFE0E72A-5D5C-4B8B-9F46-F75C5B62902D}" name="Eritrea" dataDxfId="833" dataCellStyle="Comma">
      <calculatedColumnFormula>C137</calculatedColumnFormula>
    </tableColumn>
    <tableColumn id="7" xr3:uid="{834EA822-AC75-45F9-B931-6F1231EFB42F}" name="Ethiopia" dataDxfId="832" dataCellStyle="Comma">
      <calculatedColumnFormula>C138</calculatedColumnFormula>
    </tableColumn>
    <tableColumn id="8" xr3:uid="{AA51D23D-BD99-4AE3-A8E9-495A6EC53D91}" name="Kenya" dataDxfId="831" dataCellStyle="Comma">
      <calculatedColumnFormula>C139</calculatedColumnFormula>
    </tableColumn>
    <tableColumn id="9" xr3:uid="{5317E123-96F1-495B-8914-E5DE9287E1ED}" name="Rwanda" dataDxfId="830" dataCellStyle="Comma">
      <calculatedColumnFormula>C140</calculatedColumnFormula>
    </tableColumn>
    <tableColumn id="10" xr3:uid="{56B6D54E-CD2F-4264-9E97-B4DBA24A6884}" name="Sudan" dataDxfId="829" dataCellStyle="Comma">
      <calculatedColumnFormula>C141</calculatedColumnFormula>
    </tableColumn>
    <tableColumn id="11" xr3:uid="{1C67373B-BAED-4208-A98F-6A3113BD2505}" name="S. Sudan" dataDxfId="828" dataCellStyle="Comma">
      <calculatedColumnFormula>C142</calculatedColumnFormula>
    </tableColumn>
    <tableColumn id="12" xr3:uid="{4D7CCC73-396E-41CD-B569-D5FE8D80EE4F}" name="Tanzania" dataDxfId="827" dataCellStyle="Comma">
      <calculatedColumnFormula>C143</calculatedColumnFormula>
    </tableColumn>
    <tableColumn id="13" xr3:uid="{C45C7266-0654-4C79-83C4-191C95EB38D5}" name="Uganda" dataDxfId="826" dataCellStyle="Comma">
      <calculatedColumnFormula>C144</calculatedColumnFormula>
    </tableColumn>
  </tableColumns>
  <tableStyleInfo name="Envy_area_11-style" showFirstColumn="1" showLastColumn="1"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8" xr:uid="{1C9298BC-3F44-4D42-B127-D799775AB33B}" name="Table_146345781121722435159" displayName="Table_146345781121722435159" ref="B114:N115" headerRowDxfId="825" dataDxfId="823" totalsRowDxfId="822" headerRowBorderDxfId="824">
  <tableColumns count="13">
    <tableColumn id="1" xr3:uid="{F7468967-3DF5-43EA-9E8D-233994EA5B51}" name="Countries " dataDxfId="821"/>
    <tableColumn id="2" xr3:uid="{10B85B0F-563D-4840-B5D3-DA56FD854CC7}" name=" " dataDxfId="820"/>
    <tableColumn id="3" xr3:uid="{53B9B5B9-3AE9-4DAE-A177-B715ACFCE448}" name="Burundi" dataDxfId="819" dataCellStyle="Comma">
      <calculatedColumnFormula>C116</calculatedColumnFormula>
    </tableColumn>
    <tableColumn id="4" xr3:uid="{BCA2D46E-6D55-4366-8F54-D7191C3F9F06}" name="DRC" dataDxfId="818" dataCellStyle="Comma">
      <calculatedColumnFormula>C117</calculatedColumnFormula>
    </tableColumn>
    <tableColumn id="5" xr3:uid="{69323D7D-BE74-4841-89BC-FF8A63834A54}" name="Egypt" dataDxfId="817" dataCellStyle="Comma">
      <calculatedColumnFormula>C118</calculatedColumnFormula>
    </tableColumn>
    <tableColumn id="6" xr3:uid="{78ACEE8A-3B58-48B0-952E-03E981B6E9AD}" name="Eritrea" dataDxfId="816" dataCellStyle="Comma">
      <calculatedColumnFormula>C119</calculatedColumnFormula>
    </tableColumn>
    <tableColumn id="7" xr3:uid="{A8753E9F-4089-4BE8-91DD-E719B343F72E}" name="Ethiopia" dataDxfId="815" dataCellStyle="Comma">
      <calculatedColumnFormula>C120</calculatedColumnFormula>
    </tableColumn>
    <tableColumn id="8" xr3:uid="{0B66265C-53B7-4AC2-BAE2-680E39B8B09A}" name="Kenya" dataDxfId="814" dataCellStyle="Comma">
      <calculatedColumnFormula>C121</calculatedColumnFormula>
    </tableColumn>
    <tableColumn id="9" xr3:uid="{4E1EAA17-D68D-457E-B195-489B52807282}" name="Rwanda" dataDxfId="813" dataCellStyle="Comma">
      <calculatedColumnFormula>C122</calculatedColumnFormula>
    </tableColumn>
    <tableColumn id="10" xr3:uid="{387D7F0A-D2A7-482F-86EB-3592444F56D1}" name="Sudan" dataDxfId="812" dataCellStyle="Comma">
      <calculatedColumnFormula>C123</calculatedColumnFormula>
    </tableColumn>
    <tableColumn id="11" xr3:uid="{B8FAAA39-88C0-48C9-84CB-63FDEDFF3D16}" name="S. Sudan" dataDxfId="811" dataCellStyle="Comma">
      <calculatedColumnFormula>C124</calculatedColumnFormula>
    </tableColumn>
    <tableColumn id="12" xr3:uid="{1F0F14A8-46D1-4F55-9589-26C9795B5A28}" name="Tanzania" dataDxfId="810" dataCellStyle="Comma">
      <calculatedColumnFormula>C125</calculatedColumnFormula>
    </tableColumn>
    <tableColumn id="13" xr3:uid="{2150A52E-571A-451F-A8B1-60729740DE7B}" name="Uganda" dataDxfId="809" dataCellStyle="Comma">
      <calculatedColumnFormula>C126</calculatedColumnFormula>
    </tableColumn>
  </tableColumns>
  <tableStyleInfo name="Envy_area_11-style" showFirstColumn="1" showLastColumn="1"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9" xr:uid="{68489002-67DB-4810-A44A-4B4F0FAF6E4A}" name="Table_14634578111623445260" displayName="Table_14634578111623445260" ref="B96:N97" headerRowDxfId="808" dataDxfId="806" totalsRowDxfId="805" headerRowBorderDxfId="807">
  <tableColumns count="13">
    <tableColumn id="1" xr3:uid="{43211B48-F18A-49C0-BAC3-30179F78C3DE}" name="Countries " dataDxfId="804"/>
    <tableColumn id="2" xr3:uid="{6AC73A83-0C64-4A9E-BE3F-428EDE9D03AF}" name=" " dataDxfId="803"/>
    <tableColumn id="3" xr3:uid="{3A776C5B-62A4-40D4-8F35-7A0C9065C266}" name="Burundi" dataDxfId="802" dataCellStyle="Comma">
      <calculatedColumnFormula>C98</calculatedColumnFormula>
    </tableColumn>
    <tableColumn id="4" xr3:uid="{6D6A0036-398B-4428-8026-F270CD14313B}" name="DRC" dataDxfId="801" dataCellStyle="Comma">
      <calculatedColumnFormula>C99</calculatedColumnFormula>
    </tableColumn>
    <tableColumn id="5" xr3:uid="{345A7538-E865-436D-BD30-1AC10B110CA3}" name="Egypt" dataDxfId="800" dataCellStyle="Comma">
      <calculatedColumnFormula>C100</calculatedColumnFormula>
    </tableColumn>
    <tableColumn id="6" xr3:uid="{5C23D7B5-81B3-41ED-99A1-56283C9D462B}" name="Eritrea" dataDxfId="799" dataCellStyle="Comma">
      <calculatedColumnFormula>C101</calculatedColumnFormula>
    </tableColumn>
    <tableColumn id="7" xr3:uid="{17187DF3-4E85-4340-BCA4-84CB71B3623C}" name="Ethiopia" dataDxfId="798" dataCellStyle="Comma">
      <calculatedColumnFormula>C102</calculatedColumnFormula>
    </tableColumn>
    <tableColumn id="8" xr3:uid="{F4F93DAE-4EF4-4FDF-A7A2-A8CAF81EA7CC}" name="Kenya" dataDxfId="797" dataCellStyle="Comma">
      <calculatedColumnFormula>C103</calculatedColumnFormula>
    </tableColumn>
    <tableColumn id="9" xr3:uid="{0598F7AA-57B2-4517-BF06-B2D6C758A760}" name="Rwanda" dataDxfId="796" dataCellStyle="Comma">
      <calculatedColumnFormula>C104</calculatedColumnFormula>
    </tableColumn>
    <tableColumn id="10" xr3:uid="{58974334-56D3-4E16-8EEE-FA28C4609E5C}" name="Sudan" dataDxfId="795" dataCellStyle="Comma">
      <calculatedColumnFormula>C105</calculatedColumnFormula>
    </tableColumn>
    <tableColumn id="11" xr3:uid="{DA8C9886-0F1D-4038-94BF-6318730CAFEB}" name="S. Sudan" dataDxfId="794" dataCellStyle="Comma">
      <calculatedColumnFormula>C106</calculatedColumnFormula>
    </tableColumn>
    <tableColumn id="12" xr3:uid="{3A2CF301-5A65-4C2F-84B7-5373D85760CC}" name="Tanzania" dataDxfId="793" dataCellStyle="Comma">
      <calculatedColumnFormula>C107</calculatedColumnFormula>
    </tableColumn>
    <tableColumn id="13" xr3:uid="{AEE13AD9-DF52-4010-A059-635E1F13D4E4}" name="Uganda" dataDxfId="792" dataCellStyle="Comma">
      <calculatedColumnFormula>C108</calculatedColumnFormula>
    </tableColumn>
  </tableColumns>
  <tableStyleInfo name="Envy_area_11-style" showFirstColumn="1" showLastColumn="1"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0" xr:uid="{11B20B4A-9EE4-4236-BC0B-31B3623197E8}" name="Table_146345781324455361" displayName="Table_146345781324455361" ref="B78:N79" headerRowDxfId="791" dataDxfId="789" totalsRowDxfId="788" headerRowBorderDxfId="790">
  <tableColumns count="13">
    <tableColumn id="1" xr3:uid="{DC347779-4A90-444D-9DDA-95815F36558E}" name="Countries " dataDxfId="787"/>
    <tableColumn id="2" xr3:uid="{1DF3EA26-7C78-46FE-8DF6-AF8771254892}" name=" " dataDxfId="786"/>
    <tableColumn id="3" xr3:uid="{2840F6CE-7994-4E6D-B858-F9D58FA81240}" name="Burundi" dataDxfId="785" dataCellStyle="Comma">
      <calculatedColumnFormula>C80</calculatedColumnFormula>
    </tableColumn>
    <tableColumn id="4" xr3:uid="{C2192DAC-BC0A-48D4-9BCE-9C64829AC0D9}" name="DRC" dataDxfId="784" dataCellStyle="Comma">
      <calculatedColumnFormula>C81</calculatedColumnFormula>
    </tableColumn>
    <tableColumn id="5" xr3:uid="{B4DACDE3-A99D-406C-9020-6B4B9DB030A2}" name="Egypt" dataDxfId="783" dataCellStyle="Comma">
      <calculatedColumnFormula>C82</calculatedColumnFormula>
    </tableColumn>
    <tableColumn id="6" xr3:uid="{1DAE93B1-049F-488D-90DC-0B2533D2820E}" name="Eritrea" dataDxfId="782" dataCellStyle="Comma">
      <calculatedColumnFormula>C83</calculatedColumnFormula>
    </tableColumn>
    <tableColumn id="7" xr3:uid="{EE1494A6-D9F6-491C-AE92-E352132568EC}" name="Ethiopia" dataDxfId="781" dataCellStyle="Comma">
      <calculatedColumnFormula>C84</calculatedColumnFormula>
    </tableColumn>
    <tableColumn id="8" xr3:uid="{569C8F8F-56E2-4B67-9A85-643016A0E931}" name="Kenya" dataDxfId="780" dataCellStyle="Comma">
      <calculatedColumnFormula>C85</calculatedColumnFormula>
    </tableColumn>
    <tableColumn id="9" xr3:uid="{DEEF6602-5742-426A-9BE5-D44967F943AA}" name="Rwanda" dataDxfId="779" dataCellStyle="Comma">
      <calculatedColumnFormula>C86</calculatedColumnFormula>
    </tableColumn>
    <tableColumn id="10" xr3:uid="{349CF86B-17E9-45F1-B185-506350C7BC90}" name="Sudan" dataDxfId="778" dataCellStyle="Comma">
      <calculatedColumnFormula>C87</calculatedColumnFormula>
    </tableColumn>
    <tableColumn id="11" xr3:uid="{26910F16-CCEC-4746-985E-FF1454ED6C74}" name="S. Sudan" dataDxfId="777" dataCellStyle="Comma">
      <calculatedColumnFormula>C88</calculatedColumnFormula>
    </tableColumn>
    <tableColumn id="12" xr3:uid="{210C2F04-79EB-43D9-8F4C-925F2564B29E}" name="Tanzania" dataDxfId="776" dataCellStyle="Comma">
      <calculatedColumnFormula>C89</calculatedColumnFormula>
    </tableColumn>
    <tableColumn id="13" xr3:uid="{CC3AC479-2A13-45CD-831D-97C62EFD777F}" name="Uganda" dataDxfId="775" dataCellStyle="Comma">
      <calculatedColumnFormula>C90</calculatedColumnFormula>
    </tableColumn>
  </tableColumns>
  <tableStyleInfo name="Envy_area_11-style" showFirstColumn="1" showLastColumn="1"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1" xr:uid="{7008DD88-4D59-43E7-BF9C-39F787095D9D}" name="Table_146310938465462" displayName="Table_146310938465462" ref="B4:N5" headerRowDxfId="774" dataDxfId="772" totalsRowDxfId="771" headerRowBorderDxfId="773">
  <tableColumns count="13">
    <tableColumn id="1" xr3:uid="{A8FDFDEA-7F02-4A0E-8284-8B517FA6E19C}" name="Countries " dataDxfId="770"/>
    <tableColumn id="2" xr3:uid="{3442D35C-DEA2-41D5-B149-2C4C24EB9ED8}" name=" " dataDxfId="769"/>
    <tableColumn id="3" xr3:uid="{CDD7C051-F490-49E8-86D6-526712810C75}" name="Burundi" dataDxfId="768" dataCellStyle="Comma">
      <calculatedColumnFormula>C6</calculatedColumnFormula>
    </tableColumn>
    <tableColumn id="4" xr3:uid="{8F6A1C97-A8DD-4DC5-9843-F02997A928A0}" name="DRC" dataDxfId="767" dataCellStyle="Comma">
      <calculatedColumnFormula>C7</calculatedColumnFormula>
    </tableColumn>
    <tableColumn id="5" xr3:uid="{93A9AFF4-5573-418B-8394-AAB38BE20C36}" name="Egypt" dataDxfId="766" dataCellStyle="Comma">
      <calculatedColumnFormula>C8</calculatedColumnFormula>
    </tableColumn>
    <tableColumn id="6" xr3:uid="{C237F02F-39D8-49B7-BF6B-8B16E3EEEC99}" name="Eritrea" dataDxfId="765" dataCellStyle="Comma">
      <calculatedColumnFormula>C9</calculatedColumnFormula>
    </tableColumn>
    <tableColumn id="7" xr3:uid="{6AAF0F11-D71C-42DF-B6FD-941CAEB87B3A}" name="Ethiopia" dataDxfId="764" dataCellStyle="Comma">
      <calculatedColumnFormula>C10</calculatedColumnFormula>
    </tableColumn>
    <tableColumn id="8" xr3:uid="{6113CCF1-4555-4A52-BA99-97A1C06AC790}" name="Kenya" dataDxfId="763" dataCellStyle="Comma">
      <calculatedColumnFormula>C11</calculatedColumnFormula>
    </tableColumn>
    <tableColumn id="9" xr3:uid="{00EC2B53-1CB3-4286-AC6D-0F7BE2F0590A}" name="Rwanda" dataDxfId="762" dataCellStyle="Comma">
      <calculatedColumnFormula>C12</calculatedColumnFormula>
    </tableColumn>
    <tableColumn id="10" xr3:uid="{81EA9D34-DD9A-4048-8FD0-BC0E41684083}" name="Sudan" dataDxfId="761" dataCellStyle="Comma">
      <calculatedColumnFormula>C13</calculatedColumnFormula>
    </tableColumn>
    <tableColumn id="11" xr3:uid="{FC02E9A6-36A1-46B0-94D0-BAAAD4B08806}" name="S. Sudan" dataDxfId="760" dataCellStyle="Comma">
      <calculatedColumnFormula>C14</calculatedColumnFormula>
    </tableColumn>
    <tableColumn id="12" xr3:uid="{06457664-8655-4A2C-B6C5-D4FBF6271A89}" name="Tanzania" dataDxfId="759" dataCellStyle="Comma">
      <calculatedColumnFormula>C15</calculatedColumnFormula>
    </tableColumn>
    <tableColumn id="13" xr3:uid="{DDCAED79-39ED-4A97-B189-919FE9987623}" name="Uganda" dataDxfId="758" dataCellStyle="Comma">
      <calculatedColumnFormula>C16</calculatedColumnFormula>
    </tableColumn>
  </tableColumns>
  <tableStyleInfo name="Envy_area_11-style" showFirstColumn="1" showLastColumn="1"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2" xr:uid="{BC8E458A-311C-4837-8AC6-14547B5F2B02}" name="Table_14634121139475563" displayName="Table_14634121139475563" ref="B22:N23" headerRowDxfId="757" dataDxfId="755" totalsRowDxfId="754" headerRowBorderDxfId="756">
  <tableColumns count="13">
    <tableColumn id="1" xr3:uid="{A6E555A3-E3B0-48CC-9499-8B3D633F9EC1}" name="Countries " dataDxfId="753"/>
    <tableColumn id="2" xr3:uid="{6E8B3C62-3BA3-4650-9D54-BA68EAFA7864}" name=" " dataDxfId="752"/>
    <tableColumn id="3" xr3:uid="{FE7848A1-5550-4565-BEFE-9DD58B115B73}" name="Burundi" dataDxfId="751" dataCellStyle="Comma">
      <calculatedColumnFormula>C24</calculatedColumnFormula>
    </tableColumn>
    <tableColumn id="4" xr3:uid="{822F496B-7BAA-49F9-90E4-E1DDA15A45F3}" name="DRC" dataDxfId="750" dataCellStyle="Comma">
      <calculatedColumnFormula>C25</calculatedColumnFormula>
    </tableColumn>
    <tableColumn id="5" xr3:uid="{316BDBDA-5DC3-4212-BC62-763474C8F7FC}" name="Egypt" dataDxfId="749" dataCellStyle="Comma">
      <calculatedColumnFormula>C26</calculatedColumnFormula>
    </tableColumn>
    <tableColumn id="6" xr3:uid="{ACFE9C36-A7EA-4723-941A-D205EC512085}" name="Eritrea" dataDxfId="748" dataCellStyle="Comma">
      <calculatedColumnFormula>C27</calculatedColumnFormula>
    </tableColumn>
    <tableColumn id="7" xr3:uid="{A5B154EC-763C-4EDC-B116-1590E6C53B27}" name="Ethiopia" dataDxfId="747" dataCellStyle="Comma">
      <calculatedColumnFormula>C28</calculatedColumnFormula>
    </tableColumn>
    <tableColumn id="8" xr3:uid="{66BFEAFD-A556-4E4B-971C-AE091B3BD859}" name="Kenya" dataDxfId="746" dataCellStyle="Comma">
      <calculatedColumnFormula>C29</calculatedColumnFormula>
    </tableColumn>
    <tableColumn id="9" xr3:uid="{1F2D4088-3D26-4B62-8346-946184C42F11}" name="Rwanda" dataDxfId="745" dataCellStyle="Comma">
      <calculatedColumnFormula>C30</calculatedColumnFormula>
    </tableColumn>
    <tableColumn id="10" xr3:uid="{E5B253E1-4A8D-4A27-BAC3-0B7F842CB1A2}" name="Sudan" dataDxfId="744" dataCellStyle="Comma">
      <calculatedColumnFormula>C31</calculatedColumnFormula>
    </tableColumn>
    <tableColumn id="11" xr3:uid="{CD02C491-7641-4F82-AFC1-D3B72C8C3425}" name="S. Sudan" dataDxfId="743" dataCellStyle="Comma">
      <calculatedColumnFormula>C32</calculatedColumnFormula>
    </tableColumn>
    <tableColumn id="12" xr3:uid="{32843C53-7790-4485-AEC6-09F916100148}" name="Tanzania" dataDxfId="742" dataCellStyle="Comma">
      <calculatedColumnFormula>C33</calculatedColumnFormula>
    </tableColumn>
    <tableColumn id="13" xr3:uid="{EE44FBBE-8A88-46A7-838F-93B540E02FD6}" name="Uganda" dataDxfId="741" dataCellStyle="Comma">
      <calculatedColumnFormula>C34</calculatedColumnFormula>
    </tableColumn>
  </tableColumns>
  <tableStyleInfo name="Envy_area_11-style" showFirstColumn="1" showLastColumn="1" showRowStripes="1"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3" xr:uid="{C75DF344-A868-406C-AA7B-A86C6986C84E}" name="Table_1463457141940485664" displayName="Table_1463457141940485664" ref="B58:N59" headerRowDxfId="740" dataDxfId="738" totalsRowDxfId="737" headerRowBorderDxfId="739">
  <tableColumns count="13">
    <tableColumn id="1" xr3:uid="{4B40E574-5490-4698-8259-2CD88FA2B50D}" name="Countries " dataDxfId="736"/>
    <tableColumn id="2" xr3:uid="{F60030FD-A260-4792-868A-DDEF06D098A5}" name=" " dataDxfId="735"/>
    <tableColumn id="3" xr3:uid="{8110C706-341A-44A3-A251-FF10E1CA8205}" name="Burundi" dataDxfId="734" dataCellStyle="Comma">
      <calculatedColumnFormula>C60</calculatedColumnFormula>
    </tableColumn>
    <tableColumn id="4" xr3:uid="{6C58DC8C-8C57-40E6-B220-7520A0CFF351}" name="DRC" dataDxfId="733" dataCellStyle="Comma">
      <calculatedColumnFormula>C61</calculatedColumnFormula>
    </tableColumn>
    <tableColumn id="5" xr3:uid="{9813F832-3DF8-4018-ACD6-AC1410653F56}" name="Egypt" dataDxfId="732" dataCellStyle="Comma">
      <calculatedColumnFormula>C62</calculatedColumnFormula>
    </tableColumn>
    <tableColumn id="6" xr3:uid="{DF3DBAFE-A4E7-4449-9F98-B5104C7D47F5}" name="Eritrea" dataDxfId="731" dataCellStyle="Comma">
      <calculatedColumnFormula>C63</calculatedColumnFormula>
    </tableColumn>
    <tableColumn id="7" xr3:uid="{C26E7C7E-3446-468A-B3EE-18E0BB86530D}" name="Ethiopia" dataDxfId="730" dataCellStyle="Comma">
      <calculatedColumnFormula>C64</calculatedColumnFormula>
    </tableColumn>
    <tableColumn id="8" xr3:uid="{97B6F6E9-9AA7-4FF2-B477-B8A8C7164A2F}" name="Kenya" dataDxfId="729" dataCellStyle="Comma">
      <calculatedColumnFormula>C65</calculatedColumnFormula>
    </tableColumn>
    <tableColumn id="9" xr3:uid="{AF927536-9F72-4C66-B6CD-21F3D9BD3902}" name="Rwanda" dataDxfId="728" dataCellStyle="Comma">
      <calculatedColumnFormula>C66</calculatedColumnFormula>
    </tableColumn>
    <tableColumn id="10" xr3:uid="{062E9703-F3EE-4F11-B303-A886E4AB2E78}" name="Sudan" dataDxfId="727" dataCellStyle="Comma">
      <calculatedColumnFormula>C67</calculatedColumnFormula>
    </tableColumn>
    <tableColumn id="11" xr3:uid="{C5F8C929-6549-408E-97A0-012CDC8BC822}" name="S. Sudan" dataDxfId="726" dataCellStyle="Comma">
      <calculatedColumnFormula>C68</calculatedColumnFormula>
    </tableColumn>
    <tableColumn id="12" xr3:uid="{E16C8FDF-FC38-44BA-A69B-33C1DA4CDF0D}" name="Tanzania" dataDxfId="725" dataCellStyle="Comma">
      <calculatedColumnFormula>C69</calculatedColumnFormula>
    </tableColumn>
    <tableColumn id="13" xr3:uid="{C0222289-1CCF-41B8-BD23-8BB371594E10}" name="Uganda" dataDxfId="724" dataCellStyle="Comma">
      <calculatedColumnFormula>C70</calculatedColumnFormula>
    </tableColumn>
  </tableColumns>
  <tableStyleInfo name="Envy_area_11-style" showFirstColumn="1" showLastColumn="1" showRowStripes="1" showColumnStripes="0"/>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4" xr:uid="{8EECB8BA-239E-4713-8E59-AACECA40BB38}" name="Table_146345152041495765" displayName="Table_146345152041495765" ref="B40:N41" headerRowDxfId="723" dataDxfId="721" totalsRowDxfId="720" headerRowBorderDxfId="722">
  <tableColumns count="13">
    <tableColumn id="1" xr3:uid="{2C27F1A4-A65F-459F-A878-02B08F067BEA}" name="Countries " dataDxfId="719"/>
    <tableColumn id="2" xr3:uid="{C7D0EC31-9060-434B-A090-44E118A32F91}" name=" " dataDxfId="718"/>
    <tableColumn id="3" xr3:uid="{B94E9BAE-45E2-4D4D-AC3A-99BF4F314C93}" name="Burundi" dataDxfId="717" dataCellStyle="Comma">
      <calculatedColumnFormula>C42</calculatedColumnFormula>
    </tableColumn>
    <tableColumn id="4" xr3:uid="{AAA2236A-E6A2-47D8-9F6E-B57BA8888141}" name="DRC" dataDxfId="716" dataCellStyle="Comma">
      <calculatedColumnFormula>C43</calculatedColumnFormula>
    </tableColumn>
    <tableColumn id="5" xr3:uid="{129B4CDC-2939-428C-8493-0E45DAEBCB4D}" name="Egypt" dataDxfId="715" dataCellStyle="Comma">
      <calculatedColumnFormula>C44</calculatedColumnFormula>
    </tableColumn>
    <tableColumn id="6" xr3:uid="{837B9449-8F37-44F9-8D34-9B9D6A0FE908}" name="Eritrea" dataDxfId="714" dataCellStyle="Comma">
      <calculatedColumnFormula>C45</calculatedColumnFormula>
    </tableColumn>
    <tableColumn id="7" xr3:uid="{0BFAAA1C-F4C4-40B3-9E81-1D9B8823B3B4}" name="Ethiopia" dataDxfId="713" dataCellStyle="Comma">
      <calculatedColumnFormula>C46</calculatedColumnFormula>
    </tableColumn>
    <tableColumn id="8" xr3:uid="{7263A203-4D13-4A23-8590-A7E63590FBC6}" name="Kenya" dataDxfId="712" dataCellStyle="Comma">
      <calculatedColumnFormula>C47</calculatedColumnFormula>
    </tableColumn>
    <tableColumn id="9" xr3:uid="{259D5520-37E5-44D3-A4F7-E28A7458FAE5}" name="Rwanda" dataDxfId="711" dataCellStyle="Comma">
      <calculatedColumnFormula>C48</calculatedColumnFormula>
    </tableColumn>
    <tableColumn id="10" xr3:uid="{7DB3EC9E-EADD-40B1-ADEB-B7D9BEB16E2C}" name="Sudan" dataDxfId="710" dataCellStyle="Comma">
      <calculatedColumnFormula>C49</calculatedColumnFormula>
    </tableColumn>
    <tableColumn id="11" xr3:uid="{BE819CF8-EC0C-4F05-8193-9846AF0A0EB9}" name="S. Sudan" dataDxfId="709" dataCellStyle="Comma">
      <calculatedColumnFormula>C50</calculatedColumnFormula>
    </tableColumn>
    <tableColumn id="12" xr3:uid="{8C7C9283-ADB6-4E40-9169-17FAAB26FFA7}" name="Tanzania" dataDxfId="708" dataCellStyle="Comma">
      <calculatedColumnFormula>C51</calculatedColumnFormula>
    </tableColumn>
    <tableColumn id="13" xr3:uid="{4BD1A459-5F02-45F3-AD48-D8C46B76B828}" name="Uganda" dataDxfId="707" dataCellStyle="Comma">
      <calculatedColumnFormula>C52</calculatedColumnFormula>
    </tableColumn>
  </tableColumns>
  <tableStyleInfo name="Envy_area_11-style" showFirstColumn="1" showLastColumn="1" showRowStripes="1" showColumnStripes="0"/>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5" xr:uid="{2BB345AE-8EFC-436C-ADEA-88ED31F93DD0}" name="Table_146345781129182142505866" displayName="Table_146345781129182142505866" ref="B132:N133" headerRowDxfId="706" dataDxfId="704" totalsRowDxfId="703" headerRowBorderDxfId="705">
  <tableColumns count="13">
    <tableColumn id="1" xr3:uid="{2BA8BCF5-862D-420C-B907-CB4AA22AE4C8}" name="Countries " dataDxfId="702"/>
    <tableColumn id="2" xr3:uid="{0C36C8F1-DEED-49B7-829E-9FDA094645CA}" name=" " dataDxfId="701"/>
    <tableColumn id="3" xr3:uid="{BAF79925-F1C3-4BE4-8B49-6248A7FFCE19}" name="Burundi" dataDxfId="700" dataCellStyle="Comma">
      <calculatedColumnFormula>C134</calculatedColumnFormula>
    </tableColumn>
    <tableColumn id="4" xr3:uid="{A00687B3-7380-4FBC-833D-48F48B604110}" name="DRC" dataDxfId="699" dataCellStyle="Comma">
      <calculatedColumnFormula>C135</calculatedColumnFormula>
    </tableColumn>
    <tableColumn id="5" xr3:uid="{EC0AD24D-BB54-457A-8FB2-B46E58E0D702}" name="Egypt" dataDxfId="698" dataCellStyle="Comma">
      <calculatedColumnFormula>C136</calculatedColumnFormula>
    </tableColumn>
    <tableColumn id="6" xr3:uid="{58A18928-523C-415F-8A65-729A25619456}" name="Eritrea" dataDxfId="697" dataCellStyle="Comma">
      <calculatedColumnFormula>C137</calculatedColumnFormula>
    </tableColumn>
    <tableColumn id="7" xr3:uid="{395FEEF2-A5C2-4773-9555-F84E8F44D9AC}" name="Ethiopia" dataDxfId="696" dataCellStyle="Comma">
      <calculatedColumnFormula>C138</calculatedColumnFormula>
    </tableColumn>
    <tableColumn id="8" xr3:uid="{830D815D-EEFC-4C8E-8D9B-21D27B9DEE44}" name="Kenya" dataDxfId="695" dataCellStyle="Comma">
      <calculatedColumnFormula>C139</calculatedColumnFormula>
    </tableColumn>
    <tableColumn id="9" xr3:uid="{02575C0D-EFBF-4DA9-91D9-1ADB63646D53}" name="Rwanda" dataDxfId="694" dataCellStyle="Comma">
      <calculatedColumnFormula>C140</calculatedColumnFormula>
    </tableColumn>
    <tableColumn id="10" xr3:uid="{7B3CD66A-51B0-4E14-AE85-D80608A36E52}" name="Sudan" dataDxfId="693" dataCellStyle="Comma">
      <calculatedColumnFormula>C141</calculatedColumnFormula>
    </tableColumn>
    <tableColumn id="11" xr3:uid="{1FD62243-3AC0-48AF-BD97-FFEF4BAF8948}" name="S. Sudan" dataDxfId="692" dataCellStyle="Comma">
      <calculatedColumnFormula>C142</calculatedColumnFormula>
    </tableColumn>
    <tableColumn id="12" xr3:uid="{8D4D8FE0-D3F9-4A3E-B216-2059666EE7D1}" name="Tanzania" dataDxfId="691" dataCellStyle="Comma">
      <calculatedColumnFormula>C143</calculatedColumnFormula>
    </tableColumn>
    <tableColumn id="13" xr3:uid="{C2014450-6157-4A16-BFB6-C48EDF28DABC}" name="Uganda" dataDxfId="690" dataCellStyle="Comma">
      <calculatedColumnFormula>C144</calculatedColumnFormula>
    </tableColumn>
  </tableColumns>
  <tableStyleInfo name="Envy_area_11-style" showFirstColumn="1" showLastColumn="1" showRowStripes="1" showColumnStripes="0"/>
</table>
</file>

<file path=xl/tables/table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6" xr:uid="{B97A2D9A-7A3A-42D1-9BAE-EA008D86E4E8}" name="Table_14634578112172243515967" displayName="Table_14634578112172243515967" ref="B114:N115" headerRowDxfId="689" dataDxfId="687" totalsRowDxfId="686" headerRowBorderDxfId="688">
  <tableColumns count="13">
    <tableColumn id="1" xr3:uid="{5BB260FE-A923-470F-9125-8E56BDC5A032}" name="Countries " dataDxfId="685"/>
    <tableColumn id="2" xr3:uid="{5538B722-0854-4283-A50F-EC42A5763A61}" name=" " dataDxfId="684"/>
    <tableColumn id="3" xr3:uid="{ADAD041C-0964-444E-865B-6EA38905184B}" name="Burundi" dataDxfId="683" dataCellStyle="Comma">
      <calculatedColumnFormula>C116</calculatedColumnFormula>
    </tableColumn>
    <tableColumn id="4" xr3:uid="{AF657258-7826-453F-9F6E-FFA1F550C415}" name="DRC" dataDxfId="682" dataCellStyle="Comma">
      <calculatedColumnFormula>C117</calculatedColumnFormula>
    </tableColumn>
    <tableColumn id="5" xr3:uid="{FD85C230-E209-43DD-85BD-6A9B18F4B4E5}" name="Egypt" dataDxfId="681" dataCellStyle="Comma">
      <calculatedColumnFormula>C118</calculatedColumnFormula>
    </tableColumn>
    <tableColumn id="6" xr3:uid="{53478878-66C3-4486-9B7B-491D9FC5CD53}" name="Eritrea" dataDxfId="680" dataCellStyle="Comma">
      <calculatedColumnFormula>C119</calculatedColumnFormula>
    </tableColumn>
    <tableColumn id="7" xr3:uid="{B5298E91-1E7D-40BF-8CC2-AB5F68482CE1}" name="Ethiopia" dataDxfId="679" dataCellStyle="Comma">
      <calculatedColumnFormula>C120</calculatedColumnFormula>
    </tableColumn>
    <tableColumn id="8" xr3:uid="{66CCC558-3254-42F8-A58F-234D0BCB1CAC}" name="Kenya" dataDxfId="678" dataCellStyle="Comma">
      <calculatedColumnFormula>C121</calculatedColumnFormula>
    </tableColumn>
    <tableColumn id="9" xr3:uid="{FDAA7179-D208-4FAE-987E-00CF57918BB5}" name="Rwanda" dataDxfId="677" dataCellStyle="Comma">
      <calculatedColumnFormula>C122</calculatedColumnFormula>
    </tableColumn>
    <tableColumn id="10" xr3:uid="{C75DBD18-652B-46E1-BF7C-F85E8C5135F1}" name="Sudan" dataDxfId="676" dataCellStyle="Comma">
      <calculatedColumnFormula>C123</calculatedColumnFormula>
    </tableColumn>
    <tableColumn id="11" xr3:uid="{2BA69B2B-941F-497F-B344-5BFEBE1F11A2}" name="S. Sudan" dataDxfId="675" dataCellStyle="Comma">
      <calculatedColumnFormula>C124</calculatedColumnFormula>
    </tableColumn>
    <tableColumn id="12" xr3:uid="{8D66E5DE-9DA3-481E-9B29-F37A5AC3406E}" name="Tanzania" dataDxfId="674" dataCellStyle="Comma">
      <calculatedColumnFormula>C125</calculatedColumnFormula>
    </tableColumn>
    <tableColumn id="13" xr3:uid="{B895D6C3-32B2-46D8-A1E4-423B1D6F4029}" name="Uganda" dataDxfId="673" dataCellStyle="Comma">
      <calculatedColumnFormula>C126</calculatedColumnFormula>
    </tableColumn>
  </tableColumns>
  <tableStyleInfo name="Envy_area_11-style" showFirstColumn="1" showLastColumn="1" showRowStripes="1" showColumnStripes="0"/>
</table>
</file>

<file path=xl/tables/table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7" xr:uid="{4E87EECC-1EC6-4B73-8924-C76ED6A66841}" name="Table_1463457811162344526068" displayName="Table_1463457811162344526068" ref="B96:N97" headerRowDxfId="672" dataDxfId="670" totalsRowDxfId="669" headerRowBorderDxfId="671">
  <tableColumns count="13">
    <tableColumn id="1" xr3:uid="{DBCC9808-2221-4571-8416-942D017F3CE0}" name="Countries " dataDxfId="668"/>
    <tableColumn id="2" xr3:uid="{FCC771C6-620D-4C58-8DAA-9D2E260839E7}" name=" " dataDxfId="667"/>
    <tableColumn id="3" xr3:uid="{728FE48D-C51C-458C-8D03-85B14DE1A651}" name="Burundi" dataDxfId="666" dataCellStyle="Comma">
      <calculatedColumnFormula>C98</calculatedColumnFormula>
    </tableColumn>
    <tableColumn id="4" xr3:uid="{1AA25CE9-E8F7-473D-BACB-C06A21407417}" name="DRC" dataDxfId="665" dataCellStyle="Comma">
      <calculatedColumnFormula>C99</calculatedColumnFormula>
    </tableColumn>
    <tableColumn id="5" xr3:uid="{2CF54BEC-B07C-4FEC-B1B5-71916C748937}" name="Egypt" dataDxfId="664" dataCellStyle="Comma">
      <calculatedColumnFormula>C100</calculatedColumnFormula>
    </tableColumn>
    <tableColumn id="6" xr3:uid="{97927913-4921-4A56-ACAB-885446B499E1}" name="Eritrea" dataDxfId="663" dataCellStyle="Comma">
      <calculatedColumnFormula>C101</calculatedColumnFormula>
    </tableColumn>
    <tableColumn id="7" xr3:uid="{145B562B-8B3A-48F2-A2DD-C3C08A3445E2}" name="Ethiopia" dataDxfId="662" dataCellStyle="Comma">
      <calculatedColumnFormula>C102</calculatedColumnFormula>
    </tableColumn>
    <tableColumn id="8" xr3:uid="{B8B1E209-46C1-4A23-97A7-1D3B139FC8FE}" name="Kenya" dataDxfId="661" dataCellStyle="Comma">
      <calculatedColumnFormula>C103</calculatedColumnFormula>
    </tableColumn>
    <tableColumn id="9" xr3:uid="{D835D950-2F6F-4B0B-8AE5-55232FD4DA48}" name="Rwanda" dataDxfId="660" dataCellStyle="Comma">
      <calculatedColumnFormula>C104</calculatedColumnFormula>
    </tableColumn>
    <tableColumn id="10" xr3:uid="{6F61C65D-C2E1-4290-829E-63C6A31139FA}" name="Sudan" dataDxfId="659" dataCellStyle="Comma">
      <calculatedColumnFormula>C105</calculatedColumnFormula>
    </tableColumn>
    <tableColumn id="11" xr3:uid="{FA5181B3-CBE4-483D-8D41-92FFFE4F0022}" name="S. Sudan" dataDxfId="658" dataCellStyle="Comma">
      <calculatedColumnFormula>C106</calculatedColumnFormula>
    </tableColumn>
    <tableColumn id="12" xr3:uid="{BD0BA6BD-467F-46F1-B018-4519F4341002}" name="Tanzania" dataDxfId="657" dataCellStyle="Comma">
      <calculatedColumnFormula>C107</calculatedColumnFormula>
    </tableColumn>
    <tableColumn id="13" xr3:uid="{A44503E8-00A9-4613-BB0B-9022ACC02047}" name="Uganda" dataDxfId="656" dataCellStyle="Comma">
      <calculatedColumnFormula>C108</calculatedColumnFormula>
    </tableColumn>
  </tableColumns>
  <tableStyleInfo name="Envy_area_11-style" showFirstColumn="1" showLastColumn="1" showRowStripes="1" showColumnStripes="0"/>
</table>
</file>

<file path=xl/tables/table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8" xr:uid="{994FB26C-E3EA-4100-A63D-FACF2893224D}" name="Table_14634578132445536169" displayName="Table_14634578132445536169" ref="B78:N79" headerRowDxfId="655" dataDxfId="653" totalsRowDxfId="652" headerRowBorderDxfId="654">
  <tableColumns count="13">
    <tableColumn id="1" xr3:uid="{CFF569A4-F673-4A6A-AD49-D3ED361F73F2}" name="Countries " dataDxfId="651"/>
    <tableColumn id="2" xr3:uid="{F81316D0-77F8-406D-B708-A5E2B27700BA}" name=" " dataDxfId="650"/>
    <tableColumn id="3" xr3:uid="{3E3A26B9-07BF-4153-ACE2-C78EC18C01F1}" name="Burundi" dataDxfId="649" dataCellStyle="Comma">
      <calculatedColumnFormula>C80</calculatedColumnFormula>
    </tableColumn>
    <tableColumn id="4" xr3:uid="{4F626573-307F-43B4-BB88-8481F422CAAD}" name="DRC" dataDxfId="648" dataCellStyle="Comma">
      <calculatedColumnFormula>C81</calculatedColumnFormula>
    </tableColumn>
    <tableColumn id="5" xr3:uid="{8EA9F4AC-9BCB-4526-AF21-4267655CC921}" name="Egypt" dataDxfId="647" dataCellStyle="Comma">
      <calculatedColumnFormula>C82</calculatedColumnFormula>
    </tableColumn>
    <tableColumn id="6" xr3:uid="{81F14CFE-11FB-4530-BB7A-1FF04183A880}" name="Eritrea" dataDxfId="646" dataCellStyle="Comma">
      <calculatedColumnFormula>C83</calculatedColumnFormula>
    </tableColumn>
    <tableColumn id="7" xr3:uid="{123E99DD-FD3E-4FFB-B7AA-33F586AA711D}" name="Ethiopia" dataDxfId="645" dataCellStyle="Comma">
      <calculatedColumnFormula>C84</calculatedColumnFormula>
    </tableColumn>
    <tableColumn id="8" xr3:uid="{0F296579-22A6-4F69-95E4-34BCAFB2F43B}" name="Kenya" dataDxfId="644" dataCellStyle="Comma">
      <calculatedColumnFormula>C85</calculatedColumnFormula>
    </tableColumn>
    <tableColumn id="9" xr3:uid="{6159465A-EB1A-4ADC-B810-4B8B882321BE}" name="Rwanda" dataDxfId="643" dataCellStyle="Comma">
      <calculatedColumnFormula>C86</calculatedColumnFormula>
    </tableColumn>
    <tableColumn id="10" xr3:uid="{AEE8D8CE-1F9D-479E-A941-098E29A77248}" name="Sudan" dataDxfId="642" dataCellStyle="Comma">
      <calculatedColumnFormula>C87</calculatedColumnFormula>
    </tableColumn>
    <tableColumn id="11" xr3:uid="{1A245967-7D4C-4325-A4B1-5D4E30ED9843}" name="S. Sudan" dataDxfId="641" dataCellStyle="Comma">
      <calculatedColumnFormula>C88</calculatedColumnFormula>
    </tableColumn>
    <tableColumn id="12" xr3:uid="{966ED478-275E-4001-9BCE-EC0074F856A3}" name="Tanzania" dataDxfId="640" dataCellStyle="Comma">
      <calculatedColumnFormula>C89</calculatedColumnFormula>
    </tableColumn>
    <tableColumn id="13" xr3:uid="{B0A50164-C137-45C2-9FDF-2A1094661D94}" name="Uganda" dataDxfId="639" dataCellStyle="Comma">
      <calculatedColumnFormula>C90</calculatedColumnFormula>
    </tableColumn>
  </tableColumns>
  <tableStyleInfo name="Envy_area_11-style" showFirstColumn="1" showLastColumn="1" showRowStripes="1" showColumnStripes="0"/>
</table>
</file>

<file path=xl/tables/table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9" xr:uid="{39DA9EC8-FB71-424B-A69C-8981CD58CAFE}" name="Table_14631093846546270" displayName="Table_14631093846546270" ref="B4:N5" headerRowDxfId="638" dataDxfId="636" totalsRowDxfId="635" headerRowBorderDxfId="637">
  <tableColumns count="13">
    <tableColumn id="1" xr3:uid="{48E2C931-7DCA-4B94-AB45-AE1541A0740D}" name="Countries " dataDxfId="634"/>
    <tableColumn id="2" xr3:uid="{A7BFDA7E-A2CF-4652-8B1D-75C8D4600F1A}" name=" " dataDxfId="633"/>
    <tableColumn id="3" xr3:uid="{97E64BC9-1416-498C-AD74-52AE1B943770}" name="Burundi" dataDxfId="632" dataCellStyle="Comma">
      <calculatedColumnFormula>C6</calculatedColumnFormula>
    </tableColumn>
    <tableColumn id="4" xr3:uid="{CBF9F73D-E170-415B-8B5B-444D7CCAF391}" name="DRC" dataDxfId="631" dataCellStyle="Comma">
      <calculatedColumnFormula>C7</calculatedColumnFormula>
    </tableColumn>
    <tableColumn id="5" xr3:uid="{0D5D10C6-B934-402F-89F7-465E607A8D86}" name="Egypt" dataDxfId="630" dataCellStyle="Comma">
      <calculatedColumnFormula>C8</calculatedColumnFormula>
    </tableColumn>
    <tableColumn id="6" xr3:uid="{6E9BFBEA-4441-4448-8FC0-56D9A951FBCA}" name="Eritrea" dataDxfId="629" dataCellStyle="Comma">
      <calculatedColumnFormula>C9</calculatedColumnFormula>
    </tableColumn>
    <tableColumn id="7" xr3:uid="{82143510-CC60-445E-A657-85E05AD54310}" name="Ethiopia" dataDxfId="628" dataCellStyle="Comma">
      <calculatedColumnFormula>C10</calculatedColumnFormula>
    </tableColumn>
    <tableColumn id="8" xr3:uid="{A85A46DB-9954-448A-801E-E812D1922EEA}" name="Kenya" dataDxfId="627" dataCellStyle="Comma">
      <calculatedColumnFormula>C11</calculatedColumnFormula>
    </tableColumn>
    <tableColumn id="9" xr3:uid="{E51177A3-F2C2-4C7C-9931-99CC0DC94B5F}" name="Rwanda" dataDxfId="626" dataCellStyle="Comma">
      <calculatedColumnFormula>C12</calculatedColumnFormula>
    </tableColumn>
    <tableColumn id="10" xr3:uid="{92BF25D3-08C9-48E6-A557-294B28759531}" name="Sudan" dataDxfId="625" dataCellStyle="Comma">
      <calculatedColumnFormula>C13</calculatedColumnFormula>
    </tableColumn>
    <tableColumn id="11" xr3:uid="{3859B927-9EDB-4652-BE12-8AA611C7954B}" name="S. Sudan" dataDxfId="624" dataCellStyle="Comma">
      <calculatedColumnFormula>C14</calculatedColumnFormula>
    </tableColumn>
    <tableColumn id="12" xr3:uid="{2E35C737-4624-40A1-84BF-77D5EA17B3DE}" name="Tanzania" dataDxfId="623" dataCellStyle="Comma">
      <calculatedColumnFormula>C15</calculatedColumnFormula>
    </tableColumn>
    <tableColumn id="13" xr3:uid="{2CD58D30-E3CF-4F1F-B2F5-679B8D3AF953}" name="Uganda" dataDxfId="622" dataCellStyle="Comma">
      <calculatedColumnFormula>C16</calculatedColumnFormula>
    </tableColumn>
  </tableColumns>
  <tableStyleInfo name="Envy_area_11-style" showFirstColumn="1" showLastColumn="1" showRowStripes="1" showColumnStripes="0"/>
</table>
</file>

<file path=xl/tables/table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0" xr:uid="{E29A8AFE-9440-4DA1-9FEC-A62E04A72DE5}" name="Table_1463412113947556371" displayName="Table_1463412113947556371" ref="B22:N23" headerRowDxfId="621" dataDxfId="619" totalsRowDxfId="618" headerRowBorderDxfId="620">
  <tableColumns count="13">
    <tableColumn id="1" xr3:uid="{BDF51DA3-E1D0-402D-9C96-D829C10548CE}" name="Countries " dataDxfId="617"/>
    <tableColumn id="2" xr3:uid="{6CF8BC50-8DFC-4913-900F-34FF67D321A3}" name=" " dataDxfId="616"/>
    <tableColumn id="3" xr3:uid="{9CC7BD05-BF22-44B9-9B56-499A8BB8A075}" name="Burundi" dataDxfId="615" dataCellStyle="Comma">
      <calculatedColumnFormula>C24</calculatedColumnFormula>
    </tableColumn>
    <tableColumn id="4" xr3:uid="{4E5986FF-F934-4F4F-90CB-00176610B710}" name="DRC" dataDxfId="614" dataCellStyle="Comma">
      <calculatedColumnFormula>C25</calculatedColumnFormula>
    </tableColumn>
    <tableColumn id="5" xr3:uid="{A309BD7C-6071-48B5-9A87-341BC1DA0CF6}" name="Egypt" dataDxfId="613" dataCellStyle="Comma">
      <calculatedColumnFormula>C26</calculatedColumnFormula>
    </tableColumn>
    <tableColumn id="6" xr3:uid="{8B02758D-54C3-4ADE-A0F1-4FDC17D57395}" name="Eritrea" dataDxfId="612" dataCellStyle="Comma">
      <calculatedColumnFormula>C27</calculatedColumnFormula>
    </tableColumn>
    <tableColumn id="7" xr3:uid="{E1E8593D-3052-4BB1-830E-EA2FDB4C7DDE}" name="Ethiopia" dataDxfId="611" dataCellStyle="Comma">
      <calculatedColumnFormula>C28</calculatedColumnFormula>
    </tableColumn>
    <tableColumn id="8" xr3:uid="{A9F7AA10-A6E0-42D2-AEBB-C696A3236235}" name="Kenya" dataDxfId="610" dataCellStyle="Comma">
      <calculatedColumnFormula>C29</calculatedColumnFormula>
    </tableColumn>
    <tableColumn id="9" xr3:uid="{085F48C8-88D6-4D5E-82D1-1F4D6DBE5196}" name="Rwanda" dataDxfId="609" dataCellStyle="Comma">
      <calculatedColumnFormula>C30</calculatedColumnFormula>
    </tableColumn>
    <tableColumn id="10" xr3:uid="{BCAC5812-FDB4-44A2-BAB3-A77CA770AE15}" name="Sudan" dataDxfId="608" dataCellStyle="Comma">
      <calculatedColumnFormula>C31</calculatedColumnFormula>
    </tableColumn>
    <tableColumn id="11" xr3:uid="{CEC3C02C-0B99-4925-8BAB-5BDB7D79B5FD}" name="S. Sudan" dataDxfId="607" dataCellStyle="Comma">
      <calculatedColumnFormula>C32</calculatedColumnFormula>
    </tableColumn>
    <tableColumn id="12" xr3:uid="{ECDC3709-F6BC-4EB6-95C6-D9BF15C67356}" name="Tanzania" dataDxfId="606" dataCellStyle="Comma">
      <calculatedColumnFormula>C33</calculatedColumnFormula>
    </tableColumn>
    <tableColumn id="13" xr3:uid="{FCE69EBA-6820-4B8E-B75C-FB7793932E32}" name="Uganda" dataDxfId="605" dataCellStyle="Comma">
      <calculatedColumnFormula>C34</calculatedColumnFormula>
    </tableColumn>
  </tableColumns>
  <tableStyleInfo name="Envy_area_11-style" showFirstColumn="1" showLastColumn="1" showRowStripes="1" showColumnStripes="0"/>
</table>
</file>

<file path=xl/tables/table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1" xr:uid="{F5171659-763A-4A5B-8291-1D98B31CF216}" name="Table_146345714194048566472" displayName="Table_146345714194048566472" ref="B58:N59" headerRowDxfId="604" dataDxfId="602" totalsRowDxfId="601" headerRowBorderDxfId="603">
  <tableColumns count="13">
    <tableColumn id="1" xr3:uid="{BBFC55A3-A139-480B-8945-3A214C156122}" name="Countries " dataDxfId="600"/>
    <tableColumn id="2" xr3:uid="{76D75508-5269-48C6-9BDF-601431B83942}" name=" " dataDxfId="599"/>
    <tableColumn id="3" xr3:uid="{7D392ADE-92DA-45E3-BC94-73B877A89E76}" name="Burundi" dataDxfId="598" dataCellStyle="Comma">
      <calculatedColumnFormula>C60</calculatedColumnFormula>
    </tableColumn>
    <tableColumn id="4" xr3:uid="{B45F079A-1941-42B1-A31C-37C2602E4D9F}" name="DRC" dataDxfId="597" dataCellStyle="Comma">
      <calculatedColumnFormula>C61</calculatedColumnFormula>
    </tableColumn>
    <tableColumn id="5" xr3:uid="{28FF3FB5-AA44-40F2-842C-39EB858D8057}" name="Egypt" dataDxfId="596" dataCellStyle="Comma">
      <calculatedColumnFormula>C62</calculatedColumnFormula>
    </tableColumn>
    <tableColumn id="6" xr3:uid="{55EF140D-D637-4C1A-8327-E5A57FB5D9A7}" name="Eritrea" dataDxfId="595" dataCellStyle="Comma">
      <calculatedColumnFormula>C63</calculatedColumnFormula>
    </tableColumn>
    <tableColumn id="7" xr3:uid="{38BE0414-6B41-4F4B-BE65-26EBF07EA589}" name="Ethiopia" dataDxfId="594" dataCellStyle="Comma">
      <calculatedColumnFormula>C64</calculatedColumnFormula>
    </tableColumn>
    <tableColumn id="8" xr3:uid="{1D50B17D-4041-4F7B-8912-851F49918A74}" name="Kenya" dataDxfId="593" dataCellStyle="Comma">
      <calculatedColumnFormula>C65</calculatedColumnFormula>
    </tableColumn>
    <tableColumn id="9" xr3:uid="{3CF7ED7C-7AF0-4C7A-B0A0-FF06FAB56668}" name="Rwanda" dataDxfId="592" dataCellStyle="Comma">
      <calculatedColumnFormula>C66</calculatedColumnFormula>
    </tableColumn>
    <tableColumn id="10" xr3:uid="{6A1C1C61-37F3-4582-80B7-3BD4707D669E}" name="Sudan" dataDxfId="591" dataCellStyle="Comma">
      <calculatedColumnFormula>C67</calculatedColumnFormula>
    </tableColumn>
    <tableColumn id="11" xr3:uid="{7D8BA8C9-42FF-4143-9F0C-AC0D402AFCE7}" name="S. Sudan" dataDxfId="590" dataCellStyle="Comma">
      <calculatedColumnFormula>C68</calculatedColumnFormula>
    </tableColumn>
    <tableColumn id="12" xr3:uid="{7500E355-172D-43FA-BEB1-535E9F8309E6}" name="Tanzania" dataDxfId="589" dataCellStyle="Comma">
      <calculatedColumnFormula>C69</calculatedColumnFormula>
    </tableColumn>
    <tableColumn id="13" xr3:uid="{02AF8C8D-AE9D-46E3-B3B9-2CF087F89E95}" name="Uganda" dataDxfId="588" dataCellStyle="Comma">
      <calculatedColumnFormula>C70</calculatedColumnFormula>
    </tableColumn>
  </tableColumns>
  <tableStyleInfo name="Envy_area_11-style" showFirstColumn="1" showLastColumn="1" showRowStripes="1" showColumnStripes="0"/>
</table>
</file>

<file path=xl/tables/table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2" xr:uid="{C7E43FEB-E6F8-444E-AB76-0C2BE97C1C2E}" name="Table_14634515204149576573" displayName="Table_14634515204149576573" ref="B40:N41" headerRowDxfId="587" dataDxfId="585" totalsRowDxfId="584" headerRowBorderDxfId="586">
  <tableColumns count="13">
    <tableColumn id="1" xr3:uid="{35C4204F-33FE-45F1-BBBB-489A47CC68DF}" name="Countries " dataDxfId="583"/>
    <tableColumn id="2" xr3:uid="{3C9215A8-08D0-48C1-9D63-29168923C91E}" name=" " dataDxfId="582"/>
    <tableColumn id="3" xr3:uid="{DB2742C5-1B8E-455A-97B0-6BDB704BA600}" name="Burundi" dataDxfId="581" dataCellStyle="Comma">
      <calculatedColumnFormula>C42</calculatedColumnFormula>
    </tableColumn>
    <tableColumn id="4" xr3:uid="{440921A3-9DF5-4408-8E73-8B2F50144A3D}" name="DRC" dataDxfId="580" dataCellStyle="Comma">
      <calculatedColumnFormula>C43</calculatedColumnFormula>
    </tableColumn>
    <tableColumn id="5" xr3:uid="{B86D610B-1FDC-47F3-8654-72AE9FEA009A}" name="Egypt" dataDxfId="579" dataCellStyle="Comma">
      <calculatedColumnFormula>C44</calculatedColumnFormula>
    </tableColumn>
    <tableColumn id="6" xr3:uid="{B19959A3-8284-47FA-AFDA-5E6F54D6251A}" name="Eritrea" dataDxfId="578" dataCellStyle="Comma">
      <calculatedColumnFormula>C45</calculatedColumnFormula>
    </tableColumn>
    <tableColumn id="7" xr3:uid="{E797627B-67AE-43FF-A504-D00C338784F4}" name="Ethiopia" dataDxfId="577" dataCellStyle="Comma">
      <calculatedColumnFormula>C46</calculatedColumnFormula>
    </tableColumn>
    <tableColumn id="8" xr3:uid="{6BB94CCC-DAC3-4E4C-A720-5CC8E3B3298A}" name="Kenya" dataDxfId="576" dataCellStyle="Comma">
      <calculatedColumnFormula>C47</calculatedColumnFormula>
    </tableColumn>
    <tableColumn id="9" xr3:uid="{1FBCBE63-6CBD-408F-8F3B-B16B42FE3CEE}" name="Rwanda" dataDxfId="575" dataCellStyle="Comma">
      <calculatedColumnFormula>C48</calculatedColumnFormula>
    </tableColumn>
    <tableColumn id="10" xr3:uid="{A13BC31B-60BB-444E-889D-EBB35D9251BB}" name="Sudan" dataDxfId="574" dataCellStyle="Comma">
      <calculatedColumnFormula>C49</calculatedColumnFormula>
    </tableColumn>
    <tableColumn id="11" xr3:uid="{89F8175A-CEF3-4744-8D0B-9F63A8AFA8B0}" name="S. Sudan" dataDxfId="573" dataCellStyle="Comma">
      <calculatedColumnFormula>C50</calculatedColumnFormula>
    </tableColumn>
    <tableColumn id="12" xr3:uid="{91D61C2A-3F9D-4E80-BF7C-3BAFB20AA146}" name="Tanzania" dataDxfId="572" dataCellStyle="Comma">
      <calculatedColumnFormula>C51</calculatedColumnFormula>
    </tableColumn>
    <tableColumn id="13" xr3:uid="{528CFF48-0BA8-463B-BD79-C7E39AB6E516}" name="Uganda" dataDxfId="571" dataCellStyle="Comma">
      <calculatedColumnFormula>C52</calculatedColumnFormula>
    </tableColumn>
  </tableColumns>
  <tableStyleInfo name="Envy_area_11-style" showFirstColumn="1" showLastColumn="1" showRowStripes="1" showColumnStripes="0"/>
</table>
</file>

<file path=xl/tables/table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3" xr:uid="{49ED2FD9-383B-454C-9931-69BDDB2A2095}" name="Table_14634578112918214250586674" displayName="Table_14634578112918214250586674" ref="B132:N133" headerRowDxfId="570" dataDxfId="568" totalsRowDxfId="567" headerRowBorderDxfId="569">
  <tableColumns count="13">
    <tableColumn id="1" xr3:uid="{F6B62190-584E-4B21-9F24-25F74891F6C7}" name="Countries " dataDxfId="566"/>
    <tableColumn id="2" xr3:uid="{91092072-90B9-468A-B75F-F64376D4EFF5}" name=" " dataDxfId="565"/>
    <tableColumn id="3" xr3:uid="{2E023BF6-01C8-4DD7-9261-94C95037627D}" name="Burundi" dataDxfId="564" dataCellStyle="Comma">
      <calculatedColumnFormula>C134</calculatedColumnFormula>
    </tableColumn>
    <tableColumn id="4" xr3:uid="{C96D59C4-BD1D-42BF-85FC-753355C0B90A}" name="DRC" dataDxfId="563" dataCellStyle="Comma">
      <calculatedColumnFormula>C135</calculatedColumnFormula>
    </tableColumn>
    <tableColumn id="5" xr3:uid="{3C204BAD-FE5D-44DA-887F-13CE120C449C}" name="Egypt" dataDxfId="562" dataCellStyle="Comma">
      <calculatedColumnFormula>C136</calculatedColumnFormula>
    </tableColumn>
    <tableColumn id="6" xr3:uid="{7578FC10-284A-4358-A2E9-D9B3EEE1F444}" name="Eritrea" dataDxfId="561" dataCellStyle="Comma">
      <calculatedColumnFormula>C137</calculatedColumnFormula>
    </tableColumn>
    <tableColumn id="7" xr3:uid="{70183A36-DEC6-4CAE-8FA5-C9BD22A92D83}" name="Ethiopia" dataDxfId="560" dataCellStyle="Comma">
      <calculatedColumnFormula>C138</calculatedColumnFormula>
    </tableColumn>
    <tableColumn id="8" xr3:uid="{14711C77-5201-485E-84B3-2CEE45D3D906}" name="Kenya" dataDxfId="559" dataCellStyle="Comma">
      <calculatedColumnFormula>C139</calculatedColumnFormula>
    </tableColumn>
    <tableColumn id="9" xr3:uid="{E915EC42-7BE7-40C4-9416-5ACCD8CD73C8}" name="Rwanda" dataDxfId="558" dataCellStyle="Comma">
      <calculatedColumnFormula>C140</calculatedColumnFormula>
    </tableColumn>
    <tableColumn id="10" xr3:uid="{A1E9C754-F588-4B14-A592-20C90191F282}" name="Sudan" dataDxfId="557" dataCellStyle="Comma">
      <calculatedColumnFormula>C141</calculatedColumnFormula>
    </tableColumn>
    <tableColumn id="11" xr3:uid="{44FD9ECD-C166-47FF-8380-3DCB339093FC}" name="S. Sudan" dataDxfId="556" dataCellStyle="Comma">
      <calculatedColumnFormula>C142</calculatedColumnFormula>
    </tableColumn>
    <tableColumn id="12" xr3:uid="{04498CEC-0A8F-47F5-9730-7E817E334CAB}" name="Tanzania" dataDxfId="555" dataCellStyle="Comma">
      <calculatedColumnFormula>C143</calculatedColumnFormula>
    </tableColumn>
    <tableColumn id="13" xr3:uid="{63D41361-124D-4A1E-A7F3-A3E83D15AB92}" name="Uganda" dataDxfId="554" dataCellStyle="Comma">
      <calculatedColumnFormula>C144</calculatedColumnFormula>
    </tableColumn>
  </tableColumns>
  <tableStyleInfo name="Envy_area_11-style" showFirstColumn="1" showLastColumn="1" showRowStripes="1" showColumnStripes="0"/>
</table>
</file>

<file path=xl/tables/table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4" xr:uid="{815F76DC-4404-443A-8E75-FAC602819FCC}" name="Table_1463457811217224351596775" displayName="Table_1463457811217224351596775" ref="B114:N115" headerRowDxfId="553" dataDxfId="551" totalsRowDxfId="550" headerRowBorderDxfId="552">
  <tableColumns count="13">
    <tableColumn id="1" xr3:uid="{794E2896-BD4B-46E4-A9F7-7518161B80F9}" name="Countries " dataDxfId="549"/>
    <tableColumn id="2" xr3:uid="{76E62CFC-1FD8-4CB8-9739-524AADF1AAE4}" name=" " dataDxfId="548"/>
    <tableColumn id="3" xr3:uid="{97994B52-6C1D-4829-BAF7-3F5D75865E93}" name="Burundi" dataDxfId="547" dataCellStyle="Comma">
      <calculatedColumnFormula>C116</calculatedColumnFormula>
    </tableColumn>
    <tableColumn id="4" xr3:uid="{842160C2-2580-4919-9CA4-D10637761E1E}" name="DRC" dataDxfId="546" dataCellStyle="Comma">
      <calculatedColumnFormula>C117</calculatedColumnFormula>
    </tableColumn>
    <tableColumn id="5" xr3:uid="{5BFF8662-02E4-40A4-AA81-F1747EA93F9F}" name="Egypt" dataDxfId="545" dataCellStyle="Comma">
      <calculatedColumnFormula>C118</calculatedColumnFormula>
    </tableColumn>
    <tableColumn id="6" xr3:uid="{72B69118-D383-4405-AF57-E388996E76CA}" name="Eritrea" dataDxfId="544" dataCellStyle="Comma">
      <calculatedColumnFormula>C119</calculatedColumnFormula>
    </tableColumn>
    <tableColumn id="7" xr3:uid="{B2A3E1E4-7BD0-40D2-BB4C-5219CF06C23A}" name="Ethiopia" dataDxfId="543" dataCellStyle="Comma">
      <calculatedColumnFormula>C120</calculatedColumnFormula>
    </tableColumn>
    <tableColumn id="8" xr3:uid="{C36EF835-F066-4B47-9A48-2047F381E83F}" name="Kenya" dataDxfId="542" dataCellStyle="Comma">
      <calculatedColumnFormula>C121</calculatedColumnFormula>
    </tableColumn>
    <tableColumn id="9" xr3:uid="{749B04B3-DAF3-464D-B235-DF77ABC93826}" name="Rwanda" dataDxfId="541" dataCellStyle="Comma">
      <calculatedColumnFormula>C122</calculatedColumnFormula>
    </tableColumn>
    <tableColumn id="10" xr3:uid="{ECFC967D-BFEF-4107-B713-23084E8C4A35}" name="Sudan" dataDxfId="540" dataCellStyle="Comma">
      <calculatedColumnFormula>C123</calculatedColumnFormula>
    </tableColumn>
    <tableColumn id="11" xr3:uid="{EB73C6CC-8595-4A2A-8B44-EC5689F84CDE}" name="S. Sudan" dataDxfId="539" dataCellStyle="Comma">
      <calculatedColumnFormula>C124</calculatedColumnFormula>
    </tableColumn>
    <tableColumn id="12" xr3:uid="{D34A30EE-A6FB-41BA-83AD-D76B30934335}" name="Tanzania" dataDxfId="538" dataCellStyle="Comma">
      <calculatedColumnFormula>C125</calculatedColumnFormula>
    </tableColumn>
    <tableColumn id="13" xr3:uid="{ABE3B859-4EA8-49A3-B956-D8CA456E0AE0}" name="Uganda" dataDxfId="537" dataCellStyle="Comma">
      <calculatedColumnFormula>C126</calculatedColumnFormula>
    </tableColumn>
  </tableColumns>
  <tableStyleInfo name="Envy_area_11-style" showFirstColumn="1" showLastColumn="1" showRowStripes="1" showColumnStripes="0"/>
</table>
</file>

<file path=xl/tables/table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5" xr:uid="{E81845D7-B908-4B19-8534-76171045F363}" name="Table_146345781116234452606876" displayName="Table_146345781116234452606876" ref="B96:N97" headerRowDxfId="536" dataDxfId="534" totalsRowDxfId="533" headerRowBorderDxfId="535">
  <tableColumns count="13">
    <tableColumn id="1" xr3:uid="{F5DBF4CC-7DC4-433C-802D-82132EAE3D88}" name="Countries " dataDxfId="532"/>
    <tableColumn id="2" xr3:uid="{B7A24FA5-4A0F-46C2-95BB-383A2532D304}" name=" " dataDxfId="531"/>
    <tableColumn id="3" xr3:uid="{24FE1B96-9E93-40D0-9368-2E66F428FC67}" name="Burundi" dataDxfId="530" dataCellStyle="Comma">
      <calculatedColumnFormula>C98</calculatedColumnFormula>
    </tableColumn>
    <tableColumn id="4" xr3:uid="{CBED1EC5-0093-4384-ACFD-0AB589CEBB9A}" name="DRC" dataDxfId="529" dataCellStyle="Comma">
      <calculatedColumnFormula>C99</calculatedColumnFormula>
    </tableColumn>
    <tableColumn id="5" xr3:uid="{DC87E9DD-566F-47A1-9F7C-AE8811A2573B}" name="Egypt" dataDxfId="528" dataCellStyle="Comma">
      <calculatedColumnFormula>C100</calculatedColumnFormula>
    </tableColumn>
    <tableColumn id="6" xr3:uid="{8F5204FB-6475-477A-BE13-C1519EDF00DF}" name="Eritrea" dataDxfId="527" dataCellStyle="Comma">
      <calculatedColumnFormula>C101</calculatedColumnFormula>
    </tableColumn>
    <tableColumn id="7" xr3:uid="{7CC0BE70-C5C2-42B8-9D71-13A1979B5898}" name="Ethiopia" dataDxfId="526" dataCellStyle="Comma">
      <calculatedColumnFormula>C102</calculatedColumnFormula>
    </tableColumn>
    <tableColumn id="8" xr3:uid="{CBFCB817-F2D4-4C02-A870-A28991BE7324}" name="Kenya" dataDxfId="525" dataCellStyle="Comma">
      <calculatedColumnFormula>C103</calculatedColumnFormula>
    </tableColumn>
    <tableColumn id="9" xr3:uid="{93B680C8-37B0-44BE-930C-D87E53A2B92B}" name="Rwanda" dataDxfId="524" dataCellStyle="Comma">
      <calculatedColumnFormula>C104</calculatedColumnFormula>
    </tableColumn>
    <tableColumn id="10" xr3:uid="{EA7604FF-FD86-444E-A214-2CAD07169A78}" name="Sudan" dataDxfId="523" dataCellStyle="Comma">
      <calculatedColumnFormula>C105</calculatedColumnFormula>
    </tableColumn>
    <tableColumn id="11" xr3:uid="{0F79EF30-7BDE-4554-A1AB-C342AC65FCE6}" name="S. Sudan" dataDxfId="522" dataCellStyle="Comma">
      <calculatedColumnFormula>C106</calculatedColumnFormula>
    </tableColumn>
    <tableColumn id="12" xr3:uid="{A941C4C1-6DE3-40AB-91D6-A6B4AF195A94}" name="Tanzania" dataDxfId="521" dataCellStyle="Comma">
      <calculatedColumnFormula>C107</calculatedColumnFormula>
    </tableColumn>
    <tableColumn id="13" xr3:uid="{FC95E355-3B11-4B1E-91EB-8647EDDF6B08}" name="Uganda" dataDxfId="520" dataCellStyle="Comma">
      <calculatedColumnFormula>C108</calculatedColumnFormula>
    </tableColumn>
  </tableColumns>
  <tableStyleInfo name="Envy_area_11-style" showFirstColumn="1" showLastColumn="1" showRowStripes="1" showColumnStripes="0"/>
</table>
</file>

<file path=xl/tables/table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6" xr:uid="{ED88A59F-553E-434B-A6E6-C050C7B93730}" name="Table_1463457813244553616977" displayName="Table_1463457813244553616977" ref="B78:N79" headerRowDxfId="519" dataDxfId="517" totalsRowDxfId="516" headerRowBorderDxfId="518">
  <tableColumns count="13">
    <tableColumn id="1" xr3:uid="{2A0D2B84-A2B9-424C-B22E-23F24707E344}" name="Countries " dataDxfId="515"/>
    <tableColumn id="2" xr3:uid="{F4D32EC9-1EC1-4F81-A8B4-E6F561E57ECC}" name=" " dataDxfId="514"/>
    <tableColumn id="3" xr3:uid="{ED5C168F-0A00-4E04-83AD-C542806B6CD7}" name="Burundi" dataDxfId="513" dataCellStyle="Comma">
      <calculatedColumnFormula>C80</calculatedColumnFormula>
    </tableColumn>
    <tableColumn id="4" xr3:uid="{5E916B31-D0C2-4164-9B91-010DC1F92957}" name="DRC" dataDxfId="512" dataCellStyle="Comma">
      <calculatedColumnFormula>C81</calculatedColumnFormula>
    </tableColumn>
    <tableColumn id="5" xr3:uid="{8A4F3655-DA8F-4906-B996-47200797CDB0}" name="Egypt" dataDxfId="511" dataCellStyle="Comma">
      <calculatedColumnFormula>C82</calculatedColumnFormula>
    </tableColumn>
    <tableColumn id="6" xr3:uid="{77C46F00-3760-460C-9E72-E55496DB2574}" name="Eritrea" dataDxfId="510" dataCellStyle="Comma">
      <calculatedColumnFormula>C83</calculatedColumnFormula>
    </tableColumn>
    <tableColumn id="7" xr3:uid="{BF124844-B3C4-4089-A67F-F630478891FC}" name="Ethiopia" dataDxfId="509" dataCellStyle="Comma">
      <calculatedColumnFormula>C84</calculatedColumnFormula>
    </tableColumn>
    <tableColumn id="8" xr3:uid="{E6B14553-6691-405A-9DCD-4C96B937FE14}" name="Kenya" dataDxfId="508" dataCellStyle="Comma">
      <calculatedColumnFormula>C85</calculatedColumnFormula>
    </tableColumn>
    <tableColumn id="9" xr3:uid="{2EF4E08F-A3D9-4D2B-ADF8-2B6A518793F3}" name="Rwanda" dataDxfId="507" dataCellStyle="Comma">
      <calculatedColumnFormula>C86</calculatedColumnFormula>
    </tableColumn>
    <tableColumn id="10" xr3:uid="{809E0F4D-4E66-4DCC-A7CF-946EB904E9CC}" name="Sudan" dataDxfId="506" dataCellStyle="Comma">
      <calculatedColumnFormula>C87</calculatedColumnFormula>
    </tableColumn>
    <tableColumn id="11" xr3:uid="{C44A04EA-9390-4CF2-AC00-D18791BDEE99}" name="S. Sudan" dataDxfId="505" dataCellStyle="Comma">
      <calculatedColumnFormula>C88</calculatedColumnFormula>
    </tableColumn>
    <tableColumn id="12" xr3:uid="{B0E25161-C4B1-44E7-A102-E3A148F3A1B1}" name="Tanzania" dataDxfId="504" dataCellStyle="Comma">
      <calculatedColumnFormula>C89</calculatedColumnFormula>
    </tableColumn>
    <tableColumn id="13" xr3:uid="{18E2B6CA-244A-4CF5-BF87-D67EAD6486F0}" name="Uganda" dataDxfId="503" dataCellStyle="Comma">
      <calculatedColumnFormula>C90</calculatedColumnFormula>
    </tableColumn>
  </tableColumns>
  <tableStyleInfo name="Envy_area_11-style" showFirstColumn="1" showLastColumn="1" showRowStripes="1" showColumnStripes="0"/>
</table>
</file>

<file path=xl/tables/table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7" xr:uid="{8624C972-3AFF-43F2-85B2-11877E83CDAF}" name="Table_1463109384654627078" displayName="Table_1463109384654627078" ref="B4:N5" headerRowDxfId="502" dataDxfId="500" totalsRowDxfId="499" headerRowBorderDxfId="501">
  <tableColumns count="13">
    <tableColumn id="1" xr3:uid="{874104DB-DEBB-43D4-B44E-87C36C76D9A2}" name="Countries " dataDxfId="498"/>
    <tableColumn id="2" xr3:uid="{0FBE3435-3324-4E34-AC19-A9E5F925A424}" name=" " dataDxfId="497"/>
    <tableColumn id="3" xr3:uid="{E642EEA7-EF42-4B24-8E01-51985672EF84}" name="Burundi" dataDxfId="496" dataCellStyle="Comma">
      <calculatedColumnFormula>C6</calculatedColumnFormula>
    </tableColumn>
    <tableColumn id="4" xr3:uid="{A8B480E4-DE7B-42C2-A094-B34900D31EEA}" name="DRC" dataDxfId="495" dataCellStyle="Comma">
      <calculatedColumnFormula>C7</calculatedColumnFormula>
    </tableColumn>
    <tableColumn id="5" xr3:uid="{B5F9A2B0-B2CB-4DED-ADE8-70EF11A39C4D}" name="Egypt" dataDxfId="494" dataCellStyle="Comma">
      <calculatedColumnFormula>C8</calculatedColumnFormula>
    </tableColumn>
    <tableColumn id="6" xr3:uid="{51D1EA28-216A-4DB1-8FBC-4A93ADA247A4}" name="Eritrea" dataDxfId="493" dataCellStyle="Comma">
      <calculatedColumnFormula>C9</calculatedColumnFormula>
    </tableColumn>
    <tableColumn id="7" xr3:uid="{C3D78565-9710-437F-9271-BD971BC2BB81}" name="Ethiopia" dataDxfId="492" dataCellStyle="Comma">
      <calculatedColumnFormula>C10</calculatedColumnFormula>
    </tableColumn>
    <tableColumn id="8" xr3:uid="{3D11B019-A097-4602-A04E-E23475C0DE61}" name="Kenya" dataDxfId="491" dataCellStyle="Comma">
      <calculatedColumnFormula>C11</calculatedColumnFormula>
    </tableColumn>
    <tableColumn id="9" xr3:uid="{AFDFB1D7-A99A-4B05-8AA4-3AAA20BB7D32}" name="Rwanda" dataDxfId="490" dataCellStyle="Comma">
      <calculatedColumnFormula>C12</calculatedColumnFormula>
    </tableColumn>
    <tableColumn id="10" xr3:uid="{63AB6A0C-414C-4FB4-8FBB-6BD2A2701CAB}" name="Sudan" dataDxfId="489" dataCellStyle="Comma">
      <calculatedColumnFormula>C13</calculatedColumnFormula>
    </tableColumn>
    <tableColumn id="11" xr3:uid="{F4B53551-8E22-488C-812A-32429E0459FA}" name="S. Sudan" dataDxfId="488" dataCellStyle="Comma">
      <calculatedColumnFormula>C14</calculatedColumnFormula>
    </tableColumn>
    <tableColumn id="12" xr3:uid="{734B39A5-10C3-4F0E-8F2C-B83177E70D9E}" name="Tanzania" dataDxfId="487" dataCellStyle="Comma">
      <calculatedColumnFormula>C15</calculatedColumnFormula>
    </tableColumn>
    <tableColumn id="13" xr3:uid="{7507D74D-F4BB-4D50-876E-8361CEEC544B}" name="Uganda" dataDxfId="486" dataCellStyle="Comma">
      <calculatedColumnFormula>C16</calculatedColumnFormula>
    </tableColumn>
  </tableColumns>
  <tableStyleInfo name="Envy_area_11-style" showFirstColumn="1" showLastColumn="1" showRowStripes="1" showColumnStripes="0"/>
</table>
</file>

<file path=xl/tables/table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8" xr:uid="{15FC8B01-B2B7-41CC-AF1E-1D52EEA35580}" name="Table_146341211394755637179" displayName="Table_146341211394755637179" ref="B22:N23" headerRowDxfId="485" dataDxfId="483" totalsRowDxfId="482" headerRowBorderDxfId="484">
  <tableColumns count="13">
    <tableColumn id="1" xr3:uid="{BF797EC7-33B0-4398-ACC8-E66ADE50ACFA}" name="Countries " dataDxfId="481"/>
    <tableColumn id="2" xr3:uid="{1DDAB8CB-8BA1-4C66-B7F8-989573B21728}" name=" " dataDxfId="480"/>
    <tableColumn id="3" xr3:uid="{1BB540D4-33D7-499D-9F55-77B13A6B39E2}" name="Burundi" dataDxfId="479" dataCellStyle="Comma">
      <calculatedColumnFormula>C24</calculatedColumnFormula>
    </tableColumn>
    <tableColumn id="4" xr3:uid="{20A87947-2F61-46C8-938D-A15C4DC34423}" name="DRC" dataDxfId="478" dataCellStyle="Comma">
      <calculatedColumnFormula>C25</calculatedColumnFormula>
    </tableColumn>
    <tableColumn id="5" xr3:uid="{9A2DDB7E-FE0D-4325-81B9-9B542A996E5E}" name="Egypt" dataDxfId="477" dataCellStyle="Comma">
      <calculatedColumnFormula>C26</calculatedColumnFormula>
    </tableColumn>
    <tableColumn id="6" xr3:uid="{5EE2CA75-75BB-4FD6-A7FE-0EBC0F8867FE}" name="Eritrea" dataDxfId="476" dataCellStyle="Comma">
      <calculatedColumnFormula>C27</calculatedColumnFormula>
    </tableColumn>
    <tableColumn id="7" xr3:uid="{F9619BC5-9C8F-435F-B4BB-A28AF64DFE88}" name="Ethiopia" dataDxfId="475" dataCellStyle="Comma">
      <calculatedColumnFormula>C28</calculatedColumnFormula>
    </tableColumn>
    <tableColumn id="8" xr3:uid="{FCC34360-0F2B-4F37-83A9-FBA22F11F490}" name="Kenya" dataDxfId="474" dataCellStyle="Comma">
      <calculatedColumnFormula>C29</calculatedColumnFormula>
    </tableColumn>
    <tableColumn id="9" xr3:uid="{6E117775-FE6F-4E05-BE7D-872B3C7DADA6}" name="Rwanda" dataDxfId="473" dataCellStyle="Comma">
      <calculatedColumnFormula>C30</calculatedColumnFormula>
    </tableColumn>
    <tableColumn id="10" xr3:uid="{D3817224-78DB-4380-A8A1-5FDCB612A651}" name="Sudan" dataDxfId="472" dataCellStyle="Comma">
      <calculatedColumnFormula>C31</calculatedColumnFormula>
    </tableColumn>
    <tableColumn id="11" xr3:uid="{56D83CE9-B110-41FD-B963-E5F2813F621A}" name="S. Sudan" dataDxfId="471" dataCellStyle="Comma">
      <calculatedColumnFormula>C32</calculatedColumnFormula>
    </tableColumn>
    <tableColumn id="12" xr3:uid="{58CF233C-E487-45CC-97BC-9F9A8DA95C97}" name="Tanzania" dataDxfId="470" dataCellStyle="Comma">
      <calculatedColumnFormula>C33</calculatedColumnFormula>
    </tableColumn>
    <tableColumn id="13" xr3:uid="{AC80AD1C-2FFD-4D03-80AC-187FC05D9B2B}" name="Uganda" dataDxfId="469" dataCellStyle="Comma">
      <calculatedColumnFormula>C34</calculatedColumnFormula>
    </tableColumn>
  </tableColumns>
  <tableStyleInfo name="Envy_area_11-style" showFirstColumn="1" showLastColumn="1" showRowStripes="1" showColumnStripes="0"/>
</table>
</file>

<file path=xl/tables/table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9" xr:uid="{F0C62D55-ABF2-46C3-8E93-46EF5E1BC1D5}" name="Table_14634571419404856647280" displayName="Table_14634571419404856647280" ref="B58:N59" headerRowDxfId="468" dataDxfId="466" totalsRowDxfId="465" headerRowBorderDxfId="467">
  <tableColumns count="13">
    <tableColumn id="1" xr3:uid="{C78B41AC-D230-4105-AA3C-DF6484C186CD}" name="Countries " dataDxfId="464"/>
    <tableColumn id="2" xr3:uid="{C118C264-FEB0-48E2-9202-5F3670542F54}" name=" " dataDxfId="463"/>
    <tableColumn id="3" xr3:uid="{3517A013-473C-4F5E-B4E1-6E4634821BA9}" name="Burundi" dataDxfId="462" dataCellStyle="Comma">
      <calculatedColumnFormula>C60</calculatedColumnFormula>
    </tableColumn>
    <tableColumn id="4" xr3:uid="{625A7CE3-50E5-440C-8402-1B22115A1D58}" name="DRC" dataDxfId="461" dataCellStyle="Comma">
      <calculatedColumnFormula>C61</calculatedColumnFormula>
    </tableColumn>
    <tableColumn id="5" xr3:uid="{9D82B955-2787-44FE-A92E-61AA39259CFC}" name="Egypt" dataDxfId="460" dataCellStyle="Comma">
      <calculatedColumnFormula>C62</calculatedColumnFormula>
    </tableColumn>
    <tableColumn id="6" xr3:uid="{7D281471-86C8-4A4E-AECA-52F672469137}" name="Eritrea" dataDxfId="459" dataCellStyle="Comma">
      <calculatedColumnFormula>C63</calculatedColumnFormula>
    </tableColumn>
    <tableColumn id="7" xr3:uid="{8432CAF4-85DE-4DF1-9C8F-CB30BC31F20E}" name="Ethiopia" dataDxfId="458" dataCellStyle="Comma">
      <calculatedColumnFormula>C64</calculatedColumnFormula>
    </tableColumn>
    <tableColumn id="8" xr3:uid="{35A3F827-7F34-46F2-A3D8-2C4A70F6D51C}" name="Kenya" dataDxfId="457" dataCellStyle="Comma">
      <calculatedColumnFormula>C65</calculatedColumnFormula>
    </tableColumn>
    <tableColumn id="9" xr3:uid="{9AA9A265-1CD3-46F6-A74E-FFB2FFF85388}" name="Rwanda" dataDxfId="456" dataCellStyle="Comma">
      <calculatedColumnFormula>C66</calculatedColumnFormula>
    </tableColumn>
    <tableColumn id="10" xr3:uid="{3E4543B3-7260-473A-92EB-4D4393D48591}" name="Sudan" dataDxfId="455" dataCellStyle="Comma">
      <calculatedColumnFormula>C67</calculatedColumnFormula>
    </tableColumn>
    <tableColumn id="11" xr3:uid="{C453F01C-D222-4514-9FB2-B1DB2DF93760}" name="S. Sudan" dataDxfId="454" dataCellStyle="Comma">
      <calculatedColumnFormula>C68</calculatedColumnFormula>
    </tableColumn>
    <tableColumn id="12" xr3:uid="{E09B0278-011C-4417-BB3B-F9EC18A21E10}" name="Tanzania" dataDxfId="453" dataCellStyle="Comma">
      <calculatedColumnFormula>C69</calculatedColumnFormula>
    </tableColumn>
    <tableColumn id="13" xr3:uid="{C20982C5-03C0-4974-8FF6-3CCA4CB8C69D}" name="Uganda" dataDxfId="452" dataCellStyle="Comma">
      <calculatedColumnFormula>C70</calculatedColumnFormula>
    </tableColumn>
  </tableColumns>
  <tableStyleInfo name="Envy_area_11-style" showFirstColumn="1" showLastColumn="1" showRowStripes="1" showColumnStripes="0"/>
</table>
</file>

<file path=xl/tables/table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0" xr:uid="{39EEB0C5-D74A-4405-8B3F-8A4DB6BB49E6}" name="Table_1463451520414957657381" displayName="Table_1463451520414957657381" ref="B40:N41" headerRowDxfId="451" dataDxfId="449" totalsRowDxfId="448" headerRowBorderDxfId="450">
  <tableColumns count="13">
    <tableColumn id="1" xr3:uid="{BB3C03AE-6D76-433F-A89A-2F6F3D717181}" name="Countries " dataDxfId="447"/>
    <tableColumn id="2" xr3:uid="{C9577EE2-F4B8-4B18-A37D-9A87D0D8F303}" name=" " dataDxfId="446"/>
    <tableColumn id="3" xr3:uid="{9CEB0EB3-F8BD-40F8-8C90-6D939900A5F9}" name="Burundi" dataDxfId="445" dataCellStyle="Comma">
      <calculatedColumnFormula>C42</calculatedColumnFormula>
    </tableColumn>
    <tableColumn id="4" xr3:uid="{B2113F01-77BB-4665-9020-1B0D4C1EDCAC}" name="DRC" dataDxfId="444" dataCellStyle="Comma">
      <calculatedColumnFormula>C43</calculatedColumnFormula>
    </tableColumn>
    <tableColumn id="5" xr3:uid="{82A7E654-70FC-4E1D-A426-4C37CFEBA5DB}" name="Egypt" dataDxfId="443" dataCellStyle="Comma">
      <calculatedColumnFormula>C44</calculatedColumnFormula>
    </tableColumn>
    <tableColumn id="6" xr3:uid="{B236BDB0-D97F-4ED4-A169-2A45CBDD59AF}" name="Eritrea" dataDxfId="442" dataCellStyle="Comma">
      <calculatedColumnFormula>C45</calculatedColumnFormula>
    </tableColumn>
    <tableColumn id="7" xr3:uid="{2D2591EA-E19F-4BDE-890D-EDBE846B7860}" name="Ethiopia" dataDxfId="441" dataCellStyle="Comma">
      <calculatedColumnFormula>C46</calculatedColumnFormula>
    </tableColumn>
    <tableColumn id="8" xr3:uid="{58EC7CBD-0241-4852-B8A1-CC9AC694DC17}" name="Kenya" dataDxfId="440" dataCellStyle="Comma">
      <calculatedColumnFormula>C47</calculatedColumnFormula>
    </tableColumn>
    <tableColumn id="9" xr3:uid="{CC064DE1-3FFC-4DFB-9036-1FBFB6DA1D49}" name="Rwanda" dataDxfId="439" dataCellStyle="Comma">
      <calculatedColumnFormula>C48</calculatedColumnFormula>
    </tableColumn>
    <tableColumn id="10" xr3:uid="{374BF342-F450-40AE-80AB-9DDFA8C401A9}" name="Sudan" dataDxfId="438" dataCellStyle="Comma">
      <calculatedColumnFormula>C49</calculatedColumnFormula>
    </tableColumn>
    <tableColumn id="11" xr3:uid="{6CACC313-1921-4CCE-980C-489DCBBA70F5}" name="S. Sudan" dataDxfId="437" dataCellStyle="Comma">
      <calculatedColumnFormula>C50</calculatedColumnFormula>
    </tableColumn>
    <tableColumn id="12" xr3:uid="{54539FB1-2DC8-40FA-B410-9CF7E55047B3}" name="Tanzania" dataDxfId="436" dataCellStyle="Comma">
      <calculatedColumnFormula>C51</calculatedColumnFormula>
    </tableColumn>
    <tableColumn id="13" xr3:uid="{235F15FF-F37F-408A-9AF5-3E3BCB073643}" name="Uganda" dataDxfId="435" dataCellStyle="Comma">
      <calculatedColumnFormula>C52</calculatedColumnFormula>
    </tableColumn>
  </tableColumns>
  <tableStyleInfo name="Envy_area_11-style" showFirstColumn="1" showLastColumn="1" showRowStripes="1" showColumnStripes="0"/>
</table>
</file>

<file path=xl/tables/table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1" xr:uid="{461B55C6-39DD-4124-A6AD-D5A39579094F}" name="Table_1463457811291821425058667482" displayName="Table_1463457811291821425058667482" ref="B132:N133" headerRowDxfId="434" dataDxfId="432" totalsRowDxfId="431" headerRowBorderDxfId="433">
  <tableColumns count="13">
    <tableColumn id="1" xr3:uid="{D3CE1343-6B2E-4B11-9C64-8BC830E0E4B0}" name="Countries " dataDxfId="430"/>
    <tableColumn id="2" xr3:uid="{CE3BF400-6FF7-47B0-AD3C-92F6BD16A1BF}" name=" " dataDxfId="429"/>
    <tableColumn id="3" xr3:uid="{7BCCD1E4-2653-4307-B9A6-531A78FA940C}" name="Burundi" dataDxfId="428" dataCellStyle="Comma">
      <calculatedColumnFormula>C134</calculatedColumnFormula>
    </tableColumn>
    <tableColumn id="4" xr3:uid="{2BB44DAE-8C8F-47C2-9E14-2EBB87D7467E}" name="DRC" dataDxfId="427" dataCellStyle="Comma">
      <calculatedColumnFormula>C135</calculatedColumnFormula>
    </tableColumn>
    <tableColumn id="5" xr3:uid="{866670D3-552B-47FE-95D4-A34384FEA3DD}" name="Egypt" dataDxfId="426" dataCellStyle="Comma">
      <calculatedColumnFormula>C136</calculatedColumnFormula>
    </tableColumn>
    <tableColumn id="6" xr3:uid="{8F23840F-336E-4725-A6A9-63255F936EF5}" name="Eritrea" dataDxfId="425" dataCellStyle="Comma">
      <calculatedColumnFormula>C137</calculatedColumnFormula>
    </tableColumn>
    <tableColumn id="7" xr3:uid="{7A62298C-253E-4A31-A354-4DB12F63B1CD}" name="Ethiopia" dataDxfId="424" dataCellStyle="Comma">
      <calculatedColumnFormula>C138</calculatedColumnFormula>
    </tableColumn>
    <tableColumn id="8" xr3:uid="{7CD357EF-6C75-4DED-9589-E9BD33648E06}" name="Kenya" dataDxfId="423" dataCellStyle="Comma">
      <calculatedColumnFormula>C139</calculatedColumnFormula>
    </tableColumn>
    <tableColumn id="9" xr3:uid="{2C63620E-1BA0-45B1-B8D3-34770DD4B125}" name="Rwanda" dataDxfId="422" dataCellStyle="Comma">
      <calculatedColumnFormula>C140</calculatedColumnFormula>
    </tableColumn>
    <tableColumn id="10" xr3:uid="{321D1921-98AB-4343-BC3B-96221F733C9C}" name="Sudan" dataDxfId="421" dataCellStyle="Comma">
      <calculatedColumnFormula>C141</calculatedColumnFormula>
    </tableColumn>
    <tableColumn id="11" xr3:uid="{DA036248-41B0-4C88-890D-4B312B4970F1}" name="S. Sudan" dataDxfId="420" dataCellStyle="Comma">
      <calculatedColumnFormula>C142</calculatedColumnFormula>
    </tableColumn>
    <tableColumn id="12" xr3:uid="{7F57F183-FD0B-4C32-973E-E48744389C5C}" name="Tanzania" dataDxfId="419" dataCellStyle="Comma">
      <calculatedColumnFormula>C143</calculatedColumnFormula>
    </tableColumn>
    <tableColumn id="13" xr3:uid="{0CC345A9-6665-47DF-94A2-4C002D24E6F6}" name="Uganda" dataDxfId="418" dataCellStyle="Comma">
      <calculatedColumnFormula>C144</calculatedColumnFormula>
    </tableColumn>
  </tableColumns>
  <tableStyleInfo name="Envy_area_11-style" showFirstColumn="1" showLastColumn="1" showRowStripes="1" showColumnStripes="0"/>
</table>
</file>

<file path=xl/tables/table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2" xr:uid="{162A4F2B-D332-4520-A326-2F598EFDC476}" name="Table_146345781121722435159677583" displayName="Table_146345781121722435159677583" ref="B114:N115" headerRowDxfId="417" dataDxfId="415" totalsRowDxfId="414" headerRowBorderDxfId="416">
  <tableColumns count="13">
    <tableColumn id="1" xr3:uid="{F4BE4095-3BB0-466E-85AF-4739454B51B5}" name="Countries " dataDxfId="413"/>
    <tableColumn id="2" xr3:uid="{3CE07B79-7CD7-4755-8F40-33F3DF7006E1}" name=" " dataDxfId="412"/>
    <tableColumn id="3" xr3:uid="{F6AD8D88-13F2-493D-845E-750F66FF4AF0}" name="Burundi" dataDxfId="411" dataCellStyle="Comma">
      <calculatedColumnFormula>C116</calculatedColumnFormula>
    </tableColumn>
    <tableColumn id="4" xr3:uid="{6C9BC11B-F49C-47B7-8869-9E57FF95B6A1}" name="DRC" dataDxfId="410" dataCellStyle="Comma">
      <calculatedColumnFormula>C117</calculatedColumnFormula>
    </tableColumn>
    <tableColumn id="5" xr3:uid="{B008808C-4C6B-4575-91CF-18EE0C307A6B}" name="Egypt" dataDxfId="409" dataCellStyle="Comma">
      <calculatedColumnFormula>C118</calculatedColumnFormula>
    </tableColumn>
    <tableColumn id="6" xr3:uid="{40263D16-6C12-478F-B6C9-64192D09E6EE}" name="Eritrea" dataDxfId="408" dataCellStyle="Comma">
      <calculatedColumnFormula>C119</calculatedColumnFormula>
    </tableColumn>
    <tableColumn id="7" xr3:uid="{A5626744-4627-4A72-B7CA-299B7EAE7482}" name="Ethiopia" dataDxfId="407" dataCellStyle="Comma">
      <calculatedColumnFormula>C120</calculatedColumnFormula>
    </tableColumn>
    <tableColumn id="8" xr3:uid="{3A133713-32A3-4AD9-80F4-45E5C836AE4F}" name="Kenya" dataDxfId="406" dataCellStyle="Comma">
      <calculatedColumnFormula>C121</calculatedColumnFormula>
    </tableColumn>
    <tableColumn id="9" xr3:uid="{B557908A-4EA7-454B-B17D-63D02E2A8661}" name="Rwanda" dataDxfId="405" dataCellStyle="Comma">
      <calculatedColumnFormula>C122</calculatedColumnFormula>
    </tableColumn>
    <tableColumn id="10" xr3:uid="{09B69B60-9D3E-4F29-A9CB-7F82A84155C0}" name="Sudan" dataDxfId="404" dataCellStyle="Comma">
      <calculatedColumnFormula>C123</calculatedColumnFormula>
    </tableColumn>
    <tableColumn id="11" xr3:uid="{ADA22CE7-0532-44BE-A0C4-95400B0A46A3}" name="S. Sudan" dataDxfId="403" dataCellStyle="Comma">
      <calculatedColumnFormula>C124</calculatedColumnFormula>
    </tableColumn>
    <tableColumn id="12" xr3:uid="{87F2A6F5-68E6-45F4-B71F-780CBC7C2FAE}" name="Tanzania" dataDxfId="402" dataCellStyle="Comma">
      <calculatedColumnFormula>C125</calculatedColumnFormula>
    </tableColumn>
    <tableColumn id="13" xr3:uid="{0E0364B0-AA38-4E7C-93EE-C7249754A4B5}" name="Uganda" dataDxfId="401" dataCellStyle="Comma">
      <calculatedColumnFormula>C126</calculatedColumnFormula>
    </tableColumn>
  </tableColumns>
  <tableStyleInfo name="Envy_area_11-style" showFirstColumn="1" showLastColumn="1" showRowStripes="1" showColumnStripes="0"/>
</table>
</file>

<file path=xl/tables/table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3" xr:uid="{A309D280-D869-4CA5-9C3E-97E3A493FDCA}" name="Table_14634578111623445260687684" displayName="Table_14634578111623445260687684" ref="B96:N97" headerRowDxfId="400" dataDxfId="398" totalsRowDxfId="397" headerRowBorderDxfId="399">
  <tableColumns count="13">
    <tableColumn id="1" xr3:uid="{E5ED5C0C-EF53-4404-97CB-E9C94AB01E6E}" name="Countries " dataDxfId="396"/>
    <tableColumn id="2" xr3:uid="{1CEC305F-75D1-4A9F-9D30-9756C92C9352}" name=" " dataDxfId="395"/>
    <tableColumn id="3" xr3:uid="{B75F79B6-C075-422E-B13C-6E07FFC8227C}" name="Burundi" dataDxfId="394" dataCellStyle="Comma">
      <calculatedColumnFormula>C98</calculatedColumnFormula>
    </tableColumn>
    <tableColumn id="4" xr3:uid="{A0442336-DE34-471E-B0F0-94535F45208F}" name="DRC" dataDxfId="393" dataCellStyle="Comma">
      <calculatedColumnFormula>C99</calculatedColumnFormula>
    </tableColumn>
    <tableColumn id="5" xr3:uid="{25DCB7D3-645C-43A3-90CD-59C334EA41B5}" name="Egypt" dataDxfId="392" dataCellStyle="Comma">
      <calculatedColumnFormula>C100</calculatedColumnFormula>
    </tableColumn>
    <tableColumn id="6" xr3:uid="{325A817C-B6D4-40D2-BBB0-2BC4C58982AE}" name="Eritrea" dataDxfId="391" dataCellStyle="Comma">
      <calculatedColumnFormula>C101</calculatedColumnFormula>
    </tableColumn>
    <tableColumn id="7" xr3:uid="{63F2DCA9-F065-4D2A-9B32-39B7132E6541}" name="Ethiopia" dataDxfId="390" dataCellStyle="Comma">
      <calculatedColumnFormula>C102</calculatedColumnFormula>
    </tableColumn>
    <tableColumn id="8" xr3:uid="{509BF8E4-F77C-437C-A6C7-22DB77FA17B4}" name="Kenya" dataDxfId="389" dataCellStyle="Comma">
      <calculatedColumnFormula>C103</calculatedColumnFormula>
    </tableColumn>
    <tableColumn id="9" xr3:uid="{5B049A4E-2E75-4F88-A48F-4C3BCA1C1AB4}" name="Rwanda" dataDxfId="388" dataCellStyle="Comma">
      <calculatedColumnFormula>C104</calculatedColumnFormula>
    </tableColumn>
    <tableColumn id="10" xr3:uid="{9B23A6A2-9B15-479E-A737-9F04CEAA24D4}" name="Sudan" dataDxfId="387" dataCellStyle="Comma">
      <calculatedColumnFormula>C105</calculatedColumnFormula>
    </tableColumn>
    <tableColumn id="11" xr3:uid="{870A78E4-A3EC-4D2C-AF7A-5BF0C770EE28}" name="S. Sudan" dataDxfId="386" dataCellStyle="Comma">
      <calculatedColumnFormula>C106</calculatedColumnFormula>
    </tableColumn>
    <tableColumn id="12" xr3:uid="{4919A4B7-EA42-434C-AE3E-91FD86FA49CF}" name="Tanzania" dataDxfId="385" dataCellStyle="Comma">
      <calculatedColumnFormula>C107</calculatedColumnFormula>
    </tableColumn>
    <tableColumn id="13" xr3:uid="{19DAEA01-D627-45E5-8A03-49980CD14EB5}" name="Uganda" dataDxfId="384" dataCellStyle="Comma">
      <calculatedColumnFormula>C108</calculatedColumnFormula>
    </tableColumn>
  </tableColumns>
  <tableStyleInfo name="Envy_area_11-style" showFirstColumn="1" showLastColumn="1" showRowStripes="1" showColumnStripes="0"/>
</table>
</file>

<file path=xl/tables/table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4" xr:uid="{3D42B3D7-A260-4460-9828-75BFE4CD7325}" name="Table_146345781324455361697785" displayName="Table_146345781324455361697785" ref="B78:N79" headerRowDxfId="383" dataDxfId="381" totalsRowDxfId="380" headerRowBorderDxfId="382">
  <tableColumns count="13">
    <tableColumn id="1" xr3:uid="{7C6EC171-4980-438E-912B-A5DBA4E4E686}" name="Countries " dataDxfId="379"/>
    <tableColumn id="2" xr3:uid="{2CC1514A-9403-4614-A686-5C81BF1555E5}" name=" " dataDxfId="378"/>
    <tableColumn id="3" xr3:uid="{2B041B0D-D1A5-4D67-8E6C-0759184A2762}" name="Burundi" dataDxfId="377" dataCellStyle="Comma">
      <calculatedColumnFormula>C80</calculatedColumnFormula>
    </tableColumn>
    <tableColumn id="4" xr3:uid="{5EA789ED-B10C-4AB2-A2AF-B02E691C0A04}" name="DRC" dataDxfId="376" dataCellStyle="Comma">
      <calculatedColumnFormula>C81</calculatedColumnFormula>
    </tableColumn>
    <tableColumn id="5" xr3:uid="{0BBF1A18-0855-4331-B0B9-C8034C0752B8}" name="Egypt" dataDxfId="375" dataCellStyle="Comma">
      <calculatedColumnFormula>C82</calculatedColumnFormula>
    </tableColumn>
    <tableColumn id="6" xr3:uid="{65BD352F-5055-4211-BF18-B6E76CF01C21}" name="Eritrea" dataDxfId="374" dataCellStyle="Comma">
      <calculatedColumnFormula>C83</calculatedColumnFormula>
    </tableColumn>
    <tableColumn id="7" xr3:uid="{954A2D8D-BDB6-4780-8189-CF197593FBB3}" name="Ethiopia" dataDxfId="373" dataCellStyle="Comma">
      <calculatedColumnFormula>C84</calculatedColumnFormula>
    </tableColumn>
    <tableColumn id="8" xr3:uid="{C196E41F-8F34-4C99-BFBF-14958E9422DE}" name="Kenya" dataDxfId="372" dataCellStyle="Comma">
      <calculatedColumnFormula>C85</calculatedColumnFormula>
    </tableColumn>
    <tableColumn id="9" xr3:uid="{B0DBC0D2-3241-4E71-ACB3-A3ADFC01DE05}" name="Rwanda" dataDxfId="371" dataCellStyle="Comma">
      <calculatedColumnFormula>C86</calculatedColumnFormula>
    </tableColumn>
    <tableColumn id="10" xr3:uid="{4CBB4831-A071-4882-A3B2-BCC75C870835}" name="Sudan" dataDxfId="370" dataCellStyle="Comma">
      <calculatedColumnFormula>C87</calculatedColumnFormula>
    </tableColumn>
    <tableColumn id="11" xr3:uid="{9FCB3450-EB08-405A-B9BF-D1C22EF347CF}" name="S. Sudan" dataDxfId="369" dataCellStyle="Comma">
      <calculatedColumnFormula>C88</calculatedColumnFormula>
    </tableColumn>
    <tableColumn id="12" xr3:uid="{42560DE1-4511-4C68-9760-E656B3D9362E}" name="Tanzania" dataDxfId="368" dataCellStyle="Comma">
      <calculatedColumnFormula>C89</calculatedColumnFormula>
    </tableColumn>
    <tableColumn id="13" xr3:uid="{6B1F5575-009C-4F38-9EDF-A50B852A8C2D}" name="Uganda" dataDxfId="367" dataCellStyle="Comma">
      <calculatedColumnFormula>C90</calculatedColumnFormula>
    </tableColumn>
  </tableColumns>
  <tableStyleInfo name="Envy_area_11-style" showFirstColumn="1" showLastColumn="1" showRowStripes="1" showColumnStripes="0"/>
</table>
</file>

<file path=xl/tables/table5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5" xr:uid="{6633B410-BD78-40E7-A50B-35165F9EC756}" name="Table_146310938465462707886" displayName="Table_146310938465462707886" ref="B4:N5" headerRowDxfId="366" dataDxfId="364" totalsRowDxfId="363" headerRowBorderDxfId="365">
  <tableColumns count="13">
    <tableColumn id="1" xr3:uid="{455B57DC-4E03-41F5-8F05-BA96BDF878D6}" name="Countries " dataDxfId="362"/>
    <tableColumn id="2" xr3:uid="{BDD058C2-0E57-4463-8250-BF118F66C171}" name=" " dataDxfId="361"/>
    <tableColumn id="3" xr3:uid="{B6BA4F5D-3750-40DA-8D2B-9F627197B516}" name="Burundi" dataDxfId="360" dataCellStyle="Comma">
      <calculatedColumnFormula>C6</calculatedColumnFormula>
    </tableColumn>
    <tableColumn id="4" xr3:uid="{B0D95FAF-AE77-487B-9025-D4B1D12110DC}" name="DRC" dataDxfId="359" dataCellStyle="Comma">
      <calculatedColumnFormula>C7</calculatedColumnFormula>
    </tableColumn>
    <tableColumn id="5" xr3:uid="{7625F991-5A62-4567-B991-59D1E6859559}" name="Egypt" dataDxfId="358" dataCellStyle="Comma">
      <calculatedColumnFormula>C8</calculatedColumnFormula>
    </tableColumn>
    <tableColumn id="6" xr3:uid="{7ED91146-720D-4031-AD93-5725227F6C8C}" name="Eritrea" dataDxfId="357" dataCellStyle="Comma">
      <calculatedColumnFormula>C9</calculatedColumnFormula>
    </tableColumn>
    <tableColumn id="7" xr3:uid="{206BBE0A-D373-4366-A980-3D56724148A5}" name="Ethiopia" dataDxfId="356" dataCellStyle="Comma">
      <calculatedColumnFormula>C10</calculatedColumnFormula>
    </tableColumn>
    <tableColumn id="8" xr3:uid="{24A7341E-469E-42B9-9362-93336CE429EF}" name="Kenya" dataDxfId="355" dataCellStyle="Comma">
      <calculatedColumnFormula>C11</calculatedColumnFormula>
    </tableColumn>
    <tableColumn id="9" xr3:uid="{EBA9CE87-F942-4CA7-A4E8-5A2C631A10F6}" name="Rwanda" dataDxfId="354" dataCellStyle="Comma">
      <calculatedColumnFormula>C12</calculatedColumnFormula>
    </tableColumn>
    <tableColumn id="10" xr3:uid="{61E1E0F6-A9CE-4DBE-B2A8-D532195BC079}" name="Sudan" dataDxfId="353" dataCellStyle="Comma">
      <calculatedColumnFormula>C13</calculatedColumnFormula>
    </tableColumn>
    <tableColumn id="11" xr3:uid="{942C25C6-91BA-4AAA-AF89-957FFFB417DA}" name="S. Sudan" dataDxfId="352" dataCellStyle="Comma">
      <calculatedColumnFormula>C14</calculatedColumnFormula>
    </tableColumn>
    <tableColumn id="12" xr3:uid="{B6D497B9-C824-495F-84BA-8D9E4485B9BC}" name="Tanzania" dataDxfId="351" dataCellStyle="Comma">
      <calculatedColumnFormula>C15</calculatedColumnFormula>
    </tableColumn>
    <tableColumn id="13" xr3:uid="{5C2F0844-4911-432E-918F-F51D554683C4}" name="Uganda" dataDxfId="350" dataCellStyle="Comma">
      <calculatedColumnFormula>C16</calculatedColumnFormula>
    </tableColumn>
  </tableColumns>
  <tableStyleInfo name="Envy_area_11-style" showFirstColumn="1" showLastColumn="1" showRowStripes="1" showColumnStripes="0"/>
</table>
</file>

<file path=xl/tables/table5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6" xr:uid="{47520D25-CB7D-40B8-B660-A37C746D3F3B}" name="Table_14634121139475563717987" displayName="Table_14634121139475563717987" ref="B22:N23" headerRowDxfId="349" dataDxfId="347" totalsRowDxfId="346" headerRowBorderDxfId="348">
  <tableColumns count="13">
    <tableColumn id="1" xr3:uid="{DE5A0682-E796-4C03-97F8-EEA3E3C4C6C3}" name="Countries " dataDxfId="345"/>
    <tableColumn id="2" xr3:uid="{7239AD34-F8A4-4382-852A-D396ED460F6D}" name=" " dataDxfId="344"/>
    <tableColumn id="3" xr3:uid="{7C5378D4-9DA3-4141-A919-076AE8806FBD}" name="Burundi" dataDxfId="343" dataCellStyle="Comma">
      <calculatedColumnFormula>C24</calculatedColumnFormula>
    </tableColumn>
    <tableColumn id="4" xr3:uid="{DC03ECBC-69A5-422F-AD36-B3C16A52FD60}" name="DRC" dataDxfId="342" dataCellStyle="Comma">
      <calculatedColumnFormula>C25</calculatedColumnFormula>
    </tableColumn>
    <tableColumn id="5" xr3:uid="{E8DD78D3-34B8-4C60-AF88-7262F0E4653E}" name="Egypt" dataDxfId="341" dataCellStyle="Comma">
      <calculatedColumnFormula>C26</calculatedColumnFormula>
    </tableColumn>
    <tableColumn id="6" xr3:uid="{BA86E6F3-5952-4ABB-8122-1A6B315028FD}" name="Eritrea" dataDxfId="340" dataCellStyle="Comma">
      <calculatedColumnFormula>C27</calculatedColumnFormula>
    </tableColumn>
    <tableColumn id="7" xr3:uid="{28BE6879-4B16-4D08-9B88-7ACA8B6B5AF3}" name="Ethiopia" dataDxfId="339" dataCellStyle="Comma">
      <calculatedColumnFormula>C28</calculatedColumnFormula>
    </tableColumn>
    <tableColumn id="8" xr3:uid="{78586AAE-0BCF-44E1-B986-EFB0A2404066}" name="Kenya" dataDxfId="338" dataCellStyle="Comma">
      <calculatedColumnFormula>C29</calculatedColumnFormula>
    </tableColumn>
    <tableColumn id="9" xr3:uid="{6B479483-C701-4CD5-8E59-9DBE4FE0AF6B}" name="Rwanda" dataDxfId="337" dataCellStyle="Comma">
      <calculatedColumnFormula>C30</calculatedColumnFormula>
    </tableColumn>
    <tableColumn id="10" xr3:uid="{2FD9BE2D-8E03-4A1D-ACA8-C23205F01468}" name="Sudan" dataDxfId="336" dataCellStyle="Comma">
      <calculatedColumnFormula>C31</calculatedColumnFormula>
    </tableColumn>
    <tableColumn id="11" xr3:uid="{34466C2A-DA5F-469C-870F-E466681D5703}" name="S. Sudan" dataDxfId="335" dataCellStyle="Comma">
      <calculatedColumnFormula>C32</calculatedColumnFormula>
    </tableColumn>
    <tableColumn id="12" xr3:uid="{7C511786-B9B5-4830-A30C-565B4BDA0FDF}" name="Tanzania" dataDxfId="334" dataCellStyle="Comma">
      <calculatedColumnFormula>C33</calculatedColumnFormula>
    </tableColumn>
    <tableColumn id="13" xr3:uid="{E76510FC-130C-48E7-869A-3C9ACE514596}" name="Uganda" dataDxfId="333" dataCellStyle="Comma">
      <calculatedColumnFormula>C34</calculatedColumnFormula>
    </tableColumn>
  </tableColumns>
  <tableStyleInfo name="Envy_area_11-style" showFirstColumn="1" showLastColumn="1" showRowStripes="1" showColumnStripes="0"/>
</table>
</file>

<file path=xl/tables/table5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7" xr:uid="{E41D2376-3591-4EA9-BB7E-CFA9878A6DE5}" name="Table_1463457141940485664728088" displayName="Table_1463457141940485664728088" ref="B58:N59" headerRowDxfId="332" dataDxfId="330" totalsRowDxfId="329" headerRowBorderDxfId="331">
  <tableColumns count="13">
    <tableColumn id="1" xr3:uid="{CF87235C-5999-45FD-B120-B3FC35485291}" name="Countries " dataDxfId="328"/>
    <tableColumn id="2" xr3:uid="{296AB9F4-F88B-4B54-BD1D-ED28F537EF78}" name=" " dataDxfId="327"/>
    <tableColumn id="3" xr3:uid="{E82BA51B-DC47-42A1-BEAD-5362DA1D276E}" name="Burundi" dataDxfId="326" dataCellStyle="Comma">
      <calculatedColumnFormula>C60</calculatedColumnFormula>
    </tableColumn>
    <tableColumn id="4" xr3:uid="{E21986E5-499D-4521-8F50-B108AAF04D25}" name="DRC" dataDxfId="325" dataCellStyle="Comma">
      <calculatedColumnFormula>C61</calculatedColumnFormula>
    </tableColumn>
    <tableColumn id="5" xr3:uid="{3520D154-B7DE-4F21-9BA7-F1D55B112C1F}" name="Egypt" dataDxfId="324" dataCellStyle="Comma">
      <calculatedColumnFormula>C62</calculatedColumnFormula>
    </tableColumn>
    <tableColumn id="6" xr3:uid="{ABCA5933-6C55-4E1F-BAD5-F950767EB228}" name="Eritrea" dataDxfId="323" dataCellStyle="Comma">
      <calculatedColumnFormula>C63</calculatedColumnFormula>
    </tableColumn>
    <tableColumn id="7" xr3:uid="{3D2DFE6C-2E5E-44CC-898C-5A36FAEE954C}" name="Ethiopia" dataDxfId="322" dataCellStyle="Comma">
      <calculatedColumnFormula>C64</calculatedColumnFormula>
    </tableColumn>
    <tableColumn id="8" xr3:uid="{0BB89780-4C25-41DC-888E-7EDFB801DF52}" name="Kenya" dataDxfId="321" dataCellStyle="Comma">
      <calculatedColumnFormula>C65</calculatedColumnFormula>
    </tableColumn>
    <tableColumn id="9" xr3:uid="{865B2913-C1BB-4DFA-8B96-E293D94B0C64}" name="Rwanda" dataDxfId="320" dataCellStyle="Comma">
      <calculatedColumnFormula>C66</calculatedColumnFormula>
    </tableColumn>
    <tableColumn id="10" xr3:uid="{C88EDE43-B423-4596-894C-C52983EE3EED}" name="Sudan" dataDxfId="319" dataCellStyle="Comma">
      <calculatedColumnFormula>C67</calculatedColumnFormula>
    </tableColumn>
    <tableColumn id="11" xr3:uid="{ECCE0495-6D65-4D36-B0E5-4F1228DF6FF0}" name="S. Sudan" dataDxfId="318" dataCellStyle="Comma">
      <calculatedColumnFormula>C68</calculatedColumnFormula>
    </tableColumn>
    <tableColumn id="12" xr3:uid="{5C15FD9E-D8F2-420C-A9CC-17AE8E578FEF}" name="Tanzania" dataDxfId="317" dataCellStyle="Comma">
      <calculatedColumnFormula>C69</calculatedColumnFormula>
    </tableColumn>
    <tableColumn id="13" xr3:uid="{F6F690F9-D6F1-4D49-9DC5-6A6A41C5239B}" name="Uganda" dataDxfId="316" dataCellStyle="Comma">
      <calculatedColumnFormula>C70</calculatedColumnFormula>
    </tableColumn>
  </tableColumns>
  <tableStyleInfo name="Envy_area_11-style" showFirstColumn="1" showLastColumn="1" showRowStripes="1" showColumnStripes="0"/>
</table>
</file>

<file path=xl/tables/table6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8" xr:uid="{CEDE0903-99F4-4710-BD89-471CB03E51CC}" name="Table_146345152041495765738189" displayName="Table_146345152041495765738189" ref="B40:N41" headerRowDxfId="315" dataDxfId="313" totalsRowDxfId="312" headerRowBorderDxfId="314">
  <tableColumns count="13">
    <tableColumn id="1" xr3:uid="{AF2BD72C-A3D4-4551-B00D-51E4E74BA2FE}" name="Countries " dataDxfId="311"/>
    <tableColumn id="2" xr3:uid="{8BD0986A-9FD8-4781-8E3F-91A105F694B1}" name=" " dataDxfId="310"/>
    <tableColumn id="3" xr3:uid="{76AC5755-8410-43BF-9CD0-4B85DF955BAC}" name="Burundi" dataDxfId="309" dataCellStyle="Comma">
      <calculatedColumnFormula>C42</calculatedColumnFormula>
    </tableColumn>
    <tableColumn id="4" xr3:uid="{134BB583-20CF-439F-A864-BD3A792F3B59}" name="DRC" dataDxfId="308" dataCellStyle="Comma">
      <calculatedColumnFormula>C43</calculatedColumnFormula>
    </tableColumn>
    <tableColumn id="5" xr3:uid="{A5FEC5C3-16C8-4D04-AF3B-5EEF6F783438}" name="Egypt" dataDxfId="307" dataCellStyle="Comma">
      <calculatedColumnFormula>C44</calculatedColumnFormula>
    </tableColumn>
    <tableColumn id="6" xr3:uid="{6F085DFA-EE05-4769-933A-3CA57ECBEE06}" name="Eritrea" dataDxfId="306" dataCellStyle="Comma">
      <calculatedColumnFormula>C45</calculatedColumnFormula>
    </tableColumn>
    <tableColumn id="7" xr3:uid="{DA510D85-9962-4597-A3F3-9C769C3181A2}" name="Ethiopia" dataDxfId="305" dataCellStyle="Comma">
      <calculatedColumnFormula>C46</calculatedColumnFormula>
    </tableColumn>
    <tableColumn id="8" xr3:uid="{0BF8B0F2-1951-4819-B6D1-6A9383B633AB}" name="Kenya" dataDxfId="304" dataCellStyle="Comma">
      <calculatedColumnFormula>C47</calculatedColumnFormula>
    </tableColumn>
    <tableColumn id="9" xr3:uid="{661AC7E8-590F-4B6D-AB8E-136AEF04EF44}" name="Rwanda" dataDxfId="303" dataCellStyle="Comma">
      <calculatedColumnFormula>C48</calculatedColumnFormula>
    </tableColumn>
    <tableColumn id="10" xr3:uid="{DAFDA20B-4052-47E3-984F-ECE9E3666175}" name="Sudan" dataDxfId="302" dataCellStyle="Comma">
      <calculatedColumnFormula>C49</calculatedColumnFormula>
    </tableColumn>
    <tableColumn id="11" xr3:uid="{BE1C345A-A7CA-411A-A173-F8C82973D03A}" name="S. Sudan" dataDxfId="301" dataCellStyle="Comma">
      <calculatedColumnFormula>C50</calculatedColumnFormula>
    </tableColumn>
    <tableColumn id="12" xr3:uid="{ED166055-8FCA-44E2-88B0-14C9619AA3D7}" name="Tanzania" dataDxfId="300" dataCellStyle="Comma">
      <calculatedColumnFormula>C51</calculatedColumnFormula>
    </tableColumn>
    <tableColumn id="13" xr3:uid="{A1887324-A8BD-47A5-9CB9-3A81E172BB79}" name="Uganda" dataDxfId="299" dataCellStyle="Comma">
      <calculatedColumnFormula>C52</calculatedColumnFormula>
    </tableColumn>
  </tableColumns>
  <tableStyleInfo name="Envy_area_11-style" showFirstColumn="1" showLastColumn="1" showRowStripes="1" showColumnStripes="0"/>
</table>
</file>

<file path=xl/tables/table6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9" xr:uid="{E1DB8FBC-319C-4434-A2CF-190B13F9785E}" name="Table_146345781129182142505866748290" displayName="Table_146345781129182142505866748290" ref="B132:N133" headerRowDxfId="298" dataDxfId="296" totalsRowDxfId="295" headerRowBorderDxfId="297">
  <tableColumns count="13">
    <tableColumn id="1" xr3:uid="{CF7C683A-8B82-4180-A5A1-DD30D7ACB8B0}" name="Countries " dataDxfId="294"/>
    <tableColumn id="2" xr3:uid="{5721E51E-FA23-4F37-BFFA-52EE7616E9EF}" name=" " dataDxfId="293"/>
    <tableColumn id="3" xr3:uid="{DD291DD1-0D01-4892-A0AF-BF29597C80F5}" name="Burundi" dataDxfId="292" dataCellStyle="Comma">
      <calculatedColumnFormula>C134</calculatedColumnFormula>
    </tableColumn>
    <tableColumn id="4" xr3:uid="{C9B5322B-CFEB-4E93-98D8-25DC318405D2}" name="DRC" dataDxfId="291" dataCellStyle="Comma">
      <calculatedColumnFormula>C135</calculatedColumnFormula>
    </tableColumn>
    <tableColumn id="5" xr3:uid="{7736B0A4-9666-40A2-8DED-F46A25249B33}" name="Egypt" dataDxfId="290" dataCellStyle="Comma">
      <calculatedColumnFormula>C136</calculatedColumnFormula>
    </tableColumn>
    <tableColumn id="6" xr3:uid="{481BA00C-E420-4B96-8FDB-F90A2D82A55C}" name="Eritrea" dataDxfId="289" dataCellStyle="Comma">
      <calculatedColumnFormula>C137</calculatedColumnFormula>
    </tableColumn>
    <tableColumn id="7" xr3:uid="{2CDB9247-AC36-4096-A673-D40E0214FD55}" name="Ethiopia" dataDxfId="288" dataCellStyle="Comma">
      <calculatedColumnFormula>C138</calculatedColumnFormula>
    </tableColumn>
    <tableColumn id="8" xr3:uid="{D490ED6F-EFB0-47B5-BDE9-F273B9642712}" name="Kenya" dataDxfId="287" dataCellStyle="Comma">
      <calculatedColumnFormula>C139</calculatedColumnFormula>
    </tableColumn>
    <tableColumn id="9" xr3:uid="{CAB32295-A0A7-4751-BDC0-B37D0840E96D}" name="Rwanda" dataDxfId="286" dataCellStyle="Comma">
      <calculatedColumnFormula>C140</calculatedColumnFormula>
    </tableColumn>
    <tableColumn id="10" xr3:uid="{BD156E45-7A57-45DD-BBC7-797FD2E32E2B}" name="Sudan" dataDxfId="285" dataCellStyle="Comma">
      <calculatedColumnFormula>C141</calculatedColumnFormula>
    </tableColumn>
    <tableColumn id="11" xr3:uid="{183EEDEE-9641-4C20-8D55-C4AA4A78A67C}" name="S. Sudan" dataDxfId="284" dataCellStyle="Comma">
      <calculatedColumnFormula>C142</calculatedColumnFormula>
    </tableColumn>
    <tableColumn id="12" xr3:uid="{A43CC5C4-A01E-4129-A814-2859E6CA6ADB}" name="Tanzania" dataDxfId="283" dataCellStyle="Comma">
      <calculatedColumnFormula>C143</calculatedColumnFormula>
    </tableColumn>
    <tableColumn id="13" xr3:uid="{A337F2D2-7DAA-487F-81A8-969FBB9E542B}" name="Uganda" dataDxfId="282" dataCellStyle="Comma">
      <calculatedColumnFormula>C144</calculatedColumnFormula>
    </tableColumn>
  </tableColumns>
  <tableStyleInfo name="Envy_area_11-style" showFirstColumn="1" showLastColumn="1" showRowStripes="1" showColumnStripes="0"/>
</table>
</file>

<file path=xl/tables/table6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0" xr:uid="{3AF9F80B-745D-4C90-9476-4D4111EEF41F}" name="Table_14634578112172243515967758391" displayName="Table_14634578112172243515967758391" ref="B114:N115" headerRowDxfId="281" dataDxfId="279" totalsRowDxfId="278" headerRowBorderDxfId="280">
  <tableColumns count="13">
    <tableColumn id="1" xr3:uid="{F8F161B2-A95F-4DE8-BC42-39F731F32358}" name="Countries " dataDxfId="277"/>
    <tableColumn id="2" xr3:uid="{2479D2F6-7984-4616-B943-C0400803E519}" name=" " dataDxfId="276"/>
    <tableColumn id="3" xr3:uid="{2F9475C4-E735-4551-B8C6-1168EF7507FA}" name="Burundi" dataDxfId="275" dataCellStyle="Comma">
      <calculatedColumnFormula>C116</calculatedColumnFormula>
    </tableColumn>
    <tableColumn id="4" xr3:uid="{B4FC5879-AD2D-4E8C-AEB1-E5D1284957CE}" name="DRC" dataDxfId="274" dataCellStyle="Comma">
      <calculatedColumnFormula>C117</calculatedColumnFormula>
    </tableColumn>
    <tableColumn id="5" xr3:uid="{982F8D6B-CC74-4386-A314-A36DA20746D1}" name="Egypt" dataDxfId="273" dataCellStyle="Comma">
      <calculatedColumnFormula>C118</calculatedColumnFormula>
    </tableColumn>
    <tableColumn id="6" xr3:uid="{008DD533-8D92-440E-A964-0DD280B0EBB1}" name="Eritrea" dataDxfId="272" dataCellStyle="Comma">
      <calculatedColumnFormula>C119</calculatedColumnFormula>
    </tableColumn>
    <tableColumn id="7" xr3:uid="{C3867996-CAC6-46E3-B2CD-60C8D1D1E293}" name="Ethiopia" dataDxfId="271" dataCellStyle="Comma">
      <calculatedColumnFormula>C120</calculatedColumnFormula>
    </tableColumn>
    <tableColumn id="8" xr3:uid="{EA8F4AC8-5CD5-4FB4-B4BA-2F91CD5C2FEC}" name="Kenya" dataDxfId="270" dataCellStyle="Comma">
      <calculatedColumnFormula>C121</calculatedColumnFormula>
    </tableColumn>
    <tableColumn id="9" xr3:uid="{EA5BFEDD-E5DE-4D50-965F-AE0DDB279DA3}" name="Rwanda" dataDxfId="269" dataCellStyle="Comma">
      <calculatedColumnFormula>C122</calculatedColumnFormula>
    </tableColumn>
    <tableColumn id="10" xr3:uid="{D8C52F33-FD0D-4B78-9260-E1A5DB5A93E6}" name="Sudan" dataDxfId="268" dataCellStyle="Comma">
      <calculatedColumnFormula>C123</calculatedColumnFormula>
    </tableColumn>
    <tableColumn id="11" xr3:uid="{D63A4B77-B0DF-425D-87EE-4C42EF0DED25}" name="S. Sudan" dataDxfId="267" dataCellStyle="Comma">
      <calculatedColumnFormula>C124</calculatedColumnFormula>
    </tableColumn>
    <tableColumn id="12" xr3:uid="{0E5DC68F-C285-41DF-8B92-2EA0E350645C}" name="Tanzania" dataDxfId="266" dataCellStyle="Comma">
      <calculatedColumnFormula>C125</calculatedColumnFormula>
    </tableColumn>
    <tableColumn id="13" xr3:uid="{B20D2689-4DBC-479C-A4D0-C901D0A642B7}" name="Uganda" dataDxfId="265" dataCellStyle="Comma">
      <calculatedColumnFormula>C126</calculatedColumnFormula>
    </tableColumn>
  </tableColumns>
  <tableStyleInfo name="Envy_area_11-style" showFirstColumn="1" showLastColumn="1" showRowStripes="1" showColumnStripes="0"/>
</table>
</file>

<file path=xl/tables/table6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1" xr:uid="{72382334-9214-463D-828E-9DA3913DF930}" name="Table_1463457811162344526068768492" displayName="Table_1463457811162344526068768492" ref="B96:N97" headerRowDxfId="264" dataDxfId="262" totalsRowDxfId="261" headerRowBorderDxfId="263">
  <tableColumns count="13">
    <tableColumn id="1" xr3:uid="{A3800E0F-7298-4EEB-98EE-0F23CE9835C3}" name="Countries " dataDxfId="260"/>
    <tableColumn id="2" xr3:uid="{AE3AFF0A-1935-4B64-BBC8-96622034D462}" name=" " dataDxfId="259"/>
    <tableColumn id="3" xr3:uid="{DBA55B80-5DE7-4943-921A-5C3EF311936E}" name="Burundi" dataDxfId="258" dataCellStyle="Comma">
      <calculatedColumnFormula>C98</calculatedColumnFormula>
    </tableColumn>
    <tableColumn id="4" xr3:uid="{E36D7D61-1F5E-46C1-9A5E-79E26DFCAE73}" name="DRC" dataDxfId="257" dataCellStyle="Comma">
      <calculatedColumnFormula>C99</calculatedColumnFormula>
    </tableColumn>
    <tableColumn id="5" xr3:uid="{032ED490-EC3A-4FC8-85EF-B6FDEB26EC26}" name="Egypt" dataDxfId="256" dataCellStyle="Comma">
      <calculatedColumnFormula>C100</calculatedColumnFormula>
    </tableColumn>
    <tableColumn id="6" xr3:uid="{C4F895CA-6288-43BC-9593-8374FC6167E8}" name="Eritrea" dataDxfId="255" dataCellStyle="Comma">
      <calculatedColumnFormula>C101</calculatedColumnFormula>
    </tableColumn>
    <tableColumn id="7" xr3:uid="{999FBEDC-886C-4068-BF7D-D9AAA207286C}" name="Ethiopia" dataDxfId="254" dataCellStyle="Comma">
      <calculatedColumnFormula>C102</calculatedColumnFormula>
    </tableColumn>
    <tableColumn id="8" xr3:uid="{C22C25FF-0CFA-4F71-B0EC-983AC1BA33CC}" name="Kenya" dataDxfId="253" dataCellStyle="Comma">
      <calculatedColumnFormula>C103</calculatedColumnFormula>
    </tableColumn>
    <tableColumn id="9" xr3:uid="{5CF3508D-809C-4C95-8FAD-FAC8B2AD0EE5}" name="Rwanda" dataDxfId="252" dataCellStyle="Comma">
      <calculatedColumnFormula>C104</calculatedColumnFormula>
    </tableColumn>
    <tableColumn id="10" xr3:uid="{7016D970-CFEB-4485-88F0-E23B21ECDF0A}" name="Sudan" dataDxfId="251" dataCellStyle="Comma">
      <calculatedColumnFormula>C105</calculatedColumnFormula>
    </tableColumn>
    <tableColumn id="11" xr3:uid="{96603B70-EA60-4273-84AE-295BC79B8425}" name="S. Sudan" dataDxfId="250" dataCellStyle="Comma">
      <calculatedColumnFormula>C106</calculatedColumnFormula>
    </tableColumn>
    <tableColumn id="12" xr3:uid="{37705FF7-4021-447C-9770-EC2633C524C7}" name="Tanzania" dataDxfId="249" dataCellStyle="Comma">
      <calculatedColumnFormula>C107</calculatedColumnFormula>
    </tableColumn>
    <tableColumn id="13" xr3:uid="{279FDFCC-D12D-4CCD-9F1D-69E670863C55}" name="Uganda" dataDxfId="248" dataCellStyle="Comma">
      <calculatedColumnFormula>C108</calculatedColumnFormula>
    </tableColumn>
  </tableColumns>
  <tableStyleInfo name="Envy_area_11-style" showFirstColumn="1" showLastColumn="1" showRowStripes="1" showColumnStripes="0"/>
</table>
</file>

<file path=xl/tables/table6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2" xr:uid="{8B8AD14F-97E1-4EB6-94C6-53FBA5E88DB7}" name="Table_14634578132445536169778593" displayName="Table_14634578132445536169778593" ref="B78:N79" headerRowDxfId="247" dataDxfId="245" totalsRowDxfId="244" headerRowBorderDxfId="246">
  <tableColumns count="13">
    <tableColumn id="1" xr3:uid="{7B54EB5E-8567-47B2-8508-7A56D9EB11CF}" name="Countries " dataDxfId="243"/>
    <tableColumn id="2" xr3:uid="{5194F152-B069-43CE-937A-E6C6F8AE663E}" name=" " dataDxfId="242"/>
    <tableColumn id="3" xr3:uid="{ECBA20B9-373F-4415-AE35-6565B2D741DD}" name="Burundi" dataDxfId="241" dataCellStyle="Comma">
      <calculatedColumnFormula>C80</calculatedColumnFormula>
    </tableColumn>
    <tableColumn id="4" xr3:uid="{2CEF3624-BEC6-47DB-B705-E94DCA2B2AD6}" name="DRC" dataDxfId="240" dataCellStyle="Comma">
      <calculatedColumnFormula>C81</calculatedColumnFormula>
    </tableColumn>
    <tableColumn id="5" xr3:uid="{CDF58833-6501-4E83-B02B-D75480F9B6F0}" name="Egypt" dataDxfId="239" dataCellStyle="Comma">
      <calculatedColumnFormula>C82</calculatedColumnFormula>
    </tableColumn>
    <tableColumn id="6" xr3:uid="{04004310-9D48-4EC7-9C11-87FEA22364AA}" name="Eritrea" dataDxfId="238" dataCellStyle="Comma">
      <calculatedColumnFormula>C83</calculatedColumnFormula>
    </tableColumn>
    <tableColumn id="7" xr3:uid="{BB7F2140-B717-40A0-9E36-75FD2F0DFBBD}" name="Ethiopia" dataDxfId="237" dataCellStyle="Comma">
      <calculatedColumnFormula>C84</calculatedColumnFormula>
    </tableColumn>
    <tableColumn id="8" xr3:uid="{AB4D93CB-1EEC-4474-8FBA-14BE30249DB5}" name="Kenya" dataDxfId="236" dataCellStyle="Comma">
      <calculatedColumnFormula>C85</calculatedColumnFormula>
    </tableColumn>
    <tableColumn id="9" xr3:uid="{385F7696-E23B-483E-9933-2BE489322679}" name="Rwanda" dataDxfId="235" dataCellStyle="Comma">
      <calculatedColumnFormula>C86</calculatedColumnFormula>
    </tableColumn>
    <tableColumn id="10" xr3:uid="{89523726-C2EA-423E-935E-289C5EB44CAC}" name="Sudan" dataDxfId="234" dataCellStyle="Comma">
      <calculatedColumnFormula>C87</calculatedColumnFormula>
    </tableColumn>
    <tableColumn id="11" xr3:uid="{7E27C275-5981-4EF3-A243-D22DB68CA066}" name="S. Sudan" dataDxfId="233" dataCellStyle="Comma">
      <calculatedColumnFormula>C88</calculatedColumnFormula>
    </tableColumn>
    <tableColumn id="12" xr3:uid="{1A9CF7C8-C079-4A2F-B35D-E7FDCD946CF0}" name="Tanzania" dataDxfId="232" dataCellStyle="Comma">
      <calculatedColumnFormula>C89</calculatedColumnFormula>
    </tableColumn>
    <tableColumn id="13" xr3:uid="{9F3A0ACA-9ED8-4392-8BB1-64D7DE4FD49A}" name="Uganda" dataDxfId="231" dataCellStyle="Comma">
      <calculatedColumnFormula>C90</calculatedColumnFormula>
    </tableColumn>
  </tableColumns>
  <tableStyleInfo name="Envy_area_11-style" showFirstColumn="1" showLastColumn="1" showRowStripes="1" showColumnStripes="0"/>
</table>
</file>

<file path=xl/tables/table6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0000000}" name="Table_146310" displayName="Table_146310" ref="B4:N5" headerRowDxfId="230" dataDxfId="228" totalsRowDxfId="227" headerRowBorderDxfId="229">
  <tableColumns count="13">
    <tableColumn id="1" xr3:uid="{00000000-0010-0000-0000-000001000000}" name="Countries " dataDxfId="226"/>
    <tableColumn id="2" xr3:uid="{00000000-0010-0000-0000-000002000000}" name=" " dataDxfId="225"/>
    <tableColumn id="3" xr3:uid="{00000000-0010-0000-0000-000003000000}" name="Burundi" dataDxfId="224" dataCellStyle="Comma">
      <calculatedColumnFormula>C6</calculatedColumnFormula>
    </tableColumn>
    <tableColumn id="4" xr3:uid="{00000000-0010-0000-0000-000004000000}" name="DRC" dataDxfId="223" dataCellStyle="Comma">
      <calculatedColumnFormula>C7</calculatedColumnFormula>
    </tableColumn>
    <tableColumn id="5" xr3:uid="{00000000-0010-0000-0000-000005000000}" name="Egypt" dataDxfId="222" dataCellStyle="Comma">
      <calculatedColumnFormula>C8</calculatedColumnFormula>
    </tableColumn>
    <tableColumn id="6" xr3:uid="{00000000-0010-0000-0000-000006000000}" name="Eritrea" dataDxfId="221" dataCellStyle="Comma">
      <calculatedColumnFormula>C9</calculatedColumnFormula>
    </tableColumn>
    <tableColumn id="7" xr3:uid="{00000000-0010-0000-0000-000007000000}" name="Ethiopia" dataDxfId="220" dataCellStyle="Comma">
      <calculatedColumnFormula>C10</calculatedColumnFormula>
    </tableColumn>
    <tableColumn id="8" xr3:uid="{00000000-0010-0000-0000-000008000000}" name="Kenya" dataDxfId="219" dataCellStyle="Comma">
      <calculatedColumnFormula>C11</calculatedColumnFormula>
    </tableColumn>
    <tableColumn id="9" xr3:uid="{00000000-0010-0000-0000-000009000000}" name="Rwanda" dataDxfId="218" dataCellStyle="Comma">
      <calculatedColumnFormula>C12</calculatedColumnFormula>
    </tableColumn>
    <tableColumn id="10" xr3:uid="{00000000-0010-0000-0000-00000A000000}" name="Sudan" dataDxfId="217" dataCellStyle="Comma">
      <calculatedColumnFormula>C13</calculatedColumnFormula>
    </tableColumn>
    <tableColumn id="11" xr3:uid="{00000000-0010-0000-0000-00000B000000}" name="S. Sudan" dataDxfId="216" dataCellStyle="Comma">
      <calculatedColumnFormula>C14</calculatedColumnFormula>
    </tableColumn>
    <tableColumn id="12" xr3:uid="{00000000-0010-0000-0000-00000C000000}" name="Tanzania" dataDxfId="215" dataCellStyle="Comma">
      <calculatedColumnFormula>C15</calculatedColumnFormula>
    </tableColumn>
    <tableColumn id="13" xr3:uid="{00000000-0010-0000-0000-00000D000000}" name="Uganda" dataDxfId="214" dataCellStyle="Comma">
      <calculatedColumnFormula>C16</calculatedColumnFormula>
    </tableColumn>
  </tableColumns>
  <tableStyleInfo name="Envy_area_11-style" showFirstColumn="1" showLastColumn="1" showRowStripes="1" showColumnStripes="0"/>
</table>
</file>

<file path=xl/tables/table6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01000000}" name="Table_1463412" displayName="Table_1463412" ref="B22:N23" headerRowDxfId="213" dataDxfId="211" totalsRowDxfId="210" headerRowBorderDxfId="212">
  <tableColumns count="13">
    <tableColumn id="1" xr3:uid="{00000000-0010-0000-0100-000001000000}" name="Countries " dataDxfId="209"/>
    <tableColumn id="2" xr3:uid="{00000000-0010-0000-0100-000002000000}" name=" " dataDxfId="208"/>
    <tableColumn id="3" xr3:uid="{00000000-0010-0000-0100-000003000000}" name="Burundi" dataDxfId="207" dataCellStyle="Comma">
      <calculatedColumnFormula>C24</calculatedColumnFormula>
    </tableColumn>
    <tableColumn id="4" xr3:uid="{00000000-0010-0000-0100-000004000000}" name="DRC" dataDxfId="206" dataCellStyle="Comma">
      <calculatedColumnFormula>C25</calculatedColumnFormula>
    </tableColumn>
    <tableColumn id="5" xr3:uid="{00000000-0010-0000-0100-000005000000}" name="Egypt" dataDxfId="205" dataCellStyle="Comma">
      <calculatedColumnFormula>C26</calculatedColumnFormula>
    </tableColumn>
    <tableColumn id="6" xr3:uid="{00000000-0010-0000-0100-000006000000}" name="Eritrea" dataDxfId="204" dataCellStyle="Comma">
      <calculatedColumnFormula>C27</calculatedColumnFormula>
    </tableColumn>
    <tableColumn id="7" xr3:uid="{00000000-0010-0000-0100-000007000000}" name="Ethiopia" dataDxfId="203" dataCellStyle="Comma">
      <calculatedColumnFormula>C28</calculatedColumnFormula>
    </tableColumn>
    <tableColumn id="8" xr3:uid="{00000000-0010-0000-0100-000008000000}" name="Kenya" dataDxfId="202" dataCellStyle="Comma">
      <calculatedColumnFormula>C29</calculatedColumnFormula>
    </tableColumn>
    <tableColumn id="9" xr3:uid="{00000000-0010-0000-0100-000009000000}" name="Rwanda" dataDxfId="201" dataCellStyle="Comma">
      <calculatedColumnFormula>C30</calculatedColumnFormula>
    </tableColumn>
    <tableColumn id="10" xr3:uid="{00000000-0010-0000-0100-00000A000000}" name="Sudan" dataDxfId="200" dataCellStyle="Comma">
      <calculatedColumnFormula>C31</calculatedColumnFormula>
    </tableColumn>
    <tableColumn id="11" xr3:uid="{00000000-0010-0000-0100-00000B000000}" name="S. Sudan" dataDxfId="199" dataCellStyle="Comma">
      <calculatedColumnFormula>C32</calculatedColumnFormula>
    </tableColumn>
    <tableColumn id="12" xr3:uid="{00000000-0010-0000-0100-00000C000000}" name="Tanzania" dataDxfId="198" dataCellStyle="Comma">
      <calculatedColumnFormula>C33</calculatedColumnFormula>
    </tableColumn>
    <tableColumn id="13" xr3:uid="{00000000-0010-0000-0100-00000D000000}" name="Uganda" dataDxfId="197" dataCellStyle="Comma">
      <calculatedColumnFormula>C34</calculatedColumnFormula>
    </tableColumn>
  </tableColumns>
  <tableStyleInfo name="Envy_area_11-style" showFirstColumn="1" showLastColumn="1" showRowStripes="1" showColumnStripes="0"/>
</table>
</file>

<file path=xl/tables/table6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0000000-000C-0000-FFFF-FFFF02000000}" name="Table_146345714" displayName="Table_146345714" ref="B58:N59" headerRowDxfId="196" dataDxfId="194" totalsRowDxfId="193" headerRowBorderDxfId="195">
  <tableColumns count="13">
    <tableColumn id="1" xr3:uid="{00000000-0010-0000-0200-000001000000}" name="Countries " dataDxfId="192"/>
    <tableColumn id="2" xr3:uid="{00000000-0010-0000-0200-000002000000}" name=" " dataDxfId="191"/>
    <tableColumn id="3" xr3:uid="{00000000-0010-0000-0200-000003000000}" name="Burundi" dataDxfId="190" dataCellStyle="Comma">
      <calculatedColumnFormula>C60</calculatedColumnFormula>
    </tableColumn>
    <tableColumn id="4" xr3:uid="{00000000-0010-0000-0200-000004000000}" name="DRC" dataDxfId="189" dataCellStyle="Comma">
      <calculatedColumnFormula>C61</calculatedColumnFormula>
    </tableColumn>
    <tableColumn id="5" xr3:uid="{00000000-0010-0000-0200-000005000000}" name="Egypt" dataDxfId="188" dataCellStyle="Comma">
      <calculatedColumnFormula>C62</calculatedColumnFormula>
    </tableColumn>
    <tableColumn id="6" xr3:uid="{00000000-0010-0000-0200-000006000000}" name="Eritrea" dataDxfId="187" dataCellStyle="Comma">
      <calculatedColumnFormula>C63</calculatedColumnFormula>
    </tableColumn>
    <tableColumn id="7" xr3:uid="{00000000-0010-0000-0200-000007000000}" name="Ethiopia" dataDxfId="186" dataCellStyle="Comma">
      <calculatedColumnFormula>C64</calculatedColumnFormula>
    </tableColumn>
    <tableColumn id="8" xr3:uid="{00000000-0010-0000-0200-000008000000}" name="Kenya" dataDxfId="185" dataCellStyle="Comma">
      <calculatedColumnFormula>C65</calculatedColumnFormula>
    </tableColumn>
    <tableColumn id="9" xr3:uid="{00000000-0010-0000-0200-000009000000}" name="Rwanda" dataDxfId="184" dataCellStyle="Comma">
      <calculatedColumnFormula>C66</calculatedColumnFormula>
    </tableColumn>
    <tableColumn id="10" xr3:uid="{00000000-0010-0000-0200-00000A000000}" name="Sudan" dataDxfId="183" dataCellStyle="Comma">
      <calculatedColumnFormula>C67</calculatedColumnFormula>
    </tableColumn>
    <tableColumn id="11" xr3:uid="{00000000-0010-0000-0200-00000B000000}" name="S. Sudan" dataDxfId="182" dataCellStyle="Comma">
      <calculatedColumnFormula>C68</calculatedColumnFormula>
    </tableColumn>
    <tableColumn id="12" xr3:uid="{00000000-0010-0000-0200-00000C000000}" name="Tanzania" dataDxfId="181" dataCellStyle="Comma">
      <calculatedColumnFormula>C69</calculatedColumnFormula>
    </tableColumn>
    <tableColumn id="13" xr3:uid="{00000000-0010-0000-0200-00000D000000}" name="Uganda" dataDxfId="180" dataCellStyle="Comma">
      <calculatedColumnFormula>C70</calculatedColumnFormula>
    </tableColumn>
  </tableColumns>
  <tableStyleInfo name="Envy_area_11-style" showFirstColumn="1" showLastColumn="1" showRowStripes="1" showColumnStripes="0"/>
</table>
</file>

<file path=xl/tables/table6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0000000-000C-0000-FFFF-FFFF03000000}" name="Table_14634515" displayName="Table_14634515" ref="B40:N41" headerRowDxfId="179" dataDxfId="177" totalsRowDxfId="176" headerRowBorderDxfId="178">
  <tableColumns count="13">
    <tableColumn id="1" xr3:uid="{00000000-0010-0000-0300-000001000000}" name="Countries " dataDxfId="175"/>
    <tableColumn id="2" xr3:uid="{00000000-0010-0000-0300-000002000000}" name=" " dataDxfId="174"/>
    <tableColumn id="3" xr3:uid="{00000000-0010-0000-0300-000003000000}" name="Burundi" dataDxfId="173" dataCellStyle="Comma">
      <calculatedColumnFormula>C42</calculatedColumnFormula>
    </tableColumn>
    <tableColumn id="4" xr3:uid="{00000000-0010-0000-0300-000004000000}" name="DRC" dataDxfId="172" dataCellStyle="Comma">
      <calculatedColumnFormula>C43</calculatedColumnFormula>
    </tableColumn>
    <tableColumn id="5" xr3:uid="{00000000-0010-0000-0300-000005000000}" name="Egypt" dataDxfId="171" dataCellStyle="Comma">
      <calculatedColumnFormula>C44</calculatedColumnFormula>
    </tableColumn>
    <tableColumn id="6" xr3:uid="{00000000-0010-0000-0300-000006000000}" name="Eritrea" dataDxfId="170" dataCellStyle="Comma">
      <calculatedColumnFormula>C45</calculatedColumnFormula>
    </tableColumn>
    <tableColumn id="7" xr3:uid="{00000000-0010-0000-0300-000007000000}" name="Ethiopia" dataDxfId="169" dataCellStyle="Comma">
      <calculatedColumnFormula>C46</calculatedColumnFormula>
    </tableColumn>
    <tableColumn id="8" xr3:uid="{00000000-0010-0000-0300-000008000000}" name="Kenya" dataDxfId="168" dataCellStyle="Comma">
      <calculatedColumnFormula>C47</calculatedColumnFormula>
    </tableColumn>
    <tableColumn id="9" xr3:uid="{00000000-0010-0000-0300-000009000000}" name="Rwanda" dataDxfId="167" dataCellStyle="Comma">
      <calculatedColumnFormula>C48</calculatedColumnFormula>
    </tableColumn>
    <tableColumn id="10" xr3:uid="{00000000-0010-0000-0300-00000A000000}" name="Sudan" dataDxfId="166" dataCellStyle="Comma">
      <calculatedColumnFormula>C49</calculatedColumnFormula>
    </tableColumn>
    <tableColumn id="11" xr3:uid="{00000000-0010-0000-0300-00000B000000}" name="S. Sudan" dataDxfId="165" dataCellStyle="Comma">
      <calculatedColumnFormula>C50</calculatedColumnFormula>
    </tableColumn>
    <tableColumn id="12" xr3:uid="{00000000-0010-0000-0300-00000C000000}" name="Tanzania" dataDxfId="164" dataCellStyle="Comma">
      <calculatedColumnFormula>C51</calculatedColumnFormula>
    </tableColumn>
    <tableColumn id="13" xr3:uid="{00000000-0010-0000-0300-00000D000000}" name="Uganda" dataDxfId="163" dataCellStyle="Comma">
      <calculatedColumnFormula>C52</calculatedColumnFormula>
    </tableColumn>
  </tableColumns>
  <tableStyleInfo name="Envy_area_11-style" showFirstColumn="1" showLastColumn="1" showRowStripes="1" showColumnStripes="0"/>
</table>
</file>

<file path=xl/tables/table6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0000000-000C-0000-FFFF-FFFF04000000}" name="Table_14634578112918" displayName="Table_14634578112918" ref="B132:N133" headerRowDxfId="162" dataDxfId="160" totalsRowDxfId="159" headerRowBorderDxfId="161">
  <tableColumns count="13">
    <tableColumn id="1" xr3:uid="{00000000-0010-0000-0400-000001000000}" name="Countries " dataDxfId="158"/>
    <tableColumn id="2" xr3:uid="{00000000-0010-0000-0400-000002000000}" name=" " dataDxfId="157"/>
    <tableColumn id="3" xr3:uid="{00000000-0010-0000-0400-000003000000}" name="Burundi" dataDxfId="156" dataCellStyle="Comma">
      <calculatedColumnFormula>C134</calculatedColumnFormula>
    </tableColumn>
    <tableColumn id="4" xr3:uid="{00000000-0010-0000-0400-000004000000}" name="DRC" dataDxfId="155" dataCellStyle="Comma">
      <calculatedColumnFormula>C135</calculatedColumnFormula>
    </tableColumn>
    <tableColumn id="5" xr3:uid="{00000000-0010-0000-0400-000005000000}" name="Egypt" dataDxfId="154" dataCellStyle="Comma">
      <calculatedColumnFormula>C136</calculatedColumnFormula>
    </tableColumn>
    <tableColumn id="6" xr3:uid="{00000000-0010-0000-0400-000006000000}" name="Eritrea" dataDxfId="153" dataCellStyle="Comma">
      <calculatedColumnFormula>C137</calculatedColumnFormula>
    </tableColumn>
    <tableColumn id="7" xr3:uid="{00000000-0010-0000-0400-000007000000}" name="Ethiopia" dataDxfId="152" dataCellStyle="Comma">
      <calculatedColumnFormula>C138</calculatedColumnFormula>
    </tableColumn>
    <tableColumn id="8" xr3:uid="{00000000-0010-0000-0400-000008000000}" name="Kenya" dataDxfId="151" dataCellStyle="Comma">
      <calculatedColumnFormula>C139</calculatedColumnFormula>
    </tableColumn>
    <tableColumn id="9" xr3:uid="{00000000-0010-0000-0400-000009000000}" name="Rwanda" dataDxfId="150" dataCellStyle="Comma">
      <calculatedColumnFormula>C140</calculatedColumnFormula>
    </tableColumn>
    <tableColumn id="10" xr3:uid="{00000000-0010-0000-0400-00000A000000}" name="Sudan" dataDxfId="149" dataCellStyle="Comma">
      <calculatedColumnFormula>C141</calculatedColumnFormula>
    </tableColumn>
    <tableColumn id="11" xr3:uid="{00000000-0010-0000-0400-00000B000000}" name="S. Sudan" dataDxfId="148" dataCellStyle="Comma">
      <calculatedColumnFormula>C142</calculatedColumnFormula>
    </tableColumn>
    <tableColumn id="12" xr3:uid="{00000000-0010-0000-0400-00000C000000}" name="Tanzania" dataDxfId="147" dataCellStyle="Comma">
      <calculatedColumnFormula>C143</calculatedColumnFormula>
    </tableColumn>
    <tableColumn id="13" xr3:uid="{00000000-0010-0000-0400-00000D000000}" name="Uganda" dataDxfId="146" dataCellStyle="Comma">
      <calculatedColumnFormula>C144</calculatedColumnFormula>
    </tableColumn>
  </tableColumns>
  <tableStyleInfo name="Envy_area_11-style" showFirstColumn="1" showLastColumn="1" showRowStripes="1" showColumnStripes="0"/>
</table>
</file>

<file path=xl/tables/table7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00000000-000C-0000-FFFF-FFFF05000000}" name="Table_1463457811217" displayName="Table_1463457811217" ref="B114:N115" headerRowDxfId="145" dataDxfId="143" totalsRowDxfId="142" headerRowBorderDxfId="144">
  <tableColumns count="13">
    <tableColumn id="1" xr3:uid="{00000000-0010-0000-0500-000001000000}" name="Countries " dataDxfId="141"/>
    <tableColumn id="2" xr3:uid="{00000000-0010-0000-0500-000002000000}" name=" " dataDxfId="140"/>
    <tableColumn id="3" xr3:uid="{00000000-0010-0000-0500-000003000000}" name="Burundi" dataDxfId="139" dataCellStyle="Comma">
      <calculatedColumnFormula>C116</calculatedColumnFormula>
    </tableColumn>
    <tableColumn id="4" xr3:uid="{00000000-0010-0000-0500-000004000000}" name="DRC" dataDxfId="138" dataCellStyle="Comma">
      <calculatedColumnFormula>C117</calculatedColumnFormula>
    </tableColumn>
    <tableColumn id="5" xr3:uid="{00000000-0010-0000-0500-000005000000}" name="Egypt" dataDxfId="137" dataCellStyle="Comma">
      <calculatedColumnFormula>C118</calculatedColumnFormula>
    </tableColumn>
    <tableColumn id="6" xr3:uid="{00000000-0010-0000-0500-000006000000}" name="Eritrea" dataDxfId="136" dataCellStyle="Comma">
      <calculatedColumnFormula>C119</calculatedColumnFormula>
    </tableColumn>
    <tableColumn id="7" xr3:uid="{00000000-0010-0000-0500-000007000000}" name="Ethiopia" dataDxfId="135" dataCellStyle="Comma">
      <calculatedColumnFormula>C120</calculatedColumnFormula>
    </tableColumn>
    <tableColumn id="8" xr3:uid="{00000000-0010-0000-0500-000008000000}" name="Kenya" dataDxfId="134" dataCellStyle="Comma">
      <calculatedColumnFormula>C121</calculatedColumnFormula>
    </tableColumn>
    <tableColumn id="9" xr3:uid="{00000000-0010-0000-0500-000009000000}" name="Rwanda" dataDxfId="133" dataCellStyle="Comma">
      <calculatedColumnFormula>C122</calculatedColumnFormula>
    </tableColumn>
    <tableColumn id="10" xr3:uid="{00000000-0010-0000-0500-00000A000000}" name="Sudan" dataDxfId="132" dataCellStyle="Comma">
      <calculatedColumnFormula>C123</calculatedColumnFormula>
    </tableColumn>
    <tableColumn id="11" xr3:uid="{00000000-0010-0000-0500-00000B000000}" name="S. Sudan" dataDxfId="131" dataCellStyle="Comma">
      <calculatedColumnFormula>C124</calculatedColumnFormula>
    </tableColumn>
    <tableColumn id="12" xr3:uid="{00000000-0010-0000-0500-00000C000000}" name="Tanzania" dataDxfId="130" dataCellStyle="Comma">
      <calculatedColumnFormula>C125</calculatedColumnFormula>
    </tableColumn>
    <tableColumn id="13" xr3:uid="{00000000-0010-0000-0500-00000D000000}" name="Uganda" dataDxfId="129" dataCellStyle="Comma">
      <calculatedColumnFormula>C126</calculatedColumnFormula>
    </tableColumn>
  </tableColumns>
  <tableStyleInfo name="Envy_area_11-style" showFirstColumn="1" showLastColumn="1" showRowStripes="1" showColumnStripes="0"/>
</table>
</file>

<file path=xl/tables/table7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0000000-000C-0000-FFFF-FFFF06000000}" name="Table_146345781116" displayName="Table_146345781116" ref="B96:N97" headerRowDxfId="128" dataDxfId="126" totalsRowDxfId="125" headerRowBorderDxfId="127">
  <tableColumns count="13">
    <tableColumn id="1" xr3:uid="{00000000-0010-0000-0600-000001000000}" name="Countries " dataDxfId="124"/>
    <tableColumn id="2" xr3:uid="{00000000-0010-0000-0600-000002000000}" name=" " dataDxfId="123"/>
    <tableColumn id="3" xr3:uid="{00000000-0010-0000-0600-000003000000}" name="Burundi" dataDxfId="122" dataCellStyle="Comma">
      <calculatedColumnFormula>C98</calculatedColumnFormula>
    </tableColumn>
    <tableColumn id="4" xr3:uid="{00000000-0010-0000-0600-000004000000}" name="DRC" dataDxfId="121" dataCellStyle="Comma">
      <calculatedColumnFormula>C99</calculatedColumnFormula>
    </tableColumn>
    <tableColumn id="5" xr3:uid="{00000000-0010-0000-0600-000005000000}" name="Egypt" dataDxfId="120" dataCellStyle="Comma">
      <calculatedColumnFormula>C100</calculatedColumnFormula>
    </tableColumn>
    <tableColumn id="6" xr3:uid="{00000000-0010-0000-0600-000006000000}" name="Eritrea" dataDxfId="119" dataCellStyle="Comma">
      <calculatedColumnFormula>C101</calculatedColumnFormula>
    </tableColumn>
    <tableColumn id="7" xr3:uid="{00000000-0010-0000-0600-000007000000}" name="Ethiopia" dataDxfId="118" dataCellStyle="Comma">
      <calculatedColumnFormula>C102</calculatedColumnFormula>
    </tableColumn>
    <tableColumn id="8" xr3:uid="{00000000-0010-0000-0600-000008000000}" name="Kenya" dataDxfId="117" dataCellStyle="Comma">
      <calculatedColumnFormula>C103</calculatedColumnFormula>
    </tableColumn>
    <tableColumn id="9" xr3:uid="{00000000-0010-0000-0600-000009000000}" name="Rwanda" dataDxfId="116" dataCellStyle="Comma">
      <calculatedColumnFormula>C104</calculatedColumnFormula>
    </tableColumn>
    <tableColumn id="10" xr3:uid="{00000000-0010-0000-0600-00000A000000}" name="Sudan" dataDxfId="115" dataCellStyle="Comma">
      <calculatedColumnFormula>C105</calculatedColumnFormula>
    </tableColumn>
    <tableColumn id="11" xr3:uid="{00000000-0010-0000-0600-00000B000000}" name="S. Sudan" dataDxfId="114" dataCellStyle="Comma">
      <calculatedColumnFormula>C106</calculatedColumnFormula>
    </tableColumn>
    <tableColumn id="12" xr3:uid="{00000000-0010-0000-0600-00000C000000}" name="Tanzania" dataDxfId="113" dataCellStyle="Comma">
      <calculatedColumnFormula>C107</calculatedColumnFormula>
    </tableColumn>
    <tableColumn id="13" xr3:uid="{00000000-0010-0000-0600-00000D000000}" name="Uganda" dataDxfId="112" dataCellStyle="Comma">
      <calculatedColumnFormula>C108</calculatedColumnFormula>
    </tableColumn>
  </tableColumns>
  <tableStyleInfo name="Envy_area_11-style" showFirstColumn="1" showLastColumn="1" showRowStripes="1" showColumnStripes="0"/>
</table>
</file>

<file path=xl/tables/table7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0000000-000C-0000-FFFF-FFFF07000000}" name="Table_1463457813" displayName="Table_1463457813" ref="B78:N79" headerRowDxfId="111" dataDxfId="109" totalsRowDxfId="108" headerRowBorderDxfId="110">
  <tableColumns count="13">
    <tableColumn id="1" xr3:uid="{00000000-0010-0000-0700-000001000000}" name="Countries " dataDxfId="107"/>
    <tableColumn id="2" xr3:uid="{00000000-0010-0000-0700-000002000000}" name=" " dataDxfId="106"/>
    <tableColumn id="3" xr3:uid="{00000000-0010-0000-0700-000003000000}" name="Burundi" dataDxfId="105" dataCellStyle="Comma">
      <calculatedColumnFormula>C80</calculatedColumnFormula>
    </tableColumn>
    <tableColumn id="4" xr3:uid="{00000000-0010-0000-0700-000004000000}" name="DRC" dataDxfId="104" dataCellStyle="Comma">
      <calculatedColumnFormula>C81</calculatedColumnFormula>
    </tableColumn>
    <tableColumn id="5" xr3:uid="{00000000-0010-0000-0700-000005000000}" name="Egypt" dataDxfId="103" dataCellStyle="Comma">
      <calculatedColumnFormula>C82</calculatedColumnFormula>
    </tableColumn>
    <tableColumn id="6" xr3:uid="{00000000-0010-0000-0700-000006000000}" name="Eritrea" dataDxfId="102" dataCellStyle="Comma">
      <calculatedColumnFormula>C83</calculatedColumnFormula>
    </tableColumn>
    <tableColumn id="7" xr3:uid="{00000000-0010-0000-0700-000007000000}" name="Ethiopia" dataDxfId="101" dataCellStyle="Comma">
      <calculatedColumnFormula>C84</calculatedColumnFormula>
    </tableColumn>
    <tableColumn id="8" xr3:uid="{00000000-0010-0000-0700-000008000000}" name="Kenya" dataDxfId="100" dataCellStyle="Comma">
      <calculatedColumnFormula>C85</calculatedColumnFormula>
    </tableColumn>
    <tableColumn id="9" xr3:uid="{00000000-0010-0000-0700-000009000000}" name="Rwanda" dataDxfId="99" dataCellStyle="Comma">
      <calculatedColumnFormula>C86</calculatedColumnFormula>
    </tableColumn>
    <tableColumn id="10" xr3:uid="{00000000-0010-0000-0700-00000A000000}" name="Sudan" dataDxfId="98" dataCellStyle="Comma">
      <calculatedColumnFormula>C87</calculatedColumnFormula>
    </tableColumn>
    <tableColumn id="11" xr3:uid="{00000000-0010-0000-0700-00000B000000}" name="S. Sudan" dataDxfId="97" dataCellStyle="Comma">
      <calculatedColumnFormula>C88</calculatedColumnFormula>
    </tableColumn>
    <tableColumn id="12" xr3:uid="{00000000-0010-0000-0700-00000C000000}" name="Tanzania" dataDxfId="96" dataCellStyle="Comma">
      <calculatedColumnFormula>C89</calculatedColumnFormula>
    </tableColumn>
    <tableColumn id="13" xr3:uid="{00000000-0010-0000-0700-00000D000000}" name="Uganda" dataDxfId="95" dataCellStyle="Comma">
      <calculatedColumnFormula>C90</calculatedColumnFormula>
    </tableColumn>
  </tableColumns>
  <tableStyleInfo name="Envy_area_11-style" showFirstColumn="1" showLastColumn="1" showRowStripes="1" showColumnStripes="0"/>
</table>
</file>

<file path=xl/tables/table7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0C25E82-F2FE-4D3A-98A8-B0C376CA1282}" name="Table_1463457142" displayName="Table_1463457142" ref="B151:N152" headerRowDxfId="94" dataDxfId="92" totalsRowDxfId="91" headerRowBorderDxfId="93">
  <tableColumns count="13">
    <tableColumn id="1" xr3:uid="{72261016-7AFB-40C0-AA1D-1037E59B2ACF}" name="Countries " dataDxfId="90"/>
    <tableColumn id="2" xr3:uid="{9AE4DC6C-5129-4896-9FDC-DEFBFA69B13E}" name=" " dataDxfId="89"/>
    <tableColumn id="3" xr3:uid="{B3BB4C88-46E1-4B8E-8620-922ABA8E70C0}" name="Burundi" dataDxfId="88" dataCellStyle="Comma">
      <calculatedColumnFormula>C153</calculatedColumnFormula>
    </tableColumn>
    <tableColumn id="4" xr3:uid="{17077F02-41ED-4592-8989-BCFE3A96C1DF}" name="DRC" dataDxfId="87" dataCellStyle="Comma">
      <calculatedColumnFormula>C154</calculatedColumnFormula>
    </tableColumn>
    <tableColumn id="5" xr3:uid="{EBC87157-34A3-4596-910D-F6914A3444A2}" name="Egypt" dataDxfId="86" dataCellStyle="Comma">
      <calculatedColumnFormula>C155</calculatedColumnFormula>
    </tableColumn>
    <tableColumn id="6" xr3:uid="{70CC5461-73DC-4508-BCE4-206B0B132115}" name="Eritrea" dataDxfId="85" dataCellStyle="Comma">
      <calculatedColumnFormula>C156</calculatedColumnFormula>
    </tableColumn>
    <tableColumn id="7" xr3:uid="{1297CADF-D0B0-454F-A578-E9189FAD87F4}" name="Ethiopia" dataDxfId="84" dataCellStyle="Comma">
      <calculatedColumnFormula>C157</calculatedColumnFormula>
    </tableColumn>
    <tableColumn id="8" xr3:uid="{532C5F4F-60B6-4E34-8CDD-1CEB1C2A804C}" name="Kenya" dataDxfId="83" dataCellStyle="Comma">
      <calculatedColumnFormula>C158</calculatedColumnFormula>
    </tableColumn>
    <tableColumn id="9" xr3:uid="{709718F9-DDB7-4A4C-8938-99F2AA2786E2}" name="Rwanda" dataDxfId="82" dataCellStyle="Comma">
      <calculatedColumnFormula>C159</calculatedColumnFormula>
    </tableColumn>
    <tableColumn id="10" xr3:uid="{8000F3F4-0AFD-4596-8410-95174F967101}" name="Sudan" dataDxfId="81" dataCellStyle="Comma">
      <calculatedColumnFormula>C160</calculatedColumnFormula>
    </tableColumn>
    <tableColumn id="11" xr3:uid="{FC7D8D42-1CDB-42BE-B04F-CAAAB605099F}" name="S. Sudan" dataDxfId="80" dataCellStyle="Comma">
      <calculatedColumnFormula>C161</calculatedColumnFormula>
    </tableColumn>
    <tableColumn id="12" xr3:uid="{F8D9942A-7741-4E27-8E95-12FB9A948E1D}" name="Tanzania" dataDxfId="79" dataCellStyle="Comma">
      <calculatedColumnFormula>C162</calculatedColumnFormula>
    </tableColumn>
    <tableColumn id="13" xr3:uid="{F40E5F9F-21AE-40D4-84C8-C1582B30318B}" name="Uganda" dataDxfId="78" dataCellStyle="Comma">
      <calculatedColumnFormula>C163</calculatedColumnFormula>
    </tableColumn>
  </tableColumns>
  <tableStyleInfo name="Envy_area_11-style" showFirstColumn="1" showLastColumn="1" showRowStripes="1" showColumnStripes="0"/>
</table>
</file>

<file path=xl/tables/table7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262188D-8AE3-4427-B970-01E60A4FE2FA}" name="Table_146345781129183" displayName="Table_146345781129183" ref="B169:N170" headerRowDxfId="77" dataDxfId="75" totalsRowDxfId="74" headerRowBorderDxfId="76">
  <tableColumns count="13">
    <tableColumn id="1" xr3:uid="{2661CF9B-F781-4878-A8E2-D6C42D6FEE61}" name="Countries " dataDxfId="73"/>
    <tableColumn id="2" xr3:uid="{66DC0E57-167D-4713-B3D2-2AFC0CAB425D}" name=" " dataDxfId="72"/>
    <tableColumn id="3" xr3:uid="{D2E67617-2C9B-4FEA-89B0-8CA68702F9E7}" name="Burundi" dataDxfId="71" dataCellStyle="Comma">
      <calculatedColumnFormula>C171</calculatedColumnFormula>
    </tableColumn>
    <tableColumn id="4" xr3:uid="{8413DFAD-A4B1-40F8-B477-0AD4D06038E5}" name="DRC" dataDxfId="70" dataCellStyle="Comma">
      <calculatedColumnFormula>C172</calculatedColumnFormula>
    </tableColumn>
    <tableColumn id="5" xr3:uid="{6BCD7315-D1EE-4FB0-83B1-86DC1919F28C}" name="Egypt" dataDxfId="69" dataCellStyle="Comma">
      <calculatedColumnFormula>C173</calculatedColumnFormula>
    </tableColumn>
    <tableColumn id="6" xr3:uid="{6DD0E093-C7E5-498B-91DF-16FBCD9C9C28}" name="Eritrea" dataDxfId="68" dataCellStyle="Comma">
      <calculatedColumnFormula>C174</calculatedColumnFormula>
    </tableColumn>
    <tableColumn id="7" xr3:uid="{17A23068-09A6-4A93-91CE-D5FFAD072897}" name="Ethiopia" dataDxfId="67" dataCellStyle="Comma">
      <calculatedColumnFormula>C175</calculatedColumnFormula>
    </tableColumn>
    <tableColumn id="8" xr3:uid="{3F759250-CF9A-42CB-AFF7-B781CD8F3C09}" name="Kenya" dataDxfId="66" dataCellStyle="Comma">
      <calculatedColumnFormula>C176</calculatedColumnFormula>
    </tableColumn>
    <tableColumn id="9" xr3:uid="{585DA4F4-5BE6-4301-B924-FCB35B9820AD}" name="Rwanda" dataDxfId="65" dataCellStyle="Comma">
      <calculatedColumnFormula>C177</calculatedColumnFormula>
    </tableColumn>
    <tableColumn id="10" xr3:uid="{CE02B59B-AC6C-4781-BEB9-46FAA036BBB5}" name="Sudan" dataDxfId="64" dataCellStyle="Comma">
      <calculatedColumnFormula>C178</calculatedColumnFormula>
    </tableColumn>
    <tableColumn id="11" xr3:uid="{6FF3FB5A-72A2-4B57-89AC-D96B6F804BC2}" name="S. Sudan" dataDxfId="63" dataCellStyle="Comma">
      <calculatedColumnFormula>C179</calculatedColumnFormula>
    </tableColumn>
    <tableColumn id="12" xr3:uid="{0A998BEF-C06E-4A36-B7BE-EE11CC61BC7F}" name="Tanzania" dataDxfId="62" dataCellStyle="Comma">
      <calculatedColumnFormula>C180</calculatedColumnFormula>
    </tableColumn>
    <tableColumn id="13" xr3:uid="{3425B2B9-A449-4B31-A1E2-70710DB6E957}" name="Uganda" dataDxfId="61" dataCellStyle="Comma">
      <calculatedColumnFormula>C181</calculatedColumnFormula>
    </tableColumn>
  </tableColumns>
  <tableStyleInfo name="Envy_area_11-style" showFirstColumn="1" showLastColumn="1" showRowStripes="1" showColumnStripes="0"/>
</table>
</file>

<file path=xl/tables/table7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0637706-BC8A-4B77-B3BE-2F5C48F5F6F4}" name="Table_1463457146" displayName="Table_1463457146" ref="B187:N188" headerRowDxfId="60" dataDxfId="58" totalsRowDxfId="57" headerRowBorderDxfId="59">
  <tableColumns count="13">
    <tableColumn id="1" xr3:uid="{B4826D89-03C5-4D03-A8B4-C1F0F10F17AE}" name="Countries " dataDxfId="56"/>
    <tableColumn id="2" xr3:uid="{F7C133AD-1801-4918-83FB-49799025FC7B}" name=" " dataDxfId="55"/>
    <tableColumn id="3" xr3:uid="{F3A706D0-B33D-423B-8403-DBBF517F55DD}" name="Burundi" dataDxfId="54" dataCellStyle="Comma">
      <calculatedColumnFormula>C189</calculatedColumnFormula>
    </tableColumn>
    <tableColumn id="4" xr3:uid="{10259439-702D-476F-8A25-7EBA49F0FA5C}" name="DRC" dataDxfId="53" dataCellStyle="Comma">
      <calculatedColumnFormula>C190</calculatedColumnFormula>
    </tableColumn>
    <tableColumn id="5" xr3:uid="{688F913B-581A-4667-9D36-F165897D50A6}" name="Egypt" dataDxfId="52" dataCellStyle="Comma">
      <calculatedColumnFormula>C191</calculatedColumnFormula>
    </tableColumn>
    <tableColumn id="6" xr3:uid="{154434E1-61DC-4A5B-A562-4A55C248D3F2}" name="Eritrea" dataDxfId="51" dataCellStyle="Comma">
      <calculatedColumnFormula>C192</calculatedColumnFormula>
    </tableColumn>
    <tableColumn id="7" xr3:uid="{8AABF459-D41C-48EE-B84B-BBC134BF62B3}" name="Ethiopia" dataDxfId="50" dataCellStyle="Comma">
      <calculatedColumnFormula>C193</calculatedColumnFormula>
    </tableColumn>
    <tableColumn id="8" xr3:uid="{E21643E6-9E5B-4C31-A22D-D61459C026DD}" name="Kenya" dataDxfId="49" dataCellStyle="Comma">
      <calculatedColumnFormula>C194</calculatedColumnFormula>
    </tableColumn>
    <tableColumn id="9" xr3:uid="{663BAFA0-EF6A-4AAC-A528-019820D9CA7B}" name="Rwanda" dataDxfId="48" dataCellStyle="Comma">
      <calculatedColumnFormula>C195</calculatedColumnFormula>
    </tableColumn>
    <tableColumn id="10" xr3:uid="{187C6331-FEA4-4A24-BCB6-1EE0ABF5C0B9}" name="Sudan" dataDxfId="47" dataCellStyle="Comma">
      <calculatedColumnFormula>C196</calculatedColumnFormula>
    </tableColumn>
    <tableColumn id="11" xr3:uid="{DCBD08E8-0E4A-49CE-87F1-113C84FAB2A5}" name="S. Sudan" dataDxfId="46" dataCellStyle="Comma">
      <calculatedColumnFormula>C197</calculatedColumnFormula>
    </tableColumn>
    <tableColumn id="12" xr3:uid="{9F47113A-D224-41CF-B5A9-117A5619813E}" name="Tanzania" dataDxfId="45" dataCellStyle="Comma">
      <calculatedColumnFormula>C198</calculatedColumnFormula>
    </tableColumn>
    <tableColumn id="13" xr3:uid="{0F80557D-7993-4922-8F6A-307E1AB51FC0}" name="Uganda" dataDxfId="44" dataCellStyle="Comma">
      <calculatedColumnFormula>C199</calculatedColumnFormula>
    </tableColumn>
  </tableColumns>
  <tableStyleInfo name="Envy_area_11-style" showFirstColumn="1" showLastColumn="1" showRowStripes="1" showColumnStripes="0"/>
</table>
</file>

<file path=xl/tables/table7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6F64E715-B606-47D4-8A2E-75282F423A4D}" name="Table_146345781129187" displayName="Table_146345781129187" ref="B203:N204" headerRowDxfId="43" dataDxfId="41" totalsRowDxfId="40" headerRowBorderDxfId="42">
  <tableColumns count="13">
    <tableColumn id="1" xr3:uid="{A7FD5C95-C433-4439-9C86-52E38102E794}" name="Countries " dataDxfId="39"/>
    <tableColumn id="2" xr3:uid="{1764DAA1-A89A-449E-BAFB-95A8AC306353}" name=" " dataDxfId="38"/>
    <tableColumn id="3" xr3:uid="{4A3F478C-7DA1-4E37-BAD5-DF987F5B718F}" name="Burundi" dataDxfId="37" dataCellStyle="Comma">
      <calculatedColumnFormula>C205</calculatedColumnFormula>
    </tableColumn>
    <tableColumn id="4" xr3:uid="{70A93CED-D06F-4D67-A220-6209DB50F93A}" name="DRC" dataDxfId="36" dataCellStyle="Comma">
      <calculatedColumnFormula>C206</calculatedColumnFormula>
    </tableColumn>
    <tableColumn id="5" xr3:uid="{EE67CE51-B3D7-4EFA-B75C-28B1D15C6D5E}" name="Egypt" dataDxfId="35" dataCellStyle="Comma">
      <calculatedColumnFormula>C207</calculatedColumnFormula>
    </tableColumn>
    <tableColumn id="6" xr3:uid="{E8517B63-B33B-43C0-8B09-3122C745B2E0}" name="Eritrea" dataDxfId="34" dataCellStyle="Comma">
      <calculatedColumnFormula>C208</calculatedColumnFormula>
    </tableColumn>
    <tableColumn id="7" xr3:uid="{FA6B8C90-A4CE-451A-AEF6-58B9D923AC3C}" name="Ethiopia" dataDxfId="33" dataCellStyle="Comma">
      <calculatedColumnFormula>C209</calculatedColumnFormula>
    </tableColumn>
    <tableColumn id="8" xr3:uid="{523BD31A-3A80-4B96-9949-593A74886103}" name="Kenya" dataDxfId="32" dataCellStyle="Comma">
      <calculatedColumnFormula>C210</calculatedColumnFormula>
    </tableColumn>
    <tableColumn id="9" xr3:uid="{4762619D-C017-47B2-A758-71980F1F3A60}" name="Rwanda" dataDxfId="31" dataCellStyle="Comma">
      <calculatedColumnFormula>C211</calculatedColumnFormula>
    </tableColumn>
    <tableColumn id="10" xr3:uid="{3792C1AF-4562-4763-BDD3-6B78C55D6921}" name="Sudan" dataDxfId="30" dataCellStyle="Comma">
      <calculatedColumnFormula>C212</calculatedColumnFormula>
    </tableColumn>
    <tableColumn id="11" xr3:uid="{372ED9E7-4074-4FE6-A9A7-8C02E15D432C}" name="S. Sudan" dataDxfId="29" dataCellStyle="Comma">
      <calculatedColumnFormula>C213</calculatedColumnFormula>
    </tableColumn>
    <tableColumn id="12" xr3:uid="{FC2123B9-76E6-4175-8A6B-1A39F71165C0}" name="Tanzania" dataDxfId="28" dataCellStyle="Comma">
      <calculatedColumnFormula>C214</calculatedColumnFormula>
    </tableColumn>
    <tableColumn id="13" xr3:uid="{2F57E2C6-BFDC-4809-BC89-F6B22CBDC12F}" name="Uganda" dataDxfId="27" dataCellStyle="Comma">
      <calculatedColumnFormula>C215</calculatedColumnFormula>
    </tableColumn>
  </tableColumns>
  <tableStyleInfo name="Envy_area_11-style" showFirstColumn="1" showLastColumn="1" showRowStripes="1" showColumnStripes="0"/>
</table>
</file>

<file path=xl/tables/table7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3B87340D-668E-437F-A426-86B6CCDC9DA7}" name="Table_14634571468" displayName="Table_14634571468" ref="B220:N221" headerRowDxfId="26" dataDxfId="24" totalsRowDxfId="23" headerRowBorderDxfId="25">
  <tableColumns count="13">
    <tableColumn id="1" xr3:uid="{CC2B9B8F-4216-4B4A-BC2D-06AFED168A7A}" name="Countries " dataDxfId="22"/>
    <tableColumn id="2" xr3:uid="{3B8A6F7F-3CAC-4861-9721-AA58CA9E7AD7}" name=" " dataDxfId="21"/>
    <tableColumn id="3" xr3:uid="{02036FA5-A639-4F8F-9030-735572FB3635}" name="Burundi" dataDxfId="20" dataCellStyle="Comma">
      <calculatedColumnFormula>C222</calculatedColumnFormula>
    </tableColumn>
    <tableColumn id="4" xr3:uid="{5F5D409C-1B75-433B-832F-25785B4CD69D}" name="DRC" dataDxfId="19" dataCellStyle="Comma">
      <calculatedColumnFormula>C223</calculatedColumnFormula>
    </tableColumn>
    <tableColumn id="5" xr3:uid="{83DA00E4-FF48-4DF9-9D16-8EC127253557}" name="Egypt" dataDxfId="18" dataCellStyle="Comma">
      <calculatedColumnFormula>C224</calculatedColumnFormula>
    </tableColumn>
    <tableColumn id="6" xr3:uid="{1EF4C13B-DD22-4AA0-84D4-D6D5E0BD9A97}" name="Eritrea" dataDxfId="17" dataCellStyle="Comma">
      <calculatedColumnFormula>C225</calculatedColumnFormula>
    </tableColumn>
    <tableColumn id="7" xr3:uid="{EE44C1CA-D0AA-4608-A8B8-409BF240F014}" name="Ethiopia" dataDxfId="16" dataCellStyle="Comma">
      <calculatedColumnFormula>C226</calculatedColumnFormula>
    </tableColumn>
    <tableColumn id="8" xr3:uid="{7F7B28DB-A5CB-4DD8-84BD-DD074D527392}" name="Kenya" dataDxfId="15" dataCellStyle="Comma">
      <calculatedColumnFormula>C227</calculatedColumnFormula>
    </tableColumn>
    <tableColumn id="9" xr3:uid="{A9AC0EF4-5A85-475F-BEE3-4DE951CB27AB}" name="Rwanda" dataDxfId="14" dataCellStyle="Comma">
      <calculatedColumnFormula>C228</calculatedColumnFormula>
    </tableColumn>
    <tableColumn id="10" xr3:uid="{EE3FDB91-C448-4033-A748-37F68A1F4007}" name="Sudan" dataDxfId="13" dataCellStyle="Comma">
      <calculatedColumnFormula>C229</calculatedColumnFormula>
    </tableColumn>
    <tableColumn id="11" xr3:uid="{BC498099-6CE0-4A55-AA57-35C30AFBD2AD}" name="S. Sudan" dataDxfId="12" dataCellStyle="Comma">
      <calculatedColumnFormula>C230</calculatedColumnFormula>
    </tableColumn>
    <tableColumn id="12" xr3:uid="{67F85100-DBE4-44BE-9D70-EA3E23118892}" name="Tanzania" dataDxfId="11" dataCellStyle="Comma">
      <calculatedColumnFormula>C231</calculatedColumnFormula>
    </tableColumn>
    <tableColumn id="13" xr3:uid="{A67B6395-891B-406E-B674-B8971A7A8E70}" name="Uganda" dataDxfId="10" dataCellStyle="Comma">
      <calculatedColumnFormula>C232</calculatedColumnFormula>
    </tableColumn>
  </tableColumns>
  <tableStyleInfo name="Envy_area_11-style" showFirstColumn="1" showLastColumn="1" showRowStripes="1" showColumnStripes="0"/>
</table>
</file>

<file path=xl/tables/table7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5B49997-752A-4CC7-8A4F-F577217C424B}" name="Table3" displayName="Table3" ref="C5:D12" totalsRowShown="0" dataDxfId="8" headerRowBorderDxfId="9">
  <autoFilter ref="C5:D12" xr:uid="{4EB64AF8-8E1A-47E3-948E-5EA80A72DCCC}">
    <filterColumn colId="0" hiddenButton="1"/>
    <filterColumn colId="1" hiddenButton="1"/>
  </autoFilter>
  <tableColumns count="2">
    <tableColumn id="1" xr3:uid="{542B6BF8-EF4E-4BBA-A761-56B8674CF345}" name="No" dataDxfId="7"/>
    <tableColumn id="2" xr3:uid="{877BEA2E-FC2A-4325-A0F3-B0A98C9A4603}" name="Challenges" dataDxfId="6"/>
  </tableColumns>
  <tableStyleInfo name="TableStyleLight18" showFirstColumn="0" showLastColumn="0" showRowStripes="1" showColumnStripes="0"/>
</table>
</file>

<file path=xl/tables/table7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225F86C-BECA-4897-BCA2-EF0FF0DC39D9}" name="Table35" displayName="Table35" ref="C15:F25" totalsRowShown="0" dataDxfId="4" headerRowBorderDxfId="5">
  <autoFilter ref="C15:F25" xr:uid="{5CD37DA9-9C4A-4856-8D8A-1170985B10C7}">
    <filterColumn colId="0" hiddenButton="1"/>
    <filterColumn colId="1" hiddenButton="1"/>
    <filterColumn colId="2" hiddenButton="1"/>
    <filterColumn colId="3" hiddenButton="1"/>
  </autoFilter>
  <tableColumns count="4">
    <tableColumn id="1" xr3:uid="{6833CF3D-6D65-4555-B6A0-51247A6DB16E}" name="No" dataDxfId="3"/>
    <tableColumn id="2" xr3:uid="{5A5E35FE-CD5B-474C-AFD4-EB6D8893CB46}" name="Agreements" dataDxfId="2"/>
    <tableColumn id="4" xr3:uid="{2FA28174-3647-41CC-B807-AD887C85D9B5}" name="Signatoreies" dataDxfId="1"/>
    <tableColumn id="3" xr3:uid="{ADAA3300-ADC2-4BF5-84C4-FA1E62471D2A}" name="Date" dataDxfId="0"/>
  </tableColumns>
  <tableStyleInfo name="TableStyleLight18"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table" Target="../tables/table7.xml"/><Relationship Id="rId3" Type="http://schemas.openxmlformats.org/officeDocument/2006/relationships/table" Target="../tables/table2.xml"/><Relationship Id="rId7" Type="http://schemas.openxmlformats.org/officeDocument/2006/relationships/table" Target="../tables/table6.xml"/><Relationship Id="rId2" Type="http://schemas.openxmlformats.org/officeDocument/2006/relationships/table" Target="../tables/table1.xml"/><Relationship Id="rId1" Type="http://schemas.openxmlformats.org/officeDocument/2006/relationships/printerSettings" Target="../printerSettings/printerSettings3.bin"/><Relationship Id="rId6" Type="http://schemas.openxmlformats.org/officeDocument/2006/relationships/table" Target="../tables/table5.xml"/><Relationship Id="rId5" Type="http://schemas.openxmlformats.org/officeDocument/2006/relationships/table" Target="../tables/table4.xml"/><Relationship Id="rId4" Type="http://schemas.openxmlformats.org/officeDocument/2006/relationships/table" Target="../tables/table3.xml"/><Relationship Id="rId9" Type="http://schemas.openxmlformats.org/officeDocument/2006/relationships/table" Target="../tables/table8.xml"/></Relationships>
</file>

<file path=xl/worksheets/_rels/sheet4.xml.rels><?xml version="1.0" encoding="UTF-8" standalone="yes"?>
<Relationships xmlns="http://schemas.openxmlformats.org/package/2006/relationships"><Relationship Id="rId8" Type="http://schemas.openxmlformats.org/officeDocument/2006/relationships/table" Target="../tables/table15.xml"/><Relationship Id="rId3" Type="http://schemas.openxmlformats.org/officeDocument/2006/relationships/table" Target="../tables/table10.xml"/><Relationship Id="rId7" Type="http://schemas.openxmlformats.org/officeDocument/2006/relationships/table" Target="../tables/table14.xml"/><Relationship Id="rId2" Type="http://schemas.openxmlformats.org/officeDocument/2006/relationships/table" Target="../tables/table9.xml"/><Relationship Id="rId1" Type="http://schemas.openxmlformats.org/officeDocument/2006/relationships/printerSettings" Target="../printerSettings/printerSettings4.bin"/><Relationship Id="rId6" Type="http://schemas.openxmlformats.org/officeDocument/2006/relationships/table" Target="../tables/table13.xml"/><Relationship Id="rId5" Type="http://schemas.openxmlformats.org/officeDocument/2006/relationships/table" Target="../tables/table12.xml"/><Relationship Id="rId4" Type="http://schemas.openxmlformats.org/officeDocument/2006/relationships/table" Target="../tables/table11.xml"/><Relationship Id="rId9" Type="http://schemas.openxmlformats.org/officeDocument/2006/relationships/table" Target="../tables/table16.xml"/></Relationships>
</file>

<file path=xl/worksheets/_rels/sheet5.xml.rels><?xml version="1.0" encoding="UTF-8" standalone="yes"?>
<Relationships xmlns="http://schemas.openxmlformats.org/package/2006/relationships"><Relationship Id="rId8" Type="http://schemas.openxmlformats.org/officeDocument/2006/relationships/table" Target="../tables/table23.xml"/><Relationship Id="rId3" Type="http://schemas.openxmlformats.org/officeDocument/2006/relationships/table" Target="../tables/table18.xml"/><Relationship Id="rId7" Type="http://schemas.openxmlformats.org/officeDocument/2006/relationships/table" Target="../tables/table22.xml"/><Relationship Id="rId2" Type="http://schemas.openxmlformats.org/officeDocument/2006/relationships/table" Target="../tables/table17.xml"/><Relationship Id="rId1" Type="http://schemas.openxmlformats.org/officeDocument/2006/relationships/printerSettings" Target="../printerSettings/printerSettings5.bin"/><Relationship Id="rId6" Type="http://schemas.openxmlformats.org/officeDocument/2006/relationships/table" Target="../tables/table21.xml"/><Relationship Id="rId5" Type="http://schemas.openxmlformats.org/officeDocument/2006/relationships/table" Target="../tables/table20.xml"/><Relationship Id="rId4" Type="http://schemas.openxmlformats.org/officeDocument/2006/relationships/table" Target="../tables/table19.xml"/><Relationship Id="rId9" Type="http://schemas.openxmlformats.org/officeDocument/2006/relationships/table" Target="../tables/table24.xml"/></Relationships>
</file>

<file path=xl/worksheets/_rels/sheet6.xml.rels><?xml version="1.0" encoding="UTF-8" standalone="yes"?>
<Relationships xmlns="http://schemas.openxmlformats.org/package/2006/relationships"><Relationship Id="rId8" Type="http://schemas.openxmlformats.org/officeDocument/2006/relationships/table" Target="../tables/table31.xml"/><Relationship Id="rId3" Type="http://schemas.openxmlformats.org/officeDocument/2006/relationships/table" Target="../tables/table26.xml"/><Relationship Id="rId7" Type="http://schemas.openxmlformats.org/officeDocument/2006/relationships/table" Target="../tables/table30.xml"/><Relationship Id="rId2" Type="http://schemas.openxmlformats.org/officeDocument/2006/relationships/table" Target="../tables/table25.xml"/><Relationship Id="rId1" Type="http://schemas.openxmlformats.org/officeDocument/2006/relationships/printerSettings" Target="../printerSettings/printerSettings6.bin"/><Relationship Id="rId6" Type="http://schemas.openxmlformats.org/officeDocument/2006/relationships/table" Target="../tables/table29.xml"/><Relationship Id="rId5" Type="http://schemas.openxmlformats.org/officeDocument/2006/relationships/table" Target="../tables/table28.xml"/><Relationship Id="rId4" Type="http://schemas.openxmlformats.org/officeDocument/2006/relationships/table" Target="../tables/table27.xml"/><Relationship Id="rId9" Type="http://schemas.openxmlformats.org/officeDocument/2006/relationships/table" Target="../tables/table32.xml"/></Relationships>
</file>

<file path=xl/worksheets/_rels/sheet7.xml.rels><?xml version="1.0" encoding="UTF-8" standalone="yes"?>
<Relationships xmlns="http://schemas.openxmlformats.org/package/2006/relationships"><Relationship Id="rId8" Type="http://schemas.openxmlformats.org/officeDocument/2006/relationships/table" Target="../tables/table39.xml"/><Relationship Id="rId3" Type="http://schemas.openxmlformats.org/officeDocument/2006/relationships/table" Target="../tables/table34.xml"/><Relationship Id="rId7" Type="http://schemas.openxmlformats.org/officeDocument/2006/relationships/table" Target="../tables/table38.xml"/><Relationship Id="rId2" Type="http://schemas.openxmlformats.org/officeDocument/2006/relationships/table" Target="../tables/table33.xml"/><Relationship Id="rId1" Type="http://schemas.openxmlformats.org/officeDocument/2006/relationships/printerSettings" Target="../printerSettings/printerSettings7.bin"/><Relationship Id="rId6" Type="http://schemas.openxmlformats.org/officeDocument/2006/relationships/table" Target="../tables/table37.xml"/><Relationship Id="rId5" Type="http://schemas.openxmlformats.org/officeDocument/2006/relationships/table" Target="../tables/table36.xml"/><Relationship Id="rId4" Type="http://schemas.openxmlformats.org/officeDocument/2006/relationships/table" Target="../tables/table35.xml"/><Relationship Id="rId9" Type="http://schemas.openxmlformats.org/officeDocument/2006/relationships/table" Target="../tables/table40.xml"/></Relationships>
</file>

<file path=xl/worksheets/_rels/sheet8.xml.rels><?xml version="1.0" encoding="UTF-8" standalone="yes"?>
<Relationships xmlns="http://schemas.openxmlformats.org/package/2006/relationships"><Relationship Id="rId8" Type="http://schemas.openxmlformats.org/officeDocument/2006/relationships/table" Target="../tables/table47.xml"/><Relationship Id="rId3" Type="http://schemas.openxmlformats.org/officeDocument/2006/relationships/table" Target="../tables/table42.xml"/><Relationship Id="rId7" Type="http://schemas.openxmlformats.org/officeDocument/2006/relationships/table" Target="../tables/table46.xml"/><Relationship Id="rId2" Type="http://schemas.openxmlformats.org/officeDocument/2006/relationships/table" Target="../tables/table41.xml"/><Relationship Id="rId1" Type="http://schemas.openxmlformats.org/officeDocument/2006/relationships/printerSettings" Target="../printerSettings/printerSettings8.bin"/><Relationship Id="rId6" Type="http://schemas.openxmlformats.org/officeDocument/2006/relationships/table" Target="../tables/table45.xml"/><Relationship Id="rId5" Type="http://schemas.openxmlformats.org/officeDocument/2006/relationships/table" Target="../tables/table44.xml"/><Relationship Id="rId4" Type="http://schemas.openxmlformats.org/officeDocument/2006/relationships/table" Target="../tables/table43.xml"/><Relationship Id="rId9" Type="http://schemas.openxmlformats.org/officeDocument/2006/relationships/table" Target="../tables/table48.xml"/></Relationships>
</file>

<file path=xl/worksheets/_rels/sheet9.xml.rels><?xml version="1.0" encoding="UTF-8" standalone="yes"?>
<Relationships xmlns="http://schemas.openxmlformats.org/package/2006/relationships"><Relationship Id="rId8" Type="http://schemas.openxmlformats.org/officeDocument/2006/relationships/table" Target="../tables/table55.xml"/><Relationship Id="rId3" Type="http://schemas.openxmlformats.org/officeDocument/2006/relationships/table" Target="../tables/table50.xml"/><Relationship Id="rId7" Type="http://schemas.openxmlformats.org/officeDocument/2006/relationships/table" Target="../tables/table54.xml"/><Relationship Id="rId2" Type="http://schemas.openxmlformats.org/officeDocument/2006/relationships/table" Target="../tables/table49.xml"/><Relationship Id="rId1" Type="http://schemas.openxmlformats.org/officeDocument/2006/relationships/printerSettings" Target="../printerSettings/printerSettings9.bin"/><Relationship Id="rId6" Type="http://schemas.openxmlformats.org/officeDocument/2006/relationships/table" Target="../tables/table53.xml"/><Relationship Id="rId5" Type="http://schemas.openxmlformats.org/officeDocument/2006/relationships/table" Target="../tables/table52.xml"/><Relationship Id="rId4" Type="http://schemas.openxmlformats.org/officeDocument/2006/relationships/table" Target="../tables/table51.xml"/><Relationship Id="rId9" Type="http://schemas.openxmlformats.org/officeDocument/2006/relationships/table" Target="../tables/table56.xml"/></Relationships>
</file>

<file path=xl/worksheets/_rels/sheet10.xml.rels><?xml version="1.0" encoding="UTF-8" standalone="yes"?>
<Relationships xmlns="http://schemas.openxmlformats.org/package/2006/relationships"><Relationship Id="rId8" Type="http://schemas.openxmlformats.org/officeDocument/2006/relationships/table" Target="../tables/table63.xml"/><Relationship Id="rId3" Type="http://schemas.openxmlformats.org/officeDocument/2006/relationships/table" Target="../tables/table58.xml"/><Relationship Id="rId7" Type="http://schemas.openxmlformats.org/officeDocument/2006/relationships/table" Target="../tables/table62.xml"/><Relationship Id="rId2" Type="http://schemas.openxmlformats.org/officeDocument/2006/relationships/table" Target="../tables/table57.xml"/><Relationship Id="rId1" Type="http://schemas.openxmlformats.org/officeDocument/2006/relationships/printerSettings" Target="../printerSettings/printerSettings10.bin"/><Relationship Id="rId6" Type="http://schemas.openxmlformats.org/officeDocument/2006/relationships/table" Target="../tables/table61.xml"/><Relationship Id="rId5" Type="http://schemas.openxmlformats.org/officeDocument/2006/relationships/table" Target="../tables/table60.xml"/><Relationship Id="rId4" Type="http://schemas.openxmlformats.org/officeDocument/2006/relationships/table" Target="../tables/table59.xml"/><Relationship Id="rId9" Type="http://schemas.openxmlformats.org/officeDocument/2006/relationships/table" Target="../tables/table64.xml"/></Relationships>
</file>

<file path=xl/worksheets/_rels/sheet11.xml.rels><?xml version="1.0" encoding="UTF-8" standalone="yes"?>
<Relationships xmlns="http://schemas.openxmlformats.org/package/2006/relationships"><Relationship Id="rId8" Type="http://schemas.openxmlformats.org/officeDocument/2006/relationships/table" Target="../tables/table71.xml"/><Relationship Id="rId13" Type="http://schemas.openxmlformats.org/officeDocument/2006/relationships/table" Target="../tables/table76.xml"/><Relationship Id="rId3" Type="http://schemas.openxmlformats.org/officeDocument/2006/relationships/table" Target="../tables/table66.xml"/><Relationship Id="rId7" Type="http://schemas.openxmlformats.org/officeDocument/2006/relationships/table" Target="../tables/table70.xml"/><Relationship Id="rId12" Type="http://schemas.openxmlformats.org/officeDocument/2006/relationships/table" Target="../tables/table75.xml"/><Relationship Id="rId2" Type="http://schemas.openxmlformats.org/officeDocument/2006/relationships/table" Target="../tables/table65.xml"/><Relationship Id="rId1" Type="http://schemas.openxmlformats.org/officeDocument/2006/relationships/printerSettings" Target="../printerSettings/printerSettings11.bin"/><Relationship Id="rId6" Type="http://schemas.openxmlformats.org/officeDocument/2006/relationships/table" Target="../tables/table69.xml"/><Relationship Id="rId11" Type="http://schemas.openxmlformats.org/officeDocument/2006/relationships/table" Target="../tables/table74.xml"/><Relationship Id="rId5" Type="http://schemas.openxmlformats.org/officeDocument/2006/relationships/table" Target="../tables/table68.xml"/><Relationship Id="rId10" Type="http://schemas.openxmlformats.org/officeDocument/2006/relationships/table" Target="../tables/table73.xml"/><Relationship Id="rId4" Type="http://schemas.openxmlformats.org/officeDocument/2006/relationships/table" Target="../tables/table67.xml"/><Relationship Id="rId9" Type="http://schemas.openxmlformats.org/officeDocument/2006/relationships/table" Target="../tables/table72.xml"/><Relationship Id="rId14" Type="http://schemas.openxmlformats.org/officeDocument/2006/relationships/table" Target="../tables/table77.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table" Target="../tables/table79.xml"/><Relationship Id="rId1" Type="http://schemas.openxmlformats.org/officeDocument/2006/relationships/table" Target="../tables/table78.xm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AQ84"/>
  <sheetViews>
    <sheetView showGridLines="0" topLeftCell="Z1" zoomScale="108" zoomScaleNormal="60" workbookViewId="0">
      <selection activeCell="AB3" sqref="AB3:AJ15"/>
    </sheetView>
  </sheetViews>
  <sheetFormatPr defaultRowHeight="13.2" x14ac:dyDescent="0.25"/>
  <cols>
    <col min="2" max="2" width="15.33203125" style="102" bestFit="1" customWidth="1"/>
    <col min="3" max="3" width="13.109375" bestFit="1" customWidth="1"/>
    <col min="4" max="7" width="12.77734375" bestFit="1" customWidth="1"/>
    <col min="8" max="8" width="12.77734375" customWidth="1"/>
    <col min="9" max="10" width="13.44140625" bestFit="1" customWidth="1"/>
    <col min="11" max="11" width="13.21875" bestFit="1" customWidth="1"/>
    <col min="12" max="12" width="11.77734375" bestFit="1" customWidth="1"/>
    <col min="13" max="13" width="12.33203125" style="102" bestFit="1" customWidth="1"/>
    <col min="14" max="14" width="11.88671875" style="2" bestFit="1" customWidth="1"/>
    <col min="15" max="15" width="11.44140625" style="2" bestFit="1" customWidth="1"/>
    <col min="16" max="24" width="13.109375" bestFit="1" customWidth="1"/>
    <col min="25" max="25" width="15.77734375" bestFit="1" customWidth="1"/>
    <col min="26" max="26" width="11.5546875" bestFit="1" customWidth="1"/>
    <col min="27" max="27" width="8.33203125" customWidth="1"/>
    <col min="28" max="28" width="12.33203125" bestFit="1" customWidth="1"/>
    <col min="29" max="29" width="8.77734375" customWidth="1"/>
    <col min="30" max="30" width="8.44140625" customWidth="1"/>
    <col min="31" max="31" width="9.77734375" customWidth="1"/>
    <col min="32" max="32" width="9.44140625" customWidth="1"/>
    <col min="33" max="33" width="8.44140625" customWidth="1"/>
    <col min="34" max="34" width="12.109375" customWidth="1"/>
    <col min="35" max="36" width="12" bestFit="1" customWidth="1"/>
    <col min="37" max="37" width="13" customWidth="1"/>
    <col min="38" max="38" width="12.33203125" bestFit="1" customWidth="1"/>
    <col min="39" max="39" width="10.88671875" customWidth="1"/>
    <col min="40" max="40" width="12.6640625" bestFit="1" customWidth="1"/>
    <col min="41" max="41" width="12.5546875" customWidth="1"/>
    <col min="42" max="42" width="14.33203125" customWidth="1"/>
    <col min="43" max="43" width="12.6640625" customWidth="1"/>
    <col min="44" max="44" width="9.21875" bestFit="1" customWidth="1"/>
    <col min="45" max="45" width="11.44140625" bestFit="1" customWidth="1"/>
  </cols>
  <sheetData>
    <row r="1" spans="2:43" ht="15.6" x14ac:dyDescent="0.25">
      <c r="R1" s="3" t="s">
        <v>266</v>
      </c>
    </row>
    <row r="2" spans="2:43" ht="13.8" thickBot="1" x14ac:dyDescent="0.3">
      <c r="B2" s="239" t="s">
        <v>214</v>
      </c>
      <c r="C2" s="239"/>
      <c r="D2" s="239"/>
      <c r="E2" s="239"/>
      <c r="F2" s="239"/>
      <c r="G2" s="239"/>
      <c r="H2" s="239"/>
      <c r="I2" s="239"/>
      <c r="J2" s="239"/>
      <c r="K2" s="239"/>
      <c r="M2" s="239" t="s">
        <v>279</v>
      </c>
      <c r="N2" s="239"/>
      <c r="O2" s="239"/>
      <c r="P2" s="239"/>
      <c r="Q2" s="239"/>
      <c r="R2" s="239"/>
      <c r="S2" s="239"/>
      <c r="T2" s="239"/>
      <c r="U2" s="239"/>
      <c r="V2" s="239"/>
      <c r="W2" s="239"/>
      <c r="X2" s="47"/>
      <c r="Y2" s="47"/>
      <c r="Z2" s="47"/>
      <c r="AA2" s="47"/>
      <c r="AB2" s="47"/>
    </row>
    <row r="3" spans="2:43" s="42" customFormat="1" ht="15" customHeight="1" thickBot="1" x14ac:dyDescent="0.3">
      <c r="B3" s="215" t="s">
        <v>52</v>
      </c>
      <c r="C3" s="218">
        <v>2010</v>
      </c>
      <c r="D3" s="218">
        <v>2011</v>
      </c>
      <c r="E3" s="218">
        <v>2012</v>
      </c>
      <c r="F3" s="218">
        <v>2013</v>
      </c>
      <c r="G3" s="218">
        <v>2014</v>
      </c>
      <c r="H3" s="218">
        <v>2015</v>
      </c>
      <c r="I3" s="218">
        <v>2016</v>
      </c>
      <c r="J3" s="218">
        <v>2017</v>
      </c>
      <c r="K3" s="218">
        <v>2018</v>
      </c>
      <c r="M3" s="215" t="s">
        <v>52</v>
      </c>
      <c r="N3" s="218" t="s">
        <v>196</v>
      </c>
      <c r="O3" s="218">
        <v>2010</v>
      </c>
      <c r="P3" s="218">
        <v>2011</v>
      </c>
      <c r="Q3" s="218">
        <v>2012</v>
      </c>
      <c r="R3" s="218">
        <v>2013</v>
      </c>
      <c r="S3" s="218">
        <v>2014</v>
      </c>
      <c r="T3" s="218">
        <v>2015</v>
      </c>
      <c r="U3" s="218">
        <v>2016</v>
      </c>
      <c r="V3" s="218">
        <v>2017</v>
      </c>
      <c r="W3" s="218">
        <v>2018</v>
      </c>
      <c r="X3" s="99"/>
      <c r="Y3" s="3" t="s">
        <v>53</v>
      </c>
      <c r="Z3">
        <v>1000000</v>
      </c>
      <c r="AA3" s="68"/>
      <c r="AB3" s="241" t="s">
        <v>52</v>
      </c>
      <c r="AC3" s="219" t="s">
        <v>199</v>
      </c>
      <c r="AD3" s="219" t="s">
        <v>201</v>
      </c>
      <c r="AE3" s="219" t="s">
        <v>204</v>
      </c>
      <c r="AF3" s="219" t="s">
        <v>203</v>
      </c>
      <c r="AG3" s="260" t="s">
        <v>205</v>
      </c>
      <c r="AH3" s="260" t="s">
        <v>256</v>
      </c>
      <c r="AI3" s="260" t="s">
        <v>257</v>
      </c>
      <c r="AJ3" s="260" t="s">
        <v>133</v>
      </c>
      <c r="AL3" s="241" t="s">
        <v>52</v>
      </c>
      <c r="AM3" s="219" t="s">
        <v>197</v>
      </c>
      <c r="AN3" s="260" t="s">
        <v>0</v>
      </c>
      <c r="AO3" s="237" t="s">
        <v>208</v>
      </c>
      <c r="AP3" s="237" t="s">
        <v>206</v>
      </c>
      <c r="AQ3" s="237" t="s">
        <v>207</v>
      </c>
    </row>
    <row r="4" spans="2:43" ht="16.2" thickBot="1" x14ac:dyDescent="0.3">
      <c r="B4" s="101" t="s">
        <v>1</v>
      </c>
      <c r="C4" s="14">
        <v>1175.911081831184</v>
      </c>
      <c r="D4" s="14">
        <v>1221.2640228557621</v>
      </c>
      <c r="E4" s="14">
        <v>1174.706109486149</v>
      </c>
      <c r="F4" s="14">
        <v>1326.714477617154</v>
      </c>
      <c r="G4" s="14">
        <v>1097.4277040627769</v>
      </c>
      <c r="H4" s="14">
        <v>1260.503415647024</v>
      </c>
      <c r="I4" s="14">
        <v>1202.4981692838601</v>
      </c>
      <c r="J4" s="14">
        <v>1181.1137616746139</v>
      </c>
      <c r="K4" s="14">
        <v>1500.937783451104</v>
      </c>
      <c r="M4" s="101" t="s">
        <v>1</v>
      </c>
      <c r="N4" s="14">
        <v>13199.085501550475</v>
      </c>
      <c r="O4" s="17">
        <f t="shared" ref="O4:W4" si="0">((C4*0.001)*($N$4*1000000))/1000000000</f>
        <v>15.520950911310514</v>
      </c>
      <c r="P4" s="17">
        <f t="shared" si="0"/>
        <v>16.119568257640697</v>
      </c>
      <c r="Q4" s="17">
        <f t="shared" si="0"/>
        <v>15.505046378301394</v>
      </c>
      <c r="R4" s="17">
        <f t="shared" si="0"/>
        <v>17.511417826213687</v>
      </c>
      <c r="S4" s="17">
        <f t="shared" si="0"/>
        <v>14.485042097694823</v>
      </c>
      <c r="T4" s="17">
        <f t="shared" si="0"/>
        <v>16.637492358121488</v>
      </c>
      <c r="U4" s="17">
        <f t="shared" si="0"/>
        <v>15.871876151835586</v>
      </c>
      <c r="V4" s="17">
        <f t="shared" si="0"/>
        <v>15.589621527401139</v>
      </c>
      <c r="W4" s="17">
        <f t="shared" si="0"/>
        <v>19.81100613627877</v>
      </c>
      <c r="X4" s="65"/>
      <c r="Y4" s="3" t="s">
        <v>72</v>
      </c>
      <c r="Z4">
        <v>1000000000</v>
      </c>
      <c r="AA4" s="68"/>
      <c r="AB4" s="242"/>
      <c r="AC4" s="207" t="s">
        <v>200</v>
      </c>
      <c r="AD4" s="238" t="s">
        <v>292</v>
      </c>
      <c r="AE4" s="207" t="s">
        <v>202</v>
      </c>
      <c r="AF4" s="238" t="s">
        <v>292</v>
      </c>
      <c r="AG4" s="235" t="s">
        <v>200</v>
      </c>
      <c r="AH4" s="238" t="s">
        <v>292</v>
      </c>
      <c r="AI4" s="238" t="s">
        <v>292</v>
      </c>
      <c r="AJ4" s="238" t="s">
        <v>292</v>
      </c>
      <c r="AL4" s="242"/>
      <c r="AM4" s="238" t="s">
        <v>293</v>
      </c>
      <c r="AN4" s="236" t="s">
        <v>215</v>
      </c>
      <c r="AO4" s="238" t="s">
        <v>293</v>
      </c>
      <c r="AP4" s="238" t="s">
        <v>293</v>
      </c>
      <c r="AQ4" s="238" t="s">
        <v>293</v>
      </c>
    </row>
    <row r="5" spans="2:43" x14ac:dyDescent="0.25">
      <c r="B5" s="101" t="s">
        <v>195</v>
      </c>
      <c r="C5" s="14">
        <v>1418.7392159847241</v>
      </c>
      <c r="D5" s="14">
        <v>1283.802879980449</v>
      </c>
      <c r="E5" s="14">
        <v>1359.913537562622</v>
      </c>
      <c r="F5" s="14">
        <v>1258.4662990271829</v>
      </c>
      <c r="G5" s="14">
        <v>1192.860418550445</v>
      </c>
      <c r="H5" s="14">
        <v>1256.887402759819</v>
      </c>
      <c r="I5" s="14">
        <v>1230.4236710918381</v>
      </c>
      <c r="J5" s="14">
        <v>1160.096655594396</v>
      </c>
      <c r="K5" s="14">
        <v>1332.2501536237601</v>
      </c>
      <c r="M5" s="101" t="s">
        <v>195</v>
      </c>
      <c r="N5" s="14">
        <v>20450.034940117202</v>
      </c>
      <c r="O5" s="17">
        <f t="shared" ref="O5:W5" si="1">((C5*0.001)*($N$5*1000000))/1000000000</f>
        <v>29.013266537802092</v>
      </c>
      <c r="P5" s="17">
        <f t="shared" si="1"/>
        <v>26.253813751823277</v>
      </c>
      <c r="Q5" s="17">
        <f t="shared" si="1"/>
        <v>27.810279358694004</v>
      </c>
      <c r="R5" s="17">
        <f t="shared" si="1"/>
        <v>25.735679786065873</v>
      </c>
      <c r="S5" s="17">
        <f t="shared" si="1"/>
        <v>24.394037238039431</v>
      </c>
      <c r="T5" s="17">
        <f t="shared" si="1"/>
        <v>25.703391302231459</v>
      </c>
      <c r="U5" s="17">
        <f t="shared" si="1"/>
        <v>25.16220706497537</v>
      </c>
      <c r="V5" s="17">
        <f t="shared" si="1"/>
        <v>23.724017140818511</v>
      </c>
      <c r="W5" s="17">
        <f t="shared" si="1"/>
        <v>27.244562190582403</v>
      </c>
      <c r="X5" s="65"/>
      <c r="Y5" s="69"/>
      <c r="Z5" s="69"/>
      <c r="AA5" s="69"/>
      <c r="AB5" s="150" t="s">
        <v>1</v>
      </c>
      <c r="AC5" s="69">
        <v>1500.937783451104</v>
      </c>
      <c r="AD5" s="69">
        <v>19.81100613627877</v>
      </c>
      <c r="AE5" s="14">
        <v>960.54166828966731</v>
      </c>
      <c r="AF5" s="14">
        <v>12.678271607557253</v>
      </c>
      <c r="AG5" s="14">
        <v>541.93648541095183</v>
      </c>
      <c r="AH5" s="14">
        <v>7.1530660073489152</v>
      </c>
      <c r="AI5" s="15">
        <v>0</v>
      </c>
      <c r="AJ5" s="15">
        <f>AH5+AI5</f>
        <v>7.1530660073489152</v>
      </c>
      <c r="AL5" s="101" t="s">
        <v>1</v>
      </c>
      <c r="AM5" s="14">
        <v>13199.085501550475</v>
      </c>
      <c r="AN5" s="17">
        <v>6.169632</v>
      </c>
      <c r="AO5" s="14">
        <v>7480.8958351792899</v>
      </c>
      <c r="AP5" s="14">
        <v>17.326803676232597</v>
      </c>
      <c r="AQ5" s="14">
        <v>7498.2226388555227</v>
      </c>
    </row>
    <row r="6" spans="2:43" x14ac:dyDescent="0.25">
      <c r="B6" s="101" t="s">
        <v>2</v>
      </c>
      <c r="C6" s="14">
        <v>8.2305339117421052</v>
      </c>
      <c r="D6" s="14">
        <v>10.015941044943711</v>
      </c>
      <c r="E6" s="14">
        <v>13.830734388590059</v>
      </c>
      <c r="F6" s="14">
        <v>11.79874242837931</v>
      </c>
      <c r="G6" s="14">
        <v>10.2510628242187</v>
      </c>
      <c r="H6" s="14">
        <v>13.00641777359038</v>
      </c>
      <c r="I6" s="14">
        <v>24.543081984305601</v>
      </c>
      <c r="J6" s="14">
        <v>13.444546338509531</v>
      </c>
      <c r="K6" s="14">
        <v>17.866098695462739</v>
      </c>
      <c r="M6" s="101" t="s">
        <v>2</v>
      </c>
      <c r="N6" s="14">
        <v>251430.37783690859</v>
      </c>
      <c r="O6" s="17">
        <f t="shared" ref="O6:W6" si="2">((C6*0.001)*($N$6*1000000))/1000000000</f>
        <v>2.0694062512288069</v>
      </c>
      <c r="P6" s="17">
        <f t="shared" si="2"/>
        <v>2.5183118413223982</v>
      </c>
      <c r="Q6" s="17">
        <f t="shared" si="2"/>
        <v>3.4774667730851241</v>
      </c>
      <c r="R6" s="17">
        <f t="shared" si="2"/>
        <v>2.9665622667677747</v>
      </c>
      <c r="S6" s="17">
        <f t="shared" si="2"/>
        <v>2.5774285991231953</v>
      </c>
      <c r="T6" s="17">
        <f t="shared" si="2"/>
        <v>3.2702085351185128</v>
      </c>
      <c r="U6" s="17">
        <f t="shared" si="2"/>
        <v>6.1708763765961825</v>
      </c>
      <c r="V6" s="17">
        <f t="shared" si="2"/>
        <v>3.3803673657372775</v>
      </c>
      <c r="W6" s="17">
        <f t="shared" si="2"/>
        <v>4.4920799454716969</v>
      </c>
      <c r="X6" s="65"/>
      <c r="Y6" s="69"/>
      <c r="Z6" s="69"/>
      <c r="AA6" s="69"/>
      <c r="AB6" s="150" t="s">
        <v>195</v>
      </c>
      <c r="AC6" s="69">
        <v>1332.2501536237601</v>
      </c>
      <c r="AD6" s="69">
        <v>27.244562190582403</v>
      </c>
      <c r="AE6" s="14">
        <v>1275.5054182827439</v>
      </c>
      <c r="AF6" s="14">
        <v>26.084130370190923</v>
      </c>
      <c r="AG6" s="14">
        <v>64.669724208364599</v>
      </c>
      <c r="AH6" s="14">
        <v>1.3224981196287995</v>
      </c>
      <c r="AI6" s="15">
        <v>0</v>
      </c>
      <c r="AJ6" s="15">
        <f t="shared" ref="AJ6:AJ15" si="3">AH6+AI6</f>
        <v>1.3224981196287995</v>
      </c>
      <c r="AL6" s="101" t="s">
        <v>195</v>
      </c>
      <c r="AM6" s="14">
        <v>20450.034940117202</v>
      </c>
      <c r="AN6" s="17">
        <v>3.8753060000000001</v>
      </c>
      <c r="AO6" s="14">
        <v>4095.8505435363099</v>
      </c>
      <c r="AP6" s="14">
        <v>453.17056104724901</v>
      </c>
      <c r="AQ6" s="14">
        <v>4549.0211045835576</v>
      </c>
    </row>
    <row r="7" spans="2:43" x14ac:dyDescent="0.25">
      <c r="B7" s="101" t="s">
        <v>3</v>
      </c>
      <c r="C7" s="14">
        <v>611.0238773824442</v>
      </c>
      <c r="D7" s="14">
        <v>498.49959016732907</v>
      </c>
      <c r="E7" s="14">
        <v>615.05476018312879</v>
      </c>
      <c r="F7" s="14">
        <v>463.17028001789288</v>
      </c>
      <c r="G7" s="14">
        <v>580.4765135813949</v>
      </c>
      <c r="H7" s="14">
        <v>487.56692335055908</v>
      </c>
      <c r="I7" s="14">
        <v>538.11799399023971</v>
      </c>
      <c r="J7" s="14">
        <v>587.8411651555391</v>
      </c>
      <c r="K7" s="14">
        <v>585.79117490926365</v>
      </c>
      <c r="M7" s="101" t="s">
        <v>3</v>
      </c>
      <c r="N7" s="14">
        <v>24496.645034227455</v>
      </c>
      <c r="O7" s="17">
        <f t="shared" ref="O7:W7" si="4">((C7*0.001)*($N$7*1000000))/1000000000</f>
        <v>14.968035031675058</v>
      </c>
      <c r="P7" s="17">
        <f t="shared" si="4"/>
        <v>12.211567510036925</v>
      </c>
      <c r="Q7" s="17">
        <f t="shared" si="4"/>
        <v>15.066778136817998</v>
      </c>
      <c r="R7" s="17">
        <f t="shared" si="4"/>
        <v>11.346117940002056</v>
      </c>
      <c r="S7" s="17">
        <f t="shared" si="4"/>
        <v>14.219727103909346</v>
      </c>
      <c r="T7" s="17">
        <f t="shared" si="4"/>
        <v>11.943753851749031</v>
      </c>
      <c r="U7" s="17">
        <f t="shared" si="4"/>
        <v>13.182085485309447</v>
      </c>
      <c r="V7" s="17">
        <f t="shared" si="4"/>
        <v>14.400136359321918</v>
      </c>
      <c r="W7" s="17">
        <f t="shared" si="4"/>
        <v>14.349918475935281</v>
      </c>
      <c r="X7" s="65"/>
      <c r="Y7" s="69"/>
      <c r="Z7" s="69"/>
      <c r="AA7" s="69"/>
      <c r="AB7" s="150" t="s">
        <v>2</v>
      </c>
      <c r="AC7" s="69">
        <v>17.866098695462739</v>
      </c>
      <c r="AD7" s="69">
        <v>4.4920799454716969</v>
      </c>
      <c r="AE7" s="14">
        <v>271.34664622189501</v>
      </c>
      <c r="AF7" s="14">
        <v>68.224789784349042</v>
      </c>
      <c r="AG7" s="14">
        <v>-77.673119137517119</v>
      </c>
      <c r="AH7" s="14">
        <v>0</v>
      </c>
      <c r="AI7" s="15">
        <v>56.5</v>
      </c>
      <c r="AJ7" s="15">
        <f t="shared" si="3"/>
        <v>56.5</v>
      </c>
      <c r="AL7" s="101" t="s">
        <v>2</v>
      </c>
      <c r="AM7" s="14">
        <v>251430.37783690859</v>
      </c>
      <c r="AN7" s="17">
        <v>83.946549000000005</v>
      </c>
      <c r="AO7" s="14">
        <v>36.2275463161657</v>
      </c>
      <c r="AP7" s="14">
        <v>32732.968091907202</v>
      </c>
      <c r="AQ7" s="14">
        <v>33738.127951375733</v>
      </c>
    </row>
    <row r="8" spans="2:43" x14ac:dyDescent="0.25">
      <c r="B8" s="101" t="s">
        <v>4</v>
      </c>
      <c r="C8" s="14">
        <v>1226.834170639296</v>
      </c>
      <c r="D8" s="14">
        <v>1213.8403084302199</v>
      </c>
      <c r="E8" s="14">
        <v>1280.1515154348131</v>
      </c>
      <c r="F8" s="14">
        <v>1215.1466255418411</v>
      </c>
      <c r="G8" s="14">
        <v>1268.1409342674531</v>
      </c>
      <c r="H8" s="14">
        <v>1137.71527445226</v>
      </c>
      <c r="I8" s="14">
        <v>1240.2316360487889</v>
      </c>
      <c r="J8" s="14">
        <v>1332.368609566649</v>
      </c>
      <c r="K8" s="14">
        <v>1234.477309464372</v>
      </c>
      <c r="M8" s="101" t="s">
        <v>4</v>
      </c>
      <c r="N8" s="14">
        <v>363314.38569269452</v>
      </c>
      <c r="O8" s="17">
        <f t="shared" ref="O8:W8" si="5">((C8*0.001)*($N$8*1000000))/1000000000</f>
        <v>445.72650305262221</v>
      </c>
      <c r="P8" s="17">
        <f t="shared" si="5"/>
        <v>441.00564598635611</v>
      </c>
      <c r="Q8" s="17">
        <f t="shared" si="5"/>
        <v>465.09746142377105</v>
      </c>
      <c r="R8" s="17">
        <f t="shared" si="5"/>
        <v>441.48024978528468</v>
      </c>
      <c r="S8" s="17">
        <f t="shared" si="5"/>
        <v>460.73384450513942</v>
      </c>
      <c r="T8" s="17">
        <f t="shared" si="5"/>
        <v>413.34832603081821</v>
      </c>
      <c r="U8" s="17">
        <f t="shared" si="5"/>
        <v>450.59399496771118</v>
      </c>
      <c r="V8" s="17">
        <f t="shared" si="5"/>
        <v>484.06868290093661</v>
      </c>
      <c r="W8" s="17">
        <f t="shared" si="5"/>
        <v>448.50336533961865</v>
      </c>
      <c r="X8" s="65"/>
      <c r="Y8" s="69"/>
      <c r="Z8" s="69"/>
      <c r="AA8" s="69"/>
      <c r="AB8" s="150" t="s">
        <v>3</v>
      </c>
      <c r="AC8" s="69">
        <v>585.79117490926365</v>
      </c>
      <c r="AD8" s="69">
        <v>14.349918475935281</v>
      </c>
      <c r="AE8" s="14">
        <v>510.08022232524507</v>
      </c>
      <c r="AF8" s="14">
        <v>12.495254145281351</v>
      </c>
      <c r="AG8" s="14">
        <v>77.984160696906699</v>
      </c>
      <c r="AH8" s="14">
        <v>1.9103503028842752</v>
      </c>
      <c r="AI8" s="15">
        <v>0</v>
      </c>
      <c r="AJ8" s="15">
        <f t="shared" si="3"/>
        <v>1.9103503028842752</v>
      </c>
      <c r="AL8" s="101" t="s">
        <v>3</v>
      </c>
      <c r="AM8" s="14">
        <v>24496.645034227455</v>
      </c>
      <c r="AN8" s="17">
        <v>1.2901100000000001</v>
      </c>
      <c r="AO8" s="14">
        <v>4571.8337917332701</v>
      </c>
      <c r="AP8" s="14">
        <v>167.66828675695399</v>
      </c>
      <c r="AQ8" s="14">
        <v>4739.5256339269945</v>
      </c>
    </row>
    <row r="9" spans="2:43" x14ac:dyDescent="0.25">
      <c r="B9" s="101" t="s">
        <v>5</v>
      </c>
      <c r="C9" s="14">
        <v>1588.4939654820521</v>
      </c>
      <c r="D9" s="14">
        <v>1556.100392081725</v>
      </c>
      <c r="E9" s="14">
        <v>1729.1739184408641</v>
      </c>
      <c r="F9" s="14">
        <v>1561.036055152128</v>
      </c>
      <c r="G9" s="14">
        <v>1428.3266098369711</v>
      </c>
      <c r="H9" s="14">
        <v>1510.875251914624</v>
      </c>
      <c r="I9" s="14">
        <v>1288.7270157790081</v>
      </c>
      <c r="J9" s="14">
        <v>1475.072837449901</v>
      </c>
      <c r="K9" s="14">
        <v>1686.2477169057449</v>
      </c>
      <c r="M9" s="101" t="s">
        <v>5</v>
      </c>
      <c r="N9" s="14">
        <v>49475.746319971244</v>
      </c>
      <c r="O9" s="17">
        <f t="shared" ref="O9:W9" si="6">((C9*0.001)*($N$9*1000000))/1000000000</f>
        <v>78.591924466995167</v>
      </c>
      <c r="P9" s="17">
        <f t="shared" si="6"/>
        <v>76.989228247043215</v>
      </c>
      <c r="Q9" s="17">
        <f t="shared" si="6"/>
        <v>85.552170131890833</v>
      </c>
      <c r="R9" s="17">
        <f t="shared" si="6"/>
        <v>77.23342386103532</v>
      </c>
      <c r="S9" s="17">
        <f t="shared" si="6"/>
        <v>70.667525010358531</v>
      </c>
      <c r="T9" s="17">
        <f t="shared" si="6"/>
        <v>74.751680684850584</v>
      </c>
      <c r="U9" s="17">
        <f t="shared" si="6"/>
        <v>63.760730908375784</v>
      </c>
      <c r="V9" s="17">
        <f t="shared" si="6"/>
        <v>72.980329509151488</v>
      </c>
      <c r="W9" s="17">
        <f t="shared" si="6"/>
        <v>83.428364274259323</v>
      </c>
      <c r="X9" s="65"/>
      <c r="Y9" s="69"/>
      <c r="Z9" s="69"/>
      <c r="AA9" s="69"/>
      <c r="AB9" s="150" t="s">
        <v>4</v>
      </c>
      <c r="AC9" s="69">
        <v>1234.477309464372</v>
      </c>
      <c r="AD9" s="69">
        <v>448.50336533961865</v>
      </c>
      <c r="AE9" s="14">
        <v>1023.368499330178</v>
      </c>
      <c r="AF9" s="14">
        <v>371.80449767139828</v>
      </c>
      <c r="AG9" s="14">
        <v>212.79957074255654</v>
      </c>
      <c r="AH9" s="14">
        <v>77.313145320001027</v>
      </c>
      <c r="AI9" s="15">
        <v>0</v>
      </c>
      <c r="AJ9" s="15">
        <f t="shared" si="3"/>
        <v>77.313145320001027</v>
      </c>
      <c r="AL9" s="101" t="s">
        <v>4</v>
      </c>
      <c r="AM9" s="14">
        <v>363314.38569269452</v>
      </c>
      <c r="AN9" s="17">
        <v>39.232453</v>
      </c>
      <c r="AO9" s="14">
        <v>148845.87450464899</v>
      </c>
      <c r="AP9" s="14">
        <v>928.38682241953302</v>
      </c>
      <c r="AQ9" s="14">
        <v>149774.72401466093</v>
      </c>
    </row>
    <row r="10" spans="2:43" x14ac:dyDescent="0.25">
      <c r="B10" s="101" t="s">
        <v>6</v>
      </c>
      <c r="C10" s="14">
        <v>1194.214506004759</v>
      </c>
      <c r="D10" s="14">
        <v>1227.142293191537</v>
      </c>
      <c r="E10" s="14">
        <v>1210.7370153312561</v>
      </c>
      <c r="F10" s="14">
        <v>1119.9096024467251</v>
      </c>
      <c r="G10" s="14">
        <v>959.76207346796218</v>
      </c>
      <c r="H10" s="14">
        <v>1021.95886746694</v>
      </c>
      <c r="I10" s="14">
        <v>1075.9384280106431</v>
      </c>
      <c r="J10" s="14">
        <v>1023.790521468555</v>
      </c>
      <c r="K10" s="14">
        <v>1332.4347995628391</v>
      </c>
      <c r="M10" s="101" t="s">
        <v>6</v>
      </c>
      <c r="N10" s="14">
        <v>20836.189535136225</v>
      </c>
      <c r="O10" s="17">
        <f t="shared" ref="O10:W10" si="7">((C10*0.001)*($N$10*1000000))/1000000000</f>
        <v>24.882879792724239</v>
      </c>
      <c r="P10" s="17">
        <f t="shared" si="7"/>
        <v>25.568969407520573</v>
      </c>
      <c r="Q10" s="17">
        <f t="shared" si="7"/>
        <v>25.22714592864719</v>
      </c>
      <c r="R10" s="17">
        <f t="shared" si="7"/>
        <v>23.334648738799025</v>
      </c>
      <c r="S10" s="17">
        <f t="shared" si="7"/>
        <v>19.997784471413798</v>
      </c>
      <c r="T10" s="17">
        <f t="shared" si="7"/>
        <v>21.293728659654324</v>
      </c>
      <c r="U10" s="17">
        <f t="shared" si="7"/>
        <v>22.418457014166282</v>
      </c>
      <c r="V10" s="17">
        <f t="shared" si="7"/>
        <v>21.331893349594765</v>
      </c>
      <c r="W10" s="17">
        <f t="shared" si="7"/>
        <v>27.762864026902566</v>
      </c>
      <c r="X10" s="65"/>
      <c r="Y10" s="69"/>
      <c r="Z10" s="69"/>
      <c r="AA10" s="69"/>
      <c r="AB10" s="150" t="s">
        <v>5</v>
      </c>
      <c r="AC10" s="69">
        <v>1686.2477169057449</v>
      </c>
      <c r="AD10" s="69">
        <v>83.428364274259323</v>
      </c>
      <c r="AE10" s="14">
        <v>1153.3000415173731</v>
      </c>
      <c r="AF10" s="14">
        <v>57.060380284925856</v>
      </c>
      <c r="AG10" s="14">
        <v>559.44546618991444</v>
      </c>
      <c r="AH10" s="14">
        <v>27.678981965070257</v>
      </c>
      <c r="AI10" s="15">
        <v>0</v>
      </c>
      <c r="AJ10" s="15">
        <f t="shared" si="3"/>
        <v>27.678981965070257</v>
      </c>
      <c r="AL10" s="101" t="s">
        <v>5</v>
      </c>
      <c r="AM10" s="14">
        <v>49475.746319971244</v>
      </c>
      <c r="AN10" s="17">
        <v>19.742709999999999</v>
      </c>
      <c r="AO10" s="14">
        <v>34381.756113589799</v>
      </c>
      <c r="AP10" s="14">
        <v>161.37842778671799</v>
      </c>
      <c r="AQ10" s="14">
        <v>34543.134541376516</v>
      </c>
    </row>
    <row r="11" spans="2:43" x14ac:dyDescent="0.25">
      <c r="B11" s="101" t="s">
        <v>7</v>
      </c>
      <c r="C11" s="14">
        <v>278.44773854379139</v>
      </c>
      <c r="D11" s="14">
        <v>252.40549761612289</v>
      </c>
      <c r="E11" s="14">
        <v>293.01127532369662</v>
      </c>
      <c r="F11" s="14">
        <v>250.5035603554019</v>
      </c>
      <c r="G11" s="14">
        <v>294.87468777518268</v>
      </c>
      <c r="H11" s="14">
        <v>246.57959139906981</v>
      </c>
      <c r="I11" s="14">
        <v>274.74764695675151</v>
      </c>
      <c r="J11" s="14">
        <v>301.61343933088369</v>
      </c>
      <c r="K11" s="14">
        <v>311.10180537362652</v>
      </c>
      <c r="M11" s="101" t="s">
        <v>7</v>
      </c>
      <c r="N11" s="14">
        <v>1339764.2833351614</v>
      </c>
      <c r="O11" s="17">
        <f t="shared" ref="O11:W11" si="8">((C11*0.001)*($N$11*1000000))/1000000000</f>
        <v>373.05433487641909</v>
      </c>
      <c r="P11" s="17">
        <f t="shared" si="8"/>
        <v>338.1638706235197</v>
      </c>
      <c r="Q11" s="17">
        <f t="shared" si="8"/>
        <v>392.56604129317407</v>
      </c>
      <c r="R11" s="17">
        <f t="shared" si="8"/>
        <v>335.61572301246139</v>
      </c>
      <c r="S11" s="17">
        <f t="shared" si="8"/>
        <v>395.06257474079706</v>
      </c>
      <c r="T11" s="17">
        <f t="shared" si="8"/>
        <v>330.3585295558517</v>
      </c>
      <c r="U11" s="17">
        <f t="shared" si="8"/>
        <v>368.0970843230341</v>
      </c>
      <c r="V11" s="17">
        <f t="shared" si="8"/>
        <v>404.09091338939459</v>
      </c>
      <c r="W11" s="17">
        <f t="shared" si="8"/>
        <v>416.80308732067164</v>
      </c>
      <c r="X11" s="65"/>
      <c r="Y11" s="69"/>
      <c r="Z11" s="69"/>
      <c r="AA11" s="69"/>
      <c r="AB11" s="150" t="s">
        <v>6</v>
      </c>
      <c r="AC11" s="69">
        <v>1332.4347995628391</v>
      </c>
      <c r="AD11" s="69">
        <v>27.762864026902566</v>
      </c>
      <c r="AE11" s="14">
        <v>944.5617110438875</v>
      </c>
      <c r="AF11" s="14">
        <v>19.681066838943018</v>
      </c>
      <c r="AG11" s="14">
        <v>392.22954955768193</v>
      </c>
      <c r="AH11" s="14">
        <v>8.1725692358649695</v>
      </c>
      <c r="AI11" s="15">
        <v>3.8</v>
      </c>
      <c r="AJ11" s="15">
        <f t="shared" si="3"/>
        <v>11.97256923586497</v>
      </c>
      <c r="AL11" s="101" t="s">
        <v>6</v>
      </c>
      <c r="AM11" s="14">
        <v>20836.189535136225</v>
      </c>
      <c r="AN11" s="17">
        <v>11.426439</v>
      </c>
      <c r="AO11" s="14">
        <v>12592.695935711299</v>
      </c>
      <c r="AP11" s="14">
        <v>116.35921417471801</v>
      </c>
      <c r="AQ11" s="14">
        <v>12709.055149886017</v>
      </c>
    </row>
    <row r="12" spans="2:43" x14ac:dyDescent="0.25">
      <c r="B12" s="101" t="s">
        <v>8</v>
      </c>
      <c r="C12" s="14">
        <v>1029.736967698246</v>
      </c>
      <c r="D12" s="14">
        <v>1035.9074602554331</v>
      </c>
      <c r="E12" s="14">
        <v>1123.6485120259481</v>
      </c>
      <c r="F12" s="14">
        <v>1067.524154413094</v>
      </c>
      <c r="G12" s="14">
        <v>1058.2412023408699</v>
      </c>
      <c r="H12" s="14">
        <v>1002.748416582442</v>
      </c>
      <c r="I12" s="14">
        <v>991.86248925673465</v>
      </c>
      <c r="J12" s="14">
        <v>1006.158844020052</v>
      </c>
      <c r="K12" s="14">
        <v>1049.128881185381</v>
      </c>
      <c r="M12" s="101" t="s">
        <v>8</v>
      </c>
      <c r="N12" s="14">
        <v>617141.72101696266</v>
      </c>
      <c r="O12" s="17">
        <f t="shared" ref="O12:W12" si="9">((C12*0.001)*($N$12*1000000))/1000000000</f>
        <v>635.49364444008404</v>
      </c>
      <c r="P12" s="17">
        <f t="shared" si="9"/>
        <v>639.30171283634877</v>
      </c>
      <c r="Q12" s="17">
        <f t="shared" si="9"/>
        <v>693.45037652984286</v>
      </c>
      <c r="R12" s="17">
        <f t="shared" si="9"/>
        <v>658.81369388167457</v>
      </c>
      <c r="S12" s="17">
        <f t="shared" si="9"/>
        <v>653.08479686370424</v>
      </c>
      <c r="T12" s="17">
        <f t="shared" si="9"/>
        <v>618.83788355672255</v>
      </c>
      <c r="U12" s="17">
        <f t="shared" si="9"/>
        <v>612.11972363206985</v>
      </c>
      <c r="V12" s="17">
        <f t="shared" si="9"/>
        <v>620.94260061497255</v>
      </c>
      <c r="W12" s="17">
        <f t="shared" si="9"/>
        <v>647.46120330334657</v>
      </c>
      <c r="X12" s="65"/>
      <c r="Y12" s="69"/>
      <c r="Z12" s="69"/>
      <c r="AA12" s="69"/>
      <c r="AB12" s="150" t="s">
        <v>7</v>
      </c>
      <c r="AC12" s="69">
        <v>311.10180537362652</v>
      </c>
      <c r="AD12" s="69">
        <v>416.80308732067164</v>
      </c>
      <c r="AE12" s="14">
        <v>356.55275426250671</v>
      </c>
      <c r="AF12" s="14">
        <v>477.69664528568518</v>
      </c>
      <c r="AG12" s="14">
        <v>-32.688403575128</v>
      </c>
      <c r="AH12" s="14">
        <v>0</v>
      </c>
      <c r="AI12" s="15">
        <v>33.799999999999997</v>
      </c>
      <c r="AJ12" s="15">
        <f t="shared" si="3"/>
        <v>33.799999999999997</v>
      </c>
      <c r="AL12" s="101" t="s">
        <v>7</v>
      </c>
      <c r="AM12" s="14">
        <v>1339764.2833351614</v>
      </c>
      <c r="AN12" s="17">
        <v>36.982824999999998</v>
      </c>
      <c r="AO12" s="14">
        <v>148932.274304138</v>
      </c>
      <c r="AP12" s="14">
        <v>29965.5849251578</v>
      </c>
      <c r="AQ12" s="14">
        <v>179268.67227891536</v>
      </c>
    </row>
    <row r="13" spans="2:43" x14ac:dyDescent="0.25">
      <c r="B13" s="101" t="s">
        <v>9</v>
      </c>
      <c r="C13" s="14">
        <v>1160.4382226840869</v>
      </c>
      <c r="D13" s="14">
        <v>1314.9002462246949</v>
      </c>
      <c r="E13" s="14">
        <v>1230.0354122976889</v>
      </c>
      <c r="F13" s="14">
        <v>1139.602506796828</v>
      </c>
      <c r="G13" s="14">
        <v>1060.6533572296819</v>
      </c>
      <c r="H13" s="14">
        <v>1241.9118226901751</v>
      </c>
      <c r="I13" s="14">
        <v>1011.433334547187</v>
      </c>
      <c r="J13" s="14">
        <v>1088.419595379703</v>
      </c>
      <c r="K13" s="14">
        <v>1358.754271239399</v>
      </c>
      <c r="M13" s="101" t="s">
        <v>9</v>
      </c>
      <c r="N13" s="14">
        <v>119784.51078433092</v>
      </c>
      <c r="O13" s="17">
        <f t="shared" ref="O13:W13" si="10">((C13*0.001)*($N$13*1000000))/1000000000</f>
        <v>139.00252479965184</v>
      </c>
      <c r="P13" s="17">
        <f t="shared" si="10"/>
        <v>157.50468272422137</v>
      </c>
      <c r="Q13" s="17">
        <f t="shared" si="10"/>
        <v>147.33919010948145</v>
      </c>
      <c r="R13" s="17">
        <f t="shared" si="10"/>
        <v>136.50672876525519</v>
      </c>
      <c r="S13" s="17">
        <f t="shared" si="10"/>
        <v>127.04984350751562</v>
      </c>
      <c r="T13" s="17">
        <f t="shared" si="10"/>
        <v>148.76180011821933</v>
      </c>
      <c r="U13" s="17">
        <f t="shared" si="10"/>
        <v>121.15404716969931</v>
      </c>
      <c r="V13" s="17">
        <f t="shared" si="10"/>
        <v>130.37580876063711</v>
      </c>
      <c r="W13" s="17">
        <f t="shared" si="10"/>
        <v>162.7577156565315</v>
      </c>
      <c r="X13" s="65"/>
      <c r="Y13" s="69"/>
      <c r="Z13" s="69"/>
      <c r="AA13" s="69"/>
      <c r="AB13" s="150" t="s">
        <v>8</v>
      </c>
      <c r="AC13" s="69">
        <v>1049.128881185381</v>
      </c>
      <c r="AD13" s="69">
        <v>647.46120330334657</v>
      </c>
      <c r="AE13" s="14">
        <v>1263.105607756504</v>
      </c>
      <c r="AF13" s="14">
        <v>779.51516859702542</v>
      </c>
      <c r="AG13" s="14">
        <v>-212.73291151133773</v>
      </c>
      <c r="AH13" s="14">
        <v>0</v>
      </c>
      <c r="AI13" s="15">
        <v>23.5</v>
      </c>
      <c r="AJ13" s="15">
        <f t="shared" si="3"/>
        <v>23.5</v>
      </c>
      <c r="AL13" s="101" t="s">
        <v>8</v>
      </c>
      <c r="AM13" s="14">
        <v>617141.72101696266</v>
      </c>
      <c r="AN13" s="17">
        <v>10.905776556851148</v>
      </c>
      <c r="AO13" s="14">
        <v>7365.75573141738</v>
      </c>
      <c r="AP13" s="14">
        <v>1046.8507913800099</v>
      </c>
      <c r="AQ13" s="14">
        <v>8412.6065227973904</v>
      </c>
    </row>
    <row r="14" spans="2:43" ht="13.8" thickBot="1" x14ac:dyDescent="0.3">
      <c r="B14" s="185" t="s">
        <v>10</v>
      </c>
      <c r="C14" s="203">
        <v>1297.570434275787</v>
      </c>
      <c r="D14" s="203">
        <v>1354.195489270465</v>
      </c>
      <c r="E14" s="203">
        <v>1433.9776543258999</v>
      </c>
      <c r="F14" s="203">
        <v>1231.972655542703</v>
      </c>
      <c r="G14" s="203">
        <v>1240.245886084424</v>
      </c>
      <c r="H14" s="203">
        <v>1311.1320716252501</v>
      </c>
      <c r="I14" s="203">
        <v>1138.5759406168579</v>
      </c>
      <c r="J14" s="203">
        <v>1234.769892964749</v>
      </c>
      <c r="K14" s="203">
        <v>1396.3386077933419</v>
      </c>
      <c r="M14" s="185" t="s">
        <v>10</v>
      </c>
      <c r="N14" s="203">
        <v>237021.44592026682</v>
      </c>
      <c r="O14" s="114">
        <f t="shared" ref="O14:W14" si="11">((C14*0.001)*($N$14*1000000))/1000000000</f>
        <v>307.55202051543557</v>
      </c>
      <c r="P14" s="114">
        <f t="shared" si="11"/>
        <v>320.97337292558882</v>
      </c>
      <c r="Q14" s="114">
        <f t="shared" si="11"/>
        <v>339.88345704567735</v>
      </c>
      <c r="R14" s="114">
        <f t="shared" si="11"/>
        <v>292.00394015096231</v>
      </c>
      <c r="S14" s="114">
        <f t="shared" si="11"/>
        <v>293.96487321639268</v>
      </c>
      <c r="T14" s="114">
        <f t="shared" si="11"/>
        <v>310.76641940905165</v>
      </c>
      <c r="U14" s="114">
        <f t="shared" si="11"/>
        <v>269.86691573503549</v>
      </c>
      <c r="V14" s="114">
        <f t="shared" si="11"/>
        <v>292.66694540931792</v>
      </c>
      <c r="W14" s="114">
        <f t="shared" si="11"/>
        <v>330.96219581347026</v>
      </c>
      <c r="X14" s="65"/>
      <c r="AA14" s="69"/>
      <c r="AB14" s="150" t="s">
        <v>9</v>
      </c>
      <c r="AC14" s="69">
        <v>1358.754271239399</v>
      </c>
      <c r="AD14" s="69">
        <v>162.7577156565315</v>
      </c>
      <c r="AE14" s="14">
        <v>960.83844162662319</v>
      </c>
      <c r="AF14" s="14">
        <v>115.09356267302397</v>
      </c>
      <c r="AG14" s="14">
        <v>492.28746560853511</v>
      </c>
      <c r="AH14" s="14">
        <v>58.968413233176513</v>
      </c>
      <c r="AI14" s="15">
        <v>0</v>
      </c>
      <c r="AJ14" s="15">
        <f t="shared" si="3"/>
        <v>58.968413233176513</v>
      </c>
      <c r="AL14" s="101" t="s">
        <v>9</v>
      </c>
      <c r="AM14" s="14">
        <v>119784.51078433092</v>
      </c>
      <c r="AN14" s="17">
        <v>11.996235</v>
      </c>
      <c r="AO14" s="14">
        <v>42937.449618125</v>
      </c>
      <c r="AP14" s="14">
        <v>289.48062176270099</v>
      </c>
      <c r="AQ14" s="14">
        <v>43226.930239887697</v>
      </c>
    </row>
    <row r="15" spans="2:43" ht="13.8" thickBot="1" x14ac:dyDescent="0.3">
      <c r="Y15" s="65"/>
      <c r="AB15" s="261" t="s">
        <v>10</v>
      </c>
      <c r="AC15" s="203">
        <v>1396.3386077933419</v>
      </c>
      <c r="AD15" s="203">
        <v>330.96219581347026</v>
      </c>
      <c r="AE15" s="203">
        <v>1162.8013230279321</v>
      </c>
      <c r="AF15" s="203">
        <v>275.60885090207972</v>
      </c>
      <c r="AG15" s="203">
        <v>257.68649623756176</v>
      </c>
      <c r="AH15" s="203">
        <v>61.077225932354281</v>
      </c>
      <c r="AI15" s="204">
        <v>21.1</v>
      </c>
      <c r="AJ15" s="204">
        <f t="shared" si="3"/>
        <v>82.177225932354276</v>
      </c>
      <c r="AL15" s="185" t="s">
        <v>10</v>
      </c>
      <c r="AM15" s="203">
        <v>237021.44592026682</v>
      </c>
      <c r="AN15" s="114">
        <v>41.918567000000003</v>
      </c>
      <c r="AO15" s="203">
        <v>67656.990471432495</v>
      </c>
      <c r="AP15" s="203">
        <v>1753.8306754422299</v>
      </c>
      <c r="AQ15" s="203">
        <v>69411.089457609574</v>
      </c>
    </row>
    <row r="16" spans="2:43" x14ac:dyDescent="0.25">
      <c r="P16" s="15"/>
      <c r="AB16" s="206"/>
      <c r="AC16" s="15"/>
      <c r="AD16" s="15"/>
      <c r="AE16" s="15"/>
      <c r="AF16" s="15"/>
      <c r="AI16" s="206"/>
      <c r="AJ16" s="15"/>
    </row>
    <row r="17" spans="2:43" ht="13.05" customHeight="1" thickBot="1" x14ac:dyDescent="0.3">
      <c r="B17" s="240" t="s">
        <v>213</v>
      </c>
      <c r="C17" s="240"/>
      <c r="D17" s="240"/>
      <c r="E17" s="240"/>
      <c r="F17" s="240"/>
      <c r="G17" s="240"/>
      <c r="H17" s="240"/>
      <c r="I17" s="240"/>
      <c r="J17" s="240"/>
      <c r="K17" s="240"/>
      <c r="M17" s="240" t="s">
        <v>280</v>
      </c>
      <c r="N17" s="240"/>
      <c r="O17" s="240"/>
      <c r="P17" s="240"/>
      <c r="Q17" s="240"/>
      <c r="R17" s="240"/>
      <c r="S17" s="240"/>
      <c r="T17" s="240"/>
      <c r="U17" s="240"/>
      <c r="V17" s="240"/>
      <c r="W17" s="240"/>
      <c r="X17" s="209"/>
    </row>
    <row r="18" spans="2:43" ht="13.8" thickBot="1" x14ac:dyDescent="0.3">
      <c r="B18" s="215" t="s">
        <v>52</v>
      </c>
      <c r="C18" s="217">
        <v>2010</v>
      </c>
      <c r="D18" s="217">
        <v>2011</v>
      </c>
      <c r="E18" s="217">
        <v>2012</v>
      </c>
      <c r="F18" s="217">
        <v>2013</v>
      </c>
      <c r="G18" s="217">
        <v>2014</v>
      </c>
      <c r="H18" s="217">
        <v>2015</v>
      </c>
      <c r="I18" s="217">
        <v>2016</v>
      </c>
      <c r="J18" s="217">
        <v>2017</v>
      </c>
      <c r="K18" s="217">
        <v>2018</v>
      </c>
      <c r="M18" s="215" t="s">
        <v>52</v>
      </c>
      <c r="N18" s="218" t="s">
        <v>196</v>
      </c>
      <c r="O18" s="217">
        <v>2010</v>
      </c>
      <c r="P18" s="217">
        <v>2011</v>
      </c>
      <c r="Q18" s="217">
        <v>2012</v>
      </c>
      <c r="R18" s="217">
        <v>2013</v>
      </c>
      <c r="S18" s="217">
        <v>2014</v>
      </c>
      <c r="T18" s="217">
        <v>2015</v>
      </c>
      <c r="U18" s="217">
        <v>2016</v>
      </c>
      <c r="V18" s="217">
        <v>2017</v>
      </c>
      <c r="W18" s="217">
        <v>2018</v>
      </c>
    </row>
    <row r="19" spans="2:43" x14ac:dyDescent="0.25">
      <c r="B19" s="101" t="s">
        <v>1</v>
      </c>
      <c r="C19" s="14">
        <v>1084.282996332038</v>
      </c>
      <c r="D19" s="14">
        <v>1127.3285306165139</v>
      </c>
      <c r="E19" s="14">
        <v>1117.8015566529009</v>
      </c>
      <c r="F19" s="14">
        <v>1112.704164947241</v>
      </c>
      <c r="G19" s="14">
        <v>983.17222383535761</v>
      </c>
      <c r="H19" s="14">
        <v>958.1820089900682</v>
      </c>
      <c r="I19" s="14">
        <v>922.5157025102169</v>
      </c>
      <c r="J19" s="14">
        <v>1032.3072347613979</v>
      </c>
      <c r="K19" s="14">
        <v>960.54166828966731</v>
      </c>
      <c r="M19" s="101" t="s">
        <v>1</v>
      </c>
      <c r="N19" s="14">
        <v>13199.085501550475</v>
      </c>
      <c r="O19" s="17">
        <f t="shared" ref="O19:W19" si="12">((C19*0.001)*($N$19*1000000))/1000000000</f>
        <v>14.311543976463907</v>
      </c>
      <c r="P19" s="17">
        <f t="shared" si="12"/>
        <v>14.87970566394463</v>
      </c>
      <c r="Q19" s="17">
        <f t="shared" si="12"/>
        <v>14.753958320027856</v>
      </c>
      <c r="R19" s="17">
        <f t="shared" si="12"/>
        <v>14.686677411069958</v>
      </c>
      <c r="S19" s="17">
        <f t="shared" si="12"/>
        <v>12.976974245152407</v>
      </c>
      <c r="T19" s="17">
        <f t="shared" si="12"/>
        <v>12.647126262707316</v>
      </c>
      <c r="U19" s="17">
        <f t="shared" si="12"/>
        <v>12.176363633955253</v>
      </c>
      <c r="V19" s="17">
        <f t="shared" si="12"/>
        <v>13.62551145548483</v>
      </c>
      <c r="W19" s="17">
        <f t="shared" si="12"/>
        <v>12.678271607557253</v>
      </c>
    </row>
    <row r="20" spans="2:43" x14ac:dyDescent="0.25">
      <c r="B20" s="101" t="s">
        <v>195</v>
      </c>
      <c r="C20" s="14">
        <v>1311.970731466967</v>
      </c>
      <c r="D20" s="14">
        <v>1295.21848748458</v>
      </c>
      <c r="E20" s="14">
        <v>1244.92093877813</v>
      </c>
      <c r="F20" s="14">
        <v>1265.5396279744191</v>
      </c>
      <c r="G20" s="14">
        <v>1264.147278503001</v>
      </c>
      <c r="H20" s="14">
        <v>1238.601144104915</v>
      </c>
      <c r="I20" s="14">
        <v>1288.4457653561039</v>
      </c>
      <c r="J20" s="14">
        <v>1274.0142122416421</v>
      </c>
      <c r="K20" s="14">
        <v>1275.5054182827439</v>
      </c>
      <c r="M20" s="101" t="s">
        <v>195</v>
      </c>
      <c r="N20" s="14">
        <v>20450.034940117202</v>
      </c>
      <c r="O20" s="17">
        <f t="shared" ref="O20:W20" si="13">((C20*0.001)*($N$20*1000000))/1000000000</f>
        <v>26.829847298910604</v>
      </c>
      <c r="P20" s="17">
        <f t="shared" si="13"/>
        <v>26.487263324145417</v>
      </c>
      <c r="Q20" s="17">
        <f t="shared" si="13"/>
        <v>25.458676695696266</v>
      </c>
      <c r="R20" s="17">
        <f t="shared" si="13"/>
        <v>25.8803296101798</v>
      </c>
      <c r="S20" s="17">
        <f t="shared" si="13"/>
        <v>25.851856014840443</v>
      </c>
      <c r="T20" s="17">
        <f t="shared" si="13"/>
        <v>25.329436673814651</v>
      </c>
      <c r="U20" s="17">
        <f t="shared" si="13"/>
        <v>26.348760919978375</v>
      </c>
      <c r="V20" s="17">
        <f t="shared" si="13"/>
        <v>26.053635154547475</v>
      </c>
      <c r="W20" s="17">
        <f t="shared" si="13"/>
        <v>26.084130370190923</v>
      </c>
    </row>
    <row r="21" spans="2:43" x14ac:dyDescent="0.25">
      <c r="B21" s="101" t="s">
        <v>2</v>
      </c>
      <c r="C21" s="14">
        <v>247.77533999950589</v>
      </c>
      <c r="D21" s="14">
        <v>228.31972958646409</v>
      </c>
      <c r="E21" s="14">
        <v>243.33794979672939</v>
      </c>
      <c r="F21" s="14">
        <v>240.1359156870931</v>
      </c>
      <c r="G21" s="14">
        <v>245.41812735849169</v>
      </c>
      <c r="H21" s="14">
        <v>249.5919036295881</v>
      </c>
      <c r="I21" s="14">
        <v>247.07421308394231</v>
      </c>
      <c r="J21" s="14">
        <v>251.3956212848334</v>
      </c>
      <c r="K21" s="14">
        <v>271.34664622189501</v>
      </c>
      <c r="M21" s="101" t="s">
        <v>2</v>
      </c>
      <c r="N21" s="14">
        <v>251430.37783690859</v>
      </c>
      <c r="O21" s="17">
        <f t="shared" ref="O21:W21" si="14">((C21*0.001)*($N$21*1000000))/1000000000</f>
        <v>62.298247354744262</v>
      </c>
      <c r="P21" s="17">
        <f t="shared" si="14"/>
        <v>57.406515877545473</v>
      </c>
      <c r="Q21" s="17">
        <f t="shared" si="14"/>
        <v>61.182552659450373</v>
      </c>
      <c r="R21" s="17">
        <f t="shared" si="14"/>
        <v>60.37746401341785</v>
      </c>
      <c r="S21" s="17">
        <f t="shared" si="14"/>
        <v>61.705572489772123</v>
      </c>
      <c r="T21" s="17">
        <f t="shared" si="14"/>
        <v>62.754986634620614</v>
      </c>
      <c r="U21" s="17">
        <f t="shared" si="14"/>
        <v>62.121962749452486</v>
      </c>
      <c r="V21" s="17">
        <f t="shared" si="14"/>
        <v>63.208496046190042</v>
      </c>
      <c r="W21" s="17">
        <f t="shared" si="14"/>
        <v>68.224789784349042</v>
      </c>
    </row>
    <row r="22" spans="2:43" x14ac:dyDescent="0.25">
      <c r="B22" s="101" t="s">
        <v>3</v>
      </c>
      <c r="C22" s="14">
        <v>469.79032660140689</v>
      </c>
      <c r="D22" s="14">
        <v>507.43209532786722</v>
      </c>
      <c r="E22" s="14">
        <v>494.66695617855549</v>
      </c>
      <c r="F22" s="14">
        <v>446.4553603691885</v>
      </c>
      <c r="G22" s="14">
        <v>481.12164526416763</v>
      </c>
      <c r="H22" s="14">
        <v>463.223426075519</v>
      </c>
      <c r="I22" s="14">
        <v>469.87832393563491</v>
      </c>
      <c r="J22" s="14">
        <v>456.0363022490962</v>
      </c>
      <c r="K22" s="14">
        <v>510.08022232524507</v>
      </c>
      <c r="M22" s="101" t="s">
        <v>3</v>
      </c>
      <c r="N22" s="14">
        <v>24496.645034227455</v>
      </c>
      <c r="O22" s="17">
        <f t="shared" ref="O22:W22" si="15">((C22*0.001)*($N$22*1000000))/1000000000</f>
        <v>11.508286871268448</v>
      </c>
      <c r="P22" s="17">
        <f t="shared" si="15"/>
        <v>12.430383918221033</v>
      </c>
      <c r="Q22" s="17">
        <f t="shared" si="15"/>
        <v>12.117680835667821</v>
      </c>
      <c r="R22" s="17">
        <f t="shared" si="15"/>
        <v>10.93665848659211</v>
      </c>
      <c r="S22" s="17">
        <f t="shared" si="15"/>
        <v>11.785866162319815</v>
      </c>
      <c r="T22" s="17">
        <f t="shared" si="15"/>
        <v>11.347419840110691</v>
      </c>
      <c r="U22" s="17">
        <f t="shared" si="15"/>
        <v>11.510442510728991</v>
      </c>
      <c r="V22" s="17">
        <f t="shared" si="15"/>
        <v>11.171359418917772</v>
      </c>
      <c r="W22" s="17">
        <f t="shared" si="15"/>
        <v>12.495254145281351</v>
      </c>
    </row>
    <row r="23" spans="2:43" x14ac:dyDescent="0.25">
      <c r="B23" s="101" t="s">
        <v>4</v>
      </c>
      <c r="C23" s="14">
        <v>942.07900652363719</v>
      </c>
      <c r="D23" s="14">
        <v>1039.0359286919779</v>
      </c>
      <c r="E23" s="14">
        <v>983.08040562989652</v>
      </c>
      <c r="F23" s="14">
        <v>961.08870003346794</v>
      </c>
      <c r="G23" s="14">
        <v>972.56618587069045</v>
      </c>
      <c r="H23" s="14">
        <v>974.56102377671652</v>
      </c>
      <c r="I23" s="14">
        <v>968.86284445096715</v>
      </c>
      <c r="J23" s="14">
        <v>973.26901933268323</v>
      </c>
      <c r="K23" s="14">
        <v>1023.368499330178</v>
      </c>
      <c r="M23" s="101" t="s">
        <v>4</v>
      </c>
      <c r="N23" s="14">
        <v>363314.38569269452</v>
      </c>
      <c r="O23" s="17">
        <f t="shared" ref="O23:W23" si="16">((C23*0.001)*($N$23*1000000))/1000000000</f>
        <v>342.27085552911922</v>
      </c>
      <c r="P23" s="17">
        <f t="shared" si="16"/>
        <v>377.49670014536434</v>
      </c>
      <c r="Q23" s="17">
        <f t="shared" si="16"/>
        <v>357.16725365795082</v>
      </c>
      <c r="R23" s="17">
        <f t="shared" si="16"/>
        <v>349.17735064884971</v>
      </c>
      <c r="S23" s="17">
        <f t="shared" si="16"/>
        <v>353.34728636509686</v>
      </c>
      <c r="T23" s="17">
        <f t="shared" si="16"/>
        <v>354.07203967348119</v>
      </c>
      <c r="U23" s="17">
        <f t="shared" si="16"/>
        <v>352.00180915217976</v>
      </c>
      <c r="V23" s="17">
        <f t="shared" si="16"/>
        <v>353.6026358725851</v>
      </c>
      <c r="W23" s="17">
        <f t="shared" si="16"/>
        <v>371.80449767139828</v>
      </c>
    </row>
    <row r="24" spans="2:43" x14ac:dyDescent="0.25">
      <c r="B24" s="101" t="s">
        <v>5</v>
      </c>
      <c r="C24" s="14">
        <v>1252.5553932685621</v>
      </c>
      <c r="D24" s="14">
        <v>1234.712198573467</v>
      </c>
      <c r="E24" s="14">
        <v>1240.4999765922039</v>
      </c>
      <c r="F24" s="14">
        <v>1270.7889850102119</v>
      </c>
      <c r="G24" s="14">
        <v>1168.307129976653</v>
      </c>
      <c r="H24" s="14">
        <v>1102.27211664274</v>
      </c>
      <c r="I24" s="14">
        <v>1134.309012833317</v>
      </c>
      <c r="J24" s="14">
        <v>1173.622135041137</v>
      </c>
      <c r="K24" s="14">
        <v>1153.3000415173731</v>
      </c>
      <c r="M24" s="101" t="s">
        <v>5</v>
      </c>
      <c r="N24" s="14">
        <v>49475.746319971244</v>
      </c>
      <c r="O24" s="17">
        <f t="shared" ref="O24:W24" si="17">((C24*0.001)*($N$24*1000000))/1000000000</f>
        <v>61.971112889067193</v>
      </c>
      <c r="P24" s="17">
        <f t="shared" si="17"/>
        <v>61.088307514794813</v>
      </c>
      <c r="Q24" s="17">
        <f t="shared" si="17"/>
        <v>61.374662151806149</v>
      </c>
      <c r="R24" s="17">
        <f t="shared" si="17"/>
        <v>62.873233448578979</v>
      </c>
      <c r="S24" s="17">
        <f t="shared" si="17"/>
        <v>57.802867186538556</v>
      </c>
      <c r="T24" s="17">
        <f t="shared" si="17"/>
        <v>54.535735618593961</v>
      </c>
      <c r="U24" s="17">
        <f t="shared" si="17"/>
        <v>56.120784967398201</v>
      </c>
      <c r="V24" s="17">
        <f t="shared" si="17"/>
        <v>58.065831028798335</v>
      </c>
      <c r="W24" s="17">
        <f t="shared" si="17"/>
        <v>57.060380284925856</v>
      </c>
    </row>
    <row r="25" spans="2:43" x14ac:dyDescent="0.25">
      <c r="B25" s="101" t="s">
        <v>6</v>
      </c>
      <c r="C25" s="14">
        <v>1025.6182167597119</v>
      </c>
      <c r="D25" s="14">
        <v>1045.2463211132319</v>
      </c>
      <c r="E25" s="14">
        <v>1044.0977500330489</v>
      </c>
      <c r="F25" s="14">
        <v>1031.633864458129</v>
      </c>
      <c r="G25" s="14">
        <v>949.91918549182571</v>
      </c>
      <c r="H25" s="14">
        <v>927.52695285829361</v>
      </c>
      <c r="I25" s="14">
        <v>920.4561247728343</v>
      </c>
      <c r="J25" s="14">
        <v>954.62037626439258</v>
      </c>
      <c r="K25" s="14">
        <v>944.5617110438875</v>
      </c>
      <c r="M25" s="101" t="s">
        <v>6</v>
      </c>
      <c r="N25" s="14">
        <v>20836.189535136225</v>
      </c>
      <c r="O25" s="17">
        <f t="shared" ref="O25:W25" si="18">((C25*0.001)*($N$25*1000000))/1000000000</f>
        <v>21.369975555093788</v>
      </c>
      <c r="P25" s="17">
        <f t="shared" si="18"/>
        <v>21.778950457619164</v>
      </c>
      <c r="Q25" s="17">
        <f t="shared" si="18"/>
        <v>21.755018612897892</v>
      </c>
      <c r="R25" s="17">
        <f t="shared" si="18"/>
        <v>21.495318730714615</v>
      </c>
      <c r="S25" s="17">
        <f t="shared" si="18"/>
        <v>19.792696191969906</v>
      </c>
      <c r="T25" s="17">
        <f t="shared" si="18"/>
        <v>19.326127388702769</v>
      </c>
      <c r="U25" s="17">
        <f t="shared" si="18"/>
        <v>19.178798274543777</v>
      </c>
      <c r="V25" s="17">
        <f t="shared" si="18"/>
        <v>19.890651093947945</v>
      </c>
      <c r="W25" s="17">
        <f t="shared" si="18"/>
        <v>19.681066838943018</v>
      </c>
    </row>
    <row r="26" spans="2:43" x14ac:dyDescent="0.25">
      <c r="B26" s="101" t="s">
        <v>7</v>
      </c>
      <c r="C26" s="14">
        <v>321.55332300601418</v>
      </c>
      <c r="D26" s="14">
        <v>299.06887557233659</v>
      </c>
      <c r="E26" s="14">
        <v>327.09927726229529</v>
      </c>
      <c r="F26" s="14">
        <v>294.47482040375922</v>
      </c>
      <c r="G26" s="14">
        <v>323.14908880499883</v>
      </c>
      <c r="H26" s="14">
        <v>314.80098022301411</v>
      </c>
      <c r="I26" s="14">
        <v>336.54003285872659</v>
      </c>
      <c r="J26" s="14">
        <v>325.86430179382512</v>
      </c>
      <c r="K26" s="14">
        <v>356.55275426250671</v>
      </c>
      <c r="M26" s="101" t="s">
        <v>7</v>
      </c>
      <c r="N26" s="14">
        <v>1339764.2833351614</v>
      </c>
      <c r="O26" s="17">
        <f t="shared" ref="O26:W26" si="19">((C26*0.001)*($N$26*1000000))/1000000000</f>
        <v>430.80565735119228</v>
      </c>
      <c r="P26" s="17">
        <f t="shared" si="19"/>
        <v>400.68179774902404</v>
      </c>
      <c r="Q26" s="17">
        <f t="shared" si="19"/>
        <v>438.23592878076829</v>
      </c>
      <c r="R26" s="17">
        <f t="shared" si="19"/>
        <v>394.52684671849278</v>
      </c>
      <c r="S26" s="17">
        <f t="shared" si="19"/>
        <v>432.94360737323967</v>
      </c>
      <c r="T26" s="17">
        <f t="shared" si="19"/>
        <v>421.75910966169283</v>
      </c>
      <c r="U26" s="17">
        <f t="shared" si="19"/>
        <v>450.8843159365635</v>
      </c>
      <c r="V26" s="17">
        <f t="shared" si="19"/>
        <v>436.58135275731689</v>
      </c>
      <c r="W26" s="17">
        <f t="shared" si="19"/>
        <v>477.69664528568518</v>
      </c>
    </row>
    <row r="27" spans="2:43" x14ac:dyDescent="0.25">
      <c r="B27" s="101" t="s">
        <v>8</v>
      </c>
      <c r="C27" s="14">
        <v>1182.1040112520129</v>
      </c>
      <c r="D27" s="14">
        <v>1229.3392030996731</v>
      </c>
      <c r="E27" s="14">
        <v>1150.6790054887331</v>
      </c>
      <c r="F27" s="14">
        <v>1182.41516459997</v>
      </c>
      <c r="G27" s="14">
        <v>1246.505384183564</v>
      </c>
      <c r="H27" s="14">
        <v>1265.465428451148</v>
      </c>
      <c r="I27" s="14">
        <v>1226.452133812729</v>
      </c>
      <c r="J27" s="14">
        <v>1190.7755047386511</v>
      </c>
      <c r="K27" s="14">
        <v>1263.105607756504</v>
      </c>
      <c r="M27" s="101" t="s">
        <v>8</v>
      </c>
      <c r="N27" s="14">
        <v>617141.72101696266</v>
      </c>
      <c r="O27" s="17">
        <f t="shared" ref="O27:W27" si="20">((C27*0.001)*($N$27*1000000))/1000000000</f>
        <v>729.52570392512223</v>
      </c>
      <c r="P27" s="17">
        <f t="shared" si="20"/>
        <v>758.67651151455357</v>
      </c>
      <c r="Q27" s="17">
        <f t="shared" si="20"/>
        <v>710.13202178540371</v>
      </c>
      <c r="R27" s="17">
        <f t="shared" si="20"/>
        <v>729.71772963778074</v>
      </c>
      <c r="S27" s="17">
        <f t="shared" si="20"/>
        <v>769.27047805195491</v>
      </c>
      <c r="T27" s="17">
        <f t="shared" si="20"/>
        <v>780.97151240180949</v>
      </c>
      <c r="U27" s="17">
        <f t="shared" si="20"/>
        <v>756.89478060611373</v>
      </c>
      <c r="V27" s="17">
        <f t="shared" si="20"/>
        <v>734.87724433925337</v>
      </c>
      <c r="W27" s="17">
        <f t="shared" si="20"/>
        <v>779.51516859702542</v>
      </c>
    </row>
    <row r="28" spans="2:43" x14ac:dyDescent="0.25">
      <c r="B28" s="101" t="s">
        <v>9</v>
      </c>
      <c r="C28" s="14">
        <v>1054.9185682338789</v>
      </c>
      <c r="D28" s="14">
        <v>1020.640339574046</v>
      </c>
      <c r="E28" s="14">
        <v>1106.471711713913</v>
      </c>
      <c r="F28" s="14">
        <v>1040.2630790544649</v>
      </c>
      <c r="G28" s="14">
        <v>1000.371601902753</v>
      </c>
      <c r="H28" s="14">
        <v>978.66536290187082</v>
      </c>
      <c r="I28" s="14">
        <v>976.59171821405846</v>
      </c>
      <c r="J28" s="14">
        <v>950.1355390202358</v>
      </c>
      <c r="K28" s="14">
        <v>960.83844162662319</v>
      </c>
      <c r="M28" s="101" t="s">
        <v>9</v>
      </c>
      <c r="N28" s="14">
        <v>119784.51078433092</v>
      </c>
      <c r="O28" s="17">
        <f t="shared" ref="O28:W28" si="21">((C28*0.001)*($N$28*1000000))/1000000000</f>
        <v>126.36290461320199</v>
      </c>
      <c r="P28" s="17">
        <f t="shared" si="21"/>
        <v>122.25690376263047</v>
      </c>
      <c r="Q28" s="17">
        <f t="shared" si="21"/>
        <v>132.5381726843523</v>
      </c>
      <c r="R28" s="17">
        <f t="shared" si="21"/>
        <v>124.60740401154084</v>
      </c>
      <c r="S28" s="17">
        <f t="shared" si="21"/>
        <v>119.82902293645873</v>
      </c>
      <c r="T28" s="17">
        <f t="shared" si="21"/>
        <v>117.22895171677028</v>
      </c>
      <c r="U28" s="17">
        <f t="shared" si="21"/>
        <v>116.98056120230014</v>
      </c>
      <c r="V28" s="17">
        <f t="shared" si="21"/>
        <v>113.8115207203455</v>
      </c>
      <c r="W28" s="17">
        <f t="shared" si="21"/>
        <v>115.09356267302397</v>
      </c>
    </row>
    <row r="29" spans="2:43" ht="13.8" thickBot="1" x14ac:dyDescent="0.3">
      <c r="B29" s="185" t="s">
        <v>10</v>
      </c>
      <c r="C29" s="203">
        <v>1340.7436183783029</v>
      </c>
      <c r="D29" s="203">
        <v>1277.6776628933039</v>
      </c>
      <c r="E29" s="203">
        <v>1260.12180068722</v>
      </c>
      <c r="F29" s="203">
        <v>1305.6426195663789</v>
      </c>
      <c r="G29" s="203">
        <v>1181.7858933009711</v>
      </c>
      <c r="H29" s="203">
        <v>1137.0489445097289</v>
      </c>
      <c r="I29" s="203">
        <v>1185.3600350369129</v>
      </c>
      <c r="J29" s="203">
        <v>1168.465979561633</v>
      </c>
      <c r="K29" s="203">
        <v>1162.8013230279321</v>
      </c>
      <c r="L29" s="3"/>
      <c r="M29" s="185" t="s">
        <v>10</v>
      </c>
      <c r="N29" s="203">
        <v>237021.44592026682</v>
      </c>
      <c r="O29" s="114">
        <f t="shared" ref="O29:W29" si="22">((C29*0.001)*($N$29*1000000))/1000000000</f>
        <v>317.78499103639581</v>
      </c>
      <c r="P29" s="114">
        <f t="shared" si="22"/>
        <v>302.83700707899817</v>
      </c>
      <c r="Q29" s="114">
        <f t="shared" si="22"/>
        <v>298.67589123453513</v>
      </c>
      <c r="R29" s="114">
        <f t="shared" si="22"/>
        <v>309.465301544748</v>
      </c>
      <c r="S29" s="114">
        <f t="shared" si="22"/>
        <v>280.10860119837031</v>
      </c>
      <c r="T29" s="114">
        <f t="shared" si="22"/>
        <v>269.5049849098092</v>
      </c>
      <c r="U29" s="114">
        <f t="shared" si="22"/>
        <v>280.95574944054727</v>
      </c>
      <c r="V29" s="114">
        <f t="shared" si="22"/>
        <v>276.95149598433915</v>
      </c>
      <c r="W29" s="114">
        <f t="shared" si="22"/>
        <v>275.60885090207972</v>
      </c>
    </row>
    <row r="30" spans="2:43" x14ac:dyDescent="0.25">
      <c r="P30" s="17"/>
      <c r="Q30" s="17"/>
      <c r="R30" s="17"/>
      <c r="S30" s="17"/>
      <c r="T30" s="17"/>
      <c r="U30" s="17"/>
      <c r="V30" s="17"/>
      <c r="W30" s="17"/>
      <c r="X30" s="17"/>
    </row>
    <row r="32" spans="2:43" s="2" customFormat="1" x14ac:dyDescent="0.25">
      <c r="B32" s="102"/>
      <c r="M32" s="102"/>
      <c r="AQ32" s="15"/>
    </row>
    <row r="33" spans="2:24" s="2" customFormat="1" ht="13.2" customHeight="1" thickBot="1" x14ac:dyDescent="0.3">
      <c r="B33" s="240" t="s">
        <v>212</v>
      </c>
      <c r="C33" s="240"/>
      <c r="D33" s="240"/>
      <c r="E33" s="240"/>
      <c r="F33" s="240"/>
      <c r="G33" s="240"/>
      <c r="H33" s="240"/>
      <c r="I33" s="240"/>
      <c r="J33" s="240"/>
      <c r="K33" s="240"/>
      <c r="M33" s="240" t="s">
        <v>281</v>
      </c>
      <c r="N33" s="240"/>
      <c r="O33" s="240"/>
      <c r="P33" s="240"/>
      <c r="Q33" s="240"/>
      <c r="R33" s="240"/>
      <c r="S33" s="240"/>
      <c r="T33" s="240"/>
      <c r="U33" s="240"/>
      <c r="V33" s="240"/>
      <c r="W33" s="240"/>
      <c r="X33" s="209"/>
    </row>
    <row r="34" spans="2:24" s="2" customFormat="1" ht="13.8" thickBot="1" x14ac:dyDescent="0.3">
      <c r="B34" s="215" t="s">
        <v>52</v>
      </c>
      <c r="C34" s="217">
        <v>2010</v>
      </c>
      <c r="D34" s="217">
        <v>2011</v>
      </c>
      <c r="E34" s="217">
        <v>2012</v>
      </c>
      <c r="F34" s="217">
        <v>2013</v>
      </c>
      <c r="G34" s="217">
        <v>2014</v>
      </c>
      <c r="H34" s="217">
        <v>2015</v>
      </c>
      <c r="I34" s="217">
        <v>2016</v>
      </c>
      <c r="J34" s="217">
        <v>2017</v>
      </c>
      <c r="K34" s="217">
        <v>2018</v>
      </c>
      <c r="M34" s="215" t="s">
        <v>52</v>
      </c>
      <c r="N34" s="218" t="s">
        <v>196</v>
      </c>
      <c r="O34" s="217">
        <v>2010</v>
      </c>
      <c r="P34" s="217">
        <v>2011</v>
      </c>
      <c r="Q34" s="217">
        <v>2012</v>
      </c>
      <c r="R34" s="217">
        <v>2013</v>
      </c>
      <c r="S34" s="217">
        <v>2014</v>
      </c>
      <c r="T34" s="217">
        <v>2015</v>
      </c>
      <c r="U34" s="217">
        <v>2016</v>
      </c>
      <c r="V34" s="217">
        <v>2017</v>
      </c>
      <c r="W34" s="217">
        <v>2018</v>
      </c>
    </row>
    <row r="35" spans="2:24" s="2" customFormat="1" x14ac:dyDescent="0.25">
      <c r="B35" s="101" t="s">
        <v>1</v>
      </c>
      <c r="C35" s="14">
        <f>C4-C19</f>
        <v>91.628085499145982</v>
      </c>
      <c r="D35" s="14">
        <f t="shared" ref="D35:K35" si="23">D4-D19</f>
        <v>93.935492239248106</v>
      </c>
      <c r="E35" s="14">
        <f t="shared" si="23"/>
        <v>56.90455283324809</v>
      </c>
      <c r="F35" s="14">
        <f t="shared" si="23"/>
        <v>214.01031266991299</v>
      </c>
      <c r="G35" s="14">
        <f t="shared" si="23"/>
        <v>114.2554802274193</v>
      </c>
      <c r="H35" s="14">
        <f t="shared" si="23"/>
        <v>302.32140665695579</v>
      </c>
      <c r="I35" s="14">
        <f t="shared" si="23"/>
        <v>279.98246677364318</v>
      </c>
      <c r="J35" s="14">
        <f t="shared" si="23"/>
        <v>148.80652691321598</v>
      </c>
      <c r="K35" s="14">
        <f t="shared" si="23"/>
        <v>540.39611516143668</v>
      </c>
      <c r="M35" s="101" t="s">
        <v>1</v>
      </c>
      <c r="N35" s="14">
        <v>13199.085501550475</v>
      </c>
      <c r="O35" s="17">
        <f>O4-O19</f>
        <v>1.2094069348466068</v>
      </c>
      <c r="P35" s="17">
        <f t="shared" ref="P35:W35" si="24">P4-P19</f>
        <v>1.239862593696067</v>
      </c>
      <c r="Q35" s="17">
        <f t="shared" si="24"/>
        <v>0.75108805827353819</v>
      </c>
      <c r="R35" s="17">
        <f t="shared" si="24"/>
        <v>2.8247404151437294</v>
      </c>
      <c r="S35" s="17">
        <f t="shared" si="24"/>
        <v>1.5080678525424158</v>
      </c>
      <c r="T35" s="17">
        <f t="shared" si="24"/>
        <v>3.9903660954141724</v>
      </c>
      <c r="U35" s="17">
        <f t="shared" si="24"/>
        <v>3.6955125178803332</v>
      </c>
      <c r="V35" s="17">
        <f t="shared" si="24"/>
        <v>1.9641100719163092</v>
      </c>
      <c r="W35" s="17">
        <f t="shared" si="24"/>
        <v>7.1327345287215174</v>
      </c>
    </row>
    <row r="36" spans="2:24" s="2" customFormat="1" x14ac:dyDescent="0.25">
      <c r="B36" s="101" t="s">
        <v>195</v>
      </c>
      <c r="C36" s="14">
        <f t="shared" ref="C36:K36" si="25">C5-C20</f>
        <v>106.76848451775709</v>
      </c>
      <c r="D36" s="14">
        <f t="shared" si="25"/>
        <v>-11.415607504131003</v>
      </c>
      <c r="E36" s="14">
        <f t="shared" si="25"/>
        <v>114.99259878449197</v>
      </c>
      <c r="F36" s="14">
        <f t="shared" si="25"/>
        <v>-7.0733289472361776</v>
      </c>
      <c r="G36" s="14">
        <f t="shared" si="25"/>
        <v>-71.286859952555915</v>
      </c>
      <c r="H36" s="14">
        <f t="shared" si="25"/>
        <v>18.286258654904032</v>
      </c>
      <c r="I36" s="14">
        <f t="shared" si="25"/>
        <v>-58.022094264265888</v>
      </c>
      <c r="J36" s="14">
        <f t="shared" si="25"/>
        <v>-113.9175566472461</v>
      </c>
      <c r="K36" s="14">
        <f t="shared" si="25"/>
        <v>56.744735341016167</v>
      </c>
      <c r="M36" s="101" t="s">
        <v>195</v>
      </c>
      <c r="N36" s="14">
        <v>20450.034940117202</v>
      </c>
      <c r="O36" s="17">
        <f t="shared" ref="O36:W36" si="26">O5-O20</f>
        <v>2.1834192388914886</v>
      </c>
      <c r="P36" s="17">
        <f t="shared" si="26"/>
        <v>-0.23344957232214014</v>
      </c>
      <c r="Q36" s="17">
        <f t="shared" si="26"/>
        <v>2.3516026629977382</v>
      </c>
      <c r="R36" s="17">
        <f t="shared" si="26"/>
        <v>-0.14464982411392668</v>
      </c>
      <c r="S36" s="17">
        <f t="shared" si="26"/>
        <v>-1.4578187768010125</v>
      </c>
      <c r="T36" s="17">
        <f t="shared" si="26"/>
        <v>0.37395462841680782</v>
      </c>
      <c r="U36" s="17">
        <f t="shared" si="26"/>
        <v>-1.1865538550030053</v>
      </c>
      <c r="V36" s="17">
        <f t="shared" si="26"/>
        <v>-2.3296180137289646</v>
      </c>
      <c r="W36" s="17">
        <f t="shared" si="26"/>
        <v>1.1604318203914801</v>
      </c>
    </row>
    <row r="37" spans="2:24" s="2" customFormat="1" x14ac:dyDescent="0.25">
      <c r="B37" s="101" t="s">
        <v>2</v>
      </c>
      <c r="C37" s="14">
        <f t="shared" ref="C37:K37" si="27">C6-C21</f>
        <v>-239.54480608776379</v>
      </c>
      <c r="D37" s="14">
        <f t="shared" si="27"/>
        <v>-218.30378854152039</v>
      </c>
      <c r="E37" s="14">
        <f t="shared" si="27"/>
        <v>-229.50721540813933</v>
      </c>
      <c r="F37" s="14">
        <f t="shared" si="27"/>
        <v>-228.33717325871379</v>
      </c>
      <c r="G37" s="14">
        <f t="shared" si="27"/>
        <v>-235.16706453427298</v>
      </c>
      <c r="H37" s="14">
        <f t="shared" si="27"/>
        <v>-236.58548585599772</v>
      </c>
      <c r="I37" s="14">
        <f t="shared" si="27"/>
        <v>-222.5311310996367</v>
      </c>
      <c r="J37" s="14">
        <f t="shared" si="27"/>
        <v>-237.95107494632387</v>
      </c>
      <c r="K37" s="14">
        <f t="shared" si="27"/>
        <v>-253.48054752643228</v>
      </c>
      <c r="M37" s="101" t="s">
        <v>2</v>
      </c>
      <c r="N37" s="14">
        <v>251430.37783690859</v>
      </c>
      <c r="O37" s="17">
        <f t="shared" ref="O37:W37" si="28">O6-O21</f>
        <v>-60.228841103515457</v>
      </c>
      <c r="P37" s="17">
        <f t="shared" si="28"/>
        <v>-54.888204036223073</v>
      </c>
      <c r="Q37" s="17">
        <f t="shared" si="28"/>
        <v>-57.705085886365246</v>
      </c>
      <c r="R37" s="17">
        <f t="shared" si="28"/>
        <v>-57.410901746650076</v>
      </c>
      <c r="S37" s="17">
        <f t="shared" si="28"/>
        <v>-59.128143890648929</v>
      </c>
      <c r="T37" s="17">
        <f t="shared" si="28"/>
        <v>-59.484778099502101</v>
      </c>
      <c r="U37" s="17">
        <f t="shared" si="28"/>
        <v>-55.951086372856302</v>
      </c>
      <c r="V37" s="17">
        <f t="shared" si="28"/>
        <v>-59.828128680452764</v>
      </c>
      <c r="W37" s="17">
        <f t="shared" si="28"/>
        <v>-63.732709838877348</v>
      </c>
    </row>
    <row r="38" spans="2:24" s="2" customFormat="1" x14ac:dyDescent="0.25">
      <c r="B38" s="101" t="s">
        <v>3</v>
      </c>
      <c r="C38" s="14">
        <f t="shared" ref="C38:K38" si="29">C7-C22</f>
        <v>141.23355078103731</v>
      </c>
      <c r="D38" s="14">
        <f t="shared" si="29"/>
        <v>-8.9325051605381418</v>
      </c>
      <c r="E38" s="14">
        <f t="shared" si="29"/>
        <v>120.3878040045733</v>
      </c>
      <c r="F38" s="14">
        <f t="shared" si="29"/>
        <v>16.714919648704381</v>
      </c>
      <c r="G38" s="14">
        <f t="shared" si="29"/>
        <v>99.354868317227272</v>
      </c>
      <c r="H38" s="14">
        <f t="shared" si="29"/>
        <v>24.343497275040079</v>
      </c>
      <c r="I38" s="14">
        <f t="shared" si="29"/>
        <v>68.239670054604801</v>
      </c>
      <c r="J38" s="14">
        <f t="shared" si="29"/>
        <v>131.80486290644291</v>
      </c>
      <c r="K38" s="14">
        <f t="shared" si="29"/>
        <v>75.710952584018571</v>
      </c>
      <c r="M38" s="101" t="s">
        <v>3</v>
      </c>
      <c r="N38" s="14">
        <v>24496.645034227455</v>
      </c>
      <c r="O38" s="17">
        <f t="shared" ref="O38:W38" si="30">O7-O22</f>
        <v>3.45974816040661</v>
      </c>
      <c r="P38" s="17">
        <f t="shared" si="30"/>
        <v>-0.2188164081841073</v>
      </c>
      <c r="Q38" s="17">
        <f t="shared" si="30"/>
        <v>2.9490973011501769</v>
      </c>
      <c r="R38" s="17">
        <f t="shared" si="30"/>
        <v>0.40945945340994605</v>
      </c>
      <c r="S38" s="17">
        <f t="shared" si="30"/>
        <v>2.4338609415895309</v>
      </c>
      <c r="T38" s="17">
        <f t="shared" si="30"/>
        <v>0.59633401163834066</v>
      </c>
      <c r="U38" s="17">
        <f t="shared" si="30"/>
        <v>1.6716429745804557</v>
      </c>
      <c r="V38" s="17">
        <f t="shared" si="30"/>
        <v>3.2287769404041455</v>
      </c>
      <c r="W38" s="17">
        <f t="shared" si="30"/>
        <v>1.8546643306539305</v>
      </c>
    </row>
    <row r="39" spans="2:24" s="2" customFormat="1" x14ac:dyDescent="0.25">
      <c r="B39" s="101" t="s">
        <v>4</v>
      </c>
      <c r="C39" s="14">
        <f t="shared" ref="C39:K39" si="31">C8-C23</f>
        <v>284.75516411565877</v>
      </c>
      <c r="D39" s="14">
        <f t="shared" si="31"/>
        <v>174.80437973824201</v>
      </c>
      <c r="E39" s="14">
        <f t="shared" si="31"/>
        <v>297.07110980491655</v>
      </c>
      <c r="F39" s="14">
        <f t="shared" si="31"/>
        <v>254.05792550837316</v>
      </c>
      <c r="G39" s="14">
        <f t="shared" si="31"/>
        <v>295.57474839676263</v>
      </c>
      <c r="H39" s="14">
        <f t="shared" si="31"/>
        <v>163.15425067554349</v>
      </c>
      <c r="I39" s="14">
        <f t="shared" si="31"/>
        <v>271.36879159782177</v>
      </c>
      <c r="J39" s="14">
        <f t="shared" si="31"/>
        <v>359.09959023396573</v>
      </c>
      <c r="K39" s="14">
        <f t="shared" si="31"/>
        <v>211.10881013419396</v>
      </c>
      <c r="M39" s="101" t="s">
        <v>4</v>
      </c>
      <c r="N39" s="14">
        <v>363314.38569269452</v>
      </c>
      <c r="O39" s="17">
        <f t="shared" ref="O39:W39" si="32">O8-O23</f>
        <v>103.45564752350299</v>
      </c>
      <c r="P39" s="17">
        <f t="shared" si="32"/>
        <v>63.508945840991771</v>
      </c>
      <c r="Q39" s="17">
        <f t="shared" si="32"/>
        <v>107.93020776582023</v>
      </c>
      <c r="R39" s="17">
        <f t="shared" si="32"/>
        <v>92.302899136434974</v>
      </c>
      <c r="S39" s="17">
        <f t="shared" si="32"/>
        <v>107.38655814004255</v>
      </c>
      <c r="T39" s="17">
        <f t="shared" si="32"/>
        <v>59.276286357337028</v>
      </c>
      <c r="U39" s="17">
        <f t="shared" si="32"/>
        <v>98.592185815531423</v>
      </c>
      <c r="V39" s="17">
        <f t="shared" si="32"/>
        <v>130.46604702835151</v>
      </c>
      <c r="W39" s="17">
        <f t="shared" si="32"/>
        <v>76.698867668220373</v>
      </c>
    </row>
    <row r="40" spans="2:24" s="2" customFormat="1" x14ac:dyDescent="0.25">
      <c r="B40" s="101" t="s">
        <v>5</v>
      </c>
      <c r="C40" s="14">
        <f t="shared" ref="C40:K40" si="33">C9-C24</f>
        <v>335.93857221349003</v>
      </c>
      <c r="D40" s="14">
        <f t="shared" si="33"/>
        <v>321.38819350825793</v>
      </c>
      <c r="E40" s="14">
        <f t="shared" si="33"/>
        <v>488.67394184866021</v>
      </c>
      <c r="F40" s="14">
        <f t="shared" si="33"/>
        <v>290.24707014191608</v>
      </c>
      <c r="G40" s="14">
        <f t="shared" si="33"/>
        <v>260.01947986031814</v>
      </c>
      <c r="H40" s="14">
        <f t="shared" si="33"/>
        <v>408.60313527188396</v>
      </c>
      <c r="I40" s="14">
        <f t="shared" si="33"/>
        <v>154.41800294569111</v>
      </c>
      <c r="J40" s="14">
        <f t="shared" si="33"/>
        <v>301.45070240876407</v>
      </c>
      <c r="K40" s="14">
        <f t="shared" si="33"/>
        <v>532.94767538837186</v>
      </c>
      <c r="M40" s="101" t="s">
        <v>5</v>
      </c>
      <c r="N40" s="14">
        <v>49475.746319971244</v>
      </c>
      <c r="O40" s="17">
        <f t="shared" ref="O40:W40" si="34">O9-O24</f>
        <v>16.620811577927974</v>
      </c>
      <c r="P40" s="17">
        <f t="shared" si="34"/>
        <v>15.900920732248402</v>
      </c>
      <c r="Q40" s="17">
        <f t="shared" si="34"/>
        <v>24.177507980084684</v>
      </c>
      <c r="R40" s="17">
        <f t="shared" si="34"/>
        <v>14.36019041245634</v>
      </c>
      <c r="S40" s="17">
        <f t="shared" si="34"/>
        <v>12.864657823819975</v>
      </c>
      <c r="T40" s="17">
        <f t="shared" si="34"/>
        <v>20.215945066256623</v>
      </c>
      <c r="U40" s="17">
        <f t="shared" si="34"/>
        <v>7.6399459409775829</v>
      </c>
      <c r="V40" s="17">
        <f t="shared" si="34"/>
        <v>14.914498480353153</v>
      </c>
      <c r="W40" s="17">
        <f t="shared" si="34"/>
        <v>26.367983989333467</v>
      </c>
    </row>
    <row r="41" spans="2:24" s="2" customFormat="1" x14ac:dyDescent="0.25">
      <c r="B41" s="101" t="s">
        <v>6</v>
      </c>
      <c r="C41" s="14">
        <f t="shared" ref="C41:K41" si="35">C10-C25</f>
        <v>168.59628924504705</v>
      </c>
      <c r="D41" s="14">
        <f t="shared" si="35"/>
        <v>181.89597207830502</v>
      </c>
      <c r="E41" s="14">
        <f t="shared" si="35"/>
        <v>166.63926529820719</v>
      </c>
      <c r="F41" s="14">
        <f t="shared" si="35"/>
        <v>88.27573798859612</v>
      </c>
      <c r="G41" s="14">
        <f t="shared" si="35"/>
        <v>9.8428879761364669</v>
      </c>
      <c r="H41" s="14">
        <f t="shared" si="35"/>
        <v>94.431914608646366</v>
      </c>
      <c r="I41" s="14">
        <f t="shared" si="35"/>
        <v>155.48230323780876</v>
      </c>
      <c r="J41" s="14">
        <f t="shared" si="35"/>
        <v>69.170145204162395</v>
      </c>
      <c r="K41" s="14">
        <f t="shared" si="35"/>
        <v>387.87308851895159</v>
      </c>
      <c r="M41" s="101" t="s">
        <v>6</v>
      </c>
      <c r="N41" s="14">
        <v>20836.189535136225</v>
      </c>
      <c r="O41" s="17">
        <f t="shared" ref="O41:W41" si="36">O10-O25</f>
        <v>3.5129042376304511</v>
      </c>
      <c r="P41" s="17">
        <f t="shared" si="36"/>
        <v>3.790018949901409</v>
      </c>
      <c r="Q41" s="17">
        <f t="shared" si="36"/>
        <v>3.4721273157492973</v>
      </c>
      <c r="R41" s="17">
        <f t="shared" si="36"/>
        <v>1.8393300080844099</v>
      </c>
      <c r="S41" s="17">
        <f t="shared" si="36"/>
        <v>0.20508827944389196</v>
      </c>
      <c r="T41" s="17">
        <f t="shared" si="36"/>
        <v>1.9676012709515547</v>
      </c>
      <c r="U41" s="17">
        <f t="shared" si="36"/>
        <v>3.2396587396225058</v>
      </c>
      <c r="V41" s="17">
        <f t="shared" si="36"/>
        <v>1.4412422556468201</v>
      </c>
      <c r="W41" s="17">
        <f t="shared" si="36"/>
        <v>8.0817971879595483</v>
      </c>
    </row>
    <row r="42" spans="2:24" s="2" customFormat="1" x14ac:dyDescent="0.25">
      <c r="B42" s="101" t="s">
        <v>7</v>
      </c>
      <c r="C42" s="14">
        <f t="shared" ref="C42:K42" si="37">C11-C26</f>
        <v>-43.105584462222794</v>
      </c>
      <c r="D42" s="14">
        <f t="shared" si="37"/>
        <v>-46.663377956213708</v>
      </c>
      <c r="E42" s="14">
        <f t="shared" si="37"/>
        <v>-34.088001938598666</v>
      </c>
      <c r="F42" s="14">
        <f t="shared" si="37"/>
        <v>-43.971260048357323</v>
      </c>
      <c r="G42" s="14">
        <f t="shared" si="37"/>
        <v>-28.274401029816147</v>
      </c>
      <c r="H42" s="14">
        <f t="shared" si="37"/>
        <v>-68.221388823944295</v>
      </c>
      <c r="I42" s="14">
        <f t="shared" si="37"/>
        <v>-61.792385901975081</v>
      </c>
      <c r="J42" s="14">
        <f t="shared" si="37"/>
        <v>-24.250862462941427</v>
      </c>
      <c r="K42" s="14">
        <f t="shared" si="37"/>
        <v>-45.450948888880191</v>
      </c>
      <c r="M42" s="101" t="s">
        <v>7</v>
      </c>
      <c r="N42" s="14">
        <v>1339764.2833351614</v>
      </c>
      <c r="O42" s="17">
        <f t="shared" ref="O42:W42" si="38">O11-O26</f>
        <v>-57.75132247477319</v>
      </c>
      <c r="P42" s="17">
        <f t="shared" si="38"/>
        <v>-62.517927125504343</v>
      </c>
      <c r="Q42" s="17">
        <f t="shared" si="38"/>
        <v>-45.669887487594224</v>
      </c>
      <c r="R42" s="17">
        <f t="shared" si="38"/>
        <v>-58.91112370603139</v>
      </c>
      <c r="S42" s="17">
        <f t="shared" si="38"/>
        <v>-37.881032632442611</v>
      </c>
      <c r="T42" s="17">
        <f t="shared" si="38"/>
        <v>-91.400580105841129</v>
      </c>
      <c r="U42" s="17">
        <f t="shared" si="38"/>
        <v>-82.7872316135294</v>
      </c>
      <c r="V42" s="17">
        <f t="shared" si="38"/>
        <v>-32.490439367922306</v>
      </c>
      <c r="W42" s="17">
        <f t="shared" si="38"/>
        <v>-60.893557965013542</v>
      </c>
    </row>
    <row r="43" spans="2:24" s="2" customFormat="1" x14ac:dyDescent="0.25">
      <c r="B43" s="101" t="s">
        <v>8</v>
      </c>
      <c r="C43" s="14">
        <f t="shared" ref="C43:K43" si="39">C12-C27</f>
        <v>-152.36704355376696</v>
      </c>
      <c r="D43" s="14">
        <f t="shared" si="39"/>
        <v>-193.43174284424003</v>
      </c>
      <c r="E43" s="14">
        <f t="shared" si="39"/>
        <v>-27.030493462784989</v>
      </c>
      <c r="F43" s="14">
        <f t="shared" si="39"/>
        <v>-114.89101018687597</v>
      </c>
      <c r="G43" s="14">
        <f t="shared" si="39"/>
        <v>-188.26418184269414</v>
      </c>
      <c r="H43" s="14">
        <f t="shared" si="39"/>
        <v>-262.71701186870598</v>
      </c>
      <c r="I43" s="14">
        <f t="shared" si="39"/>
        <v>-234.58964455599437</v>
      </c>
      <c r="J43" s="14">
        <f t="shared" si="39"/>
        <v>-184.61666071859906</v>
      </c>
      <c r="K43" s="14">
        <f t="shared" si="39"/>
        <v>-213.97672657112298</v>
      </c>
      <c r="M43" s="101" t="s">
        <v>8</v>
      </c>
      <c r="N43" s="14">
        <v>617141.72101696266</v>
      </c>
      <c r="O43" s="17">
        <f t="shared" ref="O43:W43" si="40">O12-O27</f>
        <v>-94.032059485038189</v>
      </c>
      <c r="P43" s="17">
        <f t="shared" si="40"/>
        <v>-119.3747986782048</v>
      </c>
      <c r="Q43" s="17">
        <f t="shared" si="40"/>
        <v>-16.681645255560852</v>
      </c>
      <c r="R43" s="17">
        <f t="shared" si="40"/>
        <v>-70.904035756106168</v>
      </c>
      <c r="S43" s="17">
        <f t="shared" si="40"/>
        <v>-116.18568118825067</v>
      </c>
      <c r="T43" s="17">
        <f t="shared" si="40"/>
        <v>-162.13362884508695</v>
      </c>
      <c r="U43" s="17">
        <f t="shared" si="40"/>
        <v>-144.77505697404388</v>
      </c>
      <c r="V43" s="17">
        <f t="shared" si="40"/>
        <v>-113.93464372428082</v>
      </c>
      <c r="W43" s="17">
        <f t="shared" si="40"/>
        <v>-132.05396529367886</v>
      </c>
    </row>
    <row r="44" spans="2:24" s="2" customFormat="1" x14ac:dyDescent="0.25">
      <c r="B44" s="101" t="s">
        <v>9</v>
      </c>
      <c r="C44" s="14">
        <f t="shared" ref="C44:K44" si="41">C13-C28</f>
        <v>105.51965445020801</v>
      </c>
      <c r="D44" s="14">
        <f t="shared" si="41"/>
        <v>294.25990665064887</v>
      </c>
      <c r="E44" s="14">
        <f t="shared" si="41"/>
        <v>123.56370058377593</v>
      </c>
      <c r="F44" s="14">
        <f t="shared" si="41"/>
        <v>99.339427742363114</v>
      </c>
      <c r="G44" s="14">
        <f t="shared" si="41"/>
        <v>60.281755326928874</v>
      </c>
      <c r="H44" s="14">
        <f t="shared" si="41"/>
        <v>263.24645978830426</v>
      </c>
      <c r="I44" s="14">
        <f t="shared" si="41"/>
        <v>34.841616333128513</v>
      </c>
      <c r="J44" s="14">
        <f t="shared" si="41"/>
        <v>138.28405635946717</v>
      </c>
      <c r="K44" s="14">
        <f t="shared" si="41"/>
        <v>397.91582961277584</v>
      </c>
      <c r="M44" s="101" t="s">
        <v>9</v>
      </c>
      <c r="N44" s="14">
        <v>119784.51078433092</v>
      </c>
      <c r="O44" s="17">
        <f t="shared" ref="O44:W44" si="42">O13-O28</f>
        <v>12.639620186449847</v>
      </c>
      <c r="P44" s="17">
        <f t="shared" si="42"/>
        <v>35.247778961590896</v>
      </c>
      <c r="Q44" s="17">
        <f t="shared" si="42"/>
        <v>14.801017425129146</v>
      </c>
      <c r="R44" s="17">
        <f t="shared" si="42"/>
        <v>11.899324753714353</v>
      </c>
      <c r="S44" s="17">
        <f t="shared" si="42"/>
        <v>7.2208205710568905</v>
      </c>
      <c r="T44" s="17">
        <f t="shared" si="42"/>
        <v>31.532848401449044</v>
      </c>
      <c r="U44" s="17">
        <f t="shared" si="42"/>
        <v>4.1734859673991735</v>
      </c>
      <c r="V44" s="17">
        <f t="shared" si="42"/>
        <v>16.564288040291615</v>
      </c>
      <c r="W44" s="17">
        <f t="shared" si="42"/>
        <v>47.664152983507535</v>
      </c>
    </row>
    <row r="45" spans="2:24" s="2" customFormat="1" ht="13.8" thickBot="1" x14ac:dyDescent="0.3">
      <c r="B45" s="185" t="s">
        <v>10</v>
      </c>
      <c r="C45" s="203">
        <f t="shared" ref="C45:K45" si="43">C14-C29</f>
        <v>-43.173184102515961</v>
      </c>
      <c r="D45" s="203">
        <f t="shared" si="43"/>
        <v>76.5178263771611</v>
      </c>
      <c r="E45" s="203">
        <f t="shared" si="43"/>
        <v>173.85585363867995</v>
      </c>
      <c r="F45" s="203">
        <f t="shared" si="43"/>
        <v>-73.669964023675902</v>
      </c>
      <c r="G45" s="203">
        <f t="shared" si="43"/>
        <v>58.45999278345289</v>
      </c>
      <c r="H45" s="203">
        <f t="shared" si="43"/>
        <v>174.08312711552117</v>
      </c>
      <c r="I45" s="203">
        <f t="shared" si="43"/>
        <v>-46.784094420054998</v>
      </c>
      <c r="J45" s="203">
        <f t="shared" si="43"/>
        <v>66.303913403115985</v>
      </c>
      <c r="K45" s="203">
        <f t="shared" si="43"/>
        <v>233.53728476540982</v>
      </c>
      <c r="M45" s="185" t="s">
        <v>10</v>
      </c>
      <c r="N45" s="203">
        <v>237021.44592026682</v>
      </c>
      <c r="O45" s="114">
        <f t="shared" ref="O45:W45" si="44">O14-O29</f>
        <v>-10.232970520960237</v>
      </c>
      <c r="P45" s="114">
        <f t="shared" si="44"/>
        <v>18.13636584659065</v>
      </c>
      <c r="Q45" s="114">
        <f t="shared" si="44"/>
        <v>41.207565811142217</v>
      </c>
      <c r="R45" s="114">
        <f t="shared" si="44"/>
        <v>-17.461361393785694</v>
      </c>
      <c r="S45" s="114">
        <f t="shared" si="44"/>
        <v>13.856272018022366</v>
      </c>
      <c r="T45" s="114">
        <f t="shared" si="44"/>
        <v>41.261434499242455</v>
      </c>
      <c r="U45" s="114">
        <f t="shared" si="44"/>
        <v>-11.088833705511774</v>
      </c>
      <c r="V45" s="114">
        <f t="shared" si="44"/>
        <v>15.715449424978772</v>
      </c>
      <c r="W45" s="114">
        <f t="shared" si="44"/>
        <v>55.353344911390536</v>
      </c>
    </row>
    <row r="46" spans="2:24" s="2" customFormat="1" x14ac:dyDescent="0.25">
      <c r="B46" s="102"/>
      <c r="M46" s="102"/>
      <c r="O46" s="17"/>
      <c r="P46" s="17"/>
      <c r="Q46" s="17"/>
      <c r="R46" s="17"/>
      <c r="S46" s="17"/>
      <c r="T46" s="17"/>
      <c r="U46" s="17"/>
      <c r="V46" s="17"/>
      <c r="W46" s="17"/>
      <c r="X46" s="17"/>
    </row>
    <row r="47" spans="2:24" s="2" customFormat="1" x14ac:dyDescent="0.25">
      <c r="B47" s="102"/>
      <c r="M47" s="102"/>
    </row>
    <row r="50" spans="2:35" ht="13.8" thickBot="1" x14ac:dyDescent="0.3">
      <c r="B50" s="239" t="s">
        <v>211</v>
      </c>
      <c r="C50" s="239"/>
      <c r="D50" s="239"/>
      <c r="E50" s="239"/>
      <c r="F50" s="239"/>
      <c r="G50" s="239"/>
      <c r="H50" s="239"/>
      <c r="I50" s="239"/>
      <c r="J50" s="239"/>
      <c r="K50" s="239"/>
      <c r="M50" s="239" t="s">
        <v>282</v>
      </c>
      <c r="N50" s="239"/>
      <c r="O50" s="239"/>
      <c r="P50" s="239"/>
      <c r="Q50" s="239"/>
      <c r="R50" s="239"/>
      <c r="S50" s="239"/>
      <c r="T50" s="239"/>
      <c r="U50" s="239"/>
      <c r="V50" s="239"/>
      <c r="W50" s="239"/>
      <c r="X50" s="47"/>
      <c r="Y50" s="239" t="s">
        <v>283</v>
      </c>
      <c r="Z50" s="239"/>
      <c r="AA50" s="239"/>
      <c r="AB50" s="239"/>
      <c r="AC50" s="239"/>
      <c r="AD50" s="239"/>
      <c r="AE50" s="239"/>
      <c r="AF50" s="239"/>
      <c r="AG50" s="239"/>
      <c r="AH50" s="239"/>
      <c r="AI50" s="239"/>
    </row>
    <row r="51" spans="2:35" ht="13.8" thickBot="1" x14ac:dyDescent="0.3">
      <c r="B51" s="215" t="s">
        <v>52</v>
      </c>
      <c r="C51" s="217">
        <v>2010</v>
      </c>
      <c r="D51" s="217">
        <v>2011</v>
      </c>
      <c r="E51" s="217">
        <v>2012</v>
      </c>
      <c r="F51" s="217">
        <v>2013</v>
      </c>
      <c r="G51" s="217">
        <v>2014</v>
      </c>
      <c r="H51" s="217">
        <v>2015</v>
      </c>
      <c r="I51" s="217">
        <v>2016</v>
      </c>
      <c r="J51" s="217">
        <v>2017</v>
      </c>
      <c r="K51" s="217">
        <v>2018</v>
      </c>
      <c r="M51" s="100" t="s">
        <v>52</v>
      </c>
      <c r="N51" s="41" t="s">
        <v>196</v>
      </c>
      <c r="O51" s="18">
        <v>2010</v>
      </c>
      <c r="P51" s="18">
        <v>2011</v>
      </c>
      <c r="Q51" s="18">
        <v>2012</v>
      </c>
      <c r="R51" s="18">
        <v>2013</v>
      </c>
      <c r="S51" s="18">
        <v>2014</v>
      </c>
      <c r="T51" s="18">
        <v>2015</v>
      </c>
      <c r="U51" s="18">
        <v>2016</v>
      </c>
      <c r="V51" s="18">
        <v>2017</v>
      </c>
      <c r="W51" s="18">
        <v>2018</v>
      </c>
      <c r="Y51" s="100" t="s">
        <v>52</v>
      </c>
      <c r="Z51" s="41" t="s">
        <v>47</v>
      </c>
      <c r="AA51" s="18">
        <v>2010</v>
      </c>
      <c r="AB51" s="18">
        <v>2011</v>
      </c>
      <c r="AC51" s="18">
        <v>2012</v>
      </c>
      <c r="AD51" s="18">
        <v>2013</v>
      </c>
      <c r="AE51" s="18">
        <v>2014</v>
      </c>
      <c r="AF51" s="18">
        <v>2015</v>
      </c>
      <c r="AG51" s="18">
        <v>2016</v>
      </c>
      <c r="AH51" s="18">
        <v>2017</v>
      </c>
      <c r="AI51" s="18">
        <v>2018</v>
      </c>
    </row>
    <row r="52" spans="2:35" x14ac:dyDescent="0.25">
      <c r="B52" s="101" t="s">
        <v>1</v>
      </c>
      <c r="C52" s="14">
        <v>93.434902127831236</v>
      </c>
      <c r="D52" s="14">
        <v>95.913798386173553</v>
      </c>
      <c r="E52" s="14">
        <v>58.28485249139819</v>
      </c>
      <c r="F52" s="14">
        <v>215.78829271256171</v>
      </c>
      <c r="G52" s="14">
        <v>115.3725520671391</v>
      </c>
      <c r="H52" s="14">
        <v>303.65486332879442</v>
      </c>
      <c r="I52" s="14">
        <v>281.48949244290782</v>
      </c>
      <c r="J52" s="14">
        <v>150.2533801086787</v>
      </c>
      <c r="K52" s="14">
        <v>541.93648541095183</v>
      </c>
      <c r="M52" s="101" t="s">
        <v>1</v>
      </c>
      <c r="N52" s="14">
        <v>13199.085501550475</v>
      </c>
      <c r="O52" s="17">
        <f t="shared" ref="O52:W52" si="45">((C52*0.001)*($N$52*1000000))/1000000000</f>
        <v>1.2332552620142447</v>
      </c>
      <c r="P52" s="17">
        <f t="shared" si="45"/>
        <v>1.2659744256775787</v>
      </c>
      <c r="Q52" s="17">
        <f t="shared" si="45"/>
        <v>0.7693067514792219</v>
      </c>
      <c r="R52" s="17">
        <f t="shared" si="45"/>
        <v>2.8482081257467033</v>
      </c>
      <c r="S52" s="17">
        <f t="shared" si="45"/>
        <v>1.522812179266253</v>
      </c>
      <c r="T52" s="17">
        <f t="shared" si="45"/>
        <v>4.0079665040383814</v>
      </c>
      <c r="U52" s="17">
        <f t="shared" si="45"/>
        <v>3.7154038785419865</v>
      </c>
      <c r="V52" s="17">
        <f t="shared" si="45"/>
        <v>1.9832072109514134</v>
      </c>
      <c r="W52" s="17">
        <f t="shared" si="45"/>
        <v>7.1530660073489152</v>
      </c>
      <c r="Y52" s="101" t="s">
        <v>1</v>
      </c>
      <c r="Z52" s="14">
        <v>13199.085501550475</v>
      </c>
      <c r="AA52" s="84">
        <v>1.2332552620142447</v>
      </c>
      <c r="AB52" s="84">
        <v>1.2659744256775787</v>
      </c>
      <c r="AC52" s="84">
        <v>0.7693067514792219</v>
      </c>
      <c r="AD52" s="84">
        <v>2.8482081257467033</v>
      </c>
      <c r="AE52" s="84">
        <v>1.522812179266253</v>
      </c>
      <c r="AF52" s="84">
        <v>4.0079665040383814</v>
      </c>
      <c r="AG52" s="84">
        <v>3.7154038785419865</v>
      </c>
      <c r="AH52" s="84">
        <v>1.9832072109514134</v>
      </c>
      <c r="AI52" s="84">
        <v>7.1530660073489152</v>
      </c>
    </row>
    <row r="53" spans="2:35" x14ac:dyDescent="0.25">
      <c r="B53" s="101" t="s">
        <v>195</v>
      </c>
      <c r="C53" s="14">
        <v>118.2747710173026</v>
      </c>
      <c r="D53" s="14">
        <v>1.8786548287555269</v>
      </c>
      <c r="E53" s="14">
        <v>121.22073799111951</v>
      </c>
      <c r="F53" s="14">
        <v>0.2164648391925641</v>
      </c>
      <c r="G53" s="14">
        <v>-62.470514024377628</v>
      </c>
      <c r="H53" s="14">
        <v>27.3270714052667</v>
      </c>
      <c r="I53" s="14">
        <v>-47.574123632033569</v>
      </c>
      <c r="J53" s="14">
        <v>-103.3447592291361</v>
      </c>
      <c r="K53" s="14">
        <v>64.669724208364599</v>
      </c>
      <c r="M53" s="101" t="s">
        <v>195</v>
      </c>
      <c r="N53" s="14">
        <v>20450.034940117202</v>
      </c>
      <c r="O53" s="17">
        <f t="shared" ref="O53:W53" si="46">((C53*0.001)*($N$53*1000000))/1000000000</f>
        <v>2.4187231998381997</v>
      </c>
      <c r="P53" s="17">
        <f t="shared" si="46"/>
        <v>3.8418556888470429E-2</v>
      </c>
      <c r="Q53" s="17">
        <f t="shared" si="46"/>
        <v>2.4789683273851866</v>
      </c>
      <c r="R53" s="17">
        <f t="shared" si="46"/>
        <v>4.4267135247947871E-3</v>
      </c>
      <c r="S53" s="17">
        <f t="shared" si="46"/>
        <v>-1.2775241945256042</v>
      </c>
      <c r="T53" s="17">
        <f t="shared" si="46"/>
        <v>0.55883956504878174</v>
      </c>
      <c r="U53" s="17">
        <f t="shared" si="46"/>
        <v>-0.97289249052054205</v>
      </c>
      <c r="V53" s="17">
        <f t="shared" si="46"/>
        <v>-2.1134039371138331</v>
      </c>
      <c r="W53" s="17">
        <f t="shared" si="46"/>
        <v>1.3224981196287995</v>
      </c>
      <c r="Y53" s="101" t="s">
        <v>195</v>
      </c>
      <c r="Z53" s="14">
        <v>20450.034940117202</v>
      </c>
      <c r="AA53" s="84">
        <v>2.4187231998381997</v>
      </c>
      <c r="AB53" s="84">
        <v>3.8418556888470429E-2</v>
      </c>
      <c r="AC53" s="84">
        <v>2.4789683273851866</v>
      </c>
      <c r="AD53" s="84">
        <v>4.4267135247947871E-3</v>
      </c>
      <c r="AE53" s="84">
        <v>0</v>
      </c>
      <c r="AF53" s="84">
        <v>0.55883956504878174</v>
      </c>
      <c r="AG53" s="84">
        <v>0</v>
      </c>
      <c r="AH53" s="84">
        <v>0</v>
      </c>
      <c r="AI53" s="84">
        <v>1.3224981196287995</v>
      </c>
    </row>
    <row r="54" spans="2:35" x14ac:dyDescent="0.25">
      <c r="B54" s="101" t="s">
        <v>2</v>
      </c>
      <c r="C54" s="14">
        <v>-65.399851192448409</v>
      </c>
      <c r="D54" s="14">
        <v>-55.238184740093303</v>
      </c>
      <c r="E54" s="14">
        <v>-59.695575313350851</v>
      </c>
      <c r="F54" s="14">
        <v>-58.205748326250152</v>
      </c>
      <c r="G54" s="14">
        <v>-61.554879944928238</v>
      </c>
      <c r="H54" s="14">
        <v>-66.373981481055608</v>
      </c>
      <c r="I54" s="14">
        <v>-58.148488085273677</v>
      </c>
      <c r="J54" s="14">
        <v>-66.929681270671523</v>
      </c>
      <c r="K54" s="14">
        <v>-77.673119137517119</v>
      </c>
      <c r="M54" s="101" t="s">
        <v>2</v>
      </c>
      <c r="N54" s="14">
        <v>251430.37783690859</v>
      </c>
      <c r="O54" s="17">
        <f t="shared" ref="O54:W54" si="47">((C54*0.001)*($N$54*1000000))/1000000000</f>
        <v>-16.443509295794904</v>
      </c>
      <c r="P54" s="17">
        <f t="shared" si="47"/>
        <v>-13.888557660226617</v>
      </c>
      <c r="Q54" s="17">
        <f t="shared" si="47"/>
        <v>-15.009281056227438</v>
      </c>
      <c r="R54" s="17">
        <f t="shared" si="47"/>
        <v>-14.634693293949088</v>
      </c>
      <c r="S54" s="17">
        <f t="shared" si="47"/>
        <v>-15.476766722258855</v>
      </c>
      <c r="T54" s="17">
        <f t="shared" si="47"/>
        <v>-16.688435242321788</v>
      </c>
      <c r="U54" s="17">
        <f t="shared" si="47"/>
        <v>-14.620296329925338</v>
      </c>
      <c r="V54" s="17">
        <f t="shared" si="47"/>
        <v>-16.828155050388805</v>
      </c>
      <c r="W54" s="17">
        <f t="shared" si="47"/>
        <v>-19.529381692517148</v>
      </c>
      <c r="Y54" s="101" t="s">
        <v>2</v>
      </c>
      <c r="Z54" s="14">
        <v>251430.37783690859</v>
      </c>
      <c r="AA54" s="84">
        <v>56.5</v>
      </c>
      <c r="AB54" s="84">
        <v>56.5</v>
      </c>
      <c r="AC54" s="84">
        <v>56.5</v>
      </c>
      <c r="AD54" s="84">
        <v>56.5</v>
      </c>
      <c r="AE54" s="84">
        <v>56.5</v>
      </c>
      <c r="AF54" s="84">
        <v>56.5</v>
      </c>
      <c r="AG54" s="84">
        <v>56.5</v>
      </c>
      <c r="AH54" s="84">
        <v>56.5</v>
      </c>
      <c r="AI54" s="84">
        <v>56.5</v>
      </c>
    </row>
    <row r="55" spans="2:35" x14ac:dyDescent="0.25">
      <c r="B55" s="101" t="s">
        <v>3</v>
      </c>
      <c r="C55" s="14">
        <v>142.9793593155826</v>
      </c>
      <c r="D55" s="14">
        <v>-6.8617646433497743</v>
      </c>
      <c r="E55" s="14">
        <v>122.3907948007966</v>
      </c>
      <c r="F55" s="14">
        <v>18.67335200425045</v>
      </c>
      <c r="G55" s="14">
        <v>101.1425752393546</v>
      </c>
      <c r="H55" s="14">
        <v>26.504800600106599</v>
      </c>
      <c r="I55" s="14">
        <v>70.391763791747962</v>
      </c>
      <c r="J55" s="14">
        <v>133.6955026820691</v>
      </c>
      <c r="K55" s="14">
        <v>77.984160696906699</v>
      </c>
      <c r="M55" s="101" t="s">
        <v>3</v>
      </c>
      <c r="N55" s="14">
        <v>24496.645034227455</v>
      </c>
      <c r="O55" s="17">
        <f t="shared" ref="O55:W55" si="48">((C55*0.001)*($N$55*1000000))/1000000000</f>
        <v>3.502514612375089</v>
      </c>
      <c r="P55" s="17">
        <f t="shared" si="48"/>
        <v>-0.16809021277655178</v>
      </c>
      <c r="Q55" s="17">
        <f t="shared" si="48"/>
        <v>2.9981638556920855</v>
      </c>
      <c r="R55" s="17">
        <f t="shared" si="48"/>
        <v>0.45743447564730311</v>
      </c>
      <c r="S55" s="17">
        <f t="shared" si="48"/>
        <v>2.4776537634861127</v>
      </c>
      <c r="T55" s="17">
        <f t="shared" si="48"/>
        <v>0.64927869200379018</v>
      </c>
      <c r="U55" s="17">
        <f t="shared" si="48"/>
        <v>1.7243620509396349</v>
      </c>
      <c r="V55" s="17">
        <f t="shared" si="48"/>
        <v>3.2750912718752518</v>
      </c>
      <c r="W55" s="17">
        <f t="shared" si="48"/>
        <v>1.9103503028842752</v>
      </c>
      <c r="Y55" s="101" t="s">
        <v>3</v>
      </c>
      <c r="Z55" s="14">
        <v>24496.645034227455</v>
      </c>
      <c r="AA55" s="84">
        <v>3.502514612375089</v>
      </c>
      <c r="AB55" s="84">
        <v>0</v>
      </c>
      <c r="AC55" s="84">
        <v>2.9981638556920855</v>
      </c>
      <c r="AD55" s="84">
        <v>0.45743447564730311</v>
      </c>
      <c r="AE55" s="84">
        <v>2.4776537634861127</v>
      </c>
      <c r="AF55" s="84">
        <v>0.64927869200379018</v>
      </c>
      <c r="AG55" s="84">
        <v>1.7243620509396349</v>
      </c>
      <c r="AH55" s="84">
        <v>3.2750912718752518</v>
      </c>
      <c r="AI55" s="84">
        <v>1.9103503028842752</v>
      </c>
    </row>
    <row r="56" spans="2:35" x14ac:dyDescent="0.25">
      <c r="B56" s="101" t="s">
        <v>4</v>
      </c>
      <c r="C56" s="14">
        <v>286.17793602837679</v>
      </c>
      <c r="D56" s="14">
        <v>176.41353552651739</v>
      </c>
      <c r="E56" s="14">
        <v>298.58365656215022</v>
      </c>
      <c r="F56" s="14">
        <v>255.53231711772909</v>
      </c>
      <c r="G56" s="14">
        <v>296.79010791360582</v>
      </c>
      <c r="H56" s="14">
        <v>164.6043840852773</v>
      </c>
      <c r="I56" s="14">
        <v>273.1815194929402</v>
      </c>
      <c r="J56" s="14">
        <v>360.66719019639851</v>
      </c>
      <c r="K56" s="14">
        <v>212.79957074255654</v>
      </c>
      <c r="M56" s="101" t="s">
        <v>4</v>
      </c>
      <c r="N56" s="14">
        <v>363314.38569269452</v>
      </c>
      <c r="O56" s="17">
        <f t="shared" ref="O56:W56" si="49">((C56*0.001)*($N$56*1000000))/1000000000</f>
        <v>103.97256102695296</v>
      </c>
      <c r="P56" s="17">
        <f t="shared" si="49"/>
        <v>64.093575287693014</v>
      </c>
      <c r="Q56" s="17">
        <f t="shared" si="49"/>
        <v>108.47973776175608</v>
      </c>
      <c r="R56" s="17">
        <f t="shared" si="49"/>
        <v>92.838566818258556</v>
      </c>
      <c r="S56" s="17">
        <f t="shared" si="49"/>
        <v>107.82811573630022</v>
      </c>
      <c r="T56" s="17">
        <f t="shared" si="49"/>
        <v>59.803140686266872</v>
      </c>
      <c r="U56" s="17">
        <f t="shared" si="49"/>
        <v>99.250775937174438</v>
      </c>
      <c r="V56" s="17">
        <f t="shared" si="49"/>
        <v>131.03557864571476</v>
      </c>
      <c r="W56" s="17">
        <f t="shared" si="49"/>
        <v>77.313145320001027</v>
      </c>
      <c r="Y56" s="101" t="s">
        <v>4</v>
      </c>
      <c r="Z56" s="14">
        <v>363314.38569269452</v>
      </c>
      <c r="AA56" s="84">
        <v>103.97256102695296</v>
      </c>
      <c r="AB56" s="84">
        <v>64.093575287693014</v>
      </c>
      <c r="AC56" s="84">
        <v>108.47973776175608</v>
      </c>
      <c r="AD56" s="84">
        <v>92.838566818258556</v>
      </c>
      <c r="AE56" s="84">
        <v>107.82811573630022</v>
      </c>
      <c r="AF56" s="84">
        <v>59.803140686266872</v>
      </c>
      <c r="AG56" s="84">
        <v>99.250775937174438</v>
      </c>
      <c r="AH56" s="84">
        <v>131.03557864571476</v>
      </c>
      <c r="AI56" s="84">
        <v>77.313145320001027</v>
      </c>
    </row>
    <row r="57" spans="2:35" x14ac:dyDescent="0.25">
      <c r="B57" s="101" t="s">
        <v>5</v>
      </c>
      <c r="C57" s="14">
        <v>354.11756662225503</v>
      </c>
      <c r="D57" s="14">
        <v>340.04616587932088</v>
      </c>
      <c r="E57" s="14">
        <v>511.79327534824489</v>
      </c>
      <c r="F57" s="14">
        <v>310.65499128855942</v>
      </c>
      <c r="G57" s="14">
        <v>274.36585257037558</v>
      </c>
      <c r="H57" s="14">
        <v>440.13487099872822</v>
      </c>
      <c r="I57" s="14">
        <v>194.30281640521329</v>
      </c>
      <c r="J57" s="14">
        <v>324.45836755534611</v>
      </c>
      <c r="K57" s="14">
        <v>559.44546618991444</v>
      </c>
      <c r="M57" s="101" t="s">
        <v>5</v>
      </c>
      <c r="N57" s="14">
        <v>49475.746319971244</v>
      </c>
      <c r="O57" s="17">
        <f t="shared" ref="O57:W57" si="50">((C57*0.001)*($N$57*1000000))/1000000000</f>
        <v>17.520230893648204</v>
      </c>
      <c r="P57" s="17">
        <f t="shared" si="50"/>
        <v>16.824037840124145</v>
      </c>
      <c r="Q57" s="17">
        <f t="shared" si="50"/>
        <v>25.321354259396958</v>
      </c>
      <c r="R57" s="17">
        <f t="shared" si="50"/>
        <v>15.369887542025644</v>
      </c>
      <c r="S57" s="17">
        <f t="shared" si="50"/>
        <v>13.574455320634533</v>
      </c>
      <c r="T57" s="17">
        <f t="shared" si="50"/>
        <v>21.776001224106345</v>
      </c>
      <c r="U57" s="17">
        <f t="shared" si="50"/>
        <v>9.6132768537202793</v>
      </c>
      <c r="V57" s="17">
        <f t="shared" si="50"/>
        <v>16.052819884560293</v>
      </c>
      <c r="W57" s="17">
        <f t="shared" si="50"/>
        <v>27.678981965070257</v>
      </c>
      <c r="Y57" s="101" t="s">
        <v>5</v>
      </c>
      <c r="Z57" s="14">
        <v>49475.746319971244</v>
      </c>
      <c r="AA57" s="84">
        <v>17.520230893648204</v>
      </c>
      <c r="AB57" s="84">
        <v>16.824037840124145</v>
      </c>
      <c r="AC57" s="84">
        <v>25.321354259396958</v>
      </c>
      <c r="AD57" s="84">
        <v>15.369887542025644</v>
      </c>
      <c r="AE57" s="84">
        <v>13.574455320634533</v>
      </c>
      <c r="AF57" s="84">
        <v>21.776001224106345</v>
      </c>
      <c r="AG57" s="84">
        <v>9.6132768537202793</v>
      </c>
      <c r="AH57" s="84">
        <v>16.052819884560293</v>
      </c>
      <c r="AI57" s="84">
        <v>27.678981965070257</v>
      </c>
    </row>
    <row r="58" spans="2:35" x14ac:dyDescent="0.25">
      <c r="B58" s="101" t="s">
        <v>6</v>
      </c>
      <c r="C58" s="14">
        <v>170.78331744657851</v>
      </c>
      <c r="D58" s="14">
        <v>184.48391479070071</v>
      </c>
      <c r="E58" s="14">
        <v>169.46704874201521</v>
      </c>
      <c r="F58" s="14">
        <v>91.590217262229459</v>
      </c>
      <c r="G58" s="14">
        <v>13.294315383085999</v>
      </c>
      <c r="H58" s="14">
        <v>99.484095738297285</v>
      </c>
      <c r="I58" s="14">
        <v>160.1972952594511</v>
      </c>
      <c r="J58" s="14">
        <v>73.844556762082959</v>
      </c>
      <c r="K58" s="14">
        <v>392.22954955768193</v>
      </c>
      <c r="M58" s="101" t="s">
        <v>6</v>
      </c>
      <c r="N58" s="14">
        <v>20836.189535136225</v>
      </c>
      <c r="O58" s="17">
        <f t="shared" ref="O58:W58" si="51">((C58*0.001)*($N$58*1000000))/1000000000</f>
        <v>3.5584735717562475</v>
      </c>
      <c r="P58" s="17">
        <f t="shared" si="51"/>
        <v>3.843941814762962</v>
      </c>
      <c r="Q58" s="17">
        <f t="shared" si="51"/>
        <v>3.5310475475487979</v>
      </c>
      <c r="R58" s="17">
        <f t="shared" si="51"/>
        <v>1.9083911264401188</v>
      </c>
      <c r="S58" s="17">
        <f t="shared" si="51"/>
        <v>0.27700287506185706</v>
      </c>
      <c r="T58" s="17">
        <f t="shared" si="51"/>
        <v>2.0728694745348006</v>
      </c>
      <c r="U58" s="17">
        <f t="shared" si="51"/>
        <v>3.337901207042103</v>
      </c>
      <c r="V58" s="17">
        <f t="shared" si="51"/>
        <v>1.5386391808328861</v>
      </c>
      <c r="W58" s="17">
        <f t="shared" si="51"/>
        <v>8.1725692358649695</v>
      </c>
      <c r="Y58" s="101" t="s">
        <v>6</v>
      </c>
      <c r="Z58" s="14">
        <v>20836.189535136225</v>
      </c>
      <c r="AA58" s="84">
        <v>7.3584735717562477</v>
      </c>
      <c r="AB58" s="84">
        <v>7.6439418147629619</v>
      </c>
      <c r="AC58" s="84">
        <v>7.3310475475487973</v>
      </c>
      <c r="AD58" s="84">
        <v>5.7083911264401186</v>
      </c>
      <c r="AE58" s="84">
        <v>4.077002875061857</v>
      </c>
      <c r="AF58" s="84">
        <v>5.8728694745348005</v>
      </c>
      <c r="AG58" s="84">
        <v>7.1379012070421028</v>
      </c>
      <c r="AH58" s="84">
        <v>5.3386391808328861</v>
      </c>
      <c r="AI58" s="84">
        <v>11.97256923586497</v>
      </c>
    </row>
    <row r="59" spans="2:35" x14ac:dyDescent="0.25">
      <c r="B59" s="101" t="s">
        <v>7</v>
      </c>
      <c r="C59" s="14">
        <v>-31.221270722846182</v>
      </c>
      <c r="D59" s="14">
        <v>-34.808172070606823</v>
      </c>
      <c r="E59" s="14">
        <v>-22.87493256038055</v>
      </c>
      <c r="F59" s="14">
        <v>-31.985099220728149</v>
      </c>
      <c r="G59" s="14">
        <v>-17.01186922509758</v>
      </c>
      <c r="H59" s="14">
        <v>-55.687741290407878</v>
      </c>
      <c r="I59" s="14">
        <v>-49.507085496006653</v>
      </c>
      <c r="J59" s="14">
        <v>-11.902617150699839</v>
      </c>
      <c r="K59" s="14">
        <v>-32.688403575128</v>
      </c>
      <c r="M59" s="101" t="s">
        <v>7</v>
      </c>
      <c r="N59" s="14">
        <v>1339764.2833351614</v>
      </c>
      <c r="O59" s="17">
        <f t="shared" ref="O59:W59" si="52">((C59*0.001)*($N$59*1000000))/1000000000</f>
        <v>-41.829143394807069</v>
      </c>
      <c r="P59" s="17">
        <f t="shared" si="52"/>
        <v>-46.634745708383527</v>
      </c>
      <c r="Q59" s="17">
        <f t="shared" si="52"/>
        <v>-30.647017628098396</v>
      </c>
      <c r="R59" s="17">
        <f t="shared" si="52"/>
        <v>-42.85249353486288</v>
      </c>
      <c r="S59" s="17">
        <f t="shared" si="52"/>
        <v>-22.791894780554347</v>
      </c>
      <c r="T59" s="17">
        <f t="shared" si="52"/>
        <v>-74.608446800497177</v>
      </c>
      <c r="U59" s="17">
        <f t="shared" si="52"/>
        <v>-66.32782491956992</v>
      </c>
      <c r="V59" s="17">
        <f t="shared" si="52"/>
        <v>-15.946701336720173</v>
      </c>
      <c r="W59" s="17">
        <f t="shared" si="52"/>
        <v>-43.794755589201891</v>
      </c>
      <c r="Y59" s="101" t="s">
        <v>7</v>
      </c>
      <c r="Z59" s="14">
        <v>1339764.2833351614</v>
      </c>
      <c r="AA59" s="84">
        <v>33.799999999999997</v>
      </c>
      <c r="AB59" s="84">
        <v>33.799999999999997</v>
      </c>
      <c r="AC59" s="84">
        <v>33.799999999999997</v>
      </c>
      <c r="AD59" s="84">
        <v>33.799999999999997</v>
      </c>
      <c r="AE59" s="84">
        <v>33.799999999999997</v>
      </c>
      <c r="AF59" s="84">
        <v>33.799999999999997</v>
      </c>
      <c r="AG59" s="84">
        <v>33.799999999999997</v>
      </c>
      <c r="AH59" s="84">
        <v>33.799999999999997</v>
      </c>
      <c r="AI59" s="84">
        <v>33.799999999999997</v>
      </c>
    </row>
    <row r="60" spans="2:35" x14ac:dyDescent="0.25">
      <c r="B60" s="101" t="s">
        <v>8</v>
      </c>
      <c r="C60" s="14">
        <v>-151.5261232986208</v>
      </c>
      <c r="D60" s="14">
        <v>-192.43771371331499</v>
      </c>
      <c r="E60" s="14">
        <v>-26.092266670151819</v>
      </c>
      <c r="F60" s="14">
        <v>-113.8632588613814</v>
      </c>
      <c r="G60" s="14">
        <v>-187.16611739518399</v>
      </c>
      <c r="H60" s="14">
        <v>-261.48002571583532</v>
      </c>
      <c r="I60" s="14">
        <v>-233.31932709561519</v>
      </c>
      <c r="J60" s="14">
        <v>-183.37227597652691</v>
      </c>
      <c r="K60" s="14">
        <v>-212.73291151133773</v>
      </c>
      <c r="M60" s="101" t="s">
        <v>8</v>
      </c>
      <c r="N60" s="14">
        <v>617141.72101696266</v>
      </c>
      <c r="O60" s="17">
        <f t="shared" ref="O60:W60" si="53">((C60*0.001)*($N$60*1000000))/1000000000</f>
        <v>-93.513092511539327</v>
      </c>
      <c r="P60" s="17">
        <f t="shared" si="53"/>
        <v>-118.76134182960476</v>
      </c>
      <c r="Q60" s="17">
        <f t="shared" si="53"/>
        <v>-16.102626358051026</v>
      </c>
      <c r="R60" s="17">
        <f t="shared" si="53"/>
        <v>-70.269767534312834</v>
      </c>
      <c r="S60" s="17">
        <f t="shared" si="53"/>
        <v>-115.50801980532673</v>
      </c>
      <c r="T60" s="17">
        <f t="shared" si="53"/>
        <v>-161.37023308183026</v>
      </c>
      <c r="U60" s="17">
        <f t="shared" si="53"/>
        <v>-143.99109107030762</v>
      </c>
      <c r="V60" s="17">
        <f t="shared" si="53"/>
        <v>-113.16668198295125</v>
      </c>
      <c r="W60" s="17">
        <f t="shared" si="53"/>
        <v>-131.2863551270562</v>
      </c>
      <c r="Y60" s="101" t="s">
        <v>8</v>
      </c>
      <c r="Z60" s="14">
        <v>617141.72101696266</v>
      </c>
      <c r="AA60" s="84">
        <v>23.5</v>
      </c>
      <c r="AB60" s="84">
        <v>23.5</v>
      </c>
      <c r="AC60" s="84">
        <v>23.5</v>
      </c>
      <c r="AD60" s="84">
        <v>23.5</v>
      </c>
      <c r="AE60" s="84">
        <v>23.5</v>
      </c>
      <c r="AF60" s="84">
        <v>23.5</v>
      </c>
      <c r="AG60" s="84">
        <v>23.5</v>
      </c>
      <c r="AH60" s="84">
        <v>23.5</v>
      </c>
      <c r="AI60" s="84">
        <v>23.5</v>
      </c>
    </row>
    <row r="61" spans="2:35" x14ac:dyDescent="0.25">
      <c r="B61" s="101" t="s">
        <v>9</v>
      </c>
      <c r="C61" s="14">
        <v>198.21120893662541</v>
      </c>
      <c r="D61" s="14">
        <v>346.42018187643799</v>
      </c>
      <c r="E61" s="14">
        <v>218.85042520208711</v>
      </c>
      <c r="F61" s="14">
        <v>205.48102126676179</v>
      </c>
      <c r="G61" s="14">
        <v>128.33331606810771</v>
      </c>
      <c r="H61" s="14">
        <v>375.19745512030511</v>
      </c>
      <c r="I61" s="14">
        <v>166.3224206768684</v>
      </c>
      <c r="J61" s="14">
        <v>232.37592464503581</v>
      </c>
      <c r="K61" s="14">
        <v>492.28746560853511</v>
      </c>
      <c r="M61" s="101" t="s">
        <v>9</v>
      </c>
      <c r="N61" s="14">
        <v>119784.51078433092</v>
      </c>
      <c r="O61" s="17">
        <f t="shared" ref="O61:W61" si="54">((C61*0.001)*($N$61*1000000))/1000000000</f>
        <v>23.742632694444477</v>
      </c>
      <c r="P61" s="17">
        <f t="shared" si="54"/>
        <v>41.495772011888072</v>
      </c>
      <c r="Q61" s="17">
        <f t="shared" si="54"/>
        <v>26.214891117774812</v>
      </c>
      <c r="R61" s="17">
        <f t="shared" si="54"/>
        <v>24.613443607903758</v>
      </c>
      <c r="S61" s="17">
        <f t="shared" si="54"/>
        <v>15.372343482549196</v>
      </c>
      <c r="T61" s="17">
        <f t="shared" si="54"/>
        <v>44.942843609111705</v>
      </c>
      <c r="U61" s="17">
        <f t="shared" si="54"/>
        <v>19.922849793244371</v>
      </c>
      <c r="V61" s="17">
        <f t="shared" si="54"/>
        <v>27.835036451662162</v>
      </c>
      <c r="W61" s="17">
        <f t="shared" si="54"/>
        <v>58.968413233176513</v>
      </c>
      <c r="Y61" s="101" t="s">
        <v>9</v>
      </c>
      <c r="Z61" s="14">
        <v>119784.51078433092</v>
      </c>
      <c r="AA61" s="84">
        <v>23.742632694444477</v>
      </c>
      <c r="AB61" s="84">
        <v>41.495772011888072</v>
      </c>
      <c r="AC61" s="84">
        <v>26.214891117774812</v>
      </c>
      <c r="AD61" s="84">
        <v>24.613443607903758</v>
      </c>
      <c r="AE61" s="84">
        <v>15.372343482549196</v>
      </c>
      <c r="AF61" s="84">
        <v>44.942843609111705</v>
      </c>
      <c r="AG61" s="84">
        <v>19.922849793244371</v>
      </c>
      <c r="AH61" s="84">
        <v>27.835036451662162</v>
      </c>
      <c r="AI61" s="84">
        <v>58.968413233176513</v>
      </c>
    </row>
    <row r="62" spans="2:35" ht="13.8" thickBot="1" x14ac:dyDescent="0.3">
      <c r="B62" s="185" t="s">
        <v>10</v>
      </c>
      <c r="C62" s="203">
        <v>-15.952752328589529</v>
      </c>
      <c r="D62" s="203">
        <v>100.456301788676</v>
      </c>
      <c r="E62" s="203">
        <v>202.60759912692299</v>
      </c>
      <c r="F62" s="203">
        <v>-49.163113351203613</v>
      </c>
      <c r="G62" s="203">
        <v>75.216476860616979</v>
      </c>
      <c r="H62" s="203">
        <v>214.1797629985461</v>
      </c>
      <c r="I62" s="203">
        <v>-4.253118808416211</v>
      </c>
      <c r="J62" s="203">
        <v>93.880073947600096</v>
      </c>
      <c r="K62" s="203">
        <v>257.68649623756176</v>
      </c>
      <c r="M62" s="185" t="s">
        <v>10</v>
      </c>
      <c r="N62" s="203">
        <v>237021.44592026682</v>
      </c>
      <c r="O62" s="114">
        <f t="shared" ref="O62:W62" si="55">((C62*0.001)*($N$62*1000000))/1000000000</f>
        <v>-3.7811444233301938</v>
      </c>
      <c r="P62" s="114">
        <f t="shared" si="55"/>
        <v>23.810297901754669</v>
      </c>
      <c r="Q62" s="114">
        <f t="shared" si="55"/>
        <v>48.022346099497078</v>
      </c>
      <c r="R62" s="114">
        <f t="shared" si="55"/>
        <v>-11.652712212444255</v>
      </c>
      <c r="S62" s="114">
        <f t="shared" si="55"/>
        <v>17.827918102531729</v>
      </c>
      <c r="T62" s="114">
        <f t="shared" si="55"/>
        <v>50.765197112775461</v>
      </c>
      <c r="U62" s="114">
        <f t="shared" si="55"/>
        <v>-1.0080803696414926</v>
      </c>
      <c r="V62" s="114">
        <f t="shared" si="55"/>
        <v>22.251590870161746</v>
      </c>
      <c r="W62" s="114">
        <f t="shared" si="55"/>
        <v>61.077225932354281</v>
      </c>
      <c r="Y62" s="185" t="s">
        <v>10</v>
      </c>
      <c r="Z62" s="203">
        <v>237021.44592026682</v>
      </c>
      <c r="AA62" s="87">
        <v>21.1</v>
      </c>
      <c r="AB62" s="87">
        <v>44.910297901754674</v>
      </c>
      <c r="AC62" s="87">
        <v>69.122346099497079</v>
      </c>
      <c r="AD62" s="87">
        <v>21.1</v>
      </c>
      <c r="AE62" s="87">
        <v>38.927918102531734</v>
      </c>
      <c r="AF62" s="87">
        <v>71.865197112775462</v>
      </c>
      <c r="AG62" s="87">
        <v>21.1</v>
      </c>
      <c r="AH62" s="87">
        <v>43.351590870161743</v>
      </c>
      <c r="AI62" s="87">
        <v>82.177225932354276</v>
      </c>
    </row>
    <row r="65" spans="2:36" x14ac:dyDescent="0.25">
      <c r="Z65" s="63"/>
      <c r="AA65" s="63"/>
      <c r="AC65" s="63"/>
      <c r="AD65" s="63"/>
      <c r="AE65" s="63"/>
      <c r="AF65" s="63"/>
      <c r="AG65" s="63"/>
      <c r="AH65" s="63"/>
      <c r="AI65" s="63"/>
      <c r="AJ65" s="63"/>
    </row>
    <row r="66" spans="2:36" ht="12.45" customHeight="1" thickBot="1" x14ac:dyDescent="0.3">
      <c r="B66" s="239" t="s">
        <v>111</v>
      </c>
      <c r="C66" s="239"/>
      <c r="D66" s="239"/>
      <c r="E66" s="239"/>
      <c r="F66" s="239"/>
      <c r="G66" s="239"/>
      <c r="H66" s="239"/>
      <c r="I66" s="239"/>
      <c r="J66" s="239"/>
      <c r="K66" s="239"/>
      <c r="L66" s="239"/>
      <c r="M66" s="239"/>
      <c r="N66" s="239"/>
      <c r="O66" s="210"/>
      <c r="Q66" s="239" t="s">
        <v>252</v>
      </c>
      <c r="R66" s="239"/>
      <c r="S66" s="239"/>
      <c r="T66" s="239"/>
      <c r="U66" s="239"/>
      <c r="AB66" s="63"/>
    </row>
    <row r="67" spans="2:36" s="63" customFormat="1" ht="27" thickBot="1" x14ac:dyDescent="0.3">
      <c r="B67" s="215" t="s">
        <v>52</v>
      </c>
      <c r="C67" s="216" t="s">
        <v>143</v>
      </c>
      <c r="D67" s="216">
        <v>2010</v>
      </c>
      <c r="E67" s="216">
        <v>2011</v>
      </c>
      <c r="F67" s="216">
        <v>2012</v>
      </c>
      <c r="G67" s="216">
        <v>2013</v>
      </c>
      <c r="H67" s="216">
        <v>2014</v>
      </c>
      <c r="I67" s="216">
        <v>2015</v>
      </c>
      <c r="J67" s="216">
        <v>2016</v>
      </c>
      <c r="K67" s="216">
        <v>2017</v>
      </c>
      <c r="L67" s="216">
        <v>2018</v>
      </c>
      <c r="M67" s="216">
        <v>2019</v>
      </c>
      <c r="N67" s="216">
        <v>2020</v>
      </c>
      <c r="O67" s="216">
        <v>2050</v>
      </c>
      <c r="Q67" s="215" t="s">
        <v>52</v>
      </c>
      <c r="R67" s="216" t="s">
        <v>73</v>
      </c>
      <c r="S67" s="216" t="s">
        <v>35</v>
      </c>
      <c r="T67" s="216" t="s">
        <v>36</v>
      </c>
      <c r="U67" s="216" t="s">
        <v>12</v>
      </c>
      <c r="Z67"/>
      <c r="AA67"/>
      <c r="AB67"/>
      <c r="AC67"/>
      <c r="AD67"/>
      <c r="AE67"/>
      <c r="AF67"/>
      <c r="AG67"/>
      <c r="AH67"/>
      <c r="AI67"/>
      <c r="AJ67"/>
    </row>
    <row r="68" spans="2:36" x14ac:dyDescent="0.25">
      <c r="B68" s="101" t="s">
        <v>1</v>
      </c>
      <c r="C68" s="129">
        <v>3.1200000000000002E-2</v>
      </c>
      <c r="D68" s="130">
        <f t="shared" ref="D68:D78" si="56">E68/(1+C68)</f>
        <v>4.5376418747929925</v>
      </c>
      <c r="E68" s="130">
        <f t="shared" ref="E68:E78" si="57">F68/(1+C68)</f>
        <v>4.6792163012865338</v>
      </c>
      <c r="F68" s="130">
        <f t="shared" ref="F68:F78" si="58">G68/(1+C68)</f>
        <v>4.8252078498866728</v>
      </c>
      <c r="G68" s="130">
        <f t="shared" ref="G68:G78" si="59">H68/(1+C68)</f>
        <v>4.9757543348031366</v>
      </c>
      <c r="H68" s="130">
        <f t="shared" ref="H68:H78" si="60">I68/(1+C68)</f>
        <v>5.1309978700489935</v>
      </c>
      <c r="I68" s="130">
        <f t="shared" ref="I68:I78" si="61">J68/(1+C68)</f>
        <v>5.2910850035945218</v>
      </c>
      <c r="J68" s="130">
        <f t="shared" ref="J68:J78" si="62">K68/(1+C68)</f>
        <v>5.4561668557066705</v>
      </c>
      <c r="K68" s="130">
        <f t="shared" ref="K68:K78" si="63">L68/(1+C68)</f>
        <v>5.6263992616047176</v>
      </c>
      <c r="L68" s="130">
        <f t="shared" ref="L68:L78" si="64">M68/(1+C68)</f>
        <v>5.8019429185667839</v>
      </c>
      <c r="M68" s="130">
        <f t="shared" ref="M68:M78" si="65">N68/(1+C68)</f>
        <v>5.982963537626067</v>
      </c>
      <c r="N68" s="130">
        <v>6.169632</v>
      </c>
      <c r="O68" s="17">
        <f t="shared" ref="O68:O78" si="66">N68*(1+C68)^30</f>
        <v>15.507664289227339</v>
      </c>
      <c r="Q68" s="101" t="s">
        <v>1</v>
      </c>
      <c r="R68" s="11">
        <v>7480.8958351792899</v>
      </c>
      <c r="S68" s="11">
        <v>17.326803676232601</v>
      </c>
      <c r="T68" s="14"/>
      <c r="U68" s="14">
        <f t="shared" ref="U68:U78" si="67">SUM(R68:T68)</f>
        <v>7498.2226388555227</v>
      </c>
    </row>
    <row r="69" spans="2:36" x14ac:dyDescent="0.25">
      <c r="B69" s="101" t="s">
        <v>195</v>
      </c>
      <c r="C69" s="129">
        <v>3.1899999999999998E-2</v>
      </c>
      <c r="D69" s="130">
        <f t="shared" si="56"/>
        <v>2.8309348591687482</v>
      </c>
      <c r="E69" s="130">
        <f t="shared" si="57"/>
        <v>2.9212416811762312</v>
      </c>
      <c r="F69" s="130">
        <f t="shared" si="58"/>
        <v>3.0144292908057531</v>
      </c>
      <c r="G69" s="130">
        <f t="shared" si="59"/>
        <v>3.1105895851824568</v>
      </c>
      <c r="H69" s="130">
        <f t="shared" si="60"/>
        <v>3.2098173929497773</v>
      </c>
      <c r="I69" s="130">
        <f t="shared" si="61"/>
        <v>3.3122105677848754</v>
      </c>
      <c r="J69" s="130">
        <f t="shared" si="62"/>
        <v>3.417870084897213</v>
      </c>
      <c r="K69" s="130">
        <f t="shared" si="63"/>
        <v>3.5269001406054343</v>
      </c>
      <c r="L69" s="130">
        <f t="shared" si="64"/>
        <v>3.6394082550907476</v>
      </c>
      <c r="M69" s="130">
        <f t="shared" si="65"/>
        <v>3.7555053784281425</v>
      </c>
      <c r="N69" s="130">
        <v>3.8753060000000001</v>
      </c>
      <c r="O69" s="17">
        <f t="shared" si="66"/>
        <v>9.9410984401006655</v>
      </c>
      <c r="Q69" s="101" t="s">
        <v>195</v>
      </c>
      <c r="R69" s="14">
        <v>4095.8505435363099</v>
      </c>
      <c r="S69" s="11">
        <v>453.17056104724901</v>
      </c>
      <c r="T69" s="14"/>
      <c r="U69" s="14">
        <f t="shared" si="67"/>
        <v>4549.0211045835586</v>
      </c>
    </row>
    <row r="70" spans="2:36" x14ac:dyDescent="0.25">
      <c r="B70" s="101" t="s">
        <v>2</v>
      </c>
      <c r="C70" s="129">
        <v>1.9400000000000001E-2</v>
      </c>
      <c r="D70" s="130">
        <f t="shared" si="56"/>
        <v>69.271813069261029</v>
      </c>
      <c r="E70" s="130">
        <f t="shared" si="57"/>
        <v>70.615686242804699</v>
      </c>
      <c r="F70" s="130">
        <f t="shared" si="58"/>
        <v>71.985630555915122</v>
      </c>
      <c r="G70" s="130">
        <f t="shared" si="59"/>
        <v>73.382151788699886</v>
      </c>
      <c r="H70" s="130">
        <f t="shared" si="60"/>
        <v>74.805765533400674</v>
      </c>
      <c r="I70" s="130">
        <f t="shared" si="61"/>
        <v>76.256997384748658</v>
      </c>
      <c r="J70" s="130">
        <f t="shared" si="62"/>
        <v>77.736383134012783</v>
      </c>
      <c r="K70" s="130">
        <f t="shared" si="63"/>
        <v>79.244468966812633</v>
      </c>
      <c r="L70" s="130">
        <f t="shared" si="64"/>
        <v>80.78181166476881</v>
      </c>
      <c r="M70" s="130">
        <f t="shared" si="65"/>
        <v>82.348978811065336</v>
      </c>
      <c r="N70" s="130">
        <v>83.946549000000005</v>
      </c>
      <c r="O70" s="17">
        <f t="shared" si="66"/>
        <v>149.39694777300656</v>
      </c>
      <c r="Q70" s="101" t="s">
        <v>2</v>
      </c>
      <c r="R70" s="11">
        <v>36.2275463161657</v>
      </c>
      <c r="S70" s="14">
        <v>32732.968091907202</v>
      </c>
      <c r="T70" s="11">
        <v>968.93231315236301</v>
      </c>
      <c r="U70" s="14">
        <f t="shared" si="67"/>
        <v>33738.127951375733</v>
      </c>
    </row>
    <row r="71" spans="2:36" x14ac:dyDescent="0.25">
      <c r="B71" s="101" t="s">
        <v>3</v>
      </c>
      <c r="C71" s="129">
        <v>1.41E-2</v>
      </c>
      <c r="D71" s="130">
        <f t="shared" si="56"/>
        <v>1.1215507094546049</v>
      </c>
      <c r="E71" s="130">
        <f t="shared" si="57"/>
        <v>1.1373645744579148</v>
      </c>
      <c r="F71" s="130">
        <f t="shared" si="58"/>
        <v>1.1534014149577714</v>
      </c>
      <c r="G71" s="130">
        <f t="shared" si="59"/>
        <v>1.1696643749086759</v>
      </c>
      <c r="H71" s="130">
        <f t="shared" si="60"/>
        <v>1.1861566425948882</v>
      </c>
      <c r="I71" s="130">
        <f t="shared" si="61"/>
        <v>1.2028814512554762</v>
      </c>
      <c r="J71" s="130">
        <f t="shared" si="62"/>
        <v>1.2198420797181784</v>
      </c>
      <c r="K71" s="130">
        <f t="shared" si="63"/>
        <v>1.2370418530422047</v>
      </c>
      <c r="L71" s="130">
        <f t="shared" si="64"/>
        <v>1.2544841431700997</v>
      </c>
      <c r="M71" s="130">
        <f t="shared" si="65"/>
        <v>1.2721723695887981</v>
      </c>
      <c r="N71" s="130">
        <v>1.2901100000000001</v>
      </c>
      <c r="O71" s="17">
        <f t="shared" si="66"/>
        <v>1.9635873386079545</v>
      </c>
      <c r="Q71" s="101" t="s">
        <v>3</v>
      </c>
      <c r="R71" s="11">
        <v>4571.8337917332701</v>
      </c>
      <c r="S71" s="11">
        <v>167.66828675695399</v>
      </c>
      <c r="T71" s="12">
        <v>2.3555436770109801E-2</v>
      </c>
      <c r="U71" s="14">
        <f t="shared" si="67"/>
        <v>4739.5256339269945</v>
      </c>
    </row>
    <row r="72" spans="2:36" x14ac:dyDescent="0.25">
      <c r="B72" s="101" t="s">
        <v>4</v>
      </c>
      <c r="C72" s="129">
        <v>2.75E-2</v>
      </c>
      <c r="D72" s="130">
        <f t="shared" si="56"/>
        <v>29.910739995094342</v>
      </c>
      <c r="E72" s="130">
        <f t="shared" si="57"/>
        <v>30.733285344959441</v>
      </c>
      <c r="F72" s="130">
        <f t="shared" si="58"/>
        <v>31.578450691945829</v>
      </c>
      <c r="G72" s="130">
        <f t="shared" si="59"/>
        <v>32.446858085974341</v>
      </c>
      <c r="H72" s="130">
        <f t="shared" si="60"/>
        <v>33.33914668333864</v>
      </c>
      <c r="I72" s="130">
        <f t="shared" si="61"/>
        <v>34.255973217130453</v>
      </c>
      <c r="J72" s="130">
        <f t="shared" si="62"/>
        <v>35.198012480601541</v>
      </c>
      <c r="K72" s="130">
        <f t="shared" si="63"/>
        <v>36.16595782381809</v>
      </c>
      <c r="L72" s="130">
        <f t="shared" si="64"/>
        <v>37.160521663973093</v>
      </c>
      <c r="M72" s="130">
        <f t="shared" si="65"/>
        <v>38.182436009732356</v>
      </c>
      <c r="N72" s="130">
        <v>39.232453</v>
      </c>
      <c r="O72" s="17">
        <f t="shared" si="66"/>
        <v>88.532021248695301</v>
      </c>
      <c r="Q72" s="101" t="s">
        <v>4</v>
      </c>
      <c r="R72" s="11">
        <v>148845.87450464899</v>
      </c>
      <c r="S72" s="11">
        <v>928.38682241953302</v>
      </c>
      <c r="T72" s="46">
        <v>0.46268759241202301</v>
      </c>
      <c r="U72" s="14">
        <f t="shared" si="67"/>
        <v>149774.72401466093</v>
      </c>
    </row>
    <row r="73" spans="2:36" x14ac:dyDescent="0.25">
      <c r="B73" s="101" t="s">
        <v>5</v>
      </c>
      <c r="C73" s="129">
        <v>2.2799999999999997E-2</v>
      </c>
      <c r="D73" s="130">
        <f t="shared" si="56"/>
        <v>15.757944722787245</v>
      </c>
      <c r="E73" s="130">
        <f t="shared" si="57"/>
        <v>16.117225862466793</v>
      </c>
      <c r="F73" s="130">
        <f t="shared" si="58"/>
        <v>16.484698612131034</v>
      </c>
      <c r="G73" s="130">
        <f t="shared" si="59"/>
        <v>16.86054974048762</v>
      </c>
      <c r="H73" s="130">
        <f t="shared" si="60"/>
        <v>17.244970274570736</v>
      </c>
      <c r="I73" s="130">
        <f t="shared" si="61"/>
        <v>17.638155596830948</v>
      </c>
      <c r="J73" s="130">
        <f t="shared" si="62"/>
        <v>18.040305544438691</v>
      </c>
      <c r="K73" s="130">
        <f t="shared" si="63"/>
        <v>18.451624510851893</v>
      </c>
      <c r="L73" s="130">
        <f t="shared" si="64"/>
        <v>18.872321549699315</v>
      </c>
      <c r="M73" s="130">
        <f t="shared" si="65"/>
        <v>19.30261048103246</v>
      </c>
      <c r="N73" s="130">
        <v>19.742709999999999</v>
      </c>
      <c r="O73" s="17">
        <f t="shared" si="66"/>
        <v>38.826509285046576</v>
      </c>
      <c r="Q73" s="101" t="s">
        <v>5</v>
      </c>
      <c r="R73" s="11">
        <v>34381.756113589799</v>
      </c>
      <c r="S73" s="11">
        <v>161.37842778671799</v>
      </c>
      <c r="T73" s="14"/>
      <c r="U73" s="14">
        <f t="shared" si="67"/>
        <v>34543.134541376516</v>
      </c>
    </row>
    <row r="74" spans="2:36" x14ac:dyDescent="0.25">
      <c r="B74" s="101" t="s">
        <v>6</v>
      </c>
      <c r="C74" s="129">
        <v>2.58E-2</v>
      </c>
      <c r="D74" s="130">
        <f t="shared" si="56"/>
        <v>8.8569452121066199</v>
      </c>
      <c r="E74" s="130">
        <f t="shared" si="57"/>
        <v>9.0854543985789711</v>
      </c>
      <c r="F74" s="130">
        <f t="shared" si="58"/>
        <v>9.3198591220623097</v>
      </c>
      <c r="G74" s="130">
        <f t="shared" si="59"/>
        <v>9.5603114874115178</v>
      </c>
      <c r="H74" s="130">
        <f t="shared" si="60"/>
        <v>9.8069675237867351</v>
      </c>
      <c r="I74" s="130">
        <f t="shared" si="61"/>
        <v>10.059987285900434</v>
      </c>
      <c r="J74" s="130">
        <f t="shared" si="62"/>
        <v>10.319534957876666</v>
      </c>
      <c r="K74" s="130">
        <f t="shared" si="63"/>
        <v>10.585778959789884</v>
      </c>
      <c r="L74" s="130">
        <f t="shared" si="64"/>
        <v>10.858892056952463</v>
      </c>
      <c r="M74" s="130">
        <f t="shared" si="65"/>
        <v>11.139051472021837</v>
      </c>
      <c r="N74" s="130">
        <v>11.426439</v>
      </c>
      <c r="O74" s="17">
        <f t="shared" si="66"/>
        <v>24.535321174036174</v>
      </c>
      <c r="Q74" s="101" t="s">
        <v>6</v>
      </c>
      <c r="R74" s="11">
        <v>12592.695935711299</v>
      </c>
      <c r="S74" s="11">
        <v>116.35921417471801</v>
      </c>
      <c r="T74" s="14"/>
      <c r="U74" s="14">
        <f t="shared" si="67"/>
        <v>12709.055149886017</v>
      </c>
    </row>
    <row r="75" spans="2:36" x14ac:dyDescent="0.25">
      <c r="B75" s="101" t="s">
        <v>7</v>
      </c>
      <c r="C75" s="129">
        <v>2.4199999999999999E-2</v>
      </c>
      <c r="D75" s="130">
        <f t="shared" si="56"/>
        <v>29.117384905391187</v>
      </c>
      <c r="E75" s="130">
        <f t="shared" si="57"/>
        <v>29.822025620101655</v>
      </c>
      <c r="F75" s="130">
        <f t="shared" si="58"/>
        <v>30.543718640108114</v>
      </c>
      <c r="G75" s="130">
        <f t="shared" si="59"/>
        <v>31.282876631198732</v>
      </c>
      <c r="H75" s="130">
        <f t="shared" si="60"/>
        <v>32.039922245673743</v>
      </c>
      <c r="I75" s="130">
        <f t="shared" si="61"/>
        <v>32.815288364019047</v>
      </c>
      <c r="J75" s="130">
        <f t="shared" si="62"/>
        <v>33.609418342428306</v>
      </c>
      <c r="K75" s="130">
        <f t="shared" si="63"/>
        <v>34.422766266315072</v>
      </c>
      <c r="L75" s="130">
        <f t="shared" si="64"/>
        <v>35.255797209959894</v>
      </c>
      <c r="M75" s="130">
        <f t="shared" si="65"/>
        <v>36.108987502440925</v>
      </c>
      <c r="N75" s="130">
        <v>36.982824999999998</v>
      </c>
      <c r="O75" s="17">
        <f t="shared" si="66"/>
        <v>75.778015460305269</v>
      </c>
      <c r="Q75" s="101" t="s">
        <v>7</v>
      </c>
      <c r="R75" s="11">
        <v>148932.274304138</v>
      </c>
      <c r="S75" s="11">
        <v>29965.5849251578</v>
      </c>
      <c r="T75" s="11">
        <v>370.81304961955902</v>
      </c>
      <c r="U75" s="14">
        <f t="shared" si="67"/>
        <v>179268.67227891536</v>
      </c>
      <c r="Y75" s="2"/>
    </row>
    <row r="76" spans="2:36" x14ac:dyDescent="0.25">
      <c r="B76" s="101" t="s">
        <v>8</v>
      </c>
      <c r="C76" s="129">
        <v>1.1899999999999999E-2</v>
      </c>
      <c r="D76" s="130">
        <f t="shared" si="56"/>
        <v>9.6890374893495448</v>
      </c>
      <c r="E76" s="130">
        <f t="shared" si="57"/>
        <v>9.8043370354728054</v>
      </c>
      <c r="F76" s="130">
        <f t="shared" si="58"/>
        <v>9.9210086461949327</v>
      </c>
      <c r="G76" s="130">
        <f t="shared" si="59"/>
        <v>10.039068649084653</v>
      </c>
      <c r="H76" s="130">
        <f t="shared" si="60"/>
        <v>10.15853356600876</v>
      </c>
      <c r="I76" s="130">
        <f t="shared" si="61"/>
        <v>10.279420115444264</v>
      </c>
      <c r="J76" s="130">
        <f t="shared" si="62"/>
        <v>10.401745214818051</v>
      </c>
      <c r="K76" s="130">
        <f t="shared" si="63"/>
        <v>10.525525982874386</v>
      </c>
      <c r="L76" s="130">
        <f t="shared" si="64"/>
        <v>10.650779742070592</v>
      </c>
      <c r="M76" s="130">
        <f t="shared" si="65"/>
        <v>10.777524021001232</v>
      </c>
      <c r="N76" s="130">
        <v>10.905776556851148</v>
      </c>
      <c r="O76" s="17">
        <f t="shared" si="66"/>
        <v>15.551936440499585</v>
      </c>
      <c r="Q76" s="101" t="s">
        <v>8</v>
      </c>
      <c r="R76" s="11">
        <v>7365.75573141738</v>
      </c>
      <c r="S76" s="11">
        <v>1046.8507913800099</v>
      </c>
      <c r="T76" s="14"/>
      <c r="U76" s="14">
        <f t="shared" si="67"/>
        <v>8412.6065227973904</v>
      </c>
      <c r="Y76" s="2"/>
    </row>
    <row r="77" spans="2:36" x14ac:dyDescent="0.25">
      <c r="B77" s="101" t="s">
        <v>9</v>
      </c>
      <c r="C77" s="129">
        <v>2.98E-2</v>
      </c>
      <c r="D77" s="130">
        <f t="shared" si="56"/>
        <v>8.9436766609828364</v>
      </c>
      <c r="E77" s="130">
        <f t="shared" si="57"/>
        <v>9.2101982254801253</v>
      </c>
      <c r="F77" s="130">
        <f t="shared" si="58"/>
        <v>9.4846621325994338</v>
      </c>
      <c r="G77" s="130">
        <f t="shared" si="59"/>
        <v>9.7673050641508965</v>
      </c>
      <c r="H77" s="130">
        <f t="shared" si="60"/>
        <v>10.058370755062594</v>
      </c>
      <c r="I77" s="130">
        <f t="shared" si="61"/>
        <v>10.358110203563459</v>
      </c>
      <c r="J77" s="130">
        <f t="shared" si="62"/>
        <v>10.66678188762965</v>
      </c>
      <c r="K77" s="130">
        <f t="shared" si="63"/>
        <v>10.984651987881014</v>
      </c>
      <c r="L77" s="130">
        <f t="shared" si="64"/>
        <v>11.311994617119868</v>
      </c>
      <c r="M77" s="130">
        <f t="shared" si="65"/>
        <v>11.649092056710041</v>
      </c>
      <c r="N77" s="130">
        <v>11.996235</v>
      </c>
      <c r="O77" s="17">
        <f t="shared" si="66"/>
        <v>28.948868234503564</v>
      </c>
      <c r="Q77" s="101" t="s">
        <v>9</v>
      </c>
      <c r="R77" s="11">
        <v>42937.449618125</v>
      </c>
      <c r="S77" s="11">
        <v>289.48062176270099</v>
      </c>
      <c r="T77" s="14"/>
      <c r="U77" s="14">
        <f t="shared" si="67"/>
        <v>43226.930239887697</v>
      </c>
      <c r="Y77" s="2"/>
    </row>
    <row r="78" spans="2:36" ht="13.8" thickBot="1" x14ac:dyDescent="0.3">
      <c r="B78" s="185" t="s">
        <v>10</v>
      </c>
      <c r="C78" s="211">
        <v>3.32E-2</v>
      </c>
      <c r="D78" s="212">
        <f t="shared" si="56"/>
        <v>30.238653792381729</v>
      </c>
      <c r="E78" s="212">
        <f t="shared" si="57"/>
        <v>31.242577098288798</v>
      </c>
      <c r="F78" s="212">
        <f t="shared" si="58"/>
        <v>32.279830657951983</v>
      </c>
      <c r="G78" s="212">
        <f t="shared" si="59"/>
        <v>33.351521035795983</v>
      </c>
      <c r="H78" s="212">
        <f t="shared" si="60"/>
        <v>34.458791534184407</v>
      </c>
      <c r="I78" s="212">
        <f t="shared" si="61"/>
        <v>35.602823413119324</v>
      </c>
      <c r="J78" s="212">
        <f t="shared" si="62"/>
        <v>36.784837150434882</v>
      </c>
      <c r="K78" s="212">
        <f t="shared" si="63"/>
        <v>38.006093743829318</v>
      </c>
      <c r="L78" s="212">
        <f t="shared" si="64"/>
        <v>39.267896056124449</v>
      </c>
      <c r="M78" s="212">
        <f t="shared" si="65"/>
        <v>40.571590205187775</v>
      </c>
      <c r="N78" s="212">
        <v>41.918567000000003</v>
      </c>
      <c r="O78" s="114">
        <f t="shared" si="66"/>
        <v>111.67047225308657</v>
      </c>
      <c r="Q78" s="185" t="s">
        <v>10</v>
      </c>
      <c r="R78" s="213">
        <v>67656.990471432495</v>
      </c>
      <c r="S78" s="213">
        <v>1753.8306754422299</v>
      </c>
      <c r="T78" s="214">
        <v>0.26831073485763801</v>
      </c>
      <c r="U78" s="203">
        <f t="shared" si="67"/>
        <v>69411.089457609574</v>
      </c>
      <c r="Y78" s="2"/>
    </row>
    <row r="79" spans="2:36" x14ac:dyDescent="0.25">
      <c r="B79" s="150"/>
      <c r="D79" s="15"/>
      <c r="E79" s="15"/>
      <c r="F79" s="15"/>
      <c r="G79" s="15"/>
      <c r="H79" s="15"/>
      <c r="I79" s="15"/>
      <c r="J79" s="15"/>
      <c r="K79" s="15"/>
      <c r="L79" s="15"/>
      <c r="M79" s="15"/>
      <c r="N79" s="15"/>
      <c r="O79" s="17"/>
      <c r="Q79" s="102"/>
      <c r="U79" s="15"/>
      <c r="Y79" s="2"/>
    </row>
    <row r="80" spans="2:36" x14ac:dyDescent="0.25">
      <c r="N80"/>
      <c r="O80"/>
    </row>
    <row r="83" spans="2:28" s="2" customFormat="1" x14ac:dyDescent="0.25">
      <c r="B83" s="102"/>
      <c r="C83" s="15"/>
      <c r="D83" s="15"/>
      <c r="E83" s="15"/>
      <c r="F83" s="15"/>
      <c r="G83" s="15"/>
      <c r="H83" s="15"/>
      <c r="I83" s="15"/>
      <c r="J83" s="15"/>
      <c r="K83" s="15"/>
      <c r="M83" s="102"/>
      <c r="T83" s="184"/>
    </row>
    <row r="84" spans="2:28" x14ac:dyDescent="0.25">
      <c r="AB84" s="2"/>
    </row>
  </sheetData>
  <mergeCells count="13">
    <mergeCell ref="AL3:AL4"/>
    <mergeCell ref="Y50:AI50"/>
    <mergeCell ref="AB3:AB4"/>
    <mergeCell ref="B33:K33"/>
    <mergeCell ref="M2:W2"/>
    <mergeCell ref="M17:W17"/>
    <mergeCell ref="M33:W33"/>
    <mergeCell ref="Q66:U66"/>
    <mergeCell ref="B2:K2"/>
    <mergeCell ref="B17:K17"/>
    <mergeCell ref="B50:K50"/>
    <mergeCell ref="B66:N66"/>
    <mergeCell ref="M50:W50"/>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K281"/>
  <sheetViews>
    <sheetView topLeftCell="K1" zoomScale="53" zoomScaleNormal="70" workbookViewId="0">
      <selection activeCell="S11" sqref="S11"/>
    </sheetView>
  </sheetViews>
  <sheetFormatPr defaultRowHeight="13.2" x14ac:dyDescent="0.25"/>
  <cols>
    <col min="2" max="2" width="15.109375" bestFit="1" customWidth="1"/>
    <col min="3" max="3" width="13.109375" style="2" bestFit="1" customWidth="1"/>
    <col min="4" max="4" width="14" style="2" bestFit="1" customWidth="1"/>
    <col min="5" max="5" width="15.77734375" style="2" bestFit="1" customWidth="1"/>
    <col min="6" max="6" width="12.77734375" bestFit="1" customWidth="1"/>
    <col min="7" max="8" width="14.21875" style="2" bestFit="1" customWidth="1"/>
    <col min="9" max="9" width="24.21875" style="2" customWidth="1"/>
    <col min="10" max="10" width="13.21875" style="2" customWidth="1"/>
    <col min="11" max="11" width="13.109375" style="2" bestFit="1" customWidth="1"/>
    <col min="12" max="12" width="15" style="2" customWidth="1"/>
    <col min="13" max="13" width="10.21875" bestFit="1" customWidth="1"/>
    <col min="14" max="14" width="20.6640625" style="2" bestFit="1" customWidth="1"/>
    <col min="15" max="15" width="15.77734375" bestFit="1" customWidth="1"/>
    <col min="16" max="16" width="20.6640625" style="2" bestFit="1" customWidth="1"/>
    <col min="17" max="17" width="16.6640625" bestFit="1" customWidth="1"/>
    <col min="18" max="18" width="15" style="2" customWidth="1"/>
    <col min="19" max="19" width="18.5546875" customWidth="1"/>
    <col min="20" max="20" width="17.33203125" style="2" customWidth="1"/>
    <col min="21" max="21" width="21" customWidth="1"/>
    <col min="22" max="22" width="15.77734375" style="2" customWidth="1"/>
    <col min="23" max="23" width="16.44140625" customWidth="1"/>
    <col min="24" max="24" width="17.44140625" bestFit="1" customWidth="1"/>
    <col min="25" max="25" width="15.44140625" bestFit="1" customWidth="1"/>
    <col min="26" max="26" width="12.77734375" bestFit="1" customWidth="1"/>
    <col min="27" max="27" width="12.77734375" style="2" customWidth="1"/>
    <col min="28" max="28" width="21.109375" customWidth="1"/>
    <col min="29" max="29" width="17.88671875" style="2" customWidth="1"/>
    <col min="30" max="30" width="16" customWidth="1"/>
    <col min="33" max="33" width="16.5546875" bestFit="1" customWidth="1"/>
    <col min="34" max="34" width="18" style="2" customWidth="1"/>
    <col min="35" max="35" width="14.33203125" customWidth="1"/>
    <col min="36" max="36" width="14.33203125" style="2" customWidth="1"/>
    <col min="37" max="37" width="19.77734375" customWidth="1"/>
  </cols>
  <sheetData>
    <row r="1" spans="2:29" ht="13.8" thickBot="1" x14ac:dyDescent="0.3">
      <c r="B1" s="23"/>
      <c r="C1" s="23"/>
      <c r="D1" s="23"/>
      <c r="E1" s="23"/>
      <c r="F1" s="23"/>
      <c r="G1" s="23"/>
      <c r="H1" s="23"/>
      <c r="I1" s="23"/>
      <c r="J1" s="23"/>
      <c r="K1" s="23"/>
      <c r="L1" s="23"/>
    </row>
    <row r="2" spans="2:29" x14ac:dyDescent="0.25">
      <c r="B2" s="247" t="s">
        <v>48</v>
      </c>
      <c r="C2" s="247"/>
      <c r="D2" s="247"/>
      <c r="E2" s="247"/>
      <c r="F2" s="247"/>
      <c r="G2" s="247"/>
      <c r="H2" s="247"/>
      <c r="I2" s="247"/>
      <c r="J2" s="247"/>
      <c r="K2" s="247"/>
      <c r="L2" s="247"/>
      <c r="M2" s="247"/>
      <c r="N2" s="65"/>
      <c r="O2" s="65"/>
      <c r="P2" s="65"/>
      <c r="Q2" s="65"/>
      <c r="R2" s="65"/>
      <c r="S2" s="65"/>
      <c r="T2" s="65"/>
      <c r="U2" s="5"/>
      <c r="V2" s="5"/>
      <c r="W2" s="5"/>
      <c r="X2" s="5"/>
    </row>
    <row r="3" spans="2:29" s="8" customFormat="1" ht="26.4" x14ac:dyDescent="0.25">
      <c r="B3" s="191" t="s">
        <v>52</v>
      </c>
      <c r="C3" s="191" t="s">
        <v>242</v>
      </c>
      <c r="D3" s="191" t="s">
        <v>241</v>
      </c>
      <c r="E3" s="191" t="s">
        <v>240</v>
      </c>
      <c r="F3" s="191" t="s">
        <v>243</v>
      </c>
      <c r="G3" s="191" t="s">
        <v>244</v>
      </c>
      <c r="H3" s="224" t="s">
        <v>245</v>
      </c>
      <c r="I3" s="224" t="s">
        <v>246</v>
      </c>
      <c r="J3" s="224" t="s">
        <v>247</v>
      </c>
      <c r="K3" s="191" t="s">
        <v>248</v>
      </c>
      <c r="L3" s="191" t="s">
        <v>133</v>
      </c>
      <c r="M3" s="191" t="s">
        <v>221</v>
      </c>
      <c r="O3" s="2" t="s">
        <v>45</v>
      </c>
      <c r="P3" s="3">
        <v>18.5</v>
      </c>
      <c r="Q3" s="2" t="s">
        <v>49</v>
      </c>
      <c r="R3" s="68"/>
      <c r="S3" s="103"/>
      <c r="T3" s="103"/>
      <c r="U3" s="68"/>
      <c r="V3" s="68"/>
      <c r="W3" s="68"/>
      <c r="X3" s="68"/>
      <c r="Y3" s="68"/>
      <c r="Z3" s="103"/>
      <c r="AA3" s="103"/>
      <c r="AB3" s="103"/>
      <c r="AC3" s="103"/>
    </row>
    <row r="4" spans="2:29" s="8" customFormat="1" ht="13.8" thickBot="1" x14ac:dyDescent="0.3">
      <c r="B4" s="81"/>
      <c r="C4" s="225" t="s">
        <v>198</v>
      </c>
      <c r="D4" s="225" t="s">
        <v>198</v>
      </c>
      <c r="E4" s="225" t="s">
        <v>198</v>
      </c>
      <c r="F4" s="225" t="s">
        <v>198</v>
      </c>
      <c r="G4" s="225" t="s">
        <v>215</v>
      </c>
      <c r="H4" s="228" t="s">
        <v>268</v>
      </c>
      <c r="I4" s="228" t="s">
        <v>268</v>
      </c>
      <c r="J4" s="228" t="s">
        <v>268</v>
      </c>
      <c r="K4" s="223" t="s">
        <v>268</v>
      </c>
      <c r="L4" s="223" t="s">
        <v>268</v>
      </c>
      <c r="M4" s="225" t="s">
        <v>215</v>
      </c>
      <c r="O4" s="2"/>
      <c r="P4" s="3"/>
      <c r="Q4" s="2"/>
      <c r="R4" s="68"/>
      <c r="S4" s="103"/>
      <c r="T4" s="103"/>
      <c r="U4" s="68"/>
      <c r="V4" s="68"/>
      <c r="W4" s="68"/>
      <c r="X4" s="68"/>
      <c r="Y4" s="68"/>
      <c r="Z4" s="103"/>
      <c r="AA4" s="103"/>
      <c r="AB4" s="103"/>
      <c r="AC4" s="103"/>
    </row>
    <row r="5" spans="2:29" x14ac:dyDescent="0.25">
      <c r="B5" s="82" t="s">
        <v>1</v>
      </c>
      <c r="C5" s="83">
        <v>13199.085501550475</v>
      </c>
      <c r="D5" s="84">
        <v>7498.2226388555227</v>
      </c>
      <c r="E5" s="84">
        <v>7480.8958351792899</v>
      </c>
      <c r="F5" s="84">
        <v>17.326803676232597</v>
      </c>
      <c r="G5" s="83">
        <v>6.169632</v>
      </c>
      <c r="H5" s="78">
        <v>19.811006136278799</v>
      </c>
      <c r="I5" s="78">
        <v>12.678271607557253</v>
      </c>
      <c r="J5" s="78">
        <v>7.1530660073489152</v>
      </c>
      <c r="K5" s="84">
        <v>0</v>
      </c>
      <c r="L5" s="85">
        <f t="shared" ref="L5:L15" si="0">K5+J5</f>
        <v>7.1530660073489152</v>
      </c>
      <c r="M5" s="226">
        <v>15.507664289227339</v>
      </c>
      <c r="O5" s="3" t="s">
        <v>59</v>
      </c>
      <c r="P5" s="229">
        <f>P3*1000000</f>
        <v>18500000</v>
      </c>
      <c r="Q5" s="3" t="s">
        <v>58</v>
      </c>
      <c r="R5" s="161"/>
      <c r="S5" s="5"/>
      <c r="T5" s="5"/>
      <c r="U5" s="69"/>
      <c r="V5" s="69"/>
      <c r="W5" s="69"/>
      <c r="X5" s="70"/>
      <c r="Y5" s="71"/>
      <c r="Z5" s="5"/>
      <c r="AA5" s="5"/>
      <c r="AB5" s="5"/>
      <c r="AC5" s="5"/>
    </row>
    <row r="6" spans="2:29" x14ac:dyDescent="0.25">
      <c r="B6" s="82" t="s">
        <v>195</v>
      </c>
      <c r="C6" s="83">
        <v>20450.034940117202</v>
      </c>
      <c r="D6" s="84">
        <v>4549.0211045835576</v>
      </c>
      <c r="E6" s="84">
        <v>4095.8505435363099</v>
      </c>
      <c r="F6" s="84">
        <v>453.17056104724901</v>
      </c>
      <c r="G6" s="83">
        <v>3.8753060000000001</v>
      </c>
      <c r="H6" s="78">
        <v>27</v>
      </c>
      <c r="I6" s="78">
        <v>26.084130370190923</v>
      </c>
      <c r="J6" s="78">
        <v>1.3224981196287995</v>
      </c>
      <c r="K6" s="84">
        <v>0</v>
      </c>
      <c r="L6" s="85">
        <f t="shared" si="0"/>
        <v>1.3224981196287995</v>
      </c>
      <c r="M6" s="226">
        <v>9.9410984401006655</v>
      </c>
      <c r="O6" s="3" t="s">
        <v>59</v>
      </c>
      <c r="P6" s="72">
        <f>P5/$P$12</f>
        <v>1.8499999999999999E-2</v>
      </c>
      <c r="Q6" s="3" t="s">
        <v>269</v>
      </c>
      <c r="R6" s="187"/>
      <c r="S6" s="5"/>
      <c r="T6" s="5"/>
      <c r="U6" s="69"/>
      <c r="V6" s="69"/>
      <c r="W6" s="69"/>
      <c r="X6" s="70"/>
      <c r="Y6" s="71"/>
      <c r="Z6" s="5"/>
      <c r="AA6" s="5"/>
      <c r="AB6" s="5"/>
      <c r="AC6" s="5"/>
    </row>
    <row r="7" spans="2:29" x14ac:dyDescent="0.25">
      <c r="B7" s="82" t="s">
        <v>2</v>
      </c>
      <c r="C7" s="83">
        <v>251430.37783690859</v>
      </c>
      <c r="D7" s="84">
        <v>33738.127951375733</v>
      </c>
      <c r="E7" s="84">
        <v>36.2275463161657</v>
      </c>
      <c r="F7" s="84">
        <v>32732.968091907202</v>
      </c>
      <c r="G7" s="83">
        <v>83.946549000000005</v>
      </c>
      <c r="H7" s="78">
        <v>4.4920799454717004</v>
      </c>
      <c r="I7" s="78">
        <v>68.224789784349042</v>
      </c>
      <c r="J7" s="78">
        <v>0</v>
      </c>
      <c r="K7" s="84">
        <v>56.5</v>
      </c>
      <c r="L7" s="85">
        <f t="shared" si="0"/>
        <v>56.5</v>
      </c>
      <c r="M7" s="226">
        <v>149.39694777300656</v>
      </c>
      <c r="O7" s="3"/>
      <c r="P7" s="72"/>
      <c r="Q7" s="3"/>
      <c r="R7" s="138"/>
      <c r="S7" s="5"/>
      <c r="T7" s="5"/>
      <c r="U7" s="69"/>
      <c r="V7" s="69"/>
      <c r="W7" s="69"/>
      <c r="X7" s="70"/>
      <c r="Y7" s="71"/>
      <c r="Z7" s="5"/>
      <c r="AA7" s="5"/>
      <c r="AB7" s="5"/>
      <c r="AC7" s="5"/>
    </row>
    <row r="8" spans="2:29" x14ac:dyDescent="0.25">
      <c r="B8" s="82" t="s">
        <v>3</v>
      </c>
      <c r="C8" s="83">
        <v>24496.645034227455</v>
      </c>
      <c r="D8" s="84">
        <v>4739.5256339269945</v>
      </c>
      <c r="E8" s="84">
        <v>4571.8337917332701</v>
      </c>
      <c r="F8" s="84">
        <v>167.66828675695399</v>
      </c>
      <c r="G8" s="83">
        <v>1.2901100000000001</v>
      </c>
      <c r="H8" s="78">
        <v>14.349918475935281</v>
      </c>
      <c r="I8" s="78">
        <v>12.495254145281351</v>
      </c>
      <c r="J8" s="78">
        <v>1.9103503028842752</v>
      </c>
      <c r="K8" s="84">
        <v>0</v>
      </c>
      <c r="L8" s="85">
        <f t="shared" si="0"/>
        <v>1.9103503028842752</v>
      </c>
      <c r="M8" s="226">
        <v>1.9635873386079545</v>
      </c>
      <c r="O8" t="s">
        <v>46</v>
      </c>
      <c r="P8" s="17">
        <v>10</v>
      </c>
      <c r="Q8" s="3" t="s">
        <v>56</v>
      </c>
      <c r="S8" s="5"/>
      <c r="T8" s="5"/>
      <c r="U8" s="69"/>
      <c r="V8" s="69"/>
      <c r="W8" s="69"/>
      <c r="X8" s="70"/>
      <c r="Y8" s="71"/>
      <c r="Z8" s="5"/>
      <c r="AA8" s="5"/>
      <c r="AB8" s="5"/>
      <c r="AC8" s="5"/>
    </row>
    <row r="9" spans="2:29" x14ac:dyDescent="0.25">
      <c r="B9" s="82" t="s">
        <v>4</v>
      </c>
      <c r="C9" s="83">
        <v>363314.38569269452</v>
      </c>
      <c r="D9" s="84">
        <v>149774.72401466093</v>
      </c>
      <c r="E9" s="84">
        <v>148845.87450464899</v>
      </c>
      <c r="F9" s="84">
        <v>928.38682241953302</v>
      </c>
      <c r="G9" s="83">
        <v>39.232453</v>
      </c>
      <c r="H9" s="78">
        <v>448.50336533961865</v>
      </c>
      <c r="I9" s="78">
        <v>371.80449767139828</v>
      </c>
      <c r="J9" s="78">
        <v>77.313145320001027</v>
      </c>
      <c r="K9" s="84">
        <v>0</v>
      </c>
      <c r="L9" s="85">
        <f t="shared" si="0"/>
        <v>77.313145320001027</v>
      </c>
      <c r="M9" s="226">
        <v>88.532021248695301</v>
      </c>
      <c r="O9" s="3" t="s">
        <v>57</v>
      </c>
      <c r="P9" s="2">
        <v>10000000</v>
      </c>
      <c r="Q9" s="3" t="s">
        <v>58</v>
      </c>
      <c r="S9" s="5"/>
      <c r="T9" s="5"/>
      <c r="U9" s="69"/>
      <c r="V9" s="69"/>
      <c r="W9" s="69"/>
      <c r="X9" s="70"/>
      <c r="Y9" s="64"/>
      <c r="Z9" s="5"/>
      <c r="AA9" s="5"/>
      <c r="AB9" s="5"/>
      <c r="AC9" s="5"/>
    </row>
    <row r="10" spans="2:29" x14ac:dyDescent="0.25">
      <c r="B10" s="82" t="s">
        <v>5</v>
      </c>
      <c r="C10" s="83">
        <v>49475.746319971244</v>
      </c>
      <c r="D10" s="84">
        <v>34543.134541376516</v>
      </c>
      <c r="E10" s="84">
        <v>34381.756113589799</v>
      </c>
      <c r="F10" s="84">
        <v>161.37842778671799</v>
      </c>
      <c r="G10" s="83">
        <v>19.742709999999999</v>
      </c>
      <c r="H10" s="78">
        <v>83.428364274259323</v>
      </c>
      <c r="I10" s="78">
        <v>57.060380284925856</v>
      </c>
      <c r="J10" s="78">
        <v>27.678981965070257</v>
      </c>
      <c r="K10" s="84">
        <v>0</v>
      </c>
      <c r="L10" s="85">
        <f t="shared" si="0"/>
        <v>27.678981965070257</v>
      </c>
      <c r="M10" s="226">
        <v>38.826509285046576</v>
      </c>
      <c r="O10" s="3" t="s">
        <v>57</v>
      </c>
      <c r="P10" s="73">
        <f>P9/$P$12</f>
        <v>0.01</v>
      </c>
      <c r="Q10" s="3" t="s">
        <v>269</v>
      </c>
      <c r="R10"/>
      <c r="S10" s="5"/>
      <c r="T10" s="5"/>
      <c r="U10" s="69"/>
      <c r="V10" s="69"/>
      <c r="W10" s="69"/>
      <c r="X10" s="70"/>
      <c r="Y10" s="71"/>
      <c r="Z10" s="5"/>
      <c r="AA10" s="5"/>
      <c r="AB10" s="5"/>
      <c r="AC10" s="5"/>
    </row>
    <row r="11" spans="2:29" x14ac:dyDescent="0.25">
      <c r="B11" s="82" t="s">
        <v>6</v>
      </c>
      <c r="C11" s="83">
        <v>20836.189535136225</v>
      </c>
      <c r="D11" s="84">
        <v>12709.055149886017</v>
      </c>
      <c r="E11" s="84">
        <v>12592.695935711299</v>
      </c>
      <c r="F11" s="84">
        <v>116.35921417471801</v>
      </c>
      <c r="G11" s="83">
        <v>11.426439</v>
      </c>
      <c r="H11" s="78">
        <v>27.762864026902566</v>
      </c>
      <c r="I11" s="78">
        <v>19.681066838943018</v>
      </c>
      <c r="J11" s="78">
        <v>8.1725692358649695</v>
      </c>
      <c r="K11" s="84">
        <v>3.8</v>
      </c>
      <c r="L11" s="85">
        <f t="shared" si="0"/>
        <v>11.97256923586497</v>
      </c>
      <c r="M11" s="226">
        <v>24.535321174036174</v>
      </c>
      <c r="O11" s="2"/>
      <c r="P11"/>
      <c r="Q11" s="2"/>
      <c r="R11"/>
      <c r="S11" s="5"/>
      <c r="T11" s="5"/>
      <c r="U11" s="69"/>
      <c r="V11" s="69"/>
      <c r="W11" s="69"/>
      <c r="X11" s="70"/>
      <c r="Y11" s="71"/>
      <c r="Z11" s="5"/>
      <c r="AA11" s="5"/>
      <c r="AB11" s="5"/>
      <c r="AC11" s="5"/>
    </row>
    <row r="12" spans="2:29" x14ac:dyDescent="0.25">
      <c r="B12" s="82" t="s">
        <v>7</v>
      </c>
      <c r="C12" s="83">
        <v>1339764.2833351614</v>
      </c>
      <c r="D12" s="84">
        <v>179268.67227891536</v>
      </c>
      <c r="E12" s="84">
        <v>148932.274304138</v>
      </c>
      <c r="F12" s="84">
        <v>29965.5849251578</v>
      </c>
      <c r="G12" s="83">
        <v>36.982824999999998</v>
      </c>
      <c r="H12" s="78">
        <v>416.80308732067164</v>
      </c>
      <c r="I12" s="78">
        <v>477.69664528568518</v>
      </c>
      <c r="J12" s="78">
        <v>0</v>
      </c>
      <c r="K12" s="84">
        <v>33.799999999999997</v>
      </c>
      <c r="L12" s="85">
        <f t="shared" si="0"/>
        <v>33.799999999999997</v>
      </c>
      <c r="M12" s="226">
        <v>75.778015460305269</v>
      </c>
      <c r="O12" s="64" t="s">
        <v>50</v>
      </c>
      <c r="P12" s="69">
        <v>1000000000</v>
      </c>
      <c r="Q12" s="2"/>
      <c r="R12"/>
      <c r="S12" s="5"/>
      <c r="T12" s="5"/>
      <c r="U12" s="69"/>
      <c r="V12" s="69"/>
      <c r="W12" s="69"/>
      <c r="X12" s="70"/>
      <c r="Y12" s="71"/>
      <c r="Z12" s="5"/>
      <c r="AA12" s="5"/>
      <c r="AB12" s="5"/>
      <c r="AC12" s="5"/>
    </row>
    <row r="13" spans="2:29" x14ac:dyDescent="0.25">
      <c r="B13" s="82" t="s">
        <v>8</v>
      </c>
      <c r="C13" s="83">
        <v>617141.72101696266</v>
      </c>
      <c r="D13" s="84">
        <v>8412.6065227973904</v>
      </c>
      <c r="E13" s="84">
        <v>7365.75573141738</v>
      </c>
      <c r="F13" s="84">
        <v>1046.8507913800099</v>
      </c>
      <c r="G13" s="83">
        <v>10.905776556851148</v>
      </c>
      <c r="H13" s="78">
        <v>647.46120330334657</v>
      </c>
      <c r="I13" s="78">
        <v>779.51516859702542</v>
      </c>
      <c r="J13" s="78">
        <v>0</v>
      </c>
      <c r="K13" s="84">
        <v>23.5</v>
      </c>
      <c r="L13" s="85">
        <f t="shared" si="0"/>
        <v>23.5</v>
      </c>
      <c r="M13" s="226">
        <v>15.551936440499585</v>
      </c>
      <c r="O13" s="64" t="s">
        <v>53</v>
      </c>
      <c r="P13" s="69">
        <v>1000000</v>
      </c>
      <c r="Q13" s="2"/>
      <c r="R13"/>
      <c r="S13" s="5"/>
      <c r="T13" s="5"/>
      <c r="U13" s="69"/>
      <c r="V13" s="69"/>
      <c r="W13" s="69"/>
      <c r="X13" s="70"/>
      <c r="Y13" s="71"/>
      <c r="Z13" s="5"/>
      <c r="AA13" s="5"/>
      <c r="AB13" s="5"/>
      <c r="AC13" s="5"/>
    </row>
    <row r="14" spans="2:29" x14ac:dyDescent="0.25">
      <c r="B14" s="82" t="s">
        <v>9</v>
      </c>
      <c r="C14" s="83">
        <v>119784.51078433092</v>
      </c>
      <c r="D14" s="84">
        <v>43226.930239887697</v>
      </c>
      <c r="E14" s="84">
        <v>42937.449618125</v>
      </c>
      <c r="F14" s="84">
        <v>289.48062176270099</v>
      </c>
      <c r="G14" s="83">
        <v>11.996235</v>
      </c>
      <c r="H14" s="78">
        <v>162.7577156565315</v>
      </c>
      <c r="I14" s="78">
        <v>115.09356267302397</v>
      </c>
      <c r="J14" s="78">
        <v>58.968413233176513</v>
      </c>
      <c r="K14" s="84">
        <v>0</v>
      </c>
      <c r="L14" s="85">
        <f t="shared" si="0"/>
        <v>58.968413233176513</v>
      </c>
      <c r="M14" s="226">
        <v>28.948868234503564</v>
      </c>
      <c r="O14" s="117" t="s">
        <v>123</v>
      </c>
      <c r="P14" s="2">
        <v>11</v>
      </c>
      <c r="Q14" s="2"/>
      <c r="R14"/>
      <c r="S14" s="5"/>
      <c r="T14" s="5"/>
      <c r="U14" s="69"/>
      <c r="V14" s="69"/>
      <c r="W14" s="69"/>
      <c r="X14" s="70"/>
      <c r="Y14" s="71"/>
      <c r="Z14" s="5"/>
      <c r="AA14" s="5"/>
      <c r="AB14" s="5"/>
      <c r="AC14" s="5"/>
    </row>
    <row r="15" spans="2:29" ht="13.8" thickBot="1" x14ac:dyDescent="0.3">
      <c r="B15" s="86" t="s">
        <v>10</v>
      </c>
      <c r="C15" s="87">
        <v>237021.44592026682</v>
      </c>
      <c r="D15" s="87">
        <v>69411.089457609574</v>
      </c>
      <c r="E15" s="87">
        <v>67656.990471432495</v>
      </c>
      <c r="F15" s="87">
        <v>1753.8306754422299</v>
      </c>
      <c r="G15" s="87">
        <v>41.918567000000003</v>
      </c>
      <c r="H15" s="79">
        <v>330.96219581347026</v>
      </c>
      <c r="I15" s="79">
        <v>275.60885090207972</v>
      </c>
      <c r="J15" s="79">
        <v>61.077225932354281</v>
      </c>
      <c r="K15" s="87">
        <v>21.1</v>
      </c>
      <c r="L15" s="87">
        <f t="shared" si="0"/>
        <v>82.177225932354276</v>
      </c>
      <c r="M15" s="227">
        <v>111.67047225308657</v>
      </c>
      <c r="O15" s="69"/>
      <c r="P15" s="69"/>
      <c r="Q15" s="69"/>
      <c r="R15" s="69"/>
      <c r="S15" s="5"/>
      <c r="T15" s="5"/>
      <c r="U15" s="69"/>
      <c r="V15" s="69"/>
      <c r="W15" s="69"/>
      <c r="X15" s="70"/>
      <c r="Y15" s="71"/>
      <c r="Z15" s="5"/>
      <c r="AA15" s="5"/>
      <c r="AB15" s="5"/>
      <c r="AC15" s="5"/>
    </row>
    <row r="16" spans="2:29" ht="13.8" thickBot="1" x14ac:dyDescent="0.3">
      <c r="B16" s="86" t="s">
        <v>11</v>
      </c>
      <c r="C16" s="87">
        <f>SUM(C5:C15)</f>
        <v>3056914.4259173274</v>
      </c>
      <c r="D16" s="87">
        <f t="shared" ref="D16:L16" si="1">SUM(D5:D15)</f>
        <v>547871.10953387525</v>
      </c>
      <c r="E16" s="87">
        <f t="shared" si="1"/>
        <v>478897.60439582798</v>
      </c>
      <c r="F16" s="87">
        <f t="shared" si="1"/>
        <v>67633.005221511354</v>
      </c>
      <c r="G16" s="87">
        <f t="shared" si="1"/>
        <v>267.48660255685115</v>
      </c>
      <c r="H16" s="87">
        <f t="shared" si="1"/>
        <v>2183.3318002924862</v>
      </c>
      <c r="I16" s="87">
        <f t="shared" si="1"/>
        <v>2215.9426181604604</v>
      </c>
      <c r="J16" s="188">
        <f t="shared" si="1"/>
        <v>243.59625011632903</v>
      </c>
      <c r="K16" s="188">
        <f t="shared" si="1"/>
        <v>138.69999999999999</v>
      </c>
      <c r="L16" s="188">
        <f t="shared" si="1"/>
        <v>382.29625011632902</v>
      </c>
      <c r="M16" s="86"/>
      <c r="N16" s="69"/>
      <c r="O16" s="69"/>
      <c r="P16" s="5"/>
      <c r="Q16" s="69"/>
      <c r="V16" s="69"/>
      <c r="W16" s="5"/>
      <c r="X16" s="5"/>
    </row>
    <row r="17" spans="2:37" s="2" customFormat="1" x14ac:dyDescent="0.25">
      <c r="B17" s="65"/>
      <c r="C17" s="69"/>
      <c r="D17" s="65"/>
      <c r="E17" s="69"/>
      <c r="F17" s="69"/>
      <c r="G17" s="69"/>
      <c r="H17" s="69"/>
      <c r="I17" s="69"/>
      <c r="J17" s="69"/>
      <c r="K17" s="69"/>
      <c r="L17" s="69"/>
      <c r="M17" s="69"/>
      <c r="N17" s="69"/>
      <c r="O17" s="69"/>
      <c r="P17" s="5"/>
      <c r="Q17" s="69"/>
      <c r="V17" s="69"/>
      <c r="W17" s="5"/>
      <c r="X17" s="5"/>
    </row>
    <row r="18" spans="2:37" ht="13.8" thickBot="1" x14ac:dyDescent="0.3">
      <c r="B18" s="23"/>
      <c r="C18" s="23"/>
      <c r="D18" s="23"/>
      <c r="E18" s="23"/>
      <c r="F18" s="23"/>
      <c r="G18" s="23"/>
      <c r="H18" s="23"/>
      <c r="I18" s="23"/>
      <c r="J18" s="4"/>
      <c r="K18" s="4"/>
      <c r="L18" s="4"/>
      <c r="M18" s="5"/>
      <c r="N18" s="5"/>
      <c r="O18" s="5"/>
      <c r="P18" s="5"/>
      <c r="Q18" s="5"/>
      <c r="R18" s="243" t="s">
        <v>121</v>
      </c>
      <c r="S18" s="243"/>
      <c r="T18" s="243"/>
      <c r="U18" s="243"/>
      <c r="V18" s="243"/>
      <c r="W18" s="243"/>
      <c r="Y18" s="249" t="s">
        <v>122</v>
      </c>
      <c r="Z18" s="249"/>
      <c r="AA18" s="249"/>
      <c r="AB18" s="249"/>
      <c r="AC18" s="249"/>
      <c r="AD18" s="249"/>
      <c r="AG18" s="249" t="s">
        <v>216</v>
      </c>
      <c r="AH18" s="249"/>
      <c r="AI18" s="249"/>
      <c r="AJ18" s="249"/>
      <c r="AK18" s="249"/>
    </row>
    <row r="19" spans="2:37" ht="13.2" customHeight="1" thickBot="1" x14ac:dyDescent="0.3">
      <c r="B19" s="248" t="s">
        <v>75</v>
      </c>
      <c r="C19" s="248"/>
      <c r="D19" s="248"/>
      <c r="E19" s="248"/>
      <c r="F19" s="248"/>
      <c r="G19" s="248"/>
      <c r="H19" s="248"/>
      <c r="I19" s="248"/>
      <c r="J19" s="47"/>
      <c r="K19" s="248" t="s">
        <v>60</v>
      </c>
      <c r="L19" s="248"/>
      <c r="M19" s="248"/>
      <c r="N19" s="248"/>
      <c r="O19" s="248"/>
      <c r="P19" s="248"/>
      <c r="Q19" s="5"/>
      <c r="R19" s="244" t="s">
        <v>219</v>
      </c>
      <c r="S19" s="244"/>
      <c r="T19" s="244"/>
      <c r="U19" s="244"/>
      <c r="V19" s="244"/>
      <c r="W19" s="244"/>
      <c r="Y19" s="250" t="s">
        <v>125</v>
      </c>
      <c r="Z19" s="250"/>
      <c r="AA19" s="250"/>
      <c r="AB19" s="250"/>
      <c r="AC19" s="250"/>
      <c r="AD19" s="250"/>
      <c r="AG19" s="250" t="s">
        <v>253</v>
      </c>
      <c r="AH19" s="250"/>
      <c r="AI19" s="250"/>
      <c r="AJ19" s="250"/>
      <c r="AK19" s="250"/>
    </row>
    <row r="20" spans="2:37" s="16" customFormat="1" ht="23.4" customHeight="1" x14ac:dyDescent="0.25">
      <c r="B20" s="191" t="s">
        <v>52</v>
      </c>
      <c r="C20" s="191" t="s">
        <v>224</v>
      </c>
      <c r="D20" s="191" t="s">
        <v>239</v>
      </c>
      <c r="E20" s="191" t="s">
        <v>238</v>
      </c>
      <c r="F20" s="191" t="s">
        <v>223</v>
      </c>
      <c r="G20" s="191" t="s">
        <v>237</v>
      </c>
      <c r="H20" s="191" t="s">
        <v>222</v>
      </c>
      <c r="I20" s="191" t="s">
        <v>236</v>
      </c>
      <c r="J20" s="105"/>
      <c r="K20" s="192" t="s">
        <v>52</v>
      </c>
      <c r="L20" s="192" t="s">
        <v>227</v>
      </c>
      <c r="M20" s="192" t="s">
        <v>226</v>
      </c>
      <c r="N20" s="192" t="s">
        <v>225</v>
      </c>
      <c r="O20" s="192" t="s">
        <v>228</v>
      </c>
      <c r="P20" s="192" t="s">
        <v>229</v>
      </c>
      <c r="R20" s="191" t="s">
        <v>52</v>
      </c>
      <c r="S20" s="191" t="s">
        <v>233</v>
      </c>
      <c r="T20" s="191" t="s">
        <v>234</v>
      </c>
      <c r="U20" s="191" t="s">
        <v>235</v>
      </c>
      <c r="V20" s="191" t="s">
        <v>230</v>
      </c>
      <c r="W20" s="191" t="s">
        <v>231</v>
      </c>
      <c r="Y20" s="191" t="s">
        <v>52</v>
      </c>
      <c r="Z20" s="191" t="s">
        <v>124</v>
      </c>
      <c r="AA20" s="191" t="s">
        <v>232</v>
      </c>
      <c r="AB20" s="191" t="s">
        <v>107</v>
      </c>
      <c r="AC20" s="191" t="s">
        <v>238</v>
      </c>
      <c r="AD20" s="191" t="s">
        <v>108</v>
      </c>
      <c r="AG20" s="191" t="s">
        <v>52</v>
      </c>
      <c r="AH20" s="191" t="s">
        <v>251</v>
      </c>
      <c r="AI20" s="191" t="s">
        <v>249</v>
      </c>
      <c r="AJ20" s="191" t="s">
        <v>133</v>
      </c>
      <c r="AK20" s="191" t="s">
        <v>250</v>
      </c>
    </row>
    <row r="21" spans="2:37" s="16" customFormat="1" ht="15.6" customHeight="1" thickBot="1" x14ac:dyDescent="0.3">
      <c r="B21" s="81"/>
      <c r="C21" s="223" t="s">
        <v>268</v>
      </c>
      <c r="D21" s="223" t="s">
        <v>268</v>
      </c>
      <c r="E21" s="223" t="s">
        <v>268</v>
      </c>
      <c r="F21" s="223" t="s">
        <v>268</v>
      </c>
      <c r="G21" s="223" t="s">
        <v>268</v>
      </c>
      <c r="H21" s="223" t="s">
        <v>268</v>
      </c>
      <c r="I21" s="223" t="s">
        <v>268</v>
      </c>
      <c r="J21" s="105"/>
      <c r="K21" s="104"/>
      <c r="L21" s="223" t="s">
        <v>268</v>
      </c>
      <c r="M21" s="223" t="s">
        <v>268</v>
      </c>
      <c r="N21" s="223" t="s">
        <v>268</v>
      </c>
      <c r="O21" s="223" t="s">
        <v>268</v>
      </c>
      <c r="P21" s="223" t="s">
        <v>268</v>
      </c>
      <c r="R21" s="81"/>
      <c r="S21" s="223" t="s">
        <v>268</v>
      </c>
      <c r="T21" s="223" t="s">
        <v>268</v>
      </c>
      <c r="U21" s="223" t="s">
        <v>268</v>
      </c>
      <c r="V21" s="81"/>
      <c r="W21" s="81"/>
      <c r="Y21" s="81"/>
      <c r="Z21" s="223" t="s">
        <v>268</v>
      </c>
      <c r="AA21" s="223" t="s">
        <v>268</v>
      </c>
      <c r="AB21" s="223" t="s">
        <v>268</v>
      </c>
      <c r="AC21" s="223" t="s">
        <v>268</v>
      </c>
      <c r="AD21" s="223" t="s">
        <v>268</v>
      </c>
      <c r="AG21" s="81"/>
      <c r="AH21" s="225" t="s">
        <v>215</v>
      </c>
      <c r="AI21" s="223" t="s">
        <v>268</v>
      </c>
      <c r="AJ21" s="223" t="s">
        <v>268</v>
      </c>
      <c r="AK21" s="223" t="s">
        <v>268</v>
      </c>
    </row>
    <row r="22" spans="2:37" x14ac:dyDescent="0.25">
      <c r="B22" s="82" t="s">
        <v>1</v>
      </c>
      <c r="C22" s="85">
        <f t="shared" ref="C22:E32" si="2">D5*$P$10</f>
        <v>74.982226388555233</v>
      </c>
      <c r="D22" s="88">
        <f t="shared" si="2"/>
        <v>74.808958351792896</v>
      </c>
      <c r="E22" s="88">
        <f t="shared" si="2"/>
        <v>0.17326803676232597</v>
      </c>
      <c r="F22" s="85">
        <f t="shared" ref="F22:F32" si="3">D22-H5</f>
        <v>54.997952215514097</v>
      </c>
      <c r="G22" s="85">
        <f t="shared" ref="G22:G32" si="4">E22-H5</f>
        <v>-19.637738099516472</v>
      </c>
      <c r="H22" s="85">
        <f t="shared" ref="H22:H32" si="5">E22-J5</f>
        <v>-6.9797979705865894</v>
      </c>
      <c r="I22" s="85">
        <f t="shared" ref="I22:I32" si="6">E22-L5</f>
        <v>-6.9797979705865894</v>
      </c>
      <c r="J22"/>
      <c r="K22" s="82" t="s">
        <v>1</v>
      </c>
      <c r="L22" s="88">
        <f t="shared" ref="L22:L32" si="7">G5*$P$6</f>
        <v>0.114138192</v>
      </c>
      <c r="M22" s="91">
        <f t="shared" ref="M22:M32" si="8">L22-H5</f>
        <v>-19.6968679442788</v>
      </c>
      <c r="N22" s="91">
        <f t="shared" ref="N22:N32" si="9">L22-I5</f>
        <v>-12.564133415557253</v>
      </c>
      <c r="O22" s="91">
        <f t="shared" ref="O22:O32" si="10">L22-J5</f>
        <v>-7.0389278153489148</v>
      </c>
      <c r="P22" s="91">
        <f t="shared" ref="P22:P32" si="11">L22-L5</f>
        <v>-7.0389278153489148</v>
      </c>
      <c r="R22" s="82" t="s">
        <v>1</v>
      </c>
      <c r="S22" s="189">
        <f t="shared" ref="S22:S32" si="12">($L$16/$G$16)*G5</f>
        <v>8.8177394892008039</v>
      </c>
      <c r="T22" s="189">
        <f t="shared" ref="T22:T32" si="13">($L$16/$C$16)*C5</f>
        <v>1.6506712943700892</v>
      </c>
      <c r="U22" s="109">
        <f>($L$16/$F$16)*F5</f>
        <v>9.7939934063712514E-2</v>
      </c>
      <c r="V22" s="88">
        <f>L22-S22</f>
        <v>-8.7036012972008034</v>
      </c>
      <c r="W22" s="88">
        <f>E22-U22</f>
        <v>7.5328102698613453E-2</v>
      </c>
      <c r="Y22" s="82" t="s">
        <v>1</v>
      </c>
      <c r="Z22" s="118">
        <v>34.754204556029912</v>
      </c>
      <c r="AA22" s="118">
        <v>0.114138192</v>
      </c>
      <c r="AB22" s="118">
        <f>AA22-Z22</f>
        <v>-34.640066364029913</v>
      </c>
      <c r="AC22" s="118">
        <v>0.17326803676232599</v>
      </c>
      <c r="AD22" s="118">
        <f>E22-Z22</f>
        <v>-34.580936519267588</v>
      </c>
      <c r="AG22" s="82" t="s">
        <v>1</v>
      </c>
      <c r="AH22" s="226">
        <v>15.507664289227339</v>
      </c>
      <c r="AI22" s="118">
        <f>AH22*$P$6</f>
        <v>0.28689178935070575</v>
      </c>
      <c r="AJ22" s="118">
        <v>7.1530660073489152</v>
      </c>
      <c r="AK22" s="118">
        <f t="shared" ref="AK22:AK32" si="14">AI22-L5</f>
        <v>-6.8661742179982097</v>
      </c>
    </row>
    <row r="23" spans="2:37" x14ac:dyDescent="0.25">
      <c r="B23" s="82" t="s">
        <v>195</v>
      </c>
      <c r="C23" s="85">
        <f t="shared" si="2"/>
        <v>45.490211045835579</v>
      </c>
      <c r="D23" s="88">
        <f t="shared" si="2"/>
        <v>40.958505435363101</v>
      </c>
      <c r="E23" s="88">
        <f t="shared" si="2"/>
        <v>4.53170561047249</v>
      </c>
      <c r="F23" s="85">
        <f t="shared" si="3"/>
        <v>13.958505435363101</v>
      </c>
      <c r="G23" s="85">
        <f t="shared" si="4"/>
        <v>-22.468294389527511</v>
      </c>
      <c r="H23" s="85">
        <f t="shared" si="5"/>
        <v>3.2092074908436903</v>
      </c>
      <c r="I23" s="85">
        <f t="shared" si="6"/>
        <v>3.2092074908436903</v>
      </c>
      <c r="J23"/>
      <c r="K23" s="82" t="s">
        <v>195</v>
      </c>
      <c r="L23" s="88">
        <f t="shared" si="7"/>
        <v>7.1693161000000005E-2</v>
      </c>
      <c r="M23" s="91">
        <f t="shared" si="8"/>
        <v>-26.928306839000001</v>
      </c>
      <c r="N23" s="91">
        <f t="shared" si="9"/>
        <v>-26.012437209190924</v>
      </c>
      <c r="O23" s="91">
        <f t="shared" si="10"/>
        <v>-1.2508049586287995</v>
      </c>
      <c r="P23" s="91">
        <f t="shared" si="11"/>
        <v>-1.2508049586287995</v>
      </c>
      <c r="R23" s="82" t="s">
        <v>195</v>
      </c>
      <c r="S23" s="189">
        <f t="shared" si="12"/>
        <v>5.538651049031257</v>
      </c>
      <c r="T23" s="189">
        <f t="shared" si="13"/>
        <v>2.5574715491123619</v>
      </c>
      <c r="U23" s="109">
        <f t="shared" ref="U23:U32" si="15">($L$16/$F$16)*F6</f>
        <v>2.5615512069005892</v>
      </c>
      <c r="V23" s="88">
        <f t="shared" ref="V23:V32" si="16">L23-S23</f>
        <v>-5.4669578880312573</v>
      </c>
      <c r="W23" s="88">
        <f t="shared" ref="W23:W32" si="17">E23-U23</f>
        <v>1.9701544035719007</v>
      </c>
      <c r="Y23" s="82" t="s">
        <v>195</v>
      </c>
      <c r="Z23" s="118">
        <v>34.754204556029912</v>
      </c>
      <c r="AA23" s="118">
        <v>7.1693161000000005E-2</v>
      </c>
      <c r="AB23" s="118">
        <f t="shared" ref="AB23:AB32" si="18">AA23-Z23</f>
        <v>-34.682511395029913</v>
      </c>
      <c r="AC23" s="118">
        <v>4.53170561047249</v>
      </c>
      <c r="AD23" s="118">
        <f t="shared" ref="AD23:AD32" si="19">E23-Z23</f>
        <v>-30.222498945557422</v>
      </c>
      <c r="AG23" s="82" t="s">
        <v>195</v>
      </c>
      <c r="AH23" s="226">
        <v>9.9410984401006655</v>
      </c>
      <c r="AI23" s="118">
        <f t="shared" ref="AI23:AI32" si="20">AH23*$P$6</f>
        <v>0.18391032114186232</v>
      </c>
      <c r="AJ23" s="118">
        <v>1.3224981196287995</v>
      </c>
      <c r="AK23" s="118">
        <f t="shared" si="14"/>
        <v>-1.1385877984869373</v>
      </c>
    </row>
    <row r="24" spans="2:37" x14ac:dyDescent="0.25">
      <c r="B24" s="82" t="s">
        <v>2</v>
      </c>
      <c r="C24" s="85">
        <f t="shared" si="2"/>
        <v>337.38127951375731</v>
      </c>
      <c r="D24" s="88">
        <f t="shared" si="2"/>
        <v>0.36227546316165699</v>
      </c>
      <c r="E24" s="88">
        <f t="shared" si="2"/>
        <v>327.32968091907202</v>
      </c>
      <c r="F24" s="85">
        <f t="shared" si="3"/>
        <v>-4.1298044823100435</v>
      </c>
      <c r="G24" s="85">
        <f t="shared" si="4"/>
        <v>322.83760097360033</v>
      </c>
      <c r="H24" s="85">
        <f t="shared" si="5"/>
        <v>327.32968091907202</v>
      </c>
      <c r="I24" s="85">
        <f t="shared" si="6"/>
        <v>270.82968091907202</v>
      </c>
      <c r="J24"/>
      <c r="K24" s="82" t="s">
        <v>2</v>
      </c>
      <c r="L24" s="88">
        <f t="shared" si="7"/>
        <v>1.5530111565</v>
      </c>
      <c r="M24" s="91">
        <f t="shared" si="8"/>
        <v>-2.9390687889717002</v>
      </c>
      <c r="N24" s="91">
        <f t="shared" si="9"/>
        <v>-66.671778627849037</v>
      </c>
      <c r="O24" s="91">
        <f t="shared" si="10"/>
        <v>1.5530111565</v>
      </c>
      <c r="P24" s="91">
        <f t="shared" si="11"/>
        <v>-54.946988843500002</v>
      </c>
      <c r="R24" s="82" t="s">
        <v>2</v>
      </c>
      <c r="S24" s="189">
        <f t="shared" si="12"/>
        <v>119.97778799439421</v>
      </c>
      <c r="T24" s="189">
        <f t="shared" si="13"/>
        <v>31.443762310597783</v>
      </c>
      <c r="U24" s="109">
        <f t="shared" si="15"/>
        <v>185.02343516643657</v>
      </c>
      <c r="V24" s="88">
        <f t="shared" si="16"/>
        <v>-118.4247768378942</v>
      </c>
      <c r="W24" s="88">
        <f>E24-U24</f>
        <v>142.30624575263545</v>
      </c>
      <c r="Y24" s="82" t="s">
        <v>2</v>
      </c>
      <c r="Z24" s="118">
        <v>34.754204556029912</v>
      </c>
      <c r="AA24" s="118">
        <v>1.5530111565</v>
      </c>
      <c r="AB24" s="118">
        <f t="shared" si="18"/>
        <v>-33.201193399529913</v>
      </c>
      <c r="AC24" s="118">
        <v>327.32968091907202</v>
      </c>
      <c r="AD24" s="118">
        <f>E24-Z24</f>
        <v>292.57547636304213</v>
      </c>
      <c r="AG24" s="82" t="s">
        <v>2</v>
      </c>
      <c r="AH24" s="226">
        <v>149.39694777300656</v>
      </c>
      <c r="AI24" s="118">
        <f t="shared" si="20"/>
        <v>2.7638435338006211</v>
      </c>
      <c r="AJ24" s="118">
        <v>56.5</v>
      </c>
      <c r="AK24" s="118">
        <f t="shared" si="14"/>
        <v>-53.736156466199375</v>
      </c>
    </row>
    <row r="25" spans="2:37" x14ac:dyDescent="0.25">
      <c r="B25" s="82" t="s">
        <v>3</v>
      </c>
      <c r="C25" s="85">
        <f t="shared" si="2"/>
        <v>47.395256339269949</v>
      </c>
      <c r="D25" s="88">
        <f t="shared" si="2"/>
        <v>45.718337917332704</v>
      </c>
      <c r="E25" s="88">
        <f t="shared" si="2"/>
        <v>1.67668286756954</v>
      </c>
      <c r="F25" s="85">
        <f t="shared" si="3"/>
        <v>31.368419441397421</v>
      </c>
      <c r="G25" s="85">
        <f t="shared" si="4"/>
        <v>-12.673235608365742</v>
      </c>
      <c r="H25" s="85">
        <f t="shared" si="5"/>
        <v>-0.23366743531473522</v>
      </c>
      <c r="I25" s="85">
        <f t="shared" si="6"/>
        <v>-0.23366743531473522</v>
      </c>
      <c r="J25"/>
      <c r="K25" s="82" t="s">
        <v>3</v>
      </c>
      <c r="L25" s="88">
        <f t="shared" si="7"/>
        <v>2.3867035000000002E-2</v>
      </c>
      <c r="M25" s="91">
        <f t="shared" si="8"/>
        <v>-14.326051440935281</v>
      </c>
      <c r="N25" s="91">
        <f t="shared" si="9"/>
        <v>-12.47138711028135</v>
      </c>
      <c r="O25" s="91">
        <f t="shared" si="10"/>
        <v>-1.8864832678842751</v>
      </c>
      <c r="P25" s="91">
        <f t="shared" si="11"/>
        <v>-1.8864832678842751</v>
      </c>
      <c r="R25" s="82" t="s">
        <v>3</v>
      </c>
      <c r="S25" s="189">
        <f t="shared" si="12"/>
        <v>1.8438464226736457</v>
      </c>
      <c r="T25" s="189">
        <f t="shared" si="13"/>
        <v>3.063538664222071</v>
      </c>
      <c r="U25" s="109">
        <f t="shared" si="15"/>
        <v>0.94774669675961021</v>
      </c>
      <c r="V25" s="88">
        <f t="shared" si="16"/>
        <v>-1.8199793876736456</v>
      </c>
      <c r="W25" s="88">
        <f t="shared" si="17"/>
        <v>0.72893617080992978</v>
      </c>
      <c r="Y25" s="82" t="s">
        <v>3</v>
      </c>
      <c r="Z25" s="118">
        <v>34.754204556029912</v>
      </c>
      <c r="AA25" s="118">
        <v>2.3867035000000002E-2</v>
      </c>
      <c r="AB25" s="118">
        <f t="shared" si="18"/>
        <v>-34.730337521029909</v>
      </c>
      <c r="AC25" s="118">
        <v>1.67668286756954</v>
      </c>
      <c r="AD25" s="118">
        <f t="shared" si="19"/>
        <v>-33.077521688460372</v>
      </c>
      <c r="AG25" s="82" t="s">
        <v>3</v>
      </c>
      <c r="AH25" s="226">
        <v>1.9635873386079545</v>
      </c>
      <c r="AI25" s="118">
        <f t="shared" si="20"/>
        <v>3.6326365764247158E-2</v>
      </c>
      <c r="AJ25" s="118">
        <v>1.9103503028842752</v>
      </c>
      <c r="AK25" s="118">
        <f t="shared" si="14"/>
        <v>-1.874023937120028</v>
      </c>
    </row>
    <row r="26" spans="2:37" x14ac:dyDescent="0.25">
      <c r="B26" s="82" t="s">
        <v>4</v>
      </c>
      <c r="C26" s="85">
        <f t="shared" si="2"/>
        <v>1497.7472401466093</v>
      </c>
      <c r="D26" s="88">
        <f t="shared" si="2"/>
        <v>1488.4587450464899</v>
      </c>
      <c r="E26" s="88">
        <f t="shared" si="2"/>
        <v>9.2838682241953308</v>
      </c>
      <c r="F26" s="85">
        <f t="shared" si="3"/>
        <v>1039.9553797068711</v>
      </c>
      <c r="G26" s="85">
        <f t="shared" si="4"/>
        <v>-439.21949711542334</v>
      </c>
      <c r="H26" s="85">
        <f t="shared" si="5"/>
        <v>-68.029277095805696</v>
      </c>
      <c r="I26" s="85">
        <f t="shared" si="6"/>
        <v>-68.029277095805696</v>
      </c>
      <c r="J26"/>
      <c r="K26" s="82" t="s">
        <v>4</v>
      </c>
      <c r="L26" s="88">
        <f t="shared" si="7"/>
        <v>0.72580038049999995</v>
      </c>
      <c r="M26" s="91">
        <f t="shared" si="8"/>
        <v>-447.77756495911865</v>
      </c>
      <c r="N26" s="91">
        <f t="shared" si="9"/>
        <v>-371.07869729089828</v>
      </c>
      <c r="O26" s="91">
        <f t="shared" si="10"/>
        <v>-76.587344939501023</v>
      </c>
      <c r="P26" s="91">
        <f t="shared" si="11"/>
        <v>-76.587344939501023</v>
      </c>
      <c r="R26" s="82" t="s">
        <v>4</v>
      </c>
      <c r="S26" s="189">
        <f t="shared" si="12"/>
        <v>56.071666847603638</v>
      </c>
      <c r="T26" s="189">
        <f t="shared" si="13"/>
        <v>45.435922604197586</v>
      </c>
      <c r="U26" s="109">
        <f t="shared" si="15"/>
        <v>5.247715959182548</v>
      </c>
      <c r="V26" s="88">
        <f t="shared" si="16"/>
        <v>-55.34586646710364</v>
      </c>
      <c r="W26" s="88">
        <f t="shared" si="17"/>
        <v>4.0361522650127828</v>
      </c>
      <c r="Y26" s="82" t="s">
        <v>4</v>
      </c>
      <c r="Z26" s="118">
        <v>34.754204556029912</v>
      </c>
      <c r="AA26" s="118">
        <v>0.72580038049999995</v>
      </c>
      <c r="AB26" s="118">
        <f t="shared" si="18"/>
        <v>-34.028404175529914</v>
      </c>
      <c r="AC26" s="118">
        <v>9.2838682241953308</v>
      </c>
      <c r="AD26" s="118">
        <f t="shared" si="19"/>
        <v>-25.470336331834581</v>
      </c>
      <c r="AG26" s="82" t="s">
        <v>4</v>
      </c>
      <c r="AH26" s="226">
        <v>88.532021248695301</v>
      </c>
      <c r="AI26" s="118">
        <f t="shared" si="20"/>
        <v>1.637842393100863</v>
      </c>
      <c r="AJ26" s="118">
        <v>77.313145320001027</v>
      </c>
      <c r="AK26" s="118">
        <f t="shared" si="14"/>
        <v>-75.675302926900159</v>
      </c>
    </row>
    <row r="27" spans="2:37" x14ac:dyDescent="0.25">
      <c r="B27" s="82" t="s">
        <v>5</v>
      </c>
      <c r="C27" s="85">
        <f t="shared" si="2"/>
        <v>345.43134541376514</v>
      </c>
      <c r="D27" s="88">
        <f t="shared" si="2"/>
        <v>343.81756113589802</v>
      </c>
      <c r="E27" s="88">
        <f t="shared" si="2"/>
        <v>1.61378427786718</v>
      </c>
      <c r="F27" s="85">
        <f t="shared" si="3"/>
        <v>260.38919686163871</v>
      </c>
      <c r="G27" s="85">
        <f t="shared" si="4"/>
        <v>-81.814579996392141</v>
      </c>
      <c r="H27" s="85">
        <f t="shared" si="5"/>
        <v>-26.065197687203078</v>
      </c>
      <c r="I27" s="85">
        <f t="shared" si="6"/>
        <v>-26.065197687203078</v>
      </c>
      <c r="J27"/>
      <c r="K27" s="82" t="s">
        <v>5</v>
      </c>
      <c r="L27" s="88">
        <f t="shared" si="7"/>
        <v>0.36524013499999997</v>
      </c>
      <c r="M27" s="91">
        <f t="shared" si="8"/>
        <v>-83.06312413925933</v>
      </c>
      <c r="N27" s="91">
        <f t="shared" si="9"/>
        <v>-56.695140149925855</v>
      </c>
      <c r="O27" s="91">
        <f t="shared" si="10"/>
        <v>-27.313741830070256</v>
      </c>
      <c r="P27" s="91">
        <f t="shared" si="11"/>
        <v>-27.313741830070256</v>
      </c>
      <c r="R27" s="82" t="s">
        <v>5</v>
      </c>
      <c r="S27" s="189">
        <f t="shared" si="12"/>
        <v>28.216605721514604</v>
      </c>
      <c r="T27" s="189">
        <f t="shared" si="13"/>
        <v>6.1874130755740371</v>
      </c>
      <c r="U27" s="109">
        <f t="shared" si="15"/>
        <v>0.91219320493699674</v>
      </c>
      <c r="V27" s="88">
        <f t="shared" si="16"/>
        <v>-27.851365586514603</v>
      </c>
      <c r="W27" s="88">
        <f t="shared" si="17"/>
        <v>0.7015910729301833</v>
      </c>
      <c r="Y27" s="82" t="s">
        <v>5</v>
      </c>
      <c r="Z27" s="118">
        <v>34.754204556029912</v>
      </c>
      <c r="AA27" s="118">
        <v>0.36524013499999997</v>
      </c>
      <c r="AB27" s="118">
        <f t="shared" si="18"/>
        <v>-34.388964421029911</v>
      </c>
      <c r="AC27" s="118">
        <v>1.61378427786718</v>
      </c>
      <c r="AD27" s="118">
        <f t="shared" si="19"/>
        <v>-33.140420278162729</v>
      </c>
      <c r="AG27" s="82" t="s">
        <v>5</v>
      </c>
      <c r="AH27" s="226">
        <v>38.826509285046576</v>
      </c>
      <c r="AI27" s="118">
        <f t="shared" si="20"/>
        <v>0.71829042177336166</v>
      </c>
      <c r="AJ27" s="118">
        <v>27.678981965070257</v>
      </c>
      <c r="AK27" s="118">
        <f t="shared" si="14"/>
        <v>-26.960691543296896</v>
      </c>
    </row>
    <row r="28" spans="2:37" x14ac:dyDescent="0.25">
      <c r="B28" s="82" t="s">
        <v>6</v>
      </c>
      <c r="C28" s="85">
        <f t="shared" si="2"/>
        <v>127.09055149886017</v>
      </c>
      <c r="D28" s="88">
        <f t="shared" si="2"/>
        <v>125.92695935711299</v>
      </c>
      <c r="E28" s="88">
        <f t="shared" si="2"/>
        <v>1.1635921417471802</v>
      </c>
      <c r="F28" s="85">
        <f t="shared" si="3"/>
        <v>98.164095330210429</v>
      </c>
      <c r="G28" s="85">
        <f t="shared" si="4"/>
        <v>-26.599271885155385</v>
      </c>
      <c r="H28" s="85">
        <f t="shared" si="5"/>
        <v>-7.0089770941177889</v>
      </c>
      <c r="I28" s="85">
        <f t="shared" si="6"/>
        <v>-10.80897709411779</v>
      </c>
      <c r="J28"/>
      <c r="K28" s="82" t="s">
        <v>6</v>
      </c>
      <c r="L28" s="88">
        <f t="shared" si="7"/>
        <v>0.2113891215</v>
      </c>
      <c r="M28" s="91">
        <f t="shared" si="8"/>
        <v>-27.551474905402564</v>
      </c>
      <c r="N28" s="91">
        <f t="shared" si="9"/>
        <v>-19.469677717443016</v>
      </c>
      <c r="O28" s="91">
        <f t="shared" si="10"/>
        <v>-7.9611801143649696</v>
      </c>
      <c r="P28" s="91">
        <f t="shared" si="11"/>
        <v>-11.76118011436497</v>
      </c>
      <c r="R28" s="82" t="s">
        <v>6</v>
      </c>
      <c r="S28" s="189">
        <f t="shared" si="12"/>
        <v>16.330854480663376</v>
      </c>
      <c r="T28" s="189">
        <f t="shared" si="13"/>
        <v>2.605763857326604</v>
      </c>
      <c r="U28" s="109">
        <f t="shared" si="15"/>
        <v>0.65772164196733052</v>
      </c>
      <c r="V28" s="88">
        <f t="shared" si="16"/>
        <v>-16.119465359163375</v>
      </c>
      <c r="W28" s="88">
        <f t="shared" si="17"/>
        <v>0.50587049977984966</v>
      </c>
      <c r="Y28" s="82" t="s">
        <v>6</v>
      </c>
      <c r="Z28" s="118">
        <v>34.754204556029912</v>
      </c>
      <c r="AA28" s="118">
        <v>0.2113891215</v>
      </c>
      <c r="AB28" s="118">
        <f t="shared" si="18"/>
        <v>-34.542815434529913</v>
      </c>
      <c r="AC28" s="118">
        <v>1.1635921417471802</v>
      </c>
      <c r="AD28" s="118">
        <f t="shared" si="19"/>
        <v>-33.590612414282731</v>
      </c>
      <c r="AG28" s="82" t="s">
        <v>6</v>
      </c>
      <c r="AH28" s="226">
        <v>24.535321174036174</v>
      </c>
      <c r="AI28" s="118">
        <f t="shared" si="20"/>
        <v>0.45390344171966918</v>
      </c>
      <c r="AJ28" s="118">
        <v>11.97256923586497</v>
      </c>
      <c r="AK28" s="118">
        <f t="shared" si="14"/>
        <v>-11.518665794145301</v>
      </c>
    </row>
    <row r="29" spans="2:37" x14ac:dyDescent="0.25">
      <c r="B29" s="82" t="s">
        <v>7</v>
      </c>
      <c r="C29" s="85">
        <f t="shared" si="2"/>
        <v>1792.6867227891537</v>
      </c>
      <c r="D29" s="88">
        <f t="shared" si="2"/>
        <v>1489.3227430413801</v>
      </c>
      <c r="E29" s="88">
        <f t="shared" si="2"/>
        <v>299.65584925157799</v>
      </c>
      <c r="F29" s="85">
        <f t="shared" si="3"/>
        <v>1072.5196557207084</v>
      </c>
      <c r="G29" s="85">
        <f t="shared" si="4"/>
        <v>-117.14723806909365</v>
      </c>
      <c r="H29" s="85">
        <f t="shared" si="5"/>
        <v>299.65584925157799</v>
      </c>
      <c r="I29" s="85">
        <f t="shared" si="6"/>
        <v>265.85584925157798</v>
      </c>
      <c r="J29"/>
      <c r="K29" s="82" t="s">
        <v>7</v>
      </c>
      <c r="L29" s="88">
        <f t="shared" si="7"/>
        <v>0.68418226249999992</v>
      </c>
      <c r="M29" s="91">
        <f t="shared" si="8"/>
        <v>-416.11890505817166</v>
      </c>
      <c r="N29" s="91">
        <f t="shared" si="9"/>
        <v>-477.01246302318521</v>
      </c>
      <c r="O29" s="91">
        <f t="shared" si="10"/>
        <v>0.68418226249999992</v>
      </c>
      <c r="P29" s="91">
        <f t="shared" si="11"/>
        <v>-33.115817737499995</v>
      </c>
      <c r="R29" s="82" t="s">
        <v>7</v>
      </c>
      <c r="S29" s="189">
        <f t="shared" si="12"/>
        <v>52.856461523913048</v>
      </c>
      <c r="T29" s="189">
        <f t="shared" si="13"/>
        <v>167.55027789341037</v>
      </c>
      <c r="U29" s="109">
        <f t="shared" si="15"/>
        <v>169.38077366088436</v>
      </c>
      <c r="V29" s="88">
        <f t="shared" si="16"/>
        <v>-52.172279261413046</v>
      </c>
      <c r="W29" s="88">
        <f t="shared" si="17"/>
        <v>130.27507559069363</v>
      </c>
      <c r="Y29" s="82" t="s">
        <v>7</v>
      </c>
      <c r="Z29" s="118">
        <v>34.754204556029912</v>
      </c>
      <c r="AA29" s="118">
        <v>0.68418226249999992</v>
      </c>
      <c r="AB29" s="118">
        <f t="shared" si="18"/>
        <v>-34.07002229352991</v>
      </c>
      <c r="AC29" s="118">
        <v>299.65584925157799</v>
      </c>
      <c r="AD29" s="118">
        <f t="shared" si="19"/>
        <v>264.9016446955481</v>
      </c>
      <c r="AG29" s="82" t="s">
        <v>7</v>
      </c>
      <c r="AH29" s="226">
        <v>75.778015460305269</v>
      </c>
      <c r="AI29" s="118">
        <f t="shared" si="20"/>
        <v>1.4018932860156474</v>
      </c>
      <c r="AJ29" s="118">
        <v>33.799999999999997</v>
      </c>
      <c r="AK29" s="118">
        <f t="shared" si="14"/>
        <v>-32.398106713984347</v>
      </c>
    </row>
    <row r="30" spans="2:37" x14ac:dyDescent="0.25">
      <c r="B30" s="82" t="s">
        <v>8</v>
      </c>
      <c r="C30" s="85">
        <f t="shared" si="2"/>
        <v>84.126065227973911</v>
      </c>
      <c r="D30" s="88">
        <f t="shared" si="2"/>
        <v>73.6575573141738</v>
      </c>
      <c r="E30" s="88">
        <f t="shared" si="2"/>
        <v>10.468507913800099</v>
      </c>
      <c r="F30" s="85">
        <f t="shared" si="3"/>
        <v>-573.80364598917276</v>
      </c>
      <c r="G30" s="85">
        <f t="shared" si="4"/>
        <v>-636.9926953895465</v>
      </c>
      <c r="H30" s="85">
        <f t="shared" si="5"/>
        <v>10.468507913800099</v>
      </c>
      <c r="I30" s="85">
        <f t="shared" si="6"/>
        <v>-13.031492086199901</v>
      </c>
      <c r="J30"/>
      <c r="K30" s="82" t="s">
        <v>8</v>
      </c>
      <c r="L30" s="88">
        <f t="shared" si="7"/>
        <v>0.20175686630174622</v>
      </c>
      <c r="M30" s="91">
        <f t="shared" si="8"/>
        <v>-647.25944643704486</v>
      </c>
      <c r="N30" s="91">
        <f t="shared" si="9"/>
        <v>-779.31341173072371</v>
      </c>
      <c r="O30" s="91">
        <f t="shared" si="10"/>
        <v>0.20175686630174622</v>
      </c>
      <c r="P30" s="91">
        <f t="shared" si="11"/>
        <v>-23.298243133698254</v>
      </c>
      <c r="R30" s="82" t="s">
        <v>8</v>
      </c>
      <c r="S30" s="189">
        <f t="shared" si="12"/>
        <v>15.586715156713844</v>
      </c>
      <c r="T30" s="189">
        <f t="shared" si="13"/>
        <v>77.179447267099633</v>
      </c>
      <c r="U30" s="109">
        <f t="shared" si="15"/>
        <v>5.9173347489902657</v>
      </c>
      <c r="V30" s="88">
        <f t="shared" si="16"/>
        <v>-15.384958290412097</v>
      </c>
      <c r="W30" s="88">
        <f t="shared" si="17"/>
        <v>4.5511731648098337</v>
      </c>
      <c r="Y30" s="82" t="s">
        <v>8</v>
      </c>
      <c r="Z30" s="118">
        <v>34.754204556029912</v>
      </c>
      <c r="AA30" s="118">
        <v>0.20175686630174622</v>
      </c>
      <c r="AB30" s="118">
        <f t="shared" si="18"/>
        <v>-34.552447689728169</v>
      </c>
      <c r="AC30" s="118">
        <v>10.468507913800099</v>
      </c>
      <c r="AD30" s="118">
        <f t="shared" si="19"/>
        <v>-24.285696642229812</v>
      </c>
      <c r="AG30" s="82" t="s">
        <v>8</v>
      </c>
      <c r="AH30" s="226">
        <v>15.551936440499585</v>
      </c>
      <c r="AI30" s="118">
        <f t="shared" si="20"/>
        <v>0.28771082414924232</v>
      </c>
      <c r="AJ30" s="118">
        <v>23.5</v>
      </c>
      <c r="AK30" s="118">
        <f t="shared" si="14"/>
        <v>-23.212289175850756</v>
      </c>
    </row>
    <row r="31" spans="2:37" x14ac:dyDescent="0.25">
      <c r="B31" s="82" t="s">
        <v>9</v>
      </c>
      <c r="C31" s="85">
        <f t="shared" si="2"/>
        <v>432.26930239887696</v>
      </c>
      <c r="D31" s="88">
        <f t="shared" si="2"/>
        <v>429.37449618124998</v>
      </c>
      <c r="E31" s="88">
        <f t="shared" si="2"/>
        <v>2.8948062176270102</v>
      </c>
      <c r="F31" s="85">
        <f t="shared" si="3"/>
        <v>266.61678052471848</v>
      </c>
      <c r="G31" s="85">
        <f t="shared" si="4"/>
        <v>-159.8629094389045</v>
      </c>
      <c r="H31" s="85">
        <f t="shared" si="5"/>
        <v>-56.073607015549506</v>
      </c>
      <c r="I31" s="85">
        <f t="shared" si="6"/>
        <v>-56.073607015549506</v>
      </c>
      <c r="J31"/>
      <c r="K31" s="82" t="s">
        <v>9</v>
      </c>
      <c r="L31" s="88">
        <f t="shared" si="7"/>
        <v>0.22193034749999999</v>
      </c>
      <c r="M31" s="91">
        <f t="shared" si="8"/>
        <v>-162.5357853090315</v>
      </c>
      <c r="N31" s="91">
        <f t="shared" si="9"/>
        <v>-114.87163232552396</v>
      </c>
      <c r="O31" s="91">
        <f t="shared" si="10"/>
        <v>-58.746482885676514</v>
      </c>
      <c r="P31" s="91">
        <f t="shared" si="11"/>
        <v>-58.746482885676514</v>
      </c>
      <c r="R31" s="82" t="s">
        <v>9</v>
      </c>
      <c r="S31" s="189">
        <f t="shared" si="12"/>
        <v>17.145216291868429</v>
      </c>
      <c r="T31" s="189">
        <f t="shared" si="13"/>
        <v>14.980193395870723</v>
      </c>
      <c r="U31" s="109">
        <f t="shared" si="15"/>
        <v>1.6362921597046691</v>
      </c>
      <c r="V31" s="88">
        <f t="shared" si="16"/>
        <v>-16.92328594436843</v>
      </c>
      <c r="W31" s="88">
        <f t="shared" si="17"/>
        <v>1.2585140579223411</v>
      </c>
      <c r="Y31" s="82" t="s">
        <v>9</v>
      </c>
      <c r="Z31" s="118">
        <v>34.754204556029912</v>
      </c>
      <c r="AA31" s="118">
        <v>0.22193034749999999</v>
      </c>
      <c r="AB31" s="118">
        <f t="shared" si="18"/>
        <v>-34.532274208529913</v>
      </c>
      <c r="AC31" s="118">
        <v>2.8948062176270102</v>
      </c>
      <c r="AD31" s="118">
        <f t="shared" si="19"/>
        <v>-31.859398338402901</v>
      </c>
      <c r="AG31" s="82" t="s">
        <v>9</v>
      </c>
      <c r="AH31" s="226">
        <v>28.948868234503564</v>
      </c>
      <c r="AI31" s="118">
        <f t="shared" si="20"/>
        <v>0.53555406233831593</v>
      </c>
      <c r="AJ31" s="118">
        <v>58.968413233176513</v>
      </c>
      <c r="AK31" s="118">
        <f t="shared" si="14"/>
        <v>-58.432859170838199</v>
      </c>
    </row>
    <row r="32" spans="2:37" ht="13.8" thickBot="1" x14ac:dyDescent="0.3">
      <c r="B32" s="86" t="s">
        <v>10</v>
      </c>
      <c r="C32" s="89">
        <f t="shared" si="2"/>
        <v>694.1108945760958</v>
      </c>
      <c r="D32" s="90">
        <f t="shared" si="2"/>
        <v>676.56990471432493</v>
      </c>
      <c r="E32" s="90">
        <f t="shared" si="2"/>
        <v>17.538306754422301</v>
      </c>
      <c r="F32" s="89">
        <f t="shared" si="3"/>
        <v>345.60770890085467</v>
      </c>
      <c r="G32" s="89">
        <f t="shared" si="4"/>
        <v>-313.42388905904795</v>
      </c>
      <c r="H32" s="89">
        <f t="shared" si="5"/>
        <v>-43.53891917793198</v>
      </c>
      <c r="I32" s="89">
        <f t="shared" si="6"/>
        <v>-64.638919177931967</v>
      </c>
      <c r="J32"/>
      <c r="K32" s="86" t="s">
        <v>10</v>
      </c>
      <c r="L32" s="90">
        <f t="shared" si="7"/>
        <v>0.77549348949999997</v>
      </c>
      <c r="M32" s="92">
        <f t="shared" si="8"/>
        <v>-330.18670232397028</v>
      </c>
      <c r="N32" s="92">
        <f t="shared" si="9"/>
        <v>-274.83335741257974</v>
      </c>
      <c r="O32" s="92">
        <f t="shared" si="10"/>
        <v>-60.301732442854281</v>
      </c>
      <c r="P32" s="92">
        <f t="shared" si="11"/>
        <v>-81.401732442854282</v>
      </c>
      <c r="R32" s="86" t="s">
        <v>10</v>
      </c>
      <c r="S32" s="190">
        <f t="shared" si="12"/>
        <v>59.910705138752149</v>
      </c>
      <c r="T32" s="190">
        <f t="shared" si="13"/>
        <v>29.641788204547812</v>
      </c>
      <c r="U32" s="110">
        <f t="shared" si="15"/>
        <v>9.9135457365023196</v>
      </c>
      <c r="V32" s="90">
        <f t="shared" si="16"/>
        <v>-59.135211649252149</v>
      </c>
      <c r="W32" s="88">
        <f t="shared" si="17"/>
        <v>7.6247610179199814</v>
      </c>
      <c r="Y32" s="86" t="s">
        <v>10</v>
      </c>
      <c r="Z32" s="118">
        <v>34.754204556029912</v>
      </c>
      <c r="AA32" s="118">
        <v>0.77549348949999997</v>
      </c>
      <c r="AB32" s="118">
        <f t="shared" si="18"/>
        <v>-33.978711066529911</v>
      </c>
      <c r="AC32" s="118">
        <v>17.538306754422301</v>
      </c>
      <c r="AD32" s="118">
        <f t="shared" si="19"/>
        <v>-17.215897801607611</v>
      </c>
      <c r="AG32" s="86" t="s">
        <v>10</v>
      </c>
      <c r="AH32" s="227">
        <v>111.67047225308657</v>
      </c>
      <c r="AI32" s="118">
        <f t="shared" si="20"/>
        <v>2.0659037366821016</v>
      </c>
      <c r="AJ32" s="118">
        <v>82.177225932354276</v>
      </c>
      <c r="AK32" s="118">
        <f t="shared" si="14"/>
        <v>-80.111322195672173</v>
      </c>
    </row>
    <row r="33" spans="1:37" ht="13.8" thickBot="1" x14ac:dyDescent="0.3">
      <c r="G33" s="45"/>
      <c r="H33" s="45"/>
      <c r="L33" s="74">
        <f>SUM(L22:L32)</f>
        <v>4.9485021473017454</v>
      </c>
      <c r="R33" s="86" t="s">
        <v>11</v>
      </c>
      <c r="S33" s="190">
        <f>SUM(S22:S32)</f>
        <v>382.29625011632902</v>
      </c>
      <c r="T33" s="190">
        <f>SUM(T22:T32)</f>
        <v>382.29625011632913</v>
      </c>
      <c r="U33" s="190">
        <f>SUM(U22:U32)</f>
        <v>382.29625011632896</v>
      </c>
      <c r="V33" s="208">
        <f>SUM(V22:V32)</f>
        <v>-377.34774796902724</v>
      </c>
      <c r="W33" s="208">
        <f>SUM(W22:W32)</f>
        <v>294.03380209878446</v>
      </c>
      <c r="Y33" s="86" t="s">
        <v>11</v>
      </c>
      <c r="Z33" s="115">
        <f>SUM(Z22:Z32)</f>
        <v>382.29625011632896</v>
      </c>
      <c r="AA33" s="115">
        <f t="shared" ref="AA33:AD33" si="21">SUM(AA22:AA32)</f>
        <v>4.9485021473017454</v>
      </c>
      <c r="AB33" s="115">
        <f t="shared" si="21"/>
        <v>-377.34774796902735</v>
      </c>
      <c r="AC33" s="115">
        <f t="shared" si="21"/>
        <v>676.33005221511326</v>
      </c>
      <c r="AD33" s="115">
        <f t="shared" si="21"/>
        <v>294.03380209878446</v>
      </c>
      <c r="AG33" s="86" t="s">
        <v>11</v>
      </c>
      <c r="AH33" s="227">
        <f>SUM(AH22:AH32)</f>
        <v>560.65244193711555</v>
      </c>
      <c r="AI33" s="115">
        <f>SUM(AI22:AI32)</f>
        <v>10.372070175836637</v>
      </c>
      <c r="AJ33" s="115">
        <f>SUM(AJ22:AJ32)</f>
        <v>382.29625011632902</v>
      </c>
      <c r="AK33" s="208">
        <f>SUM(AK22:AK32)</f>
        <v>-371.92417994049237</v>
      </c>
    </row>
    <row r="34" spans="1:37" s="2" customFormat="1" ht="13.8" thickBot="1" x14ac:dyDescent="0.3">
      <c r="G34" s="45"/>
      <c r="H34" s="45"/>
    </row>
    <row r="35" spans="1:37" ht="13.8" thickBot="1" x14ac:dyDescent="0.3">
      <c r="B35" s="245" t="s">
        <v>129</v>
      </c>
      <c r="C35" s="245"/>
      <c r="D35" s="245"/>
      <c r="E35" s="245"/>
      <c r="F35" s="245"/>
      <c r="G35" s="245"/>
      <c r="H35" s="245"/>
      <c r="I35" s="245"/>
      <c r="J35" s="245"/>
      <c r="K35" s="245"/>
      <c r="L35" s="245"/>
      <c r="M35" s="5"/>
      <c r="N35" s="65"/>
      <c r="O35" s="65"/>
      <c r="P35" s="65"/>
      <c r="Q35" s="65"/>
      <c r="R35" s="65"/>
      <c r="S35" s="65"/>
      <c r="T35" s="65"/>
      <c r="U35" s="5"/>
      <c r="V35" s="5"/>
      <c r="W35" s="5"/>
      <c r="X35" s="5"/>
      <c r="Y35" s="2"/>
      <c r="Z35" s="2"/>
    </row>
    <row r="36" spans="1:37" ht="48" customHeight="1" thickBot="1" x14ac:dyDescent="0.3">
      <c r="B36" s="81" t="s">
        <v>52</v>
      </c>
      <c r="C36" s="81" t="s">
        <v>51</v>
      </c>
      <c r="D36" s="81" t="s">
        <v>74</v>
      </c>
      <c r="E36" s="81" t="s">
        <v>54</v>
      </c>
      <c r="F36" s="81" t="s">
        <v>55</v>
      </c>
      <c r="G36" s="81" t="s">
        <v>187</v>
      </c>
      <c r="H36" s="80" t="s">
        <v>270</v>
      </c>
      <c r="I36" s="80" t="s">
        <v>271</v>
      </c>
      <c r="J36" s="80" t="s">
        <v>272</v>
      </c>
      <c r="K36" s="81" t="s">
        <v>273</v>
      </c>
      <c r="L36" s="81" t="s">
        <v>274</v>
      </c>
      <c r="M36" s="68"/>
      <c r="O36" s="3"/>
      <c r="Q36" s="103"/>
      <c r="R36" s="68"/>
      <c r="S36" s="103"/>
      <c r="T36" s="103"/>
      <c r="U36" s="68"/>
      <c r="V36" s="68"/>
      <c r="W36" s="68"/>
      <c r="X36" s="68"/>
      <c r="Y36" s="68"/>
      <c r="Z36" s="103"/>
      <c r="AA36" s="103"/>
    </row>
    <row r="37" spans="1:37" s="8" customFormat="1" x14ac:dyDescent="0.25">
      <c r="B37" s="82" t="s">
        <v>1</v>
      </c>
      <c r="C37" s="83">
        <v>13199.085501550475</v>
      </c>
      <c r="D37" s="84">
        <v>7498.2226388555227</v>
      </c>
      <c r="E37" s="84">
        <v>7480.8958351792899</v>
      </c>
      <c r="F37" s="84">
        <v>17.326803676232597</v>
      </c>
      <c r="G37" s="83">
        <v>5.6263992616047176</v>
      </c>
      <c r="H37" s="78">
        <v>15.589621527401139</v>
      </c>
      <c r="I37" s="78">
        <v>13.62551145548483</v>
      </c>
      <c r="J37" s="78">
        <v>1.9832072109514134</v>
      </c>
      <c r="K37" s="84">
        <v>0</v>
      </c>
      <c r="L37" s="85">
        <f t="shared" ref="L37:L47" si="22">K37+J37</f>
        <v>1.9832072109514134</v>
      </c>
      <c r="M37" s="15"/>
      <c r="N37" s="3"/>
      <c r="O37" s="3"/>
      <c r="P37" s="3"/>
      <c r="Q37" s="5"/>
      <c r="R37" s="69"/>
      <c r="S37" s="5"/>
      <c r="T37" s="5"/>
      <c r="U37" s="69"/>
      <c r="V37" s="69"/>
      <c r="W37" s="69"/>
      <c r="X37" s="70"/>
      <c r="Y37" s="71"/>
      <c r="Z37" s="5"/>
      <c r="AA37" s="5"/>
    </row>
    <row r="38" spans="1:37" x14ac:dyDescent="0.25">
      <c r="A38" s="2"/>
      <c r="B38" s="82" t="s">
        <v>195</v>
      </c>
      <c r="C38" s="83">
        <v>20450.034940117202</v>
      </c>
      <c r="D38" s="84">
        <v>4549.0211045835576</v>
      </c>
      <c r="E38" s="84">
        <v>4095.8505435363099</v>
      </c>
      <c r="F38" s="84">
        <v>453.17056104724901</v>
      </c>
      <c r="G38" s="83">
        <v>3.5269001406054343</v>
      </c>
      <c r="H38" s="78">
        <v>23.724017140818511</v>
      </c>
      <c r="I38" s="78">
        <v>26.053635154547475</v>
      </c>
      <c r="J38" s="78">
        <v>0</v>
      </c>
      <c r="K38" s="84">
        <v>0</v>
      </c>
      <c r="L38" s="85">
        <f t="shared" si="22"/>
        <v>0</v>
      </c>
      <c r="M38" s="15"/>
      <c r="N38" s="3"/>
      <c r="O38" s="72"/>
      <c r="P38" s="3"/>
      <c r="Q38" s="2"/>
      <c r="S38" s="5"/>
      <c r="T38" s="5"/>
      <c r="U38" s="69"/>
      <c r="V38" s="69"/>
      <c r="W38" s="69"/>
      <c r="X38" s="70"/>
      <c r="Y38" s="71"/>
      <c r="Z38" s="5"/>
      <c r="AA38" s="5"/>
    </row>
    <row r="39" spans="1:37" x14ac:dyDescent="0.25">
      <c r="A39" s="2"/>
      <c r="B39" s="82" t="s">
        <v>2</v>
      </c>
      <c r="C39" s="83">
        <v>251430.37783690859</v>
      </c>
      <c r="D39" s="84">
        <v>33738.127951375733</v>
      </c>
      <c r="E39" s="84">
        <v>36.2275463161657</v>
      </c>
      <c r="F39" s="84">
        <v>32732.968091907202</v>
      </c>
      <c r="G39" s="83">
        <v>79.244468966812633</v>
      </c>
      <c r="H39" s="78">
        <v>3.3803673657372775</v>
      </c>
      <c r="I39" s="78">
        <v>63.208496046190042</v>
      </c>
      <c r="J39" s="78">
        <v>0</v>
      </c>
      <c r="K39" s="84">
        <v>56.5</v>
      </c>
      <c r="L39" s="85">
        <f t="shared" si="22"/>
        <v>56.5</v>
      </c>
      <c r="M39" s="15"/>
      <c r="N39" s="3"/>
      <c r="O39" s="72"/>
      <c r="P39" s="3"/>
      <c r="Q39" s="2"/>
      <c r="S39" s="5"/>
      <c r="T39" s="5"/>
      <c r="U39" s="69"/>
      <c r="V39" s="69"/>
      <c r="W39" s="69"/>
      <c r="X39" s="70"/>
      <c r="Y39" s="71"/>
      <c r="Z39" s="5"/>
      <c r="AA39" s="5"/>
    </row>
    <row r="40" spans="1:37" s="2" customFormat="1" x14ac:dyDescent="0.25">
      <c r="B40" s="82" t="s">
        <v>3</v>
      </c>
      <c r="C40" s="83">
        <v>24496.645034227455</v>
      </c>
      <c r="D40" s="84">
        <v>4739.5256339269945</v>
      </c>
      <c r="E40" s="84">
        <v>4571.8337917332701</v>
      </c>
      <c r="F40" s="84">
        <v>167.66828675695399</v>
      </c>
      <c r="G40" s="83">
        <v>1.2370418530422047</v>
      </c>
      <c r="H40" s="78">
        <v>14.400136359321918</v>
      </c>
      <c r="I40" s="78">
        <v>11.171359418917772</v>
      </c>
      <c r="J40" s="78">
        <v>3.2750912718752518</v>
      </c>
      <c r="K40" s="84">
        <v>0</v>
      </c>
      <c r="L40" s="85">
        <f t="shared" si="22"/>
        <v>3.2750912718752518</v>
      </c>
      <c r="M40" s="15"/>
      <c r="O40" s="17"/>
      <c r="P40" s="3"/>
      <c r="S40" s="5"/>
      <c r="T40" s="5"/>
      <c r="U40" s="69"/>
      <c r="V40" s="69"/>
      <c r="W40" s="69"/>
      <c r="X40" s="70"/>
      <c r="Y40" s="71"/>
      <c r="Z40" s="5"/>
      <c r="AA40" s="5"/>
    </row>
    <row r="41" spans="1:37" s="2" customFormat="1" x14ac:dyDescent="0.25">
      <c r="B41" s="82" t="s">
        <v>4</v>
      </c>
      <c r="C41" s="83">
        <v>363314.38569269452</v>
      </c>
      <c r="D41" s="84">
        <v>149774.72401466093</v>
      </c>
      <c r="E41" s="84">
        <v>148845.87450464899</v>
      </c>
      <c r="F41" s="84">
        <v>928.38682241953302</v>
      </c>
      <c r="G41" s="83">
        <v>36.16595782381809</v>
      </c>
      <c r="H41" s="78">
        <v>484.06868290093661</v>
      </c>
      <c r="I41" s="78">
        <v>353.6026358725851</v>
      </c>
      <c r="J41" s="78">
        <v>131.03557864571476</v>
      </c>
      <c r="K41" s="84">
        <v>0</v>
      </c>
      <c r="L41" s="85">
        <f t="shared" si="22"/>
        <v>131.03557864571476</v>
      </c>
      <c r="M41" s="15"/>
      <c r="N41" s="3"/>
      <c r="P41" s="3"/>
      <c r="S41" s="5"/>
      <c r="T41" s="5"/>
      <c r="U41" s="69"/>
      <c r="V41" s="69"/>
      <c r="W41" s="69"/>
      <c r="X41" s="70"/>
      <c r="Y41" s="64"/>
      <c r="Z41" s="5"/>
      <c r="AA41" s="5"/>
    </row>
    <row r="42" spans="1:37" s="2" customFormat="1" x14ac:dyDescent="0.25">
      <c r="B42" s="82" t="s">
        <v>5</v>
      </c>
      <c r="C42" s="83">
        <v>49475.746319971244</v>
      </c>
      <c r="D42" s="84">
        <v>34543.134541376516</v>
      </c>
      <c r="E42" s="84">
        <v>34381.756113589799</v>
      </c>
      <c r="F42" s="84">
        <v>161.37842778671799</v>
      </c>
      <c r="G42" s="83">
        <v>18.451624510851893</v>
      </c>
      <c r="H42" s="78">
        <v>72.980329509151488</v>
      </c>
      <c r="I42" s="78">
        <v>58.065831028798335</v>
      </c>
      <c r="J42" s="78">
        <v>16.052819884560293</v>
      </c>
      <c r="K42" s="84">
        <v>0</v>
      </c>
      <c r="L42" s="85">
        <f t="shared" si="22"/>
        <v>16.052819884560293</v>
      </c>
      <c r="M42" s="15"/>
      <c r="N42" s="3"/>
      <c r="O42" s="73"/>
      <c r="P42" s="3"/>
      <c r="S42" s="5"/>
      <c r="T42" s="5"/>
      <c r="U42" s="69"/>
      <c r="V42" s="69"/>
      <c r="W42" s="69"/>
      <c r="X42" s="70"/>
      <c r="Y42" s="71"/>
      <c r="Z42" s="5"/>
      <c r="AA42" s="5"/>
    </row>
    <row r="43" spans="1:37" x14ac:dyDescent="0.25">
      <c r="A43" s="2"/>
      <c r="B43" s="82" t="s">
        <v>6</v>
      </c>
      <c r="C43" s="83">
        <v>20836.189535136225</v>
      </c>
      <c r="D43" s="84">
        <v>12709.055149886017</v>
      </c>
      <c r="E43" s="84">
        <v>12592.695935711299</v>
      </c>
      <c r="F43" s="84">
        <v>116.35921417471801</v>
      </c>
      <c r="G43" s="83">
        <v>10.585778959789884</v>
      </c>
      <c r="H43" s="78">
        <v>21.331893349594765</v>
      </c>
      <c r="I43" s="78">
        <v>19.890651093947945</v>
      </c>
      <c r="J43" s="78">
        <v>1.5386391808328861</v>
      </c>
      <c r="K43" s="84">
        <v>3.8</v>
      </c>
      <c r="L43" s="85">
        <f t="shared" si="22"/>
        <v>5.3386391808328861</v>
      </c>
      <c r="M43" s="15"/>
      <c r="O43" s="2"/>
      <c r="Q43" s="2"/>
      <c r="S43" s="5"/>
      <c r="T43" s="5"/>
      <c r="U43" s="69"/>
      <c r="V43" s="69"/>
      <c r="W43" s="69"/>
      <c r="X43" s="70"/>
      <c r="Y43" s="71"/>
      <c r="Z43" s="5"/>
      <c r="AA43" s="5"/>
    </row>
    <row r="44" spans="1:37" x14ac:dyDescent="0.25">
      <c r="A44" s="2"/>
      <c r="B44" s="82" t="s">
        <v>7</v>
      </c>
      <c r="C44" s="83">
        <v>1339764.2833351614</v>
      </c>
      <c r="D44" s="84">
        <v>179268.67227891536</v>
      </c>
      <c r="E44" s="84">
        <v>148932.274304138</v>
      </c>
      <c r="F44" s="84">
        <v>29965.5849251578</v>
      </c>
      <c r="G44" s="83">
        <v>34.422766266315072</v>
      </c>
      <c r="H44" s="78">
        <v>404.09091338939459</v>
      </c>
      <c r="I44" s="78">
        <v>436.58135275731689</v>
      </c>
      <c r="J44" s="78">
        <v>0</v>
      </c>
      <c r="K44" s="84">
        <v>33.799999999999997</v>
      </c>
      <c r="L44" s="85">
        <f t="shared" si="22"/>
        <v>33.799999999999997</v>
      </c>
      <c r="M44" s="15"/>
      <c r="N44" s="64"/>
      <c r="O44" s="69"/>
      <c r="Q44" s="2"/>
      <c r="S44" s="5"/>
      <c r="T44" s="5"/>
      <c r="U44" s="69"/>
      <c r="V44" s="69"/>
      <c r="W44" s="69"/>
      <c r="X44" s="70"/>
      <c r="Y44" s="71"/>
      <c r="Z44" s="5"/>
      <c r="AA44" s="5"/>
    </row>
    <row r="45" spans="1:37" x14ac:dyDescent="0.25">
      <c r="A45" s="2"/>
      <c r="B45" s="82" t="s">
        <v>8</v>
      </c>
      <c r="C45" s="83">
        <v>617141.72101696266</v>
      </c>
      <c r="D45" s="84">
        <v>8412.6065227973904</v>
      </c>
      <c r="E45" s="84">
        <v>7365.75573141738</v>
      </c>
      <c r="F45" s="84">
        <v>1046.8507913800099</v>
      </c>
      <c r="G45" s="83">
        <v>10.525525982874386</v>
      </c>
      <c r="H45" s="78">
        <v>620.94260061497255</v>
      </c>
      <c r="I45" s="78">
        <v>734.87724433925337</v>
      </c>
      <c r="J45" s="78">
        <v>0</v>
      </c>
      <c r="K45" s="84">
        <v>23.5</v>
      </c>
      <c r="L45" s="85">
        <f t="shared" si="22"/>
        <v>23.5</v>
      </c>
      <c r="M45" s="15"/>
      <c r="N45" s="64"/>
      <c r="O45" s="69"/>
      <c r="Q45" s="2"/>
      <c r="S45" s="5"/>
      <c r="T45" s="5"/>
      <c r="U45" s="69"/>
      <c r="V45" s="69"/>
      <c r="W45" s="69"/>
      <c r="X45" s="70"/>
      <c r="Y45" s="71"/>
      <c r="Z45" s="5"/>
      <c r="AA45" s="5"/>
    </row>
    <row r="46" spans="1:37" x14ac:dyDescent="0.25">
      <c r="A46" s="2"/>
      <c r="B46" s="82" t="s">
        <v>9</v>
      </c>
      <c r="C46" s="83">
        <v>119784.51078433092</v>
      </c>
      <c r="D46" s="84">
        <v>43226.930239887697</v>
      </c>
      <c r="E46" s="84">
        <v>42937.449618125</v>
      </c>
      <c r="F46" s="84">
        <v>289.48062176270099</v>
      </c>
      <c r="G46" s="83">
        <v>10.984651987881014</v>
      </c>
      <c r="H46" s="78">
        <v>130.37580876063711</v>
      </c>
      <c r="I46" s="78">
        <v>113.8115207203455</v>
      </c>
      <c r="J46" s="78">
        <v>27.835036451662162</v>
      </c>
      <c r="K46" s="84">
        <v>0</v>
      </c>
      <c r="L46" s="85">
        <f t="shared" si="22"/>
        <v>27.835036451662162</v>
      </c>
      <c r="M46" s="15"/>
      <c r="N46" s="117"/>
      <c r="O46" s="2"/>
      <c r="Q46" s="2"/>
      <c r="S46" s="5"/>
      <c r="T46" s="5"/>
      <c r="U46" s="69"/>
      <c r="V46" s="69"/>
      <c r="W46" s="69"/>
      <c r="X46" s="70"/>
      <c r="Y46" s="71"/>
      <c r="Z46" s="5"/>
      <c r="AA46" s="5"/>
    </row>
    <row r="47" spans="1:37" ht="13.8" thickBot="1" x14ac:dyDescent="0.3">
      <c r="A47" s="2"/>
      <c r="B47" s="86" t="s">
        <v>10</v>
      </c>
      <c r="C47" s="87">
        <v>237021.44592026682</v>
      </c>
      <c r="D47" s="87">
        <v>69411.089457609574</v>
      </c>
      <c r="E47" s="87">
        <v>67656.990471432495</v>
      </c>
      <c r="F47" s="87">
        <v>1753.8306754422299</v>
      </c>
      <c r="G47" s="87">
        <v>38.006093743829318</v>
      </c>
      <c r="H47" s="79">
        <v>292.66694540931792</v>
      </c>
      <c r="I47" s="79">
        <v>276.95149598433915</v>
      </c>
      <c r="J47" s="79">
        <v>22.251590870161746</v>
      </c>
      <c r="K47" s="87">
        <v>21.1</v>
      </c>
      <c r="L47" s="87">
        <f t="shared" si="22"/>
        <v>43.351590870161743</v>
      </c>
      <c r="M47" s="69"/>
      <c r="N47" s="69"/>
      <c r="O47" s="69"/>
      <c r="P47" s="69"/>
      <c r="Q47" s="5"/>
      <c r="R47" s="69"/>
      <c r="S47" s="5"/>
      <c r="T47" s="5"/>
      <c r="U47" s="69"/>
      <c r="V47" s="69"/>
      <c r="W47" s="69"/>
      <c r="X47" s="70"/>
      <c r="Y47" s="71"/>
      <c r="Z47" s="5"/>
      <c r="AA47" s="5"/>
    </row>
    <row r="48" spans="1:37" ht="13.8" thickBot="1" x14ac:dyDescent="0.3">
      <c r="A48" s="2"/>
      <c r="B48" s="86" t="s">
        <v>11</v>
      </c>
      <c r="C48" s="87">
        <f>SUM(C37:C47)</f>
        <v>3056914.4259173274</v>
      </c>
      <c r="D48" s="87">
        <f>SUM(D37:D47)</f>
        <v>547871.10953387525</v>
      </c>
      <c r="E48" s="87">
        <f>SUM(E37:E47)</f>
        <v>478897.60439582798</v>
      </c>
      <c r="F48" s="87">
        <f t="shared" ref="F48:L48" si="23">SUM(F37:F47)</f>
        <v>67633.005221511354</v>
      </c>
      <c r="G48" s="87">
        <f>SUM(G37:G47)</f>
        <v>248.77720949742468</v>
      </c>
      <c r="H48" s="87">
        <f t="shared" si="23"/>
        <v>2083.551316327284</v>
      </c>
      <c r="I48" s="87">
        <f t="shared" si="23"/>
        <v>2107.8397338717264</v>
      </c>
      <c r="J48" s="87">
        <f t="shared" si="23"/>
        <v>203.97196351575855</v>
      </c>
      <c r="K48" s="87">
        <f t="shared" si="23"/>
        <v>138.69999999999999</v>
      </c>
      <c r="L48" s="87">
        <f t="shared" si="23"/>
        <v>342.67196351575853</v>
      </c>
      <c r="M48" s="69"/>
      <c r="N48" s="69"/>
      <c r="O48" s="69"/>
      <c r="P48" s="5"/>
      <c r="Q48" s="69"/>
      <c r="R48" s="4"/>
      <c r="S48" s="4"/>
      <c r="T48" s="4"/>
      <c r="U48" s="4"/>
      <c r="V48" s="161"/>
      <c r="W48" s="4"/>
      <c r="X48" s="4"/>
      <c r="Y48" s="4"/>
      <c r="Z48" s="4"/>
      <c r="AA48" s="4"/>
      <c r="AB48" s="4"/>
      <c r="AC48" s="4"/>
    </row>
    <row r="49" spans="2:29" x14ac:dyDescent="0.25">
      <c r="B49" s="65"/>
      <c r="C49" s="69"/>
      <c r="D49" s="65"/>
      <c r="E49" s="69"/>
      <c r="F49" s="69"/>
      <c r="G49" s="69"/>
      <c r="H49" s="69"/>
      <c r="I49" s="69"/>
      <c r="J49" s="69"/>
      <c r="K49" s="69"/>
      <c r="L49" s="69"/>
      <c r="M49" s="69"/>
      <c r="N49" s="69"/>
      <c r="O49" s="69"/>
      <c r="P49" s="5"/>
      <c r="Q49" s="69"/>
      <c r="R49" s="4"/>
      <c r="S49" s="4"/>
      <c r="T49" s="4"/>
      <c r="U49" s="4"/>
      <c r="V49" s="161"/>
      <c r="W49" s="4"/>
      <c r="X49" s="4"/>
      <c r="Y49" s="4"/>
      <c r="Z49" s="4"/>
      <c r="AA49" s="4"/>
      <c r="AB49" s="4"/>
      <c r="AC49" s="4"/>
    </row>
    <row r="50" spans="2:29" ht="13.8" thickBot="1" x14ac:dyDescent="0.3">
      <c r="B50" s="23"/>
      <c r="C50" s="23"/>
      <c r="D50" s="23"/>
      <c r="E50" s="23"/>
      <c r="F50" s="23"/>
      <c r="G50" s="23"/>
      <c r="H50" s="23"/>
      <c r="I50" s="23"/>
      <c r="J50" s="4"/>
      <c r="K50" s="4"/>
      <c r="L50" s="4"/>
      <c r="M50" s="5"/>
      <c r="N50" s="5"/>
      <c r="O50" s="5"/>
      <c r="P50" s="5"/>
      <c r="Q50" s="5"/>
      <c r="R50" s="246"/>
      <c r="S50" s="246"/>
      <c r="T50" s="246"/>
      <c r="U50" s="246"/>
      <c r="V50" s="246"/>
      <c r="W50" s="246"/>
      <c r="X50" s="4"/>
      <c r="Y50" s="251"/>
      <c r="Z50" s="251"/>
      <c r="AA50" s="120"/>
      <c r="AB50" s="4"/>
      <c r="AC50" s="4"/>
    </row>
    <row r="51" spans="2:29" ht="13.8" thickBot="1" x14ac:dyDescent="0.3">
      <c r="B51" s="248" t="s">
        <v>75</v>
      </c>
      <c r="C51" s="248"/>
      <c r="D51" s="248"/>
      <c r="E51" s="248"/>
      <c r="F51" s="248"/>
      <c r="G51" s="248"/>
      <c r="H51" s="248"/>
      <c r="I51" s="248"/>
      <c r="J51" s="47"/>
      <c r="K51" s="248" t="s">
        <v>60</v>
      </c>
      <c r="L51" s="248"/>
      <c r="M51" s="248"/>
      <c r="N51" s="248"/>
      <c r="O51" s="248"/>
      <c r="P51" s="248"/>
      <c r="Q51" s="5"/>
      <c r="R51" s="246"/>
      <c r="S51" s="246"/>
      <c r="T51" s="246"/>
      <c r="U51" s="246"/>
      <c r="V51" s="246"/>
      <c r="W51" s="246"/>
      <c r="X51" s="4"/>
      <c r="Y51" s="251"/>
      <c r="Z51" s="251"/>
      <c r="AA51" s="120"/>
      <c r="AB51" s="4"/>
      <c r="AC51" s="4"/>
    </row>
    <row r="52" spans="2:29" ht="40.200000000000003" thickBot="1" x14ac:dyDescent="0.3">
      <c r="B52" s="81" t="s">
        <v>52</v>
      </c>
      <c r="C52" s="81" t="s">
        <v>275</v>
      </c>
      <c r="D52" s="81" t="s">
        <v>276</v>
      </c>
      <c r="E52" s="81" t="s">
        <v>277</v>
      </c>
      <c r="F52" s="81" t="s">
        <v>61</v>
      </c>
      <c r="G52" s="81" t="s">
        <v>62</v>
      </c>
      <c r="H52" s="81" t="s">
        <v>64</v>
      </c>
      <c r="I52" s="81" t="s">
        <v>63</v>
      </c>
      <c r="J52" s="105"/>
      <c r="K52" s="104" t="s">
        <v>52</v>
      </c>
      <c r="L52" s="104" t="s">
        <v>278</v>
      </c>
      <c r="M52" s="104" t="s">
        <v>65</v>
      </c>
      <c r="N52" s="104" t="s">
        <v>66</v>
      </c>
      <c r="O52" s="104" t="s">
        <v>67</v>
      </c>
      <c r="P52" s="104" t="s">
        <v>68</v>
      </c>
      <c r="Q52" s="16"/>
      <c r="R52" s="193"/>
      <c r="S52" s="194"/>
      <c r="T52" s="194"/>
      <c r="U52" s="194"/>
      <c r="V52" s="193"/>
      <c r="W52" s="193"/>
      <c r="X52" s="195"/>
      <c r="Y52" s="193"/>
      <c r="Z52" s="193"/>
      <c r="AA52" s="193"/>
      <c r="AB52" s="4"/>
      <c r="AC52" s="4"/>
    </row>
    <row r="53" spans="2:29" x14ac:dyDescent="0.25">
      <c r="B53" s="82" t="s">
        <v>1</v>
      </c>
      <c r="C53" s="85">
        <f t="shared" ref="C53:E63" si="24">D37*$P$10</f>
        <v>74.982226388555233</v>
      </c>
      <c r="D53" s="88">
        <f t="shared" si="24"/>
        <v>74.808958351792896</v>
      </c>
      <c r="E53" s="88">
        <f t="shared" si="24"/>
        <v>0.17326803676232597</v>
      </c>
      <c r="F53" s="85">
        <f t="shared" ref="F53:F63" si="25">D53-H37</f>
        <v>59.21933682439176</v>
      </c>
      <c r="G53" s="85">
        <f t="shared" ref="G53:G63" si="26">E53-H37</f>
        <v>-15.416353490638812</v>
      </c>
      <c r="H53" s="85">
        <f t="shared" ref="H53:H63" si="27">E53-J37</f>
        <v>-1.8099391741890873</v>
      </c>
      <c r="I53" s="85">
        <f t="shared" ref="I53:I63" si="28">E53-L37</f>
        <v>-1.8099391741890873</v>
      </c>
      <c r="K53" s="82" t="s">
        <v>1</v>
      </c>
      <c r="L53" s="88">
        <f t="shared" ref="L53:L63" si="29">G37*$P$6</f>
        <v>0.10408838633968727</v>
      </c>
      <c r="M53" s="91">
        <f t="shared" ref="M53:M63" si="30">L53-H37</f>
        <v>-15.485533141061453</v>
      </c>
      <c r="N53" s="91">
        <f t="shared" ref="N53:N63" si="31">L53-I37</f>
        <v>-13.521423069145143</v>
      </c>
      <c r="O53" s="91">
        <f t="shared" ref="O53:O63" si="32">L53-J37</f>
        <v>-1.8791188246117261</v>
      </c>
      <c r="P53" s="91">
        <f t="shared" ref="P53:P63" si="33">L53-L37</f>
        <v>-1.8791188246117261</v>
      </c>
      <c r="Q53" s="2"/>
      <c r="R53" s="47"/>
      <c r="S53" s="196"/>
      <c r="T53" s="196"/>
      <c r="U53" s="196"/>
      <c r="V53" s="197"/>
      <c r="W53" s="197"/>
      <c r="X53" s="4"/>
      <c r="Y53" s="47"/>
      <c r="Z53" s="198"/>
      <c r="AA53" s="198"/>
      <c r="AB53" s="4"/>
      <c r="AC53" s="4"/>
    </row>
    <row r="54" spans="2:29" x14ac:dyDescent="0.25">
      <c r="B54" s="82" t="s">
        <v>195</v>
      </c>
      <c r="C54" s="85">
        <f t="shared" si="24"/>
        <v>45.490211045835579</v>
      </c>
      <c r="D54" s="88">
        <f t="shared" si="24"/>
        <v>40.958505435363101</v>
      </c>
      <c r="E54" s="88">
        <f t="shared" si="24"/>
        <v>4.53170561047249</v>
      </c>
      <c r="F54" s="85">
        <f t="shared" si="25"/>
        <v>17.23448829454459</v>
      </c>
      <c r="G54" s="85">
        <f t="shared" si="26"/>
        <v>-19.192311530346021</v>
      </c>
      <c r="H54" s="85">
        <f t="shared" si="27"/>
        <v>4.53170561047249</v>
      </c>
      <c r="I54" s="85">
        <f t="shared" si="28"/>
        <v>4.53170561047249</v>
      </c>
      <c r="K54" s="82" t="s">
        <v>195</v>
      </c>
      <c r="L54" s="88">
        <f t="shared" si="29"/>
        <v>6.5247652601200537E-2</v>
      </c>
      <c r="M54" s="91">
        <f t="shared" si="30"/>
        <v>-23.65876948821731</v>
      </c>
      <c r="N54" s="91">
        <f t="shared" si="31"/>
        <v>-25.988387501946274</v>
      </c>
      <c r="O54" s="91">
        <f t="shared" si="32"/>
        <v>6.5247652601200537E-2</v>
      </c>
      <c r="P54" s="91">
        <f t="shared" si="33"/>
        <v>6.5247652601200537E-2</v>
      </c>
      <c r="Q54" s="2"/>
      <c r="R54" s="47"/>
      <c r="S54" s="196"/>
      <c r="T54" s="196"/>
      <c r="U54" s="196"/>
      <c r="V54" s="197"/>
      <c r="W54" s="197"/>
      <c r="X54" s="4"/>
      <c r="Y54" s="47"/>
      <c r="Z54" s="198"/>
      <c r="AA54" s="198"/>
      <c r="AB54" s="4"/>
      <c r="AC54" s="4"/>
    </row>
    <row r="55" spans="2:29" x14ac:dyDescent="0.25">
      <c r="B55" s="82" t="s">
        <v>2</v>
      </c>
      <c r="C55" s="85">
        <f t="shared" si="24"/>
        <v>337.38127951375731</v>
      </c>
      <c r="D55" s="88">
        <f t="shared" si="24"/>
        <v>0.36227546316165699</v>
      </c>
      <c r="E55" s="88">
        <f t="shared" si="24"/>
        <v>327.32968091907202</v>
      </c>
      <c r="F55" s="85">
        <f t="shared" si="25"/>
        <v>-3.0180919025756205</v>
      </c>
      <c r="G55" s="85">
        <f t="shared" si="26"/>
        <v>323.94931355333472</v>
      </c>
      <c r="H55" s="85">
        <f t="shared" si="27"/>
        <v>327.32968091907202</v>
      </c>
      <c r="I55" s="85">
        <f t="shared" si="28"/>
        <v>270.82968091907202</v>
      </c>
      <c r="K55" s="82" t="s">
        <v>2</v>
      </c>
      <c r="L55" s="88">
        <f t="shared" si="29"/>
        <v>1.4660226758860337</v>
      </c>
      <c r="M55" s="91">
        <f t="shared" si="30"/>
        <v>-1.9143446898512437</v>
      </c>
      <c r="N55" s="91">
        <f t="shared" si="31"/>
        <v>-61.742473370304012</v>
      </c>
      <c r="O55" s="91">
        <f t="shared" si="32"/>
        <v>1.4660226758860337</v>
      </c>
      <c r="P55" s="91">
        <f t="shared" si="33"/>
        <v>-55.03397732411397</v>
      </c>
      <c r="Q55" s="2"/>
      <c r="R55" s="47"/>
      <c r="S55" s="196"/>
      <c r="T55" s="196"/>
      <c r="U55" s="196"/>
      <c r="V55" s="197"/>
      <c r="W55" s="197"/>
      <c r="X55" s="4"/>
      <c r="Y55" s="47"/>
      <c r="Z55" s="198"/>
      <c r="AA55" s="198"/>
      <c r="AB55" s="4"/>
      <c r="AC55" s="4"/>
    </row>
    <row r="56" spans="2:29" x14ac:dyDescent="0.25">
      <c r="B56" s="82" t="s">
        <v>3</v>
      </c>
      <c r="C56" s="85">
        <f t="shared" si="24"/>
        <v>47.395256339269949</v>
      </c>
      <c r="D56" s="88">
        <f t="shared" si="24"/>
        <v>45.718337917332704</v>
      </c>
      <c r="E56" s="88">
        <f t="shared" si="24"/>
        <v>1.67668286756954</v>
      </c>
      <c r="F56" s="85">
        <f t="shared" si="25"/>
        <v>31.318201558010784</v>
      </c>
      <c r="G56" s="85">
        <f t="shared" si="26"/>
        <v>-12.723453491752378</v>
      </c>
      <c r="H56" s="85">
        <f t="shared" si="27"/>
        <v>-1.5984084043057118</v>
      </c>
      <c r="I56" s="85">
        <f t="shared" si="28"/>
        <v>-1.5984084043057118</v>
      </c>
      <c r="K56" s="82" t="s">
        <v>3</v>
      </c>
      <c r="L56" s="88">
        <f t="shared" si="29"/>
        <v>2.2885274281280787E-2</v>
      </c>
      <c r="M56" s="91">
        <f t="shared" si="30"/>
        <v>-14.377251085040637</v>
      </c>
      <c r="N56" s="91">
        <f t="shared" si="31"/>
        <v>-11.148474144636491</v>
      </c>
      <c r="O56" s="91">
        <f t="shared" si="32"/>
        <v>-3.252205997593971</v>
      </c>
      <c r="P56" s="91">
        <f t="shared" si="33"/>
        <v>-3.252205997593971</v>
      </c>
      <c r="Q56" s="2"/>
      <c r="R56" s="47"/>
      <c r="S56" s="196"/>
      <c r="T56" s="196"/>
      <c r="U56" s="196"/>
      <c r="V56" s="197"/>
      <c r="W56" s="197"/>
      <c r="X56" s="4"/>
      <c r="Y56" s="47"/>
      <c r="Z56" s="198"/>
      <c r="AA56" s="198"/>
      <c r="AB56" s="4"/>
      <c r="AC56" s="4"/>
    </row>
    <row r="57" spans="2:29" x14ac:dyDescent="0.25">
      <c r="B57" s="82" t="s">
        <v>4</v>
      </c>
      <c r="C57" s="85">
        <f t="shared" si="24"/>
        <v>1497.7472401466093</v>
      </c>
      <c r="D57" s="88">
        <f t="shared" si="24"/>
        <v>1488.4587450464899</v>
      </c>
      <c r="E57" s="88">
        <f t="shared" si="24"/>
        <v>9.2838682241953308</v>
      </c>
      <c r="F57" s="85">
        <f t="shared" si="25"/>
        <v>1004.3900621455532</v>
      </c>
      <c r="G57" s="85">
        <f t="shared" si="26"/>
        <v>-474.78481467674129</v>
      </c>
      <c r="H57" s="85">
        <f t="shared" si="27"/>
        <v>-121.75171042151943</v>
      </c>
      <c r="I57" s="85">
        <f t="shared" si="28"/>
        <v>-121.75171042151943</v>
      </c>
      <c r="K57" s="82" t="s">
        <v>4</v>
      </c>
      <c r="L57" s="88">
        <f t="shared" si="29"/>
        <v>0.66907021974063463</v>
      </c>
      <c r="M57" s="91">
        <f t="shared" si="30"/>
        <v>-483.39961268119595</v>
      </c>
      <c r="N57" s="91">
        <f t="shared" si="31"/>
        <v>-352.93356565284444</v>
      </c>
      <c r="O57" s="91">
        <f t="shared" si="32"/>
        <v>-130.36650842597413</v>
      </c>
      <c r="P57" s="91">
        <f t="shared" si="33"/>
        <v>-130.36650842597413</v>
      </c>
      <c r="Q57" s="2"/>
      <c r="R57" s="47"/>
      <c r="S57" s="196"/>
      <c r="T57" s="196"/>
      <c r="U57" s="196"/>
      <c r="V57" s="197"/>
      <c r="W57" s="197"/>
      <c r="X57" s="4"/>
      <c r="Y57" s="47"/>
      <c r="Z57" s="198"/>
      <c r="AA57" s="198"/>
      <c r="AB57" s="4"/>
      <c r="AC57" s="4"/>
    </row>
    <row r="58" spans="2:29" x14ac:dyDescent="0.25">
      <c r="B58" s="82" t="s">
        <v>5</v>
      </c>
      <c r="C58" s="85">
        <f t="shared" si="24"/>
        <v>345.43134541376514</v>
      </c>
      <c r="D58" s="88">
        <f t="shared" si="24"/>
        <v>343.81756113589802</v>
      </c>
      <c r="E58" s="88">
        <f t="shared" si="24"/>
        <v>1.61378427786718</v>
      </c>
      <c r="F58" s="85">
        <f t="shared" si="25"/>
        <v>270.83723162674653</v>
      </c>
      <c r="G58" s="85">
        <f t="shared" si="26"/>
        <v>-71.366545231284306</v>
      </c>
      <c r="H58" s="85">
        <f t="shared" si="27"/>
        <v>-14.439035606693112</v>
      </c>
      <c r="I58" s="85">
        <f t="shared" si="28"/>
        <v>-14.439035606693112</v>
      </c>
      <c r="K58" s="82" t="s">
        <v>5</v>
      </c>
      <c r="L58" s="88">
        <f t="shared" si="29"/>
        <v>0.34135505345076</v>
      </c>
      <c r="M58" s="91">
        <f t="shared" si="30"/>
        <v>-72.638974455700733</v>
      </c>
      <c r="N58" s="91">
        <f t="shared" si="31"/>
        <v>-57.724475975347573</v>
      </c>
      <c r="O58" s="91">
        <f t="shared" si="32"/>
        <v>-15.711464831109533</v>
      </c>
      <c r="P58" s="91">
        <f t="shared" si="33"/>
        <v>-15.711464831109533</v>
      </c>
      <c r="Q58" s="2"/>
      <c r="R58" s="47"/>
      <c r="S58" s="196"/>
      <c r="T58" s="196"/>
      <c r="U58" s="196"/>
      <c r="V58" s="197"/>
      <c r="W58" s="197"/>
      <c r="X58" s="4"/>
      <c r="Y58" s="47"/>
      <c r="Z58" s="198"/>
      <c r="AA58" s="198"/>
      <c r="AB58" s="4"/>
      <c r="AC58" s="4"/>
    </row>
    <row r="59" spans="2:29" x14ac:dyDescent="0.25">
      <c r="B59" s="82" t="s">
        <v>6</v>
      </c>
      <c r="C59" s="85">
        <f t="shared" si="24"/>
        <v>127.09055149886017</v>
      </c>
      <c r="D59" s="88">
        <f t="shared" si="24"/>
        <v>125.92695935711299</v>
      </c>
      <c r="E59" s="88">
        <f t="shared" si="24"/>
        <v>1.1635921417471802</v>
      </c>
      <c r="F59" s="85">
        <f t="shared" si="25"/>
        <v>104.59506600751823</v>
      </c>
      <c r="G59" s="85">
        <f t="shared" si="26"/>
        <v>-20.168301207847584</v>
      </c>
      <c r="H59" s="85">
        <f t="shared" si="27"/>
        <v>-0.37504703908570591</v>
      </c>
      <c r="I59" s="85">
        <f t="shared" si="28"/>
        <v>-4.1750470390857064</v>
      </c>
      <c r="K59" s="82" t="s">
        <v>6</v>
      </c>
      <c r="L59" s="88">
        <f t="shared" si="29"/>
        <v>0.19583691075611284</v>
      </c>
      <c r="M59" s="91">
        <f t="shared" si="30"/>
        <v>-21.136056438838651</v>
      </c>
      <c r="N59" s="91">
        <f t="shared" si="31"/>
        <v>-19.694814183191831</v>
      </c>
      <c r="O59" s="91">
        <f t="shared" si="32"/>
        <v>-1.3428022700767732</v>
      </c>
      <c r="P59" s="91">
        <f t="shared" si="33"/>
        <v>-5.142802270076773</v>
      </c>
      <c r="Q59" s="2"/>
      <c r="R59" s="47"/>
      <c r="S59" s="196"/>
      <c r="T59" s="196"/>
      <c r="U59" s="196"/>
      <c r="V59" s="197"/>
      <c r="W59" s="197"/>
      <c r="X59" s="4"/>
      <c r="Y59" s="47"/>
      <c r="Z59" s="198"/>
      <c r="AA59" s="198"/>
      <c r="AB59" s="4"/>
      <c r="AC59" s="4"/>
    </row>
    <row r="60" spans="2:29" x14ac:dyDescent="0.25">
      <c r="B60" s="82" t="s">
        <v>7</v>
      </c>
      <c r="C60" s="85">
        <f t="shared" si="24"/>
        <v>1792.6867227891537</v>
      </c>
      <c r="D60" s="88">
        <f t="shared" si="24"/>
        <v>1489.3227430413801</v>
      </c>
      <c r="E60" s="88">
        <f t="shared" si="24"/>
        <v>299.65584925157799</v>
      </c>
      <c r="F60" s="85">
        <f t="shared" si="25"/>
        <v>1085.2318296519857</v>
      </c>
      <c r="G60" s="85">
        <f t="shared" si="26"/>
        <v>-104.4350641378166</v>
      </c>
      <c r="H60" s="85">
        <f t="shared" si="27"/>
        <v>299.65584925157799</v>
      </c>
      <c r="I60" s="85">
        <f t="shared" si="28"/>
        <v>265.85584925157798</v>
      </c>
      <c r="K60" s="82" t="s">
        <v>7</v>
      </c>
      <c r="L60" s="88">
        <f t="shared" si="29"/>
        <v>0.63682117592682885</v>
      </c>
      <c r="M60" s="91">
        <f t="shared" si="30"/>
        <v>-403.45409221346773</v>
      </c>
      <c r="N60" s="91">
        <f t="shared" si="31"/>
        <v>-435.94453158139004</v>
      </c>
      <c r="O60" s="91">
        <f t="shared" si="32"/>
        <v>0.63682117592682885</v>
      </c>
      <c r="P60" s="91">
        <f t="shared" si="33"/>
        <v>-33.163178824073171</v>
      </c>
      <c r="Q60" s="2"/>
      <c r="R60" s="47"/>
      <c r="S60" s="196"/>
      <c r="T60" s="196"/>
      <c r="U60" s="196"/>
      <c r="V60" s="197"/>
      <c r="W60" s="197"/>
      <c r="X60" s="4"/>
      <c r="Y60" s="47"/>
      <c r="Z60" s="198"/>
      <c r="AA60" s="198"/>
      <c r="AB60" s="4"/>
      <c r="AC60" s="4"/>
    </row>
    <row r="61" spans="2:29" x14ac:dyDescent="0.25">
      <c r="B61" s="82" t="s">
        <v>8</v>
      </c>
      <c r="C61" s="85">
        <f t="shared" si="24"/>
        <v>84.126065227973911</v>
      </c>
      <c r="D61" s="88">
        <f t="shared" si="24"/>
        <v>73.6575573141738</v>
      </c>
      <c r="E61" s="88">
        <f t="shared" si="24"/>
        <v>10.468507913800099</v>
      </c>
      <c r="F61" s="85">
        <f t="shared" si="25"/>
        <v>-547.28504330079875</v>
      </c>
      <c r="G61" s="85">
        <f t="shared" si="26"/>
        <v>-610.47409270117248</v>
      </c>
      <c r="H61" s="85">
        <f t="shared" si="27"/>
        <v>10.468507913800099</v>
      </c>
      <c r="I61" s="85">
        <f t="shared" si="28"/>
        <v>-13.031492086199901</v>
      </c>
      <c r="K61" s="82" t="s">
        <v>8</v>
      </c>
      <c r="L61" s="88">
        <f t="shared" si="29"/>
        <v>0.19472223068317615</v>
      </c>
      <c r="M61" s="91">
        <f t="shared" si="30"/>
        <v>-620.74787838428938</v>
      </c>
      <c r="N61" s="91">
        <f t="shared" si="31"/>
        <v>-734.6825221085702</v>
      </c>
      <c r="O61" s="91">
        <f t="shared" si="32"/>
        <v>0.19472223068317615</v>
      </c>
      <c r="P61" s="91">
        <f t="shared" si="33"/>
        <v>-23.305277769316824</v>
      </c>
      <c r="Q61" s="2"/>
      <c r="R61" s="47"/>
      <c r="S61" s="196"/>
      <c r="T61" s="196"/>
      <c r="U61" s="196"/>
      <c r="V61" s="197"/>
      <c r="W61" s="197"/>
      <c r="X61" s="4"/>
      <c r="Y61" s="47"/>
      <c r="Z61" s="198"/>
      <c r="AA61" s="198"/>
      <c r="AB61" s="4"/>
      <c r="AC61" s="4"/>
    </row>
    <row r="62" spans="2:29" x14ac:dyDescent="0.25">
      <c r="B62" s="82" t="s">
        <v>9</v>
      </c>
      <c r="C62" s="85">
        <f t="shared" si="24"/>
        <v>432.26930239887696</v>
      </c>
      <c r="D62" s="88">
        <f t="shared" si="24"/>
        <v>429.37449618124998</v>
      </c>
      <c r="E62" s="88">
        <f t="shared" si="24"/>
        <v>2.8948062176270102</v>
      </c>
      <c r="F62" s="85">
        <f t="shared" si="25"/>
        <v>298.9986874206129</v>
      </c>
      <c r="G62" s="85">
        <f t="shared" si="26"/>
        <v>-127.48100254301011</v>
      </c>
      <c r="H62" s="85">
        <f t="shared" si="27"/>
        <v>-24.940230234035152</v>
      </c>
      <c r="I62" s="85">
        <f t="shared" si="28"/>
        <v>-24.940230234035152</v>
      </c>
      <c r="K62" s="82" t="s">
        <v>9</v>
      </c>
      <c r="L62" s="88">
        <f t="shared" si="29"/>
        <v>0.20321606177579873</v>
      </c>
      <c r="M62" s="91">
        <f t="shared" si="30"/>
        <v>-130.17259269886131</v>
      </c>
      <c r="N62" s="91">
        <f t="shared" si="31"/>
        <v>-113.60830465856969</v>
      </c>
      <c r="O62" s="91">
        <f t="shared" si="32"/>
        <v>-27.631820389886364</v>
      </c>
      <c r="P62" s="91">
        <f t="shared" si="33"/>
        <v>-27.631820389886364</v>
      </c>
      <c r="Q62" s="2"/>
      <c r="R62" s="47"/>
      <c r="S62" s="196"/>
      <c r="T62" s="196"/>
      <c r="U62" s="196"/>
      <c r="V62" s="197"/>
      <c r="W62" s="197"/>
      <c r="X62" s="4"/>
      <c r="Y62" s="47"/>
      <c r="Z62" s="198"/>
      <c r="AA62" s="198"/>
      <c r="AB62" s="4"/>
      <c r="AC62" s="4"/>
    </row>
    <row r="63" spans="2:29" ht="13.8" thickBot="1" x14ac:dyDescent="0.3">
      <c r="B63" s="86" t="s">
        <v>10</v>
      </c>
      <c r="C63" s="89">
        <f t="shared" si="24"/>
        <v>694.1108945760958</v>
      </c>
      <c r="D63" s="90">
        <f t="shared" si="24"/>
        <v>676.56990471432493</v>
      </c>
      <c r="E63" s="90">
        <f t="shared" si="24"/>
        <v>17.538306754422301</v>
      </c>
      <c r="F63" s="89">
        <f t="shared" si="25"/>
        <v>383.90295930500702</v>
      </c>
      <c r="G63" s="89">
        <f t="shared" si="26"/>
        <v>-275.12863865489561</v>
      </c>
      <c r="H63" s="89">
        <f t="shared" si="27"/>
        <v>-4.7132841157394445</v>
      </c>
      <c r="I63" s="89">
        <f t="shared" si="28"/>
        <v>-25.813284115739442</v>
      </c>
      <c r="K63" s="86" t="s">
        <v>10</v>
      </c>
      <c r="L63" s="90">
        <f t="shared" si="29"/>
        <v>0.70311273426084231</v>
      </c>
      <c r="M63" s="92">
        <f t="shared" si="30"/>
        <v>-291.96383267505706</v>
      </c>
      <c r="N63" s="92">
        <f t="shared" si="31"/>
        <v>-276.24838325007829</v>
      </c>
      <c r="O63" s="92">
        <f t="shared" si="32"/>
        <v>-21.548478135900904</v>
      </c>
      <c r="P63" s="92">
        <f t="shared" si="33"/>
        <v>-42.648478135900902</v>
      </c>
      <c r="Q63" s="2"/>
      <c r="R63" s="47"/>
      <c r="S63" s="196"/>
      <c r="T63" s="196"/>
      <c r="U63" s="196"/>
      <c r="V63" s="197"/>
      <c r="W63" s="197"/>
      <c r="X63" s="4"/>
      <c r="Y63" s="47"/>
      <c r="Z63" s="198"/>
      <c r="AA63" s="198"/>
      <c r="AB63" s="4"/>
      <c r="AC63" s="4"/>
    </row>
    <row r="64" spans="2:29" x14ac:dyDescent="0.25">
      <c r="B64" s="2"/>
      <c r="F64" s="2"/>
      <c r="G64" s="45"/>
      <c r="H64" s="45"/>
      <c r="M64" s="2"/>
      <c r="O64" s="2"/>
      <c r="Q64" s="2"/>
      <c r="R64" s="47"/>
      <c r="S64" s="196"/>
      <c r="T64" s="196"/>
      <c r="U64" s="196"/>
      <c r="V64" s="197"/>
      <c r="W64" s="197"/>
      <c r="X64" s="4"/>
      <c r="Y64" s="47"/>
      <c r="Z64" s="199"/>
      <c r="AA64" s="199"/>
      <c r="AB64" s="4"/>
      <c r="AC64" s="4"/>
    </row>
    <row r="65" spans="2:29" x14ac:dyDescent="0.25">
      <c r="B65" s="2"/>
      <c r="C65"/>
      <c r="D65"/>
      <c r="F65" s="2"/>
      <c r="G65"/>
      <c r="H65"/>
      <c r="I65"/>
      <c r="J65"/>
      <c r="K65"/>
      <c r="L65"/>
      <c r="N65"/>
      <c r="P65"/>
      <c r="R65" s="4"/>
      <c r="S65" s="4"/>
      <c r="T65" s="4"/>
      <c r="U65" s="4"/>
      <c r="V65" s="4"/>
      <c r="W65" s="4"/>
      <c r="X65" s="4"/>
      <c r="Y65" s="4"/>
      <c r="Z65" s="4"/>
      <c r="AA65" s="4"/>
      <c r="AB65" s="4"/>
      <c r="AC65" s="4"/>
    </row>
    <row r="66" spans="2:29" ht="13.8" thickBot="1" x14ac:dyDescent="0.3">
      <c r="B66" s="2"/>
      <c r="C66"/>
      <c r="D66"/>
      <c r="F66" s="2"/>
      <c r="G66"/>
      <c r="H66"/>
      <c r="I66"/>
      <c r="J66"/>
      <c r="K66"/>
      <c r="L66"/>
      <c r="N66"/>
      <c r="P66"/>
      <c r="R66" s="4"/>
      <c r="S66" s="4"/>
      <c r="T66" s="4"/>
      <c r="U66" s="4"/>
      <c r="V66" s="4"/>
      <c r="W66" s="4"/>
      <c r="X66" s="4"/>
      <c r="Y66" s="4"/>
      <c r="Z66" s="4"/>
      <c r="AA66" s="4"/>
      <c r="AB66" s="4"/>
      <c r="AC66" s="4"/>
    </row>
    <row r="67" spans="2:29" ht="13.8" thickBot="1" x14ac:dyDescent="0.3">
      <c r="B67" s="245" t="s">
        <v>188</v>
      </c>
      <c r="C67" s="245"/>
      <c r="D67" s="245"/>
      <c r="E67" s="245"/>
      <c r="F67" s="245"/>
      <c r="G67" s="245"/>
      <c r="H67" s="245"/>
      <c r="I67" s="245"/>
      <c r="J67" s="245"/>
      <c r="K67" s="245"/>
      <c r="L67" s="245"/>
      <c r="M67" s="5"/>
      <c r="N67" s="65"/>
      <c r="O67" s="65"/>
      <c r="P67" s="65"/>
      <c r="Q67" s="65"/>
      <c r="R67" s="47"/>
      <c r="S67" s="47"/>
      <c r="T67" s="47"/>
      <c r="U67" s="4"/>
      <c r="V67" s="4"/>
      <c r="W67" s="4"/>
      <c r="X67" s="4"/>
      <c r="Y67" s="4"/>
      <c r="Z67" s="4"/>
      <c r="AA67" s="4"/>
      <c r="AB67" s="4"/>
      <c r="AC67" s="4"/>
    </row>
    <row r="68" spans="2:29" ht="49.8" customHeight="1" thickBot="1" x14ac:dyDescent="0.3">
      <c r="B68" s="81" t="s">
        <v>52</v>
      </c>
      <c r="C68" s="81" t="s">
        <v>51</v>
      </c>
      <c r="D68" s="81" t="s">
        <v>74</v>
      </c>
      <c r="E68" s="81" t="s">
        <v>54</v>
      </c>
      <c r="F68" s="81" t="s">
        <v>55</v>
      </c>
      <c r="G68" s="81" t="s">
        <v>187</v>
      </c>
      <c r="H68" s="80" t="s">
        <v>270</v>
      </c>
      <c r="I68" s="80" t="s">
        <v>271</v>
      </c>
      <c r="J68" s="80" t="s">
        <v>272</v>
      </c>
      <c r="K68" s="81" t="s">
        <v>273</v>
      </c>
      <c r="L68" s="81" t="s">
        <v>274</v>
      </c>
      <c r="M68" s="68"/>
      <c r="O68" s="3"/>
      <c r="Q68" s="103"/>
      <c r="R68" s="193"/>
      <c r="S68" s="200"/>
      <c r="T68" s="200"/>
      <c r="U68" s="193"/>
      <c r="V68" s="193"/>
      <c r="W68" s="193"/>
      <c r="X68" s="193"/>
      <c r="Y68" s="193"/>
      <c r="Z68" s="200"/>
      <c r="AA68" s="200"/>
      <c r="AB68" s="4"/>
      <c r="AC68" s="4"/>
    </row>
    <row r="69" spans="2:29" x14ac:dyDescent="0.25">
      <c r="B69" s="82" t="s">
        <v>1</v>
      </c>
      <c r="C69" s="83">
        <v>13199.085501550475</v>
      </c>
      <c r="D69" s="84">
        <v>7498.2226388555227</v>
      </c>
      <c r="E69" s="84">
        <v>7480.8958351792899</v>
      </c>
      <c r="F69" s="84">
        <v>17.326803676232597</v>
      </c>
      <c r="G69" s="83">
        <v>5.4561668557066705</v>
      </c>
      <c r="H69" s="78">
        <v>15.871876151835586</v>
      </c>
      <c r="I69" s="78">
        <v>12.176363633955253</v>
      </c>
      <c r="J69" s="78">
        <v>3.7154038785419865</v>
      </c>
      <c r="K69" s="84">
        <v>0</v>
      </c>
      <c r="L69" s="85">
        <f t="shared" ref="L69:L79" si="34">K69+J69</f>
        <v>3.7154038785419865</v>
      </c>
      <c r="M69" s="15"/>
      <c r="N69" s="3"/>
      <c r="O69" s="3"/>
      <c r="P69" s="3"/>
      <c r="Q69" s="5"/>
      <c r="R69" s="161"/>
      <c r="S69" s="4"/>
      <c r="T69" s="4"/>
      <c r="U69" s="161"/>
      <c r="V69" s="161"/>
      <c r="W69" s="161"/>
      <c r="X69" s="201"/>
      <c r="Y69" s="202"/>
      <c r="Z69" s="4"/>
      <c r="AA69" s="4"/>
      <c r="AB69" s="4"/>
      <c r="AC69" s="4"/>
    </row>
    <row r="70" spans="2:29" x14ac:dyDescent="0.25">
      <c r="B70" s="82" t="s">
        <v>195</v>
      </c>
      <c r="C70" s="83">
        <v>20450.034940117202</v>
      </c>
      <c r="D70" s="84">
        <v>4549.0211045835576</v>
      </c>
      <c r="E70" s="84">
        <v>4095.8505435363099</v>
      </c>
      <c r="F70" s="84">
        <v>453.17056104724901</v>
      </c>
      <c r="G70" s="83">
        <v>3.417870084897213</v>
      </c>
      <c r="H70" s="78">
        <v>25.16220706497537</v>
      </c>
      <c r="I70" s="78">
        <v>26.348760919978375</v>
      </c>
      <c r="J70" s="78">
        <v>0</v>
      </c>
      <c r="K70" s="84">
        <v>0</v>
      </c>
      <c r="L70" s="85">
        <f t="shared" si="34"/>
        <v>0</v>
      </c>
      <c r="M70" s="15"/>
      <c r="N70" s="3"/>
      <c r="O70" s="72"/>
      <c r="P70" s="3"/>
      <c r="Q70" s="2"/>
      <c r="R70" s="4"/>
      <c r="S70" s="4"/>
      <c r="T70" s="4"/>
      <c r="U70" s="161"/>
      <c r="V70" s="161"/>
      <c r="W70" s="161"/>
      <c r="X70" s="201"/>
      <c r="Y70" s="202"/>
      <c r="Z70" s="4"/>
      <c r="AA70" s="4"/>
      <c r="AB70" s="4"/>
      <c r="AC70" s="4"/>
    </row>
    <row r="71" spans="2:29" x14ac:dyDescent="0.25">
      <c r="B71" s="82" t="s">
        <v>2</v>
      </c>
      <c r="C71" s="83">
        <v>251430.37783690859</v>
      </c>
      <c r="D71" s="84">
        <v>33738.127951375733</v>
      </c>
      <c r="E71" s="84">
        <v>36.2275463161657</v>
      </c>
      <c r="F71" s="84">
        <v>32732.968091907202</v>
      </c>
      <c r="G71" s="83">
        <v>77.736383134012783</v>
      </c>
      <c r="H71" s="78">
        <v>6.1708763765961825</v>
      </c>
      <c r="I71" s="78">
        <v>62.121962749452486</v>
      </c>
      <c r="J71" s="78">
        <v>0</v>
      </c>
      <c r="K71" s="84">
        <v>56.5</v>
      </c>
      <c r="L71" s="85">
        <f t="shared" si="34"/>
        <v>56.5</v>
      </c>
      <c r="M71" s="15"/>
      <c r="N71" s="3"/>
      <c r="O71" s="72"/>
      <c r="P71" s="3"/>
      <c r="Q71" s="2"/>
      <c r="R71" s="4"/>
      <c r="S71" s="4"/>
      <c r="T71" s="4"/>
      <c r="U71" s="161"/>
      <c r="V71" s="161"/>
      <c r="W71" s="161"/>
      <c r="X71" s="201"/>
      <c r="Y71" s="202"/>
      <c r="Z71" s="4"/>
      <c r="AA71" s="4"/>
      <c r="AB71" s="4"/>
      <c r="AC71" s="4"/>
    </row>
    <row r="72" spans="2:29" x14ac:dyDescent="0.25">
      <c r="B72" s="82" t="s">
        <v>3</v>
      </c>
      <c r="C72" s="83">
        <v>24496.645034227455</v>
      </c>
      <c r="D72" s="84">
        <v>4739.5256339269945</v>
      </c>
      <c r="E72" s="84">
        <v>4571.8337917332701</v>
      </c>
      <c r="F72" s="84">
        <v>167.66828675695399</v>
      </c>
      <c r="G72" s="83">
        <v>1.2198420797181784</v>
      </c>
      <c r="H72" s="78">
        <v>13.182085485309447</v>
      </c>
      <c r="I72" s="78">
        <v>11.510442510728991</v>
      </c>
      <c r="J72" s="78">
        <v>1.7243620509396349</v>
      </c>
      <c r="K72" s="84">
        <v>0</v>
      </c>
      <c r="L72" s="85">
        <f t="shared" si="34"/>
        <v>1.7243620509396349</v>
      </c>
      <c r="M72" s="15"/>
      <c r="O72" s="17"/>
      <c r="P72" s="3"/>
      <c r="Q72" s="2"/>
      <c r="R72" s="4"/>
      <c r="S72" s="4"/>
      <c r="T72" s="4"/>
      <c r="U72" s="161"/>
      <c r="V72" s="161"/>
      <c r="W72" s="161"/>
      <c r="X72" s="201"/>
      <c r="Y72" s="202"/>
      <c r="Z72" s="4"/>
      <c r="AA72" s="4"/>
      <c r="AB72" s="4"/>
      <c r="AC72" s="4"/>
    </row>
    <row r="73" spans="2:29" x14ac:dyDescent="0.25">
      <c r="B73" s="82" t="s">
        <v>4</v>
      </c>
      <c r="C73" s="83">
        <v>363314.38569269452</v>
      </c>
      <c r="D73" s="84">
        <v>149774.72401466093</v>
      </c>
      <c r="E73" s="84">
        <v>148845.87450464899</v>
      </c>
      <c r="F73" s="84">
        <v>928.38682241953302</v>
      </c>
      <c r="G73" s="83">
        <v>35.198012480601541</v>
      </c>
      <c r="H73" s="78">
        <v>450.59399496771118</v>
      </c>
      <c r="I73" s="78">
        <v>352.00180915217976</v>
      </c>
      <c r="J73" s="78">
        <v>99.250775937174438</v>
      </c>
      <c r="K73" s="84">
        <v>0</v>
      </c>
      <c r="L73" s="85">
        <f t="shared" si="34"/>
        <v>99.250775937174438</v>
      </c>
      <c r="M73" s="15"/>
      <c r="N73" s="3"/>
      <c r="O73" s="2"/>
      <c r="P73" s="3"/>
      <c r="Q73" s="2"/>
      <c r="R73" s="4"/>
      <c r="S73" s="4"/>
      <c r="T73" s="4"/>
      <c r="U73" s="161"/>
      <c r="V73" s="161"/>
      <c r="W73" s="161"/>
      <c r="X73" s="201"/>
      <c r="Y73" s="117"/>
      <c r="Z73" s="4"/>
      <c r="AA73" s="4"/>
      <c r="AB73" s="4"/>
      <c r="AC73" s="4"/>
    </row>
    <row r="74" spans="2:29" x14ac:dyDescent="0.25">
      <c r="B74" s="82" t="s">
        <v>5</v>
      </c>
      <c r="C74" s="83">
        <v>49475.746319971244</v>
      </c>
      <c r="D74" s="84">
        <v>34543.134541376516</v>
      </c>
      <c r="E74" s="84">
        <v>34381.756113589799</v>
      </c>
      <c r="F74" s="84">
        <v>161.37842778671799</v>
      </c>
      <c r="G74" s="83">
        <v>18.040305544438691</v>
      </c>
      <c r="H74" s="78">
        <v>63.760730908375784</v>
      </c>
      <c r="I74" s="78">
        <v>56.120784967398201</v>
      </c>
      <c r="J74" s="78">
        <v>9.6132768537202793</v>
      </c>
      <c r="K74" s="84">
        <v>0</v>
      </c>
      <c r="L74" s="85">
        <f t="shared" si="34"/>
        <v>9.6132768537202793</v>
      </c>
      <c r="M74" s="15"/>
      <c r="N74" s="3"/>
      <c r="O74" s="73"/>
      <c r="P74" s="3"/>
      <c r="Q74" s="2"/>
      <c r="R74" s="4"/>
      <c r="S74" s="4"/>
      <c r="T74" s="4"/>
      <c r="U74" s="161"/>
      <c r="V74" s="161"/>
      <c r="W74" s="161"/>
      <c r="X74" s="201"/>
      <c r="Y74" s="202"/>
      <c r="Z74" s="4"/>
      <c r="AA74" s="4"/>
      <c r="AB74" s="4"/>
      <c r="AC74" s="4"/>
    </row>
    <row r="75" spans="2:29" x14ac:dyDescent="0.25">
      <c r="B75" s="82" t="s">
        <v>6</v>
      </c>
      <c r="C75" s="83">
        <v>20836.189535136225</v>
      </c>
      <c r="D75" s="84">
        <v>12709.055149886017</v>
      </c>
      <c r="E75" s="84">
        <v>12592.695935711299</v>
      </c>
      <c r="F75" s="84">
        <v>116.35921417471801</v>
      </c>
      <c r="G75" s="83">
        <v>10.319534957876666</v>
      </c>
      <c r="H75" s="78">
        <v>22.418457014166282</v>
      </c>
      <c r="I75" s="78">
        <v>19.178798274543777</v>
      </c>
      <c r="J75" s="78">
        <v>3.337901207042103</v>
      </c>
      <c r="K75" s="84">
        <v>3.8</v>
      </c>
      <c r="L75" s="85">
        <f t="shared" si="34"/>
        <v>7.1379012070421028</v>
      </c>
      <c r="M75" s="15"/>
      <c r="O75" s="2"/>
      <c r="Q75" s="2"/>
      <c r="R75" s="4"/>
      <c r="S75" s="4"/>
      <c r="T75" s="4"/>
      <c r="U75" s="161"/>
      <c r="V75" s="161"/>
      <c r="W75" s="161"/>
      <c r="X75" s="201"/>
      <c r="Y75" s="202"/>
      <c r="Z75" s="4"/>
      <c r="AA75" s="4"/>
      <c r="AB75" s="4"/>
      <c r="AC75" s="4"/>
    </row>
    <row r="76" spans="2:29" x14ac:dyDescent="0.25">
      <c r="B76" s="82" t="s">
        <v>7</v>
      </c>
      <c r="C76" s="83">
        <v>1339764.2833351614</v>
      </c>
      <c r="D76" s="84">
        <v>179268.67227891536</v>
      </c>
      <c r="E76" s="84">
        <v>148932.274304138</v>
      </c>
      <c r="F76" s="84">
        <v>29965.5849251578</v>
      </c>
      <c r="G76" s="83">
        <v>33.609418342428306</v>
      </c>
      <c r="H76" s="78">
        <v>368.0970843230341</v>
      </c>
      <c r="I76" s="78">
        <v>450.8843159365635</v>
      </c>
      <c r="J76" s="78">
        <v>0</v>
      </c>
      <c r="K76" s="84">
        <v>33.799999999999997</v>
      </c>
      <c r="L76" s="85">
        <f t="shared" si="34"/>
        <v>33.799999999999997</v>
      </c>
      <c r="M76" s="15"/>
      <c r="N76" s="64"/>
      <c r="O76" s="69"/>
      <c r="Q76" s="2"/>
      <c r="R76" s="4"/>
      <c r="S76" s="4"/>
      <c r="T76" s="4"/>
      <c r="U76" s="161"/>
      <c r="V76" s="161"/>
      <c r="W76" s="161"/>
      <c r="X76" s="201"/>
      <c r="Y76" s="202"/>
      <c r="Z76" s="4"/>
      <c r="AA76" s="4"/>
      <c r="AB76" s="4"/>
      <c r="AC76" s="4"/>
    </row>
    <row r="77" spans="2:29" x14ac:dyDescent="0.25">
      <c r="B77" s="82" t="s">
        <v>8</v>
      </c>
      <c r="C77" s="83">
        <v>617141.72101696266</v>
      </c>
      <c r="D77" s="84">
        <v>8412.6065227973904</v>
      </c>
      <c r="E77" s="84">
        <v>7365.75573141738</v>
      </c>
      <c r="F77" s="84">
        <v>1046.8507913800099</v>
      </c>
      <c r="G77" s="83">
        <v>10.401745214818051</v>
      </c>
      <c r="H77" s="78">
        <v>612.11972363206985</v>
      </c>
      <c r="I77" s="78">
        <v>756.89478060611373</v>
      </c>
      <c r="J77" s="78">
        <v>0</v>
      </c>
      <c r="K77" s="84">
        <v>23.5</v>
      </c>
      <c r="L77" s="85">
        <f t="shared" si="34"/>
        <v>23.5</v>
      </c>
      <c r="M77" s="15"/>
      <c r="N77" s="64"/>
      <c r="O77" s="69"/>
      <c r="Q77" s="2"/>
      <c r="R77" s="4"/>
      <c r="S77" s="4"/>
      <c r="T77" s="4"/>
      <c r="U77" s="161"/>
      <c r="V77" s="161"/>
      <c r="W77" s="161"/>
      <c r="X77" s="201"/>
      <c r="Y77" s="202"/>
      <c r="Z77" s="4"/>
      <c r="AA77" s="4"/>
      <c r="AB77" s="4"/>
      <c r="AC77" s="4"/>
    </row>
    <row r="78" spans="2:29" x14ac:dyDescent="0.25">
      <c r="B78" s="82" t="s">
        <v>9</v>
      </c>
      <c r="C78" s="83">
        <v>119784.51078433092</v>
      </c>
      <c r="D78" s="84">
        <v>43226.930239887697</v>
      </c>
      <c r="E78" s="84">
        <v>42937.449618125</v>
      </c>
      <c r="F78" s="84">
        <v>289.48062176270099</v>
      </c>
      <c r="G78" s="83">
        <v>10.66678188762965</v>
      </c>
      <c r="H78" s="78">
        <v>121.15404716969931</v>
      </c>
      <c r="I78" s="78">
        <v>116.98056120230014</v>
      </c>
      <c r="J78" s="78">
        <v>19.922849793244371</v>
      </c>
      <c r="K78" s="84">
        <v>0</v>
      </c>
      <c r="L78" s="85">
        <f t="shared" si="34"/>
        <v>19.922849793244371</v>
      </c>
      <c r="M78" s="15"/>
      <c r="N78" s="117"/>
      <c r="O78" s="2"/>
      <c r="Q78" s="2"/>
      <c r="R78" s="4"/>
      <c r="S78" s="4"/>
      <c r="T78" s="4"/>
      <c r="U78" s="161"/>
      <c r="V78" s="161"/>
      <c r="W78" s="161"/>
      <c r="X78" s="201"/>
      <c r="Y78" s="202"/>
      <c r="Z78" s="4"/>
      <c r="AA78" s="4"/>
      <c r="AB78" s="4"/>
      <c r="AC78" s="4"/>
    </row>
    <row r="79" spans="2:29" ht="13.8" thickBot="1" x14ac:dyDescent="0.3">
      <c r="B79" s="86" t="s">
        <v>10</v>
      </c>
      <c r="C79" s="87">
        <v>237021.44592026682</v>
      </c>
      <c r="D79" s="87">
        <v>69411.089457609574</v>
      </c>
      <c r="E79" s="87">
        <v>67656.990471432495</v>
      </c>
      <c r="F79" s="87">
        <v>1753.8306754422299</v>
      </c>
      <c r="G79" s="87">
        <v>36.784837150434882</v>
      </c>
      <c r="H79" s="79">
        <v>269.86691573503549</v>
      </c>
      <c r="I79" s="79">
        <v>280.95574944054727</v>
      </c>
      <c r="J79" s="79">
        <v>0</v>
      </c>
      <c r="K79" s="87">
        <v>21.1</v>
      </c>
      <c r="L79" s="87">
        <f t="shared" si="34"/>
        <v>21.1</v>
      </c>
      <c r="M79" s="69"/>
      <c r="N79" s="69"/>
      <c r="O79" s="69"/>
      <c r="P79" s="69"/>
      <c r="Q79" s="5"/>
      <c r="R79" s="161"/>
      <c r="S79" s="4"/>
      <c r="T79" s="4"/>
      <c r="U79" s="161"/>
      <c r="V79" s="161"/>
      <c r="W79" s="161"/>
      <c r="X79" s="201"/>
      <c r="Y79" s="202"/>
      <c r="Z79" s="4"/>
      <c r="AA79" s="4"/>
      <c r="AB79" s="4"/>
      <c r="AC79" s="4"/>
    </row>
    <row r="80" spans="2:29" ht="13.8" thickBot="1" x14ac:dyDescent="0.3">
      <c r="B80" s="86" t="s">
        <v>11</v>
      </c>
      <c r="C80" s="87">
        <f>SUM(C69:C79)</f>
        <v>3056914.4259173274</v>
      </c>
      <c r="D80" s="87">
        <f>SUM(D69:D79)</f>
        <v>547871.10953387525</v>
      </c>
      <c r="E80" s="87">
        <f>SUM(E69:E79)</f>
        <v>478897.60439582798</v>
      </c>
      <c r="F80" s="87">
        <f t="shared" ref="F80:K80" si="35">SUM(F69:F79)</f>
        <v>67633.005221511354</v>
      </c>
      <c r="G80" s="87">
        <f>SUM(G69:G79)</f>
        <v>242.85089773256266</v>
      </c>
      <c r="H80" s="87">
        <f>SUM(H69:H79)</f>
        <v>1968.3979988288088</v>
      </c>
      <c r="I80" s="87">
        <f>SUM(I69:I79)</f>
        <v>2145.1743293937616</v>
      </c>
      <c r="J80" s="87">
        <f t="shared" si="35"/>
        <v>137.56456972066283</v>
      </c>
      <c r="K80" s="87">
        <f t="shared" si="35"/>
        <v>138.69999999999999</v>
      </c>
      <c r="L80" s="87">
        <f>SUM(L69:L79)</f>
        <v>276.26456972066285</v>
      </c>
      <c r="M80" s="69"/>
      <c r="N80" s="69"/>
      <c r="O80" s="69"/>
      <c r="P80" s="5"/>
      <c r="Q80" s="69"/>
      <c r="R80" s="4"/>
      <c r="S80" s="4"/>
      <c r="T80" s="4"/>
      <c r="U80" s="4"/>
      <c r="V80" s="161"/>
      <c r="W80" s="4"/>
      <c r="X80" s="4"/>
      <c r="Y80" s="4"/>
      <c r="Z80" s="4"/>
      <c r="AA80" s="4"/>
      <c r="AB80" s="4"/>
      <c r="AC80" s="4"/>
    </row>
    <row r="81" spans="2:37" ht="13.8" thickBot="1" x14ac:dyDescent="0.3">
      <c r="B81" s="65"/>
      <c r="C81" s="69"/>
      <c r="D81" s="65"/>
      <c r="E81" s="69"/>
      <c r="F81" s="69"/>
      <c r="G81" s="69"/>
      <c r="H81" s="69"/>
      <c r="I81" s="69"/>
      <c r="J81" s="69"/>
      <c r="K81" s="69"/>
      <c r="L81" s="69"/>
      <c r="M81" s="69"/>
      <c r="N81" s="69"/>
      <c r="O81" s="69"/>
      <c r="P81" s="5"/>
      <c r="Q81" s="69"/>
      <c r="R81" s="4"/>
      <c r="S81" s="4"/>
      <c r="T81" s="4"/>
      <c r="U81" s="4"/>
      <c r="V81" s="161"/>
      <c r="W81" s="4"/>
      <c r="X81" s="4"/>
      <c r="Y81" s="4"/>
      <c r="Z81" s="4"/>
      <c r="AA81" s="4"/>
      <c r="AB81" s="4"/>
      <c r="AC81" s="4"/>
    </row>
    <row r="82" spans="2:37" s="2" customFormat="1" ht="13.8" thickBot="1" x14ac:dyDescent="0.3">
      <c r="B82" s="248" t="s">
        <v>75</v>
      </c>
      <c r="C82" s="248"/>
      <c r="D82" s="248"/>
      <c r="E82" s="248"/>
      <c r="F82" s="248"/>
      <c r="G82" s="248"/>
      <c r="H82" s="248"/>
      <c r="I82" s="248"/>
      <c r="J82" s="47"/>
      <c r="K82" s="248" t="s">
        <v>60</v>
      </c>
      <c r="L82" s="248"/>
      <c r="M82" s="248"/>
      <c r="N82" s="248"/>
      <c r="O82" s="248"/>
      <c r="P82" s="248"/>
      <c r="Q82" s="5"/>
      <c r="R82" s="47"/>
      <c r="S82" s="196"/>
      <c r="T82" s="196"/>
      <c r="U82" s="196"/>
      <c r="V82" s="197"/>
      <c r="W82" s="197"/>
      <c r="X82" s="4"/>
      <c r="Y82" s="47"/>
      <c r="Z82" s="198"/>
      <c r="AA82" s="198"/>
      <c r="AB82" s="4"/>
      <c r="AC82" s="4"/>
      <c r="AD82"/>
      <c r="AE82"/>
      <c r="AF82"/>
      <c r="AG82"/>
      <c r="AI82"/>
      <c r="AK82"/>
    </row>
    <row r="83" spans="2:37" s="16" customFormat="1" ht="26.4" customHeight="1" x14ac:dyDescent="0.25">
      <c r="B83" s="191" t="s">
        <v>52</v>
      </c>
      <c r="C83" s="191" t="s">
        <v>224</v>
      </c>
      <c r="D83" s="191" t="s">
        <v>239</v>
      </c>
      <c r="E83" s="191" t="s">
        <v>238</v>
      </c>
      <c r="F83" s="191" t="s">
        <v>223</v>
      </c>
      <c r="G83" s="191" t="s">
        <v>237</v>
      </c>
      <c r="H83" s="191" t="s">
        <v>222</v>
      </c>
      <c r="I83" s="191" t="s">
        <v>236</v>
      </c>
      <c r="J83" s="105"/>
      <c r="K83" s="192" t="s">
        <v>52</v>
      </c>
      <c r="L83" s="192" t="s">
        <v>227</v>
      </c>
      <c r="M83" s="192" t="s">
        <v>226</v>
      </c>
      <c r="N83" s="192" t="s">
        <v>225</v>
      </c>
      <c r="O83" s="192" t="s">
        <v>228</v>
      </c>
      <c r="P83" s="192" t="s">
        <v>229</v>
      </c>
      <c r="R83" s="47"/>
      <c r="S83" s="196"/>
      <c r="T83" s="196"/>
      <c r="U83" s="196"/>
      <c r="V83" s="197"/>
      <c r="W83" s="197"/>
      <c r="X83" s="4"/>
      <c r="Y83" s="47"/>
      <c r="Z83" s="198"/>
      <c r="AA83" s="198"/>
      <c r="AB83" s="4"/>
      <c r="AC83" s="4"/>
      <c r="AD83"/>
      <c r="AE83"/>
      <c r="AF83"/>
      <c r="AG83"/>
      <c r="AH83" s="2"/>
      <c r="AI83"/>
      <c r="AJ83" s="2"/>
      <c r="AK83"/>
    </row>
    <row r="84" spans="2:37" s="16" customFormat="1" ht="15.6" customHeight="1" thickBot="1" x14ac:dyDescent="0.3">
      <c r="B84" s="81"/>
      <c r="C84" s="223" t="s">
        <v>268</v>
      </c>
      <c r="D84" s="223" t="s">
        <v>268</v>
      </c>
      <c r="E84" s="223" t="s">
        <v>268</v>
      </c>
      <c r="F84" s="223" t="s">
        <v>268</v>
      </c>
      <c r="G84" s="223" t="s">
        <v>268</v>
      </c>
      <c r="H84" s="223" t="s">
        <v>268</v>
      </c>
      <c r="I84" s="223" t="s">
        <v>268</v>
      </c>
      <c r="J84" s="105"/>
      <c r="K84" s="104"/>
      <c r="L84" s="223" t="s">
        <v>268</v>
      </c>
      <c r="M84" s="223" t="s">
        <v>268</v>
      </c>
      <c r="N84" s="223" t="s">
        <v>268</v>
      </c>
      <c r="O84" s="223" t="s">
        <v>268</v>
      </c>
      <c r="P84" s="223" t="s">
        <v>268</v>
      </c>
      <c r="R84" s="47"/>
      <c r="S84" s="196"/>
      <c r="T84" s="196"/>
      <c r="U84" s="196"/>
      <c r="V84" s="197"/>
      <c r="W84" s="197"/>
      <c r="X84" s="4"/>
      <c r="Y84" s="47"/>
      <c r="Z84" s="198"/>
      <c r="AA84" s="198"/>
      <c r="AB84" s="4"/>
      <c r="AC84" s="4"/>
      <c r="AD84"/>
      <c r="AE84"/>
      <c r="AF84"/>
      <c r="AG84"/>
      <c r="AH84" s="2"/>
      <c r="AI84"/>
      <c r="AJ84" s="2"/>
      <c r="AK84"/>
    </row>
    <row r="85" spans="2:37" x14ac:dyDescent="0.25">
      <c r="B85" s="82" t="s">
        <v>1</v>
      </c>
      <c r="C85" s="85">
        <f t="shared" ref="C85:E95" si="36">D69*$P$10</f>
        <v>74.982226388555233</v>
      </c>
      <c r="D85" s="88">
        <f t="shared" si="36"/>
        <v>74.808958351792896</v>
      </c>
      <c r="E85" s="88">
        <f t="shared" si="36"/>
        <v>0.17326803676232597</v>
      </c>
      <c r="F85" s="85">
        <f t="shared" ref="F85:F95" si="37">D85-H69</f>
        <v>58.93708219995731</v>
      </c>
      <c r="G85" s="85">
        <f t="shared" ref="G85:G95" si="38">E85-H69</f>
        <v>-15.698608115073259</v>
      </c>
      <c r="H85" s="85">
        <f>E85-J69</f>
        <v>-3.5421358417796607</v>
      </c>
      <c r="I85" s="85">
        <f>E85-L69</f>
        <v>-3.5421358417796607</v>
      </c>
      <c r="K85" s="82" t="s">
        <v>1</v>
      </c>
      <c r="L85" s="88">
        <f t="shared" ref="L85:L95" si="39">G69*$P$6</f>
        <v>0.1009390868305734</v>
      </c>
      <c r="M85" s="91">
        <f t="shared" ref="M85:M95" si="40">L85-H69</f>
        <v>-15.770937065005013</v>
      </c>
      <c r="N85" s="91">
        <f t="shared" ref="N85:N95" si="41">L85-I69</f>
        <v>-12.07542454712468</v>
      </c>
      <c r="O85" s="91">
        <f t="shared" ref="O85:O95" si="42">L85-J69</f>
        <v>-3.6144647917114132</v>
      </c>
      <c r="P85" s="91">
        <f t="shared" ref="P85:P95" si="43">L85-L69</f>
        <v>-3.6144647917114132</v>
      </c>
      <c r="Q85" s="2"/>
      <c r="R85" s="47"/>
      <c r="S85" s="196"/>
      <c r="T85" s="196"/>
      <c r="U85" s="196"/>
      <c r="V85" s="197"/>
      <c r="W85" s="197"/>
      <c r="X85" s="4"/>
      <c r="Y85" s="47"/>
      <c r="Z85" s="198"/>
      <c r="AA85" s="198"/>
      <c r="AB85" s="4"/>
      <c r="AC85" s="4"/>
    </row>
    <row r="86" spans="2:37" x14ac:dyDescent="0.25">
      <c r="B86" s="82" t="s">
        <v>195</v>
      </c>
      <c r="C86" s="85">
        <f t="shared" si="36"/>
        <v>45.490211045835579</v>
      </c>
      <c r="D86" s="88">
        <f t="shared" si="36"/>
        <v>40.958505435363101</v>
      </c>
      <c r="E86" s="88">
        <f t="shared" si="36"/>
        <v>4.53170561047249</v>
      </c>
      <c r="F86" s="85">
        <f t="shared" si="37"/>
        <v>15.796298370387731</v>
      </c>
      <c r="G86" s="85">
        <f t="shared" si="38"/>
        <v>-20.63050145450288</v>
      </c>
      <c r="H86" s="85">
        <f t="shared" ref="H86:H95" si="44">E86-J70</f>
        <v>4.53170561047249</v>
      </c>
      <c r="I86" s="85">
        <f t="shared" ref="I86:I95" si="45">E86-L70</f>
        <v>4.53170561047249</v>
      </c>
      <c r="K86" s="82" t="s">
        <v>195</v>
      </c>
      <c r="L86" s="88">
        <f t="shared" si="39"/>
        <v>6.3230596570598444E-2</v>
      </c>
      <c r="M86" s="91">
        <f t="shared" si="40"/>
        <v>-25.098976468404771</v>
      </c>
      <c r="N86" s="91">
        <f t="shared" si="41"/>
        <v>-26.285530323407777</v>
      </c>
      <c r="O86" s="91">
        <f t="shared" si="42"/>
        <v>6.3230596570598444E-2</v>
      </c>
      <c r="P86" s="91">
        <f t="shared" si="43"/>
        <v>6.3230596570598444E-2</v>
      </c>
      <c r="Q86" s="2"/>
      <c r="R86" s="47"/>
      <c r="S86" s="196"/>
      <c r="T86" s="196"/>
      <c r="U86" s="196"/>
      <c r="V86" s="197"/>
      <c r="W86" s="197"/>
      <c r="X86" s="4"/>
      <c r="Y86" s="47"/>
      <c r="Z86" s="198"/>
      <c r="AA86" s="198"/>
      <c r="AB86" s="4"/>
      <c r="AC86" s="4"/>
    </row>
    <row r="87" spans="2:37" x14ac:dyDescent="0.25">
      <c r="B87" s="82" t="s">
        <v>2</v>
      </c>
      <c r="C87" s="85">
        <f t="shared" si="36"/>
        <v>337.38127951375731</v>
      </c>
      <c r="D87" s="88">
        <f t="shared" si="36"/>
        <v>0.36227546316165699</v>
      </c>
      <c r="E87" s="88">
        <f t="shared" si="36"/>
        <v>327.32968091907202</v>
      </c>
      <c r="F87" s="85">
        <f t="shared" si="37"/>
        <v>-5.8086009134345256</v>
      </c>
      <c r="G87" s="85">
        <f t="shared" si="38"/>
        <v>321.15880454247582</v>
      </c>
      <c r="H87" s="85">
        <f t="shared" si="44"/>
        <v>327.32968091907202</v>
      </c>
      <c r="I87" s="85">
        <f t="shared" si="45"/>
        <v>270.82968091907202</v>
      </c>
      <c r="K87" s="82" t="s">
        <v>2</v>
      </c>
      <c r="L87" s="88">
        <f t="shared" si="39"/>
        <v>1.4381230879792364</v>
      </c>
      <c r="M87" s="91">
        <f t="shared" si="40"/>
        <v>-4.7327532886169461</v>
      </c>
      <c r="N87" s="91">
        <f t="shared" si="41"/>
        <v>-60.68383966147325</v>
      </c>
      <c r="O87" s="91">
        <f t="shared" si="42"/>
        <v>1.4381230879792364</v>
      </c>
      <c r="P87" s="91">
        <f t="shared" si="43"/>
        <v>-55.061876912020765</v>
      </c>
      <c r="Q87" s="2"/>
      <c r="R87" s="47"/>
      <c r="S87" s="196"/>
      <c r="T87" s="196"/>
      <c r="U87" s="196"/>
      <c r="V87" s="197"/>
      <c r="W87" s="197"/>
      <c r="X87" s="4"/>
      <c r="Y87" s="47"/>
      <c r="Z87" s="198"/>
      <c r="AA87" s="198"/>
      <c r="AB87" s="4"/>
      <c r="AC87" s="4"/>
    </row>
    <row r="88" spans="2:37" x14ac:dyDescent="0.25">
      <c r="B88" s="82" t="s">
        <v>3</v>
      </c>
      <c r="C88" s="85">
        <f t="shared" si="36"/>
        <v>47.395256339269949</v>
      </c>
      <c r="D88" s="88">
        <f t="shared" si="36"/>
        <v>45.718337917332704</v>
      </c>
      <c r="E88" s="88">
        <f t="shared" si="36"/>
        <v>1.67668286756954</v>
      </c>
      <c r="F88" s="85">
        <f t="shared" si="37"/>
        <v>32.536252432023261</v>
      </c>
      <c r="G88" s="85">
        <f t="shared" si="38"/>
        <v>-11.505402617739907</v>
      </c>
      <c r="H88" s="85">
        <f t="shared" si="44"/>
        <v>-4.7679183370094913E-2</v>
      </c>
      <c r="I88" s="85">
        <f t="shared" si="45"/>
        <v>-4.7679183370094913E-2</v>
      </c>
      <c r="K88" s="82" t="s">
        <v>3</v>
      </c>
      <c r="L88" s="88">
        <f t="shared" si="39"/>
        <v>2.2567078474786298E-2</v>
      </c>
      <c r="M88" s="91">
        <f t="shared" si="40"/>
        <v>-13.15951840683466</v>
      </c>
      <c r="N88" s="91">
        <f t="shared" si="41"/>
        <v>-11.487875432254205</v>
      </c>
      <c r="O88" s="91">
        <f t="shared" si="42"/>
        <v>-1.7017949724648487</v>
      </c>
      <c r="P88" s="91">
        <f t="shared" si="43"/>
        <v>-1.7017949724648487</v>
      </c>
      <c r="Q88" s="2"/>
      <c r="R88" s="47"/>
      <c r="S88" s="196"/>
      <c r="T88" s="196"/>
      <c r="U88" s="196"/>
      <c r="V88" s="197"/>
      <c r="W88" s="197"/>
      <c r="X88" s="4"/>
      <c r="Y88" s="47"/>
      <c r="Z88" s="198"/>
      <c r="AA88" s="198"/>
      <c r="AB88" s="4"/>
      <c r="AC88" s="4"/>
    </row>
    <row r="89" spans="2:37" x14ac:dyDescent="0.25">
      <c r="B89" s="82" t="s">
        <v>4</v>
      </c>
      <c r="C89" s="85">
        <f t="shared" si="36"/>
        <v>1497.7472401466093</v>
      </c>
      <c r="D89" s="88">
        <f t="shared" si="36"/>
        <v>1488.4587450464899</v>
      </c>
      <c r="E89" s="88">
        <f t="shared" si="36"/>
        <v>9.2838682241953308</v>
      </c>
      <c r="F89" s="85">
        <f t="shared" si="37"/>
        <v>1037.8647500787788</v>
      </c>
      <c r="G89" s="85">
        <f t="shared" si="38"/>
        <v>-441.31012674351587</v>
      </c>
      <c r="H89" s="85">
        <f t="shared" si="44"/>
        <v>-89.966907712979108</v>
      </c>
      <c r="I89" s="85">
        <f t="shared" si="45"/>
        <v>-89.966907712979108</v>
      </c>
      <c r="K89" s="82" t="s">
        <v>4</v>
      </c>
      <c r="L89" s="88">
        <f t="shared" si="39"/>
        <v>0.65116323089112849</v>
      </c>
      <c r="M89" s="91">
        <f t="shared" si="40"/>
        <v>-449.94283173682004</v>
      </c>
      <c r="N89" s="91">
        <f t="shared" si="41"/>
        <v>-351.35064592128862</v>
      </c>
      <c r="O89" s="91">
        <f t="shared" si="42"/>
        <v>-98.59961270628331</v>
      </c>
      <c r="P89" s="91">
        <f t="shared" si="43"/>
        <v>-98.59961270628331</v>
      </c>
      <c r="Q89" s="2"/>
      <c r="R89" s="47"/>
      <c r="S89" s="196"/>
      <c r="T89" s="196"/>
      <c r="U89" s="196"/>
      <c r="V89" s="197"/>
      <c r="W89" s="197"/>
      <c r="X89" s="4"/>
      <c r="Y89" s="47"/>
      <c r="Z89" s="198"/>
      <c r="AA89" s="198"/>
      <c r="AB89" s="4"/>
      <c r="AC89" s="4"/>
    </row>
    <row r="90" spans="2:37" x14ac:dyDescent="0.25">
      <c r="B90" s="82" t="s">
        <v>5</v>
      </c>
      <c r="C90" s="85">
        <f t="shared" si="36"/>
        <v>345.43134541376514</v>
      </c>
      <c r="D90" s="88">
        <f t="shared" si="36"/>
        <v>343.81756113589802</v>
      </c>
      <c r="E90" s="88">
        <f t="shared" si="36"/>
        <v>1.61378427786718</v>
      </c>
      <c r="F90" s="85">
        <f t="shared" si="37"/>
        <v>280.05683022752225</v>
      </c>
      <c r="G90" s="85">
        <f t="shared" si="38"/>
        <v>-62.146946630508602</v>
      </c>
      <c r="H90" s="85">
        <f t="shared" si="44"/>
        <v>-7.9994925758530995</v>
      </c>
      <c r="I90" s="85">
        <f t="shared" si="45"/>
        <v>-7.9994925758530995</v>
      </c>
      <c r="K90" s="82" t="s">
        <v>5</v>
      </c>
      <c r="L90" s="88">
        <f t="shared" si="39"/>
        <v>0.3337456525721158</v>
      </c>
      <c r="M90" s="91">
        <f t="shared" si="40"/>
        <v>-63.426985255803672</v>
      </c>
      <c r="N90" s="91">
        <f t="shared" si="41"/>
        <v>-55.787039314826089</v>
      </c>
      <c r="O90" s="91">
        <f t="shared" si="42"/>
        <v>-9.2795312011481634</v>
      </c>
      <c r="P90" s="91">
        <f t="shared" si="43"/>
        <v>-9.2795312011481634</v>
      </c>
      <c r="Q90" s="2"/>
      <c r="R90" s="47"/>
      <c r="S90" s="196"/>
      <c r="T90" s="196"/>
      <c r="U90" s="196"/>
      <c r="V90" s="197"/>
      <c r="W90" s="197"/>
      <c r="X90" s="4"/>
      <c r="Y90" s="47"/>
      <c r="Z90" s="198"/>
      <c r="AA90" s="198"/>
      <c r="AB90" s="4"/>
      <c r="AC90" s="4"/>
    </row>
    <row r="91" spans="2:37" x14ac:dyDescent="0.25">
      <c r="B91" s="82" t="s">
        <v>6</v>
      </c>
      <c r="C91" s="85">
        <f t="shared" si="36"/>
        <v>127.09055149886017</v>
      </c>
      <c r="D91" s="88">
        <f t="shared" si="36"/>
        <v>125.92695935711299</v>
      </c>
      <c r="E91" s="88">
        <f t="shared" si="36"/>
        <v>1.1635921417471802</v>
      </c>
      <c r="F91" s="85">
        <f t="shared" si="37"/>
        <v>103.50850234294671</v>
      </c>
      <c r="G91" s="85">
        <f t="shared" si="38"/>
        <v>-21.254864872419102</v>
      </c>
      <c r="H91" s="85">
        <f t="shared" si="44"/>
        <v>-2.1743090652949228</v>
      </c>
      <c r="I91" s="85">
        <f t="shared" si="45"/>
        <v>-5.9743090652949231</v>
      </c>
      <c r="K91" s="82" t="s">
        <v>6</v>
      </c>
      <c r="L91" s="88">
        <f t="shared" si="39"/>
        <v>0.1909113967207183</v>
      </c>
      <c r="M91" s="91">
        <f t="shared" si="40"/>
        <v>-22.227545617445564</v>
      </c>
      <c r="N91" s="91">
        <f t="shared" si="41"/>
        <v>-18.987886877823058</v>
      </c>
      <c r="O91" s="91">
        <f t="shared" si="42"/>
        <v>-3.1469898103213847</v>
      </c>
      <c r="P91" s="91">
        <f t="shared" si="43"/>
        <v>-6.9469898103213845</v>
      </c>
      <c r="Q91" s="2"/>
      <c r="R91" s="47"/>
      <c r="S91" s="196"/>
      <c r="T91" s="196"/>
      <c r="U91" s="196"/>
      <c r="V91" s="197"/>
      <c r="W91" s="197"/>
      <c r="X91" s="4"/>
      <c r="Y91" s="47"/>
      <c r="Z91" s="198"/>
      <c r="AA91" s="198"/>
      <c r="AB91" s="4"/>
      <c r="AC91" s="4"/>
    </row>
    <row r="92" spans="2:37" x14ac:dyDescent="0.25">
      <c r="B92" s="82" t="s">
        <v>7</v>
      </c>
      <c r="C92" s="85">
        <f t="shared" si="36"/>
        <v>1792.6867227891537</v>
      </c>
      <c r="D92" s="88">
        <f t="shared" si="36"/>
        <v>1489.3227430413801</v>
      </c>
      <c r="E92" s="88">
        <f t="shared" si="36"/>
        <v>299.65584925157799</v>
      </c>
      <c r="F92" s="85">
        <f t="shared" si="37"/>
        <v>1121.225658718346</v>
      </c>
      <c r="G92" s="85">
        <f t="shared" si="38"/>
        <v>-68.441235071456106</v>
      </c>
      <c r="H92" s="85">
        <f t="shared" si="44"/>
        <v>299.65584925157799</v>
      </c>
      <c r="I92" s="85">
        <f t="shared" si="45"/>
        <v>265.85584925157798</v>
      </c>
      <c r="K92" s="82" t="s">
        <v>7</v>
      </c>
      <c r="L92" s="88">
        <f t="shared" si="39"/>
        <v>0.6217742393349236</v>
      </c>
      <c r="M92" s="91">
        <f t="shared" si="40"/>
        <v>-367.47531008369918</v>
      </c>
      <c r="N92" s="91">
        <f t="shared" si="41"/>
        <v>-450.26254169722858</v>
      </c>
      <c r="O92" s="91">
        <f t="shared" si="42"/>
        <v>0.6217742393349236</v>
      </c>
      <c r="P92" s="91">
        <f t="shared" si="43"/>
        <v>-33.178225760665072</v>
      </c>
      <c r="Q92" s="2"/>
      <c r="R92" s="47"/>
      <c r="S92" s="196"/>
      <c r="T92" s="196"/>
      <c r="U92" s="196"/>
      <c r="V92" s="197"/>
      <c r="W92" s="197"/>
      <c r="X92" s="4"/>
      <c r="Y92" s="47"/>
      <c r="Z92" s="198"/>
      <c r="AA92" s="198"/>
      <c r="AB92" s="4"/>
      <c r="AC92" s="4"/>
    </row>
    <row r="93" spans="2:37" x14ac:dyDescent="0.25">
      <c r="B93" s="82" t="s">
        <v>8</v>
      </c>
      <c r="C93" s="85">
        <f t="shared" si="36"/>
        <v>84.126065227973911</v>
      </c>
      <c r="D93" s="88">
        <f t="shared" si="36"/>
        <v>73.6575573141738</v>
      </c>
      <c r="E93" s="88">
        <f t="shared" si="36"/>
        <v>10.468507913800099</v>
      </c>
      <c r="F93" s="85">
        <f t="shared" si="37"/>
        <v>-538.46216631789605</v>
      </c>
      <c r="G93" s="85">
        <f t="shared" si="38"/>
        <v>-601.65121571826978</v>
      </c>
      <c r="H93" s="85">
        <f t="shared" si="44"/>
        <v>10.468507913800099</v>
      </c>
      <c r="I93" s="85">
        <f t="shared" si="45"/>
        <v>-13.031492086199901</v>
      </c>
      <c r="K93" s="82" t="s">
        <v>8</v>
      </c>
      <c r="L93" s="88">
        <f t="shared" si="39"/>
        <v>0.19243228647413393</v>
      </c>
      <c r="M93" s="91">
        <f t="shared" si="40"/>
        <v>-611.92729134559568</v>
      </c>
      <c r="N93" s="91">
        <f t="shared" si="41"/>
        <v>-756.70234831963955</v>
      </c>
      <c r="O93" s="91">
        <f t="shared" si="42"/>
        <v>0.19243228647413393</v>
      </c>
      <c r="P93" s="91">
        <f t="shared" si="43"/>
        <v>-23.307567713525867</v>
      </c>
      <c r="Q93" s="2"/>
      <c r="R93" s="47"/>
      <c r="S93" s="196"/>
      <c r="T93" s="196"/>
      <c r="U93" s="196"/>
      <c r="V93" s="197"/>
      <c r="W93" s="197"/>
      <c r="X93" s="4"/>
      <c r="Y93" s="47"/>
      <c r="Z93" s="199"/>
      <c r="AA93" s="199"/>
      <c r="AB93" s="4"/>
      <c r="AC93" s="4"/>
    </row>
    <row r="94" spans="2:37" x14ac:dyDescent="0.25">
      <c r="B94" s="82" t="s">
        <v>9</v>
      </c>
      <c r="C94" s="85">
        <f t="shared" si="36"/>
        <v>432.26930239887696</v>
      </c>
      <c r="D94" s="88">
        <f t="shared" si="36"/>
        <v>429.37449618124998</v>
      </c>
      <c r="E94" s="88">
        <f t="shared" si="36"/>
        <v>2.8948062176270102</v>
      </c>
      <c r="F94" s="85">
        <f t="shared" si="37"/>
        <v>308.22044901155067</v>
      </c>
      <c r="G94" s="85">
        <f t="shared" si="38"/>
        <v>-118.2592409520723</v>
      </c>
      <c r="H94" s="85">
        <f t="shared" si="44"/>
        <v>-17.02804357561736</v>
      </c>
      <c r="I94" s="85">
        <f t="shared" si="45"/>
        <v>-17.02804357561736</v>
      </c>
      <c r="K94" s="82" t="s">
        <v>9</v>
      </c>
      <c r="L94" s="88">
        <f t="shared" si="39"/>
        <v>0.19733546492114851</v>
      </c>
      <c r="M94" s="91">
        <f t="shared" si="40"/>
        <v>-120.95671170477816</v>
      </c>
      <c r="N94" s="91">
        <f t="shared" si="41"/>
        <v>-116.78322573737898</v>
      </c>
      <c r="O94" s="91">
        <f t="shared" si="42"/>
        <v>-19.725514328323221</v>
      </c>
      <c r="P94" s="91">
        <f t="shared" si="43"/>
        <v>-19.725514328323221</v>
      </c>
      <c r="Q94" s="2"/>
      <c r="R94" s="4"/>
      <c r="S94" s="4"/>
      <c r="T94" s="4"/>
      <c r="U94" s="4"/>
      <c r="V94" s="4"/>
      <c r="W94" s="4"/>
      <c r="X94" s="4"/>
      <c r="Y94" s="4"/>
      <c r="Z94" s="4"/>
      <c r="AA94" s="4"/>
      <c r="AB94" s="4"/>
      <c r="AC94" s="4"/>
    </row>
    <row r="95" spans="2:37" ht="13.8" thickBot="1" x14ac:dyDescent="0.3">
      <c r="B95" s="86" t="s">
        <v>10</v>
      </c>
      <c r="C95" s="89">
        <f t="shared" si="36"/>
        <v>694.1108945760958</v>
      </c>
      <c r="D95" s="90">
        <f t="shared" si="36"/>
        <v>676.56990471432493</v>
      </c>
      <c r="E95" s="90">
        <f t="shared" si="36"/>
        <v>17.538306754422301</v>
      </c>
      <c r="F95" s="89">
        <f t="shared" si="37"/>
        <v>406.70298897928944</v>
      </c>
      <c r="G95" s="89">
        <f t="shared" si="38"/>
        <v>-252.32860898061318</v>
      </c>
      <c r="H95" s="89">
        <f t="shared" si="44"/>
        <v>17.538306754422301</v>
      </c>
      <c r="I95" s="89">
        <f t="shared" si="45"/>
        <v>-3.5616932455777004</v>
      </c>
      <c r="K95" s="86" t="s">
        <v>10</v>
      </c>
      <c r="L95" s="90">
        <f t="shared" si="39"/>
        <v>0.68051948728304523</v>
      </c>
      <c r="M95" s="92">
        <f t="shared" si="40"/>
        <v>-269.18639624775244</v>
      </c>
      <c r="N95" s="92">
        <f t="shared" si="41"/>
        <v>-280.27522995326422</v>
      </c>
      <c r="O95" s="92">
        <f t="shared" si="42"/>
        <v>0.68051948728304523</v>
      </c>
      <c r="P95" s="92">
        <f t="shared" si="43"/>
        <v>-20.419480512716955</v>
      </c>
      <c r="Q95" s="2"/>
      <c r="R95" s="4"/>
      <c r="S95" s="4"/>
      <c r="T95" s="4"/>
      <c r="U95" s="4"/>
      <c r="V95" s="4"/>
      <c r="W95" s="4"/>
      <c r="X95" s="4"/>
      <c r="Y95" s="4"/>
      <c r="Z95" s="4"/>
      <c r="AA95" s="4"/>
      <c r="AB95" s="4"/>
      <c r="AC95" s="4"/>
    </row>
    <row r="96" spans="2:37" x14ac:dyDescent="0.25">
      <c r="B96" s="2"/>
      <c r="F96" s="2"/>
      <c r="G96" s="45"/>
      <c r="H96" s="45"/>
      <c r="M96" s="2"/>
      <c r="O96" s="2"/>
      <c r="Q96" s="2"/>
      <c r="R96" s="4"/>
      <c r="S96" s="4"/>
      <c r="T96" s="4"/>
      <c r="U96" s="4"/>
      <c r="V96" s="4"/>
      <c r="W96" s="4"/>
      <c r="X96" s="4"/>
      <c r="Y96" s="4"/>
      <c r="Z96" s="4"/>
      <c r="AA96" s="4"/>
      <c r="AB96" s="4"/>
      <c r="AC96" s="4"/>
    </row>
    <row r="97" spans="2:22" ht="13.8" thickBot="1" x14ac:dyDescent="0.3">
      <c r="B97" s="2"/>
      <c r="C97"/>
      <c r="D97"/>
      <c r="F97" s="2"/>
      <c r="G97"/>
      <c r="H97"/>
      <c r="I97"/>
      <c r="J97"/>
      <c r="K97"/>
      <c r="L97"/>
      <c r="N97"/>
      <c r="P97"/>
      <c r="R97"/>
      <c r="V97"/>
    </row>
    <row r="98" spans="2:22" ht="13.8" thickBot="1" x14ac:dyDescent="0.3">
      <c r="B98" s="245" t="s">
        <v>189</v>
      </c>
      <c r="C98" s="245"/>
      <c r="D98" s="245"/>
      <c r="E98" s="245"/>
      <c r="F98" s="245"/>
      <c r="G98" s="245"/>
      <c r="H98" s="245"/>
      <c r="I98" s="245"/>
      <c r="J98" s="245"/>
      <c r="K98" s="245"/>
      <c r="L98" s="245"/>
      <c r="M98" s="5"/>
      <c r="N98" s="65"/>
      <c r="O98" s="65"/>
      <c r="P98" s="65"/>
      <c r="R98"/>
      <c r="V98"/>
    </row>
    <row r="99" spans="2:22" ht="48.6" customHeight="1" thickBot="1" x14ac:dyDescent="0.3">
      <c r="B99" s="81" t="s">
        <v>52</v>
      </c>
      <c r="C99" s="81" t="s">
        <v>51</v>
      </c>
      <c r="D99" s="81" t="s">
        <v>74</v>
      </c>
      <c r="E99" s="81" t="s">
        <v>54</v>
      </c>
      <c r="F99" s="81" t="s">
        <v>55</v>
      </c>
      <c r="G99" s="81" t="s">
        <v>187</v>
      </c>
      <c r="H99" s="80" t="s">
        <v>270</v>
      </c>
      <c r="I99" s="80" t="s">
        <v>271</v>
      </c>
      <c r="J99" s="80" t="s">
        <v>272</v>
      </c>
      <c r="K99" s="81" t="s">
        <v>273</v>
      </c>
      <c r="L99" s="81" t="s">
        <v>274</v>
      </c>
      <c r="M99" s="68"/>
      <c r="O99" s="3"/>
      <c r="R99"/>
      <c r="V99"/>
    </row>
    <row r="100" spans="2:22" x14ac:dyDescent="0.25">
      <c r="B100" s="82" t="s">
        <v>1</v>
      </c>
      <c r="C100" s="83">
        <v>13199.085501550475</v>
      </c>
      <c r="D100" s="84">
        <v>7498.2226388555227</v>
      </c>
      <c r="E100" s="84">
        <v>7480.8958351792899</v>
      </c>
      <c r="F100" s="84">
        <v>17.326803676232597</v>
      </c>
      <c r="G100" s="83">
        <v>5.2910850035945218</v>
      </c>
      <c r="H100" s="78">
        <v>16.637492358121488</v>
      </c>
      <c r="I100" s="78">
        <v>12.647126262707316</v>
      </c>
      <c r="J100" s="78">
        <v>4.0079665040383814</v>
      </c>
      <c r="K100" s="84">
        <v>0</v>
      </c>
      <c r="L100" s="85">
        <f t="shared" ref="L100:L110" si="46">K100+J100</f>
        <v>4.0079665040383814</v>
      </c>
      <c r="M100" s="15"/>
      <c r="N100" s="3"/>
      <c r="O100" s="3"/>
      <c r="P100" s="3"/>
    </row>
    <row r="101" spans="2:22" x14ac:dyDescent="0.25">
      <c r="B101" s="82" t="s">
        <v>195</v>
      </c>
      <c r="C101" s="83">
        <v>20450.034940117202</v>
      </c>
      <c r="D101" s="84">
        <v>4549.0211045835576</v>
      </c>
      <c r="E101" s="84">
        <v>4095.8505435363099</v>
      </c>
      <c r="F101" s="84">
        <v>453.17056104724901</v>
      </c>
      <c r="G101" s="83">
        <v>3.3122105677848754</v>
      </c>
      <c r="H101" s="78">
        <v>25.703391302231459</v>
      </c>
      <c r="I101" s="78">
        <v>25.329436673814651</v>
      </c>
      <c r="J101" s="78">
        <v>0.55883956504878174</v>
      </c>
      <c r="K101" s="84">
        <v>0</v>
      </c>
      <c r="L101" s="85">
        <f t="shared" si="46"/>
        <v>0.55883956504878174</v>
      </c>
      <c r="M101" s="15"/>
      <c r="N101" s="3"/>
      <c r="O101" s="72"/>
      <c r="P101" s="3"/>
    </row>
    <row r="102" spans="2:22" x14ac:dyDescent="0.25">
      <c r="B102" s="82" t="s">
        <v>2</v>
      </c>
      <c r="C102" s="83">
        <v>251430.37783690859</v>
      </c>
      <c r="D102" s="84">
        <v>33738.127951375733</v>
      </c>
      <c r="E102" s="84">
        <v>36.2275463161657</v>
      </c>
      <c r="F102" s="84">
        <v>32732.968091907202</v>
      </c>
      <c r="G102" s="83">
        <v>76.256997384748658</v>
      </c>
      <c r="H102" s="78">
        <v>3.2702085351185128</v>
      </c>
      <c r="I102" s="78">
        <v>62.754986634620614</v>
      </c>
      <c r="J102" s="78">
        <v>0</v>
      </c>
      <c r="K102" s="84">
        <v>56.5</v>
      </c>
      <c r="L102" s="85">
        <f t="shared" si="46"/>
        <v>56.5</v>
      </c>
      <c r="M102" s="15"/>
      <c r="N102" s="3"/>
      <c r="O102" s="72"/>
      <c r="P102" s="3"/>
    </row>
    <row r="103" spans="2:22" x14ac:dyDescent="0.25">
      <c r="B103" s="82" t="s">
        <v>3</v>
      </c>
      <c r="C103" s="83">
        <v>24496.645034227455</v>
      </c>
      <c r="D103" s="84">
        <v>4739.5256339269945</v>
      </c>
      <c r="E103" s="84">
        <v>4571.8337917332701</v>
      </c>
      <c r="F103" s="84">
        <v>167.66828675695399</v>
      </c>
      <c r="G103" s="83">
        <v>1.2028814512554762</v>
      </c>
      <c r="H103" s="78">
        <v>11.943753851749031</v>
      </c>
      <c r="I103" s="78">
        <v>11.347419840110691</v>
      </c>
      <c r="J103" s="78">
        <v>0.64927869200379018</v>
      </c>
      <c r="K103" s="84">
        <v>0</v>
      </c>
      <c r="L103" s="85">
        <f t="shared" si="46"/>
        <v>0.64927869200379018</v>
      </c>
      <c r="M103" s="15"/>
      <c r="O103" s="17"/>
      <c r="P103" s="3"/>
    </row>
    <row r="104" spans="2:22" x14ac:dyDescent="0.25">
      <c r="B104" s="82" t="s">
        <v>4</v>
      </c>
      <c r="C104" s="83">
        <v>363314.38569269452</v>
      </c>
      <c r="D104" s="84">
        <v>149774.72401466093</v>
      </c>
      <c r="E104" s="84">
        <v>148845.87450464899</v>
      </c>
      <c r="F104" s="84">
        <v>928.38682241953302</v>
      </c>
      <c r="G104" s="83">
        <v>34.255973217130453</v>
      </c>
      <c r="H104" s="78">
        <v>413.34832603081821</v>
      </c>
      <c r="I104" s="78">
        <v>354.07203967348119</v>
      </c>
      <c r="J104" s="78">
        <v>59.803140686266872</v>
      </c>
      <c r="K104" s="84">
        <v>0</v>
      </c>
      <c r="L104" s="85">
        <f t="shared" si="46"/>
        <v>59.803140686266872</v>
      </c>
      <c r="M104" s="15"/>
      <c r="N104" s="3"/>
      <c r="O104" s="2"/>
      <c r="P104" s="3"/>
    </row>
    <row r="105" spans="2:22" x14ac:dyDescent="0.25">
      <c r="B105" s="82" t="s">
        <v>5</v>
      </c>
      <c r="C105" s="83">
        <v>49475.746319971244</v>
      </c>
      <c r="D105" s="84">
        <v>34543.134541376516</v>
      </c>
      <c r="E105" s="84">
        <v>34381.756113589799</v>
      </c>
      <c r="F105" s="84">
        <v>161.37842778671799</v>
      </c>
      <c r="G105" s="83">
        <v>17.638155596830948</v>
      </c>
      <c r="H105" s="78">
        <v>74.751680684850584</v>
      </c>
      <c r="I105" s="78">
        <v>54.535735618593961</v>
      </c>
      <c r="J105" s="78">
        <v>21.776001224106345</v>
      </c>
      <c r="K105" s="84">
        <v>0</v>
      </c>
      <c r="L105" s="85">
        <f t="shared" si="46"/>
        <v>21.776001224106345</v>
      </c>
      <c r="M105" s="15"/>
      <c r="N105" s="3"/>
      <c r="O105" s="73"/>
      <c r="P105" s="3"/>
    </row>
    <row r="106" spans="2:22" x14ac:dyDescent="0.25">
      <c r="B106" s="82" t="s">
        <v>6</v>
      </c>
      <c r="C106" s="83">
        <v>20836.189535136225</v>
      </c>
      <c r="D106" s="84">
        <v>12709.055149886017</v>
      </c>
      <c r="E106" s="84">
        <v>12592.695935711299</v>
      </c>
      <c r="F106" s="84">
        <v>116.35921417471801</v>
      </c>
      <c r="G106" s="83">
        <v>10.059987285900434</v>
      </c>
      <c r="H106" s="78">
        <v>21.293728659654324</v>
      </c>
      <c r="I106" s="78">
        <v>19.326127388702769</v>
      </c>
      <c r="J106" s="78">
        <v>2.0728694745348006</v>
      </c>
      <c r="K106" s="84">
        <v>3.8</v>
      </c>
      <c r="L106" s="85">
        <f t="shared" si="46"/>
        <v>5.8728694745348005</v>
      </c>
      <c r="M106" s="15"/>
      <c r="O106" s="2"/>
    </row>
    <row r="107" spans="2:22" x14ac:dyDescent="0.25">
      <c r="B107" s="82" t="s">
        <v>7</v>
      </c>
      <c r="C107" s="83">
        <v>1339764.2833351614</v>
      </c>
      <c r="D107" s="84">
        <v>179268.67227891536</v>
      </c>
      <c r="E107" s="84">
        <v>148932.274304138</v>
      </c>
      <c r="F107" s="84">
        <v>29965.5849251578</v>
      </c>
      <c r="G107" s="83">
        <v>32.815288364019047</v>
      </c>
      <c r="H107" s="78">
        <v>330.3585295558517</v>
      </c>
      <c r="I107" s="78">
        <v>421.75910966169283</v>
      </c>
      <c r="J107" s="78">
        <v>0</v>
      </c>
      <c r="K107" s="84">
        <v>33.799999999999997</v>
      </c>
      <c r="L107" s="85">
        <f t="shared" si="46"/>
        <v>33.799999999999997</v>
      </c>
      <c r="M107" s="15"/>
      <c r="N107" s="64"/>
      <c r="O107" s="69"/>
    </row>
    <row r="108" spans="2:22" x14ac:dyDescent="0.25">
      <c r="B108" s="82" t="s">
        <v>8</v>
      </c>
      <c r="C108" s="83">
        <v>617141.72101696266</v>
      </c>
      <c r="D108" s="84">
        <v>8412.6065227973904</v>
      </c>
      <c r="E108" s="84">
        <v>7365.75573141738</v>
      </c>
      <c r="F108" s="84">
        <v>1046.8507913800099</v>
      </c>
      <c r="G108" s="83">
        <v>10.279420115444264</v>
      </c>
      <c r="H108" s="78">
        <v>618.83788355672255</v>
      </c>
      <c r="I108" s="78">
        <v>780.97151240180949</v>
      </c>
      <c r="J108" s="78">
        <v>0</v>
      </c>
      <c r="K108" s="84">
        <v>23.5</v>
      </c>
      <c r="L108" s="85">
        <f t="shared" si="46"/>
        <v>23.5</v>
      </c>
      <c r="M108" s="15"/>
      <c r="N108" s="64"/>
      <c r="O108" s="69"/>
    </row>
    <row r="109" spans="2:22" x14ac:dyDescent="0.25">
      <c r="B109" s="82" t="s">
        <v>9</v>
      </c>
      <c r="C109" s="83">
        <v>119784.51078433092</v>
      </c>
      <c r="D109" s="84">
        <v>43226.930239887697</v>
      </c>
      <c r="E109" s="84">
        <v>42937.449618125</v>
      </c>
      <c r="F109" s="84">
        <v>289.48062176270099</v>
      </c>
      <c r="G109" s="83">
        <v>10.358110203563459</v>
      </c>
      <c r="H109" s="78">
        <v>148.76180011821933</v>
      </c>
      <c r="I109" s="78">
        <v>117.22895171677028</v>
      </c>
      <c r="J109" s="78">
        <v>44.942843609111705</v>
      </c>
      <c r="K109" s="84">
        <v>0</v>
      </c>
      <c r="L109" s="85">
        <f t="shared" si="46"/>
        <v>44.942843609111705</v>
      </c>
      <c r="M109" s="15"/>
      <c r="N109" s="117"/>
      <c r="O109" s="2"/>
    </row>
    <row r="110" spans="2:22" ht="13.8" thickBot="1" x14ac:dyDescent="0.3">
      <c r="B110" s="86" t="s">
        <v>10</v>
      </c>
      <c r="C110" s="87">
        <v>237021.44592026682</v>
      </c>
      <c r="D110" s="87">
        <v>69411.089457609574</v>
      </c>
      <c r="E110" s="87">
        <v>67656.990471432495</v>
      </c>
      <c r="F110" s="87">
        <v>1753.8306754422299</v>
      </c>
      <c r="G110" s="87">
        <v>35.602823413119324</v>
      </c>
      <c r="H110" s="79">
        <v>310.76641940905165</v>
      </c>
      <c r="I110" s="79">
        <v>269.5049849098092</v>
      </c>
      <c r="J110" s="79">
        <v>50.765197112775461</v>
      </c>
      <c r="K110" s="87">
        <v>21.1</v>
      </c>
      <c r="L110" s="87">
        <f t="shared" si="46"/>
        <v>71.865197112775462</v>
      </c>
      <c r="M110" s="69"/>
      <c r="N110" s="69"/>
      <c r="O110" s="69"/>
      <c r="P110" s="69"/>
    </row>
    <row r="111" spans="2:22" ht="13.8" thickBot="1" x14ac:dyDescent="0.3">
      <c r="B111" s="86" t="s">
        <v>11</v>
      </c>
      <c r="C111" s="87">
        <f>SUM(C100:C110)</f>
        <v>3056914.4259173274</v>
      </c>
      <c r="D111" s="87">
        <f>SUM(D100:D110)</f>
        <v>547871.10953387525</v>
      </c>
      <c r="E111" s="87">
        <f>SUM(E100:E110)</f>
        <v>478897.60439582798</v>
      </c>
      <c r="F111" s="87">
        <f t="shared" ref="F111" si="47">SUM(F100:F110)</f>
        <v>67633.005221511354</v>
      </c>
      <c r="G111" s="87">
        <f>SUM(G100:G110)</f>
        <v>237.07293260339145</v>
      </c>
      <c r="H111" s="87">
        <f t="shared" ref="H111:L111" si="48">SUM(H100:H110)</f>
        <v>1975.6732140623888</v>
      </c>
      <c r="I111" s="87">
        <f t="shared" si="48"/>
        <v>2129.4774307821131</v>
      </c>
      <c r="J111" s="87">
        <f t="shared" si="48"/>
        <v>184.57613686788613</v>
      </c>
      <c r="K111" s="87">
        <f t="shared" si="48"/>
        <v>138.69999999999999</v>
      </c>
      <c r="L111" s="87">
        <f t="shared" si="48"/>
        <v>323.27613686788618</v>
      </c>
      <c r="M111" s="69"/>
      <c r="N111" s="69"/>
      <c r="O111" s="69"/>
      <c r="P111" s="5"/>
    </row>
    <row r="112" spans="2:22" x14ac:dyDescent="0.25">
      <c r="B112" s="65"/>
      <c r="C112" s="69"/>
      <c r="D112" s="65"/>
      <c r="E112" s="69"/>
      <c r="F112" s="69"/>
      <c r="G112" s="69"/>
      <c r="H112" s="69"/>
      <c r="I112" s="69"/>
      <c r="J112" s="69"/>
      <c r="K112" s="69"/>
      <c r="L112" s="69"/>
      <c r="M112" s="69"/>
      <c r="N112" s="69"/>
      <c r="O112" s="69"/>
      <c r="P112" s="5"/>
    </row>
    <row r="113" spans="2:16" ht="13.8" thickBot="1" x14ac:dyDescent="0.3">
      <c r="B113" s="23"/>
      <c r="C113" s="23"/>
      <c r="D113" s="23"/>
      <c r="E113" s="23"/>
      <c r="F113" s="23"/>
      <c r="G113" s="23"/>
      <c r="H113" s="23"/>
      <c r="I113" s="23"/>
      <c r="J113" s="4"/>
      <c r="K113" s="4"/>
      <c r="L113" s="4"/>
      <c r="M113" s="5"/>
      <c r="N113" s="5"/>
      <c r="O113" s="5"/>
      <c r="P113" s="5"/>
    </row>
    <row r="114" spans="2:16" ht="13.8" thickBot="1" x14ac:dyDescent="0.3">
      <c r="B114" s="248" t="s">
        <v>75</v>
      </c>
      <c r="C114" s="248"/>
      <c r="D114" s="248"/>
      <c r="E114" s="248"/>
      <c r="F114" s="248"/>
      <c r="G114" s="248"/>
      <c r="H114" s="248"/>
      <c r="I114" s="248"/>
      <c r="J114" s="47"/>
      <c r="K114" s="248" t="s">
        <v>60</v>
      </c>
      <c r="L114" s="248"/>
      <c r="M114" s="248"/>
      <c r="N114" s="248"/>
      <c r="O114" s="248"/>
      <c r="P114" s="248"/>
    </row>
    <row r="115" spans="2:16" ht="51" customHeight="1" thickBot="1" x14ac:dyDescent="0.3">
      <c r="B115" s="81" t="s">
        <v>52</v>
      </c>
      <c r="C115" s="81" t="s">
        <v>275</v>
      </c>
      <c r="D115" s="81" t="s">
        <v>276</v>
      </c>
      <c r="E115" s="81" t="s">
        <v>277</v>
      </c>
      <c r="F115" s="81" t="s">
        <v>61</v>
      </c>
      <c r="G115" s="81" t="s">
        <v>62</v>
      </c>
      <c r="H115" s="81" t="s">
        <v>64</v>
      </c>
      <c r="I115" s="81" t="s">
        <v>63</v>
      </c>
      <c r="J115" s="105"/>
      <c r="K115" s="104" t="s">
        <v>52</v>
      </c>
      <c r="L115" s="104" t="s">
        <v>278</v>
      </c>
      <c r="M115" s="104" t="s">
        <v>65</v>
      </c>
      <c r="N115" s="104" t="s">
        <v>66</v>
      </c>
      <c r="O115" s="104" t="s">
        <v>67</v>
      </c>
      <c r="P115" s="104" t="s">
        <v>68</v>
      </c>
    </row>
    <row r="116" spans="2:16" x14ac:dyDescent="0.25">
      <c r="B116" s="82" t="s">
        <v>1</v>
      </c>
      <c r="C116" s="85">
        <f t="shared" ref="C116:E126" si="49">D100*$P$10</f>
        <v>74.982226388555233</v>
      </c>
      <c r="D116" s="88">
        <f t="shared" si="49"/>
        <v>74.808958351792896</v>
      </c>
      <c r="E116" s="88">
        <f t="shared" si="49"/>
        <v>0.17326803676232597</v>
      </c>
      <c r="F116" s="85">
        <f t="shared" ref="F116:F126" si="50">D116-H100</f>
        <v>58.171465993671404</v>
      </c>
      <c r="G116" s="85">
        <f t="shared" ref="G116:G126" si="51">E116-H100</f>
        <v>-16.464224321359161</v>
      </c>
      <c r="H116" s="85">
        <f>E116-J100</f>
        <v>-3.8346984672760556</v>
      </c>
      <c r="I116" s="85">
        <f>E116-L100</f>
        <v>-3.8346984672760556</v>
      </c>
      <c r="K116" s="82" t="s">
        <v>1</v>
      </c>
      <c r="L116" s="88">
        <f t="shared" ref="L116:L126" si="52">G100*$P$6</f>
        <v>9.7885072566498643E-2</v>
      </c>
      <c r="M116" s="91">
        <f t="shared" ref="M116:M126" si="53">L116-H100</f>
        <v>-16.53960728555499</v>
      </c>
      <c r="N116" s="91">
        <f t="shared" ref="N116:N126" si="54">L116-I100</f>
        <v>-12.549241190140817</v>
      </c>
      <c r="O116" s="91">
        <f t="shared" ref="O116:O126" si="55">L116-J100</f>
        <v>-3.9100814314718826</v>
      </c>
      <c r="P116" s="91">
        <f t="shared" ref="P116:P126" si="56">L116-L100</f>
        <v>-3.9100814314718826</v>
      </c>
    </row>
    <row r="117" spans="2:16" x14ac:dyDescent="0.25">
      <c r="B117" s="82" t="s">
        <v>195</v>
      </c>
      <c r="C117" s="85">
        <f t="shared" si="49"/>
        <v>45.490211045835579</v>
      </c>
      <c r="D117" s="88">
        <f t="shared" si="49"/>
        <v>40.958505435363101</v>
      </c>
      <c r="E117" s="88">
        <f t="shared" si="49"/>
        <v>4.53170561047249</v>
      </c>
      <c r="F117" s="85">
        <f t="shared" si="50"/>
        <v>15.255114133131642</v>
      </c>
      <c r="G117" s="85">
        <f t="shared" si="51"/>
        <v>-21.17168569175897</v>
      </c>
      <c r="H117" s="85">
        <f t="shared" ref="H117:H126" si="57">E117-J101</f>
        <v>3.9728660454237081</v>
      </c>
      <c r="I117" s="85">
        <f t="shared" ref="I117:I126" si="58">E117-L101</f>
        <v>3.9728660454237081</v>
      </c>
      <c r="K117" s="82" t="s">
        <v>195</v>
      </c>
      <c r="L117" s="88">
        <f t="shared" si="52"/>
        <v>6.1275895504020191E-2</v>
      </c>
      <c r="M117" s="91">
        <f t="shared" si="53"/>
        <v>-25.642115406727438</v>
      </c>
      <c r="N117" s="91">
        <f t="shared" si="54"/>
        <v>-25.26816077831063</v>
      </c>
      <c r="O117" s="91">
        <f t="shared" si="55"/>
        <v>-0.49756366954476156</v>
      </c>
      <c r="P117" s="91">
        <f t="shared" si="56"/>
        <v>-0.49756366954476156</v>
      </c>
    </row>
    <row r="118" spans="2:16" x14ac:dyDescent="0.25">
      <c r="B118" s="82" t="s">
        <v>2</v>
      </c>
      <c r="C118" s="85">
        <f t="shared" si="49"/>
        <v>337.38127951375731</v>
      </c>
      <c r="D118" s="88">
        <f t="shared" si="49"/>
        <v>0.36227546316165699</v>
      </c>
      <c r="E118" s="88">
        <f t="shared" si="49"/>
        <v>327.32968091907202</v>
      </c>
      <c r="F118" s="85">
        <f t="shared" si="50"/>
        <v>-2.9079330719568559</v>
      </c>
      <c r="G118" s="85">
        <f t="shared" si="51"/>
        <v>324.0594723839535</v>
      </c>
      <c r="H118" s="85">
        <f t="shared" si="57"/>
        <v>327.32968091907202</v>
      </c>
      <c r="I118" s="85">
        <f t="shared" si="58"/>
        <v>270.82968091907202</v>
      </c>
      <c r="K118" s="82" t="s">
        <v>2</v>
      </c>
      <c r="L118" s="88">
        <f t="shared" si="52"/>
        <v>1.4107544516178501</v>
      </c>
      <c r="M118" s="91">
        <f t="shared" si="53"/>
        <v>-1.8594540835006628</v>
      </c>
      <c r="N118" s="91">
        <f t="shared" si="54"/>
        <v>-61.344232183002767</v>
      </c>
      <c r="O118" s="91">
        <f t="shared" si="55"/>
        <v>1.4107544516178501</v>
      </c>
      <c r="P118" s="91">
        <f t="shared" si="56"/>
        <v>-55.089245548382152</v>
      </c>
    </row>
    <row r="119" spans="2:16" x14ac:dyDescent="0.25">
      <c r="B119" s="82" t="s">
        <v>3</v>
      </c>
      <c r="C119" s="85">
        <f t="shared" si="49"/>
        <v>47.395256339269949</v>
      </c>
      <c r="D119" s="88">
        <f t="shared" si="49"/>
        <v>45.718337917332704</v>
      </c>
      <c r="E119" s="88">
        <f t="shared" si="49"/>
        <v>1.67668286756954</v>
      </c>
      <c r="F119" s="85">
        <f t="shared" si="50"/>
        <v>33.774584065583674</v>
      </c>
      <c r="G119" s="85">
        <f t="shared" si="51"/>
        <v>-10.267070984179492</v>
      </c>
      <c r="H119" s="85">
        <f t="shared" si="57"/>
        <v>1.0274041755657497</v>
      </c>
      <c r="I119" s="85">
        <f t="shared" si="58"/>
        <v>1.0274041755657497</v>
      </c>
      <c r="K119" s="82" t="s">
        <v>3</v>
      </c>
      <c r="L119" s="88">
        <f t="shared" si="52"/>
        <v>2.2253306848226309E-2</v>
      </c>
      <c r="M119" s="91">
        <f t="shared" si="53"/>
        <v>-11.921500544900805</v>
      </c>
      <c r="N119" s="91">
        <f t="shared" si="54"/>
        <v>-11.325166533262465</v>
      </c>
      <c r="O119" s="91">
        <f t="shared" si="55"/>
        <v>-0.62702538515556383</v>
      </c>
      <c r="P119" s="91">
        <f t="shared" si="56"/>
        <v>-0.62702538515556383</v>
      </c>
    </row>
    <row r="120" spans="2:16" x14ac:dyDescent="0.25">
      <c r="B120" s="82" t="s">
        <v>4</v>
      </c>
      <c r="C120" s="85">
        <f t="shared" si="49"/>
        <v>1497.7472401466093</v>
      </c>
      <c r="D120" s="88">
        <f t="shared" si="49"/>
        <v>1488.4587450464899</v>
      </c>
      <c r="E120" s="88">
        <f t="shared" si="49"/>
        <v>9.2838682241953308</v>
      </c>
      <c r="F120" s="85">
        <f t="shared" si="50"/>
        <v>1075.1104190156716</v>
      </c>
      <c r="G120" s="85">
        <f t="shared" si="51"/>
        <v>-404.0644578066229</v>
      </c>
      <c r="H120" s="85">
        <f t="shared" si="57"/>
        <v>-50.519272462071541</v>
      </c>
      <c r="I120" s="85">
        <f t="shared" si="58"/>
        <v>-50.519272462071541</v>
      </c>
      <c r="K120" s="82" t="s">
        <v>4</v>
      </c>
      <c r="L120" s="88">
        <f t="shared" si="52"/>
        <v>0.63373550451691341</v>
      </c>
      <c r="M120" s="91">
        <f t="shared" si="53"/>
        <v>-412.71459052630132</v>
      </c>
      <c r="N120" s="91">
        <f t="shared" si="54"/>
        <v>-353.43830416896429</v>
      </c>
      <c r="O120" s="91">
        <f t="shared" si="55"/>
        <v>-59.169405181749958</v>
      </c>
      <c r="P120" s="91">
        <f t="shared" si="56"/>
        <v>-59.169405181749958</v>
      </c>
    </row>
    <row r="121" spans="2:16" x14ac:dyDescent="0.25">
      <c r="B121" s="82" t="s">
        <v>5</v>
      </c>
      <c r="C121" s="85">
        <f t="shared" si="49"/>
        <v>345.43134541376514</v>
      </c>
      <c r="D121" s="88">
        <f t="shared" si="49"/>
        <v>343.81756113589802</v>
      </c>
      <c r="E121" s="88">
        <f t="shared" si="49"/>
        <v>1.61378427786718</v>
      </c>
      <c r="F121" s="85">
        <f t="shared" si="50"/>
        <v>269.06588045104741</v>
      </c>
      <c r="G121" s="85">
        <f t="shared" si="51"/>
        <v>-73.137896406983401</v>
      </c>
      <c r="H121" s="85">
        <f t="shared" si="57"/>
        <v>-20.162216946239166</v>
      </c>
      <c r="I121" s="85">
        <f t="shared" si="58"/>
        <v>-20.162216946239166</v>
      </c>
      <c r="K121" s="82" t="s">
        <v>5</v>
      </c>
      <c r="L121" s="88">
        <f t="shared" si="52"/>
        <v>0.32630587854137255</v>
      </c>
      <c r="M121" s="91">
        <f t="shared" si="53"/>
        <v>-74.425374806309208</v>
      </c>
      <c r="N121" s="91">
        <f t="shared" si="54"/>
        <v>-54.209429740052592</v>
      </c>
      <c r="O121" s="91">
        <f t="shared" si="55"/>
        <v>-21.449695345564972</v>
      </c>
      <c r="P121" s="91">
        <f t="shared" si="56"/>
        <v>-21.449695345564972</v>
      </c>
    </row>
    <row r="122" spans="2:16" x14ac:dyDescent="0.25">
      <c r="B122" s="82" t="s">
        <v>6</v>
      </c>
      <c r="C122" s="85">
        <f t="shared" si="49"/>
        <v>127.09055149886017</v>
      </c>
      <c r="D122" s="88">
        <f t="shared" si="49"/>
        <v>125.92695935711299</v>
      </c>
      <c r="E122" s="88">
        <f t="shared" si="49"/>
        <v>1.1635921417471802</v>
      </c>
      <c r="F122" s="85">
        <f t="shared" si="50"/>
        <v>104.63323069745867</v>
      </c>
      <c r="G122" s="85">
        <f t="shared" si="51"/>
        <v>-20.130136517907143</v>
      </c>
      <c r="H122" s="85">
        <f t="shared" si="57"/>
        <v>-0.90927733278762046</v>
      </c>
      <c r="I122" s="85">
        <f t="shared" si="58"/>
        <v>-4.7092773327876198</v>
      </c>
      <c r="K122" s="82" t="s">
        <v>6</v>
      </c>
      <c r="L122" s="88">
        <f t="shared" si="52"/>
        <v>0.186109764789158</v>
      </c>
      <c r="M122" s="91">
        <f t="shared" si="53"/>
        <v>-21.107618894865166</v>
      </c>
      <c r="N122" s="91">
        <f t="shared" si="54"/>
        <v>-19.140017623913611</v>
      </c>
      <c r="O122" s="91">
        <f t="shared" si="55"/>
        <v>-1.8867597097456426</v>
      </c>
      <c r="P122" s="91">
        <f t="shared" si="56"/>
        <v>-5.6867597097456422</v>
      </c>
    </row>
    <row r="123" spans="2:16" x14ac:dyDescent="0.25">
      <c r="B123" s="82" t="s">
        <v>7</v>
      </c>
      <c r="C123" s="85">
        <f t="shared" si="49"/>
        <v>1792.6867227891537</v>
      </c>
      <c r="D123" s="88">
        <f t="shared" si="49"/>
        <v>1489.3227430413801</v>
      </c>
      <c r="E123" s="88">
        <f t="shared" si="49"/>
        <v>299.65584925157799</v>
      </c>
      <c r="F123" s="85">
        <f t="shared" si="50"/>
        <v>1158.9642134855285</v>
      </c>
      <c r="G123" s="85">
        <f t="shared" si="51"/>
        <v>-30.702680304273713</v>
      </c>
      <c r="H123" s="85">
        <f t="shared" si="57"/>
        <v>299.65584925157799</v>
      </c>
      <c r="I123" s="85">
        <f t="shared" si="58"/>
        <v>265.85584925157798</v>
      </c>
      <c r="K123" s="82" t="s">
        <v>7</v>
      </c>
      <c r="L123" s="88">
        <f t="shared" si="52"/>
        <v>0.60708283473435232</v>
      </c>
      <c r="M123" s="91">
        <f t="shared" si="53"/>
        <v>-329.75144672111736</v>
      </c>
      <c r="N123" s="91">
        <f t="shared" si="54"/>
        <v>-421.15202682695849</v>
      </c>
      <c r="O123" s="91">
        <f t="shared" si="55"/>
        <v>0.60708283473435232</v>
      </c>
      <c r="P123" s="91">
        <f t="shared" si="56"/>
        <v>-33.192917165265648</v>
      </c>
    </row>
    <row r="124" spans="2:16" x14ac:dyDescent="0.25">
      <c r="B124" s="82" t="s">
        <v>8</v>
      </c>
      <c r="C124" s="85">
        <f t="shared" si="49"/>
        <v>84.126065227973911</v>
      </c>
      <c r="D124" s="88">
        <f t="shared" si="49"/>
        <v>73.6575573141738</v>
      </c>
      <c r="E124" s="88">
        <f t="shared" si="49"/>
        <v>10.468507913800099</v>
      </c>
      <c r="F124" s="85">
        <f t="shared" si="50"/>
        <v>-545.18032624254874</v>
      </c>
      <c r="G124" s="85">
        <f t="shared" si="51"/>
        <v>-608.36937564292248</v>
      </c>
      <c r="H124" s="85">
        <f t="shared" si="57"/>
        <v>10.468507913800099</v>
      </c>
      <c r="I124" s="85">
        <f t="shared" si="58"/>
        <v>-13.031492086199901</v>
      </c>
      <c r="K124" s="82" t="s">
        <v>8</v>
      </c>
      <c r="L124" s="88">
        <f t="shared" si="52"/>
        <v>0.19016927213571888</v>
      </c>
      <c r="M124" s="91">
        <f t="shared" si="53"/>
        <v>-618.64771428458687</v>
      </c>
      <c r="N124" s="91">
        <f t="shared" si="54"/>
        <v>-780.78134312967381</v>
      </c>
      <c r="O124" s="91">
        <f t="shared" si="55"/>
        <v>0.19016927213571888</v>
      </c>
      <c r="P124" s="91">
        <f t="shared" si="56"/>
        <v>-23.309830727864281</v>
      </c>
    </row>
    <row r="125" spans="2:16" x14ac:dyDescent="0.25">
      <c r="B125" s="82" t="s">
        <v>9</v>
      </c>
      <c r="C125" s="85">
        <f t="shared" si="49"/>
        <v>432.26930239887696</v>
      </c>
      <c r="D125" s="88">
        <f t="shared" si="49"/>
        <v>429.37449618124998</v>
      </c>
      <c r="E125" s="88">
        <f t="shared" si="49"/>
        <v>2.8948062176270102</v>
      </c>
      <c r="F125" s="85">
        <f t="shared" si="50"/>
        <v>280.61269606303063</v>
      </c>
      <c r="G125" s="85">
        <f t="shared" si="51"/>
        <v>-145.86699390059232</v>
      </c>
      <c r="H125" s="85">
        <f t="shared" si="57"/>
        <v>-42.048037391484698</v>
      </c>
      <c r="I125" s="85">
        <f t="shared" si="58"/>
        <v>-42.048037391484698</v>
      </c>
      <c r="K125" s="82" t="s">
        <v>9</v>
      </c>
      <c r="L125" s="88">
        <f t="shared" si="52"/>
        <v>0.19162503876592399</v>
      </c>
      <c r="M125" s="91">
        <f t="shared" si="53"/>
        <v>-148.57017507945341</v>
      </c>
      <c r="N125" s="91">
        <f t="shared" si="54"/>
        <v>-117.03732667800436</v>
      </c>
      <c r="O125" s="91">
        <f t="shared" si="55"/>
        <v>-44.751218570345777</v>
      </c>
      <c r="P125" s="91">
        <f t="shared" si="56"/>
        <v>-44.751218570345777</v>
      </c>
    </row>
    <row r="126" spans="2:16" ht="13.8" thickBot="1" x14ac:dyDescent="0.3">
      <c r="B126" s="86" t="s">
        <v>10</v>
      </c>
      <c r="C126" s="89">
        <f t="shared" si="49"/>
        <v>694.1108945760958</v>
      </c>
      <c r="D126" s="90">
        <f t="shared" si="49"/>
        <v>676.56990471432493</v>
      </c>
      <c r="E126" s="90">
        <f t="shared" si="49"/>
        <v>17.538306754422301</v>
      </c>
      <c r="F126" s="89">
        <f t="shared" si="50"/>
        <v>365.80348530527328</v>
      </c>
      <c r="G126" s="89">
        <f t="shared" si="51"/>
        <v>-293.22811265462934</v>
      </c>
      <c r="H126" s="89">
        <f t="shared" si="57"/>
        <v>-33.22689035835316</v>
      </c>
      <c r="I126" s="89">
        <f t="shared" si="58"/>
        <v>-54.326890358353161</v>
      </c>
      <c r="K126" s="86" t="s">
        <v>10</v>
      </c>
      <c r="L126" s="90">
        <f t="shared" si="52"/>
        <v>0.65865223314270749</v>
      </c>
      <c r="M126" s="92">
        <f t="shared" si="53"/>
        <v>-310.10776717590892</v>
      </c>
      <c r="N126" s="92">
        <f t="shared" si="54"/>
        <v>-268.84633267666646</v>
      </c>
      <c r="O126" s="92">
        <f t="shared" si="55"/>
        <v>-50.10654487963275</v>
      </c>
      <c r="P126" s="92">
        <f t="shared" si="56"/>
        <v>-71.206544879632759</v>
      </c>
    </row>
    <row r="128" spans="2:16" ht="13.8" thickBot="1" x14ac:dyDescent="0.3"/>
    <row r="129" spans="2:16" ht="13.8" thickBot="1" x14ac:dyDescent="0.3">
      <c r="B129" s="245" t="s">
        <v>190</v>
      </c>
      <c r="C129" s="245"/>
      <c r="D129" s="245"/>
      <c r="E129" s="245"/>
      <c r="F129" s="245"/>
      <c r="G129" s="245"/>
      <c r="H129" s="245"/>
      <c r="I129" s="245"/>
      <c r="J129" s="245"/>
      <c r="K129" s="245"/>
      <c r="L129" s="245"/>
      <c r="M129" s="5"/>
      <c r="N129" s="65"/>
      <c r="O129" s="65"/>
      <c r="P129" s="65"/>
    </row>
    <row r="130" spans="2:16" ht="51" customHeight="1" thickBot="1" x14ac:dyDescent="0.3">
      <c r="B130" s="81" t="s">
        <v>52</v>
      </c>
      <c r="C130" s="81" t="s">
        <v>51</v>
      </c>
      <c r="D130" s="81" t="s">
        <v>74</v>
      </c>
      <c r="E130" s="81" t="s">
        <v>54</v>
      </c>
      <c r="F130" s="81" t="s">
        <v>55</v>
      </c>
      <c r="G130" s="81" t="s">
        <v>187</v>
      </c>
      <c r="H130" s="80" t="s">
        <v>270</v>
      </c>
      <c r="I130" s="80" t="s">
        <v>271</v>
      </c>
      <c r="J130" s="80" t="s">
        <v>272</v>
      </c>
      <c r="K130" s="81" t="s">
        <v>273</v>
      </c>
      <c r="L130" s="81" t="s">
        <v>274</v>
      </c>
      <c r="M130" s="68"/>
      <c r="O130" s="3"/>
    </row>
    <row r="131" spans="2:16" x14ac:dyDescent="0.25">
      <c r="B131" s="82" t="s">
        <v>1</v>
      </c>
      <c r="C131" s="83">
        <v>13199.085501550475</v>
      </c>
      <c r="D131" s="84">
        <v>7498.2226388555227</v>
      </c>
      <c r="E131" s="84">
        <v>7480.8958351792899</v>
      </c>
      <c r="F131" s="84">
        <v>17.326803676232597</v>
      </c>
      <c r="G131" s="83">
        <v>5.1309978700489935</v>
      </c>
      <c r="H131" s="78">
        <v>14.485042097694823</v>
      </c>
      <c r="I131" s="78">
        <v>12.976974245152407</v>
      </c>
      <c r="J131" s="78">
        <v>1.522812179266253</v>
      </c>
      <c r="K131" s="84">
        <v>0</v>
      </c>
      <c r="L131" s="85">
        <f t="shared" ref="L131:L141" si="59">K131+J131</f>
        <v>1.522812179266253</v>
      </c>
      <c r="M131" s="15"/>
      <c r="N131" s="3"/>
      <c r="O131" s="3"/>
      <c r="P131" s="3"/>
    </row>
    <row r="132" spans="2:16" x14ac:dyDescent="0.25">
      <c r="B132" s="82" t="s">
        <v>195</v>
      </c>
      <c r="C132" s="83">
        <v>20450.034940117202</v>
      </c>
      <c r="D132" s="84">
        <v>4549.0211045835576</v>
      </c>
      <c r="E132" s="84">
        <v>4095.8505435363099</v>
      </c>
      <c r="F132" s="84">
        <v>453.17056104724901</v>
      </c>
      <c r="G132" s="83">
        <v>3.2098173929497773</v>
      </c>
      <c r="H132" s="78">
        <v>24.394037238039431</v>
      </c>
      <c r="I132" s="78">
        <v>25.851856014840443</v>
      </c>
      <c r="J132" s="78">
        <v>0</v>
      </c>
      <c r="K132" s="84">
        <v>0</v>
      </c>
      <c r="L132" s="85">
        <f t="shared" si="59"/>
        <v>0</v>
      </c>
      <c r="M132" s="15"/>
      <c r="N132" s="3"/>
      <c r="O132" s="72"/>
      <c r="P132" s="3"/>
    </row>
    <row r="133" spans="2:16" x14ac:dyDescent="0.25">
      <c r="B133" s="82" t="s">
        <v>2</v>
      </c>
      <c r="C133" s="83">
        <v>251430.37783690859</v>
      </c>
      <c r="D133" s="84">
        <v>33738.127951375733</v>
      </c>
      <c r="E133" s="84">
        <v>36.2275463161657</v>
      </c>
      <c r="F133" s="84">
        <v>32732.968091907202</v>
      </c>
      <c r="G133" s="83">
        <v>74.805765533400674</v>
      </c>
      <c r="H133" s="78">
        <v>2.5774285991231953</v>
      </c>
      <c r="I133" s="78">
        <v>61.705572489772123</v>
      </c>
      <c r="J133" s="78">
        <v>0</v>
      </c>
      <c r="K133" s="84">
        <v>56.5</v>
      </c>
      <c r="L133" s="85">
        <f t="shared" si="59"/>
        <v>56.5</v>
      </c>
      <c r="M133" s="15"/>
      <c r="N133" s="3"/>
      <c r="O133" s="72"/>
      <c r="P133" s="3"/>
    </row>
    <row r="134" spans="2:16" x14ac:dyDescent="0.25">
      <c r="B134" s="82" t="s">
        <v>3</v>
      </c>
      <c r="C134" s="83">
        <v>24496.645034227455</v>
      </c>
      <c r="D134" s="84">
        <v>4739.5256339269945</v>
      </c>
      <c r="E134" s="84">
        <v>4571.8337917332701</v>
      </c>
      <c r="F134" s="84">
        <v>167.66828675695399</v>
      </c>
      <c r="G134" s="83">
        <v>1.1861566425948882</v>
      </c>
      <c r="H134" s="78">
        <v>14.219727103909346</v>
      </c>
      <c r="I134" s="78">
        <v>11.785866162319815</v>
      </c>
      <c r="J134" s="78">
        <v>2.4776537634861127</v>
      </c>
      <c r="K134" s="84">
        <v>0</v>
      </c>
      <c r="L134" s="85">
        <f t="shared" si="59"/>
        <v>2.4776537634861127</v>
      </c>
      <c r="M134" s="15"/>
      <c r="O134" s="17"/>
      <c r="P134" s="3"/>
    </row>
    <row r="135" spans="2:16" x14ac:dyDescent="0.25">
      <c r="B135" s="82" t="s">
        <v>4</v>
      </c>
      <c r="C135" s="83">
        <v>363314.38569269452</v>
      </c>
      <c r="D135" s="84">
        <v>149774.72401466093</v>
      </c>
      <c r="E135" s="84">
        <v>148845.87450464899</v>
      </c>
      <c r="F135" s="84">
        <v>928.38682241953302</v>
      </c>
      <c r="G135" s="83">
        <v>33.33914668333864</v>
      </c>
      <c r="H135" s="78">
        <v>460.73384450513942</v>
      </c>
      <c r="I135" s="78">
        <v>353.34728636509686</v>
      </c>
      <c r="J135" s="78">
        <v>107.82811573630022</v>
      </c>
      <c r="K135" s="84">
        <v>0</v>
      </c>
      <c r="L135" s="85">
        <f t="shared" si="59"/>
        <v>107.82811573630022</v>
      </c>
      <c r="M135" s="15"/>
      <c r="N135" s="3"/>
      <c r="O135" s="2"/>
      <c r="P135" s="3"/>
    </row>
    <row r="136" spans="2:16" x14ac:dyDescent="0.25">
      <c r="B136" s="82" t="s">
        <v>5</v>
      </c>
      <c r="C136" s="83">
        <v>49475.746319971244</v>
      </c>
      <c r="D136" s="84">
        <v>34543.134541376516</v>
      </c>
      <c r="E136" s="84">
        <v>34381.756113589799</v>
      </c>
      <c r="F136" s="84">
        <v>161.37842778671799</v>
      </c>
      <c r="G136" s="83">
        <v>17.244970274570736</v>
      </c>
      <c r="H136" s="78">
        <v>70.667525010358531</v>
      </c>
      <c r="I136" s="78">
        <v>57.802867186538556</v>
      </c>
      <c r="J136" s="78">
        <v>13.574455320634533</v>
      </c>
      <c r="K136" s="84">
        <v>0</v>
      </c>
      <c r="L136" s="85">
        <f t="shared" si="59"/>
        <v>13.574455320634533</v>
      </c>
      <c r="M136" s="15"/>
      <c r="N136" s="3"/>
      <c r="O136" s="73"/>
      <c r="P136" s="3"/>
    </row>
    <row r="137" spans="2:16" x14ac:dyDescent="0.25">
      <c r="B137" s="82" t="s">
        <v>6</v>
      </c>
      <c r="C137" s="83">
        <v>20836.189535136225</v>
      </c>
      <c r="D137" s="84">
        <v>12709.055149886017</v>
      </c>
      <c r="E137" s="84">
        <v>12592.695935711299</v>
      </c>
      <c r="F137" s="84">
        <v>116.35921417471801</v>
      </c>
      <c r="G137" s="83">
        <v>9.8069675237867351</v>
      </c>
      <c r="H137" s="78">
        <v>19.997784471413798</v>
      </c>
      <c r="I137" s="78">
        <v>19.792696191969906</v>
      </c>
      <c r="J137" s="78">
        <v>0.27700287506185706</v>
      </c>
      <c r="K137" s="84">
        <v>3.8</v>
      </c>
      <c r="L137" s="85">
        <f t="shared" si="59"/>
        <v>4.077002875061857</v>
      </c>
      <c r="M137" s="15"/>
      <c r="O137" s="2"/>
    </row>
    <row r="138" spans="2:16" x14ac:dyDescent="0.25">
      <c r="B138" s="82" t="s">
        <v>7</v>
      </c>
      <c r="C138" s="83">
        <v>1339764.2833351614</v>
      </c>
      <c r="D138" s="84">
        <v>179268.67227891536</v>
      </c>
      <c r="E138" s="84">
        <v>148932.274304138</v>
      </c>
      <c r="F138" s="84">
        <v>29965.5849251578</v>
      </c>
      <c r="G138" s="83">
        <v>32.039922245673743</v>
      </c>
      <c r="H138" s="78">
        <v>395.06257474079706</v>
      </c>
      <c r="I138" s="78">
        <v>432.94360737323967</v>
      </c>
      <c r="J138" s="78">
        <v>0</v>
      </c>
      <c r="K138" s="84">
        <v>33.799999999999997</v>
      </c>
      <c r="L138" s="85">
        <f t="shared" si="59"/>
        <v>33.799999999999997</v>
      </c>
      <c r="M138" s="15"/>
      <c r="N138" s="64"/>
      <c r="O138" s="69"/>
    </row>
    <row r="139" spans="2:16" x14ac:dyDescent="0.25">
      <c r="B139" s="82" t="s">
        <v>8</v>
      </c>
      <c r="C139" s="83">
        <v>617141.72101696266</v>
      </c>
      <c r="D139" s="84">
        <v>8412.6065227973904</v>
      </c>
      <c r="E139" s="84">
        <v>7365.75573141738</v>
      </c>
      <c r="F139" s="84">
        <v>1046.8507913800099</v>
      </c>
      <c r="G139" s="83">
        <v>10.15853356600876</v>
      </c>
      <c r="H139" s="78">
        <v>653.08479686370424</v>
      </c>
      <c r="I139" s="78">
        <v>769.27047805195491</v>
      </c>
      <c r="J139" s="78">
        <v>0</v>
      </c>
      <c r="K139" s="84">
        <v>23.5</v>
      </c>
      <c r="L139" s="85">
        <f t="shared" si="59"/>
        <v>23.5</v>
      </c>
      <c r="M139" s="15"/>
      <c r="N139" s="64"/>
      <c r="O139" s="69"/>
    </row>
    <row r="140" spans="2:16" x14ac:dyDescent="0.25">
      <c r="B140" s="82" t="s">
        <v>9</v>
      </c>
      <c r="C140" s="83">
        <v>119784.51078433092</v>
      </c>
      <c r="D140" s="84">
        <v>43226.930239887697</v>
      </c>
      <c r="E140" s="84">
        <v>42937.449618125</v>
      </c>
      <c r="F140" s="84">
        <v>289.48062176270099</v>
      </c>
      <c r="G140" s="83">
        <v>10.058370755062594</v>
      </c>
      <c r="H140" s="78">
        <v>127.04984350751562</v>
      </c>
      <c r="I140" s="78">
        <v>119.82902293645873</v>
      </c>
      <c r="J140" s="78">
        <v>15.372343482549196</v>
      </c>
      <c r="K140" s="84">
        <v>0</v>
      </c>
      <c r="L140" s="85">
        <f t="shared" si="59"/>
        <v>15.372343482549196</v>
      </c>
      <c r="M140" s="15"/>
      <c r="N140" s="117"/>
      <c r="O140" s="2"/>
    </row>
    <row r="141" spans="2:16" ht="13.8" thickBot="1" x14ac:dyDescent="0.3">
      <c r="B141" s="86" t="s">
        <v>10</v>
      </c>
      <c r="C141" s="87">
        <v>237021.44592026682</v>
      </c>
      <c r="D141" s="87">
        <v>69411.089457609574</v>
      </c>
      <c r="E141" s="87">
        <v>67656.990471432495</v>
      </c>
      <c r="F141" s="87">
        <v>1753.8306754422299</v>
      </c>
      <c r="G141" s="87">
        <v>34.458791534184407</v>
      </c>
      <c r="H141" s="79">
        <v>293.96487321639268</v>
      </c>
      <c r="I141" s="79">
        <v>280.10860119837031</v>
      </c>
      <c r="J141" s="79">
        <v>17.827918102531729</v>
      </c>
      <c r="K141" s="87">
        <v>21.1</v>
      </c>
      <c r="L141" s="87">
        <f t="shared" si="59"/>
        <v>38.927918102531734</v>
      </c>
      <c r="M141" s="69"/>
      <c r="N141" s="69"/>
      <c r="O141" s="69"/>
      <c r="P141" s="69"/>
    </row>
    <row r="142" spans="2:16" ht="13.8" thickBot="1" x14ac:dyDescent="0.3">
      <c r="B142" s="86" t="s">
        <v>11</v>
      </c>
      <c r="C142" s="87">
        <f>SUM(C131:C141)</f>
        <v>3056914.4259173274</v>
      </c>
      <c r="D142" s="87">
        <f>SUM(D131:D141)</f>
        <v>547871.10953387525</v>
      </c>
      <c r="E142" s="87">
        <f>SUM(E131:E141)</f>
        <v>478897.60439582798</v>
      </c>
      <c r="F142" s="87">
        <f t="shared" ref="F142" si="60">SUM(F131:F141)</f>
        <v>67633.005221511354</v>
      </c>
      <c r="G142" s="87">
        <f>SUM(G131:G141)</f>
        <v>231.43944002161996</v>
      </c>
      <c r="H142" s="87">
        <f>SUM(H131:H141)</f>
        <v>2076.2374773540882</v>
      </c>
      <c r="I142" s="87">
        <f t="shared" ref="I142:L142" si="61">SUM(I131:I141)</f>
        <v>2145.4148282157139</v>
      </c>
      <c r="J142" s="87">
        <f t="shared" si="61"/>
        <v>158.88030145982989</v>
      </c>
      <c r="K142" s="87">
        <f t="shared" si="61"/>
        <v>138.69999999999999</v>
      </c>
      <c r="L142" s="87">
        <f t="shared" si="61"/>
        <v>297.58030145982991</v>
      </c>
      <c r="M142" s="69"/>
      <c r="N142" s="69"/>
      <c r="O142" s="69"/>
      <c r="P142" s="5"/>
    </row>
    <row r="143" spans="2:16" x14ac:dyDescent="0.25">
      <c r="B143" s="65"/>
      <c r="C143" s="69"/>
      <c r="D143" s="65"/>
      <c r="E143" s="69"/>
      <c r="F143" s="69"/>
      <c r="G143" s="69"/>
      <c r="H143" s="69"/>
      <c r="I143" s="69"/>
      <c r="J143" s="69"/>
      <c r="K143" s="69"/>
      <c r="L143" s="69"/>
      <c r="M143" s="69"/>
      <c r="N143" s="69"/>
      <c r="O143" s="69"/>
      <c r="P143" s="5"/>
    </row>
    <row r="144" spans="2:16" ht="13.8" thickBot="1" x14ac:dyDescent="0.3">
      <c r="B144" s="23"/>
      <c r="C144" s="23"/>
      <c r="D144" s="23"/>
      <c r="E144" s="23"/>
      <c r="F144" s="23"/>
      <c r="G144" s="23"/>
      <c r="H144" s="23"/>
      <c r="I144" s="23"/>
      <c r="J144" s="4"/>
      <c r="K144" s="4"/>
      <c r="L144" s="4"/>
      <c r="M144" s="5"/>
      <c r="N144" s="5"/>
      <c r="O144" s="5"/>
      <c r="P144" s="5"/>
    </row>
    <row r="145" spans="2:16" ht="13.8" thickBot="1" x14ac:dyDescent="0.3">
      <c r="B145" s="248" t="s">
        <v>75</v>
      </c>
      <c r="C145" s="248"/>
      <c r="D145" s="248"/>
      <c r="E145" s="248"/>
      <c r="F145" s="248"/>
      <c r="G145" s="248"/>
      <c r="H145" s="248"/>
      <c r="I145" s="248"/>
      <c r="J145" s="47"/>
      <c r="K145" s="248" t="s">
        <v>60</v>
      </c>
      <c r="L145" s="248"/>
      <c r="M145" s="248"/>
      <c r="N145" s="248"/>
      <c r="O145" s="248"/>
      <c r="P145" s="248"/>
    </row>
    <row r="146" spans="2:16" ht="48.6" customHeight="1" thickBot="1" x14ac:dyDescent="0.3">
      <c r="B146" s="81" t="s">
        <v>52</v>
      </c>
      <c r="C146" s="81" t="s">
        <v>275</v>
      </c>
      <c r="D146" s="81" t="s">
        <v>276</v>
      </c>
      <c r="E146" s="81" t="s">
        <v>277</v>
      </c>
      <c r="F146" s="81" t="s">
        <v>61</v>
      </c>
      <c r="G146" s="81" t="s">
        <v>62</v>
      </c>
      <c r="H146" s="81" t="s">
        <v>64</v>
      </c>
      <c r="I146" s="81" t="s">
        <v>63</v>
      </c>
      <c r="J146" s="105"/>
      <c r="K146" s="104" t="s">
        <v>52</v>
      </c>
      <c r="L146" s="104" t="s">
        <v>278</v>
      </c>
      <c r="M146" s="104" t="s">
        <v>65</v>
      </c>
      <c r="N146" s="104" t="s">
        <v>66</v>
      </c>
      <c r="O146" s="104" t="s">
        <v>67</v>
      </c>
      <c r="P146" s="104" t="s">
        <v>68</v>
      </c>
    </row>
    <row r="147" spans="2:16" x14ac:dyDescent="0.25">
      <c r="B147" s="82" t="s">
        <v>1</v>
      </c>
      <c r="C147" s="85">
        <f t="shared" ref="C147:E157" si="62">D131*$P$10</f>
        <v>74.982226388555233</v>
      </c>
      <c r="D147" s="88">
        <f t="shared" si="62"/>
        <v>74.808958351792896</v>
      </c>
      <c r="E147" s="88">
        <f t="shared" si="62"/>
        <v>0.17326803676232597</v>
      </c>
      <c r="F147" s="85">
        <f t="shared" ref="F147:F157" si="63">D147-H131</f>
        <v>60.323916254098073</v>
      </c>
      <c r="G147" s="85">
        <f t="shared" ref="G147:G157" si="64">E147-H131</f>
        <v>-14.311774060932496</v>
      </c>
      <c r="H147" s="85">
        <f>E147-J131</f>
        <v>-1.349544142503927</v>
      </c>
      <c r="I147" s="85">
        <f>E147-L131</f>
        <v>-1.349544142503927</v>
      </c>
      <c r="K147" s="82" t="s">
        <v>1</v>
      </c>
      <c r="L147" s="88">
        <f t="shared" ref="L147:L157" si="65">G131*$P$6</f>
        <v>9.4923460595906381E-2</v>
      </c>
      <c r="M147" s="91">
        <f t="shared" ref="M147:M157" si="66">L147-H131</f>
        <v>-14.390118637098917</v>
      </c>
      <c r="N147" s="91">
        <f t="shared" ref="N147:N157" si="67">L147-I131</f>
        <v>-12.882050784556501</v>
      </c>
      <c r="O147" s="91">
        <f t="shared" ref="O147:O157" si="68">L147-J131</f>
        <v>-1.4278887186703466</v>
      </c>
      <c r="P147" s="91">
        <f t="shared" ref="P147:P157" si="69">L147-L131</f>
        <v>-1.4278887186703466</v>
      </c>
    </row>
    <row r="148" spans="2:16" x14ac:dyDescent="0.25">
      <c r="B148" s="82" t="s">
        <v>195</v>
      </c>
      <c r="C148" s="85">
        <f t="shared" si="62"/>
        <v>45.490211045835579</v>
      </c>
      <c r="D148" s="88">
        <f t="shared" si="62"/>
        <v>40.958505435363101</v>
      </c>
      <c r="E148" s="88">
        <f t="shared" si="62"/>
        <v>4.53170561047249</v>
      </c>
      <c r="F148" s="85">
        <f t="shared" si="63"/>
        <v>16.56446819732367</v>
      </c>
      <c r="G148" s="85">
        <f t="shared" si="64"/>
        <v>-19.862331627566942</v>
      </c>
      <c r="H148" s="85">
        <f t="shared" ref="H148:H157" si="70">E148-J132</f>
        <v>4.53170561047249</v>
      </c>
      <c r="I148" s="85">
        <f t="shared" ref="I148:I157" si="71">E148-L132</f>
        <v>4.53170561047249</v>
      </c>
      <c r="K148" s="82" t="s">
        <v>195</v>
      </c>
      <c r="L148" s="88">
        <f t="shared" si="65"/>
        <v>5.9381621769570875E-2</v>
      </c>
      <c r="M148" s="91">
        <f t="shared" si="66"/>
        <v>-24.33465561626986</v>
      </c>
      <c r="N148" s="91">
        <f t="shared" si="67"/>
        <v>-25.792474393070872</v>
      </c>
      <c r="O148" s="91">
        <f t="shared" si="68"/>
        <v>5.9381621769570875E-2</v>
      </c>
      <c r="P148" s="91">
        <f t="shared" si="69"/>
        <v>5.9381621769570875E-2</v>
      </c>
    </row>
    <row r="149" spans="2:16" x14ac:dyDescent="0.25">
      <c r="B149" s="82" t="s">
        <v>2</v>
      </c>
      <c r="C149" s="85">
        <f t="shared" si="62"/>
        <v>337.38127951375731</v>
      </c>
      <c r="D149" s="88">
        <f t="shared" si="62"/>
        <v>0.36227546316165699</v>
      </c>
      <c r="E149" s="88">
        <f t="shared" si="62"/>
        <v>327.32968091907202</v>
      </c>
      <c r="F149" s="85">
        <f t="shared" si="63"/>
        <v>-2.2151531359615384</v>
      </c>
      <c r="G149" s="85">
        <f t="shared" si="64"/>
        <v>324.75225231994881</v>
      </c>
      <c r="H149" s="85">
        <f t="shared" si="70"/>
        <v>327.32968091907202</v>
      </c>
      <c r="I149" s="85">
        <f t="shared" si="71"/>
        <v>270.82968091907202</v>
      </c>
      <c r="K149" s="82" t="s">
        <v>2</v>
      </c>
      <c r="L149" s="88">
        <f t="shared" si="65"/>
        <v>1.3839066623679124</v>
      </c>
      <c r="M149" s="91">
        <f t="shared" si="66"/>
        <v>-1.193521936755283</v>
      </c>
      <c r="N149" s="91">
        <f t="shared" si="67"/>
        <v>-60.32166582740421</v>
      </c>
      <c r="O149" s="91">
        <f t="shared" si="68"/>
        <v>1.3839066623679124</v>
      </c>
      <c r="P149" s="91">
        <f t="shared" si="69"/>
        <v>-55.116093337632087</v>
      </c>
    </row>
    <row r="150" spans="2:16" x14ac:dyDescent="0.25">
      <c r="B150" s="82" t="s">
        <v>3</v>
      </c>
      <c r="C150" s="85">
        <f t="shared" si="62"/>
        <v>47.395256339269949</v>
      </c>
      <c r="D150" s="88">
        <f t="shared" si="62"/>
        <v>45.718337917332704</v>
      </c>
      <c r="E150" s="88">
        <f t="shared" si="62"/>
        <v>1.67668286756954</v>
      </c>
      <c r="F150" s="85">
        <f t="shared" si="63"/>
        <v>31.498610813423358</v>
      </c>
      <c r="G150" s="85">
        <f t="shared" si="64"/>
        <v>-12.543044236339806</v>
      </c>
      <c r="H150" s="85">
        <f t="shared" si="70"/>
        <v>-0.80097089591657267</v>
      </c>
      <c r="I150" s="85">
        <f t="shared" si="71"/>
        <v>-0.80097089591657267</v>
      </c>
      <c r="K150" s="82" t="s">
        <v>3</v>
      </c>
      <c r="L150" s="88">
        <f t="shared" si="65"/>
        <v>2.194389788800543E-2</v>
      </c>
      <c r="M150" s="91">
        <f t="shared" si="66"/>
        <v>-14.19778320602134</v>
      </c>
      <c r="N150" s="91">
        <f t="shared" si="67"/>
        <v>-11.763922264431809</v>
      </c>
      <c r="O150" s="91">
        <f t="shared" si="68"/>
        <v>-2.4557098655981071</v>
      </c>
      <c r="P150" s="91">
        <f t="shared" si="69"/>
        <v>-2.4557098655981071</v>
      </c>
    </row>
    <row r="151" spans="2:16" x14ac:dyDescent="0.25">
      <c r="B151" s="82" t="s">
        <v>4</v>
      </c>
      <c r="C151" s="85">
        <f t="shared" si="62"/>
        <v>1497.7472401466093</v>
      </c>
      <c r="D151" s="88">
        <f t="shared" si="62"/>
        <v>1488.4587450464899</v>
      </c>
      <c r="E151" s="88">
        <f t="shared" si="62"/>
        <v>9.2838682241953308</v>
      </c>
      <c r="F151" s="85">
        <f t="shared" si="63"/>
        <v>1027.7249005413505</v>
      </c>
      <c r="G151" s="85">
        <f t="shared" si="64"/>
        <v>-451.4499762809441</v>
      </c>
      <c r="H151" s="85">
        <f t="shared" si="70"/>
        <v>-98.544247512104889</v>
      </c>
      <c r="I151" s="85">
        <f t="shared" si="71"/>
        <v>-98.544247512104889</v>
      </c>
      <c r="K151" s="82" t="s">
        <v>4</v>
      </c>
      <c r="L151" s="88">
        <f t="shared" si="65"/>
        <v>0.61677421364176477</v>
      </c>
      <c r="M151" s="91">
        <f t="shared" si="66"/>
        <v>-460.11707029149767</v>
      </c>
      <c r="N151" s="91">
        <f t="shared" si="67"/>
        <v>-352.73051215145512</v>
      </c>
      <c r="O151" s="91">
        <f t="shared" si="68"/>
        <v>-107.21134152265846</v>
      </c>
      <c r="P151" s="91">
        <f t="shared" si="69"/>
        <v>-107.21134152265846</v>
      </c>
    </row>
    <row r="152" spans="2:16" x14ac:dyDescent="0.25">
      <c r="B152" s="82" t="s">
        <v>5</v>
      </c>
      <c r="C152" s="85">
        <f t="shared" si="62"/>
        <v>345.43134541376514</v>
      </c>
      <c r="D152" s="88">
        <f t="shared" si="62"/>
        <v>343.81756113589802</v>
      </c>
      <c r="E152" s="88">
        <f t="shared" si="62"/>
        <v>1.61378427786718</v>
      </c>
      <c r="F152" s="85">
        <f t="shared" si="63"/>
        <v>273.15003612553949</v>
      </c>
      <c r="G152" s="85">
        <f t="shared" si="64"/>
        <v>-69.053740732491349</v>
      </c>
      <c r="H152" s="85">
        <f t="shared" si="70"/>
        <v>-11.960671042767352</v>
      </c>
      <c r="I152" s="85">
        <f t="shared" si="71"/>
        <v>-11.960671042767352</v>
      </c>
      <c r="K152" s="82" t="s">
        <v>5</v>
      </c>
      <c r="L152" s="88">
        <f t="shared" si="65"/>
        <v>0.31903195007955859</v>
      </c>
      <c r="M152" s="91">
        <f t="shared" si="66"/>
        <v>-70.348493060278969</v>
      </c>
      <c r="N152" s="91">
        <f t="shared" si="67"/>
        <v>-57.483835236459001</v>
      </c>
      <c r="O152" s="91">
        <f t="shared" si="68"/>
        <v>-13.255423370554974</v>
      </c>
      <c r="P152" s="91">
        <f t="shared" si="69"/>
        <v>-13.255423370554974</v>
      </c>
    </row>
    <row r="153" spans="2:16" x14ac:dyDescent="0.25">
      <c r="B153" s="82" t="s">
        <v>6</v>
      </c>
      <c r="C153" s="85">
        <f t="shared" si="62"/>
        <v>127.09055149886017</v>
      </c>
      <c r="D153" s="88">
        <f t="shared" si="62"/>
        <v>125.92695935711299</v>
      </c>
      <c r="E153" s="88">
        <f t="shared" si="62"/>
        <v>1.1635921417471802</v>
      </c>
      <c r="F153" s="85">
        <f t="shared" si="63"/>
        <v>105.9291748856992</v>
      </c>
      <c r="G153" s="85">
        <f t="shared" si="64"/>
        <v>-18.834192329666617</v>
      </c>
      <c r="H153" s="85">
        <f t="shared" si="70"/>
        <v>0.88658926668532312</v>
      </c>
      <c r="I153" s="85">
        <f t="shared" si="71"/>
        <v>-2.9134107333146768</v>
      </c>
      <c r="K153" s="82" t="s">
        <v>6</v>
      </c>
      <c r="L153" s="88">
        <f t="shared" si="65"/>
        <v>0.18142889919005459</v>
      </c>
      <c r="M153" s="91">
        <f t="shared" si="66"/>
        <v>-19.816355572223742</v>
      </c>
      <c r="N153" s="91">
        <f t="shared" si="67"/>
        <v>-19.61126729277985</v>
      </c>
      <c r="O153" s="91">
        <f t="shared" si="68"/>
        <v>-9.5573975871802469E-2</v>
      </c>
      <c r="P153" s="91">
        <f t="shared" si="69"/>
        <v>-3.8955739758718022</v>
      </c>
    </row>
    <row r="154" spans="2:16" x14ac:dyDescent="0.25">
      <c r="B154" s="82" t="s">
        <v>7</v>
      </c>
      <c r="C154" s="85">
        <f t="shared" si="62"/>
        <v>1792.6867227891537</v>
      </c>
      <c r="D154" s="88">
        <f t="shared" si="62"/>
        <v>1489.3227430413801</v>
      </c>
      <c r="E154" s="88">
        <f t="shared" si="62"/>
        <v>299.65584925157799</v>
      </c>
      <c r="F154" s="85">
        <f t="shared" si="63"/>
        <v>1094.260168300583</v>
      </c>
      <c r="G154" s="85">
        <f t="shared" si="64"/>
        <v>-95.40672548921907</v>
      </c>
      <c r="H154" s="85">
        <f t="shared" si="70"/>
        <v>299.65584925157799</v>
      </c>
      <c r="I154" s="85">
        <f t="shared" si="71"/>
        <v>265.85584925157798</v>
      </c>
      <c r="K154" s="82" t="s">
        <v>7</v>
      </c>
      <c r="L154" s="88">
        <f t="shared" si="65"/>
        <v>0.59273856154496418</v>
      </c>
      <c r="M154" s="91">
        <f t="shared" si="66"/>
        <v>-394.46983617925207</v>
      </c>
      <c r="N154" s="91">
        <f t="shared" si="67"/>
        <v>-432.35086881169468</v>
      </c>
      <c r="O154" s="91">
        <f t="shared" si="68"/>
        <v>0.59273856154496418</v>
      </c>
      <c r="P154" s="91">
        <f t="shared" si="69"/>
        <v>-33.207261438455035</v>
      </c>
    </row>
    <row r="155" spans="2:16" x14ac:dyDescent="0.25">
      <c r="B155" s="82" t="s">
        <v>8</v>
      </c>
      <c r="C155" s="85">
        <f t="shared" si="62"/>
        <v>84.126065227973911</v>
      </c>
      <c r="D155" s="88">
        <f t="shared" si="62"/>
        <v>73.6575573141738</v>
      </c>
      <c r="E155" s="88">
        <f t="shared" si="62"/>
        <v>10.468507913800099</v>
      </c>
      <c r="F155" s="85">
        <f t="shared" si="63"/>
        <v>-579.42723954953044</v>
      </c>
      <c r="G155" s="85">
        <f t="shared" si="64"/>
        <v>-642.61628894990417</v>
      </c>
      <c r="H155" s="85">
        <f t="shared" si="70"/>
        <v>10.468507913800099</v>
      </c>
      <c r="I155" s="85">
        <f t="shared" si="71"/>
        <v>-13.031492086199901</v>
      </c>
      <c r="K155" s="82" t="s">
        <v>8</v>
      </c>
      <c r="L155" s="88">
        <f t="shared" si="65"/>
        <v>0.18793287097116204</v>
      </c>
      <c r="M155" s="91">
        <f t="shared" si="66"/>
        <v>-652.89686399273307</v>
      </c>
      <c r="N155" s="91">
        <f t="shared" si="67"/>
        <v>-769.08254518098374</v>
      </c>
      <c r="O155" s="91">
        <f t="shared" si="68"/>
        <v>0.18793287097116204</v>
      </c>
      <c r="P155" s="91">
        <f t="shared" si="69"/>
        <v>-23.312067129028836</v>
      </c>
    </row>
    <row r="156" spans="2:16" x14ac:dyDescent="0.25">
      <c r="B156" s="82" t="s">
        <v>9</v>
      </c>
      <c r="C156" s="85">
        <f t="shared" si="62"/>
        <v>432.26930239887696</v>
      </c>
      <c r="D156" s="88">
        <f t="shared" si="62"/>
        <v>429.37449618124998</v>
      </c>
      <c r="E156" s="88">
        <f t="shared" si="62"/>
        <v>2.8948062176270102</v>
      </c>
      <c r="F156" s="85">
        <f t="shared" si="63"/>
        <v>302.32465267373436</v>
      </c>
      <c r="G156" s="85">
        <f t="shared" si="64"/>
        <v>-124.15503728988861</v>
      </c>
      <c r="H156" s="85">
        <f t="shared" si="70"/>
        <v>-12.477537264922185</v>
      </c>
      <c r="I156" s="85">
        <f t="shared" si="71"/>
        <v>-12.477537264922185</v>
      </c>
      <c r="K156" s="82" t="s">
        <v>9</v>
      </c>
      <c r="L156" s="88">
        <f t="shared" si="65"/>
        <v>0.18607985896865797</v>
      </c>
      <c r="M156" s="91">
        <f t="shared" si="66"/>
        <v>-126.86376364854696</v>
      </c>
      <c r="N156" s="91">
        <f t="shared" si="67"/>
        <v>-119.64294307749007</v>
      </c>
      <c r="O156" s="91">
        <f t="shared" si="68"/>
        <v>-15.186263623580539</v>
      </c>
      <c r="P156" s="91">
        <f t="shared" si="69"/>
        <v>-15.186263623580539</v>
      </c>
    </row>
    <row r="157" spans="2:16" ht="13.8" thickBot="1" x14ac:dyDescent="0.3">
      <c r="B157" s="86" t="s">
        <v>10</v>
      </c>
      <c r="C157" s="89">
        <f t="shared" si="62"/>
        <v>694.1108945760958</v>
      </c>
      <c r="D157" s="90">
        <f t="shared" si="62"/>
        <v>676.56990471432493</v>
      </c>
      <c r="E157" s="90">
        <f t="shared" si="62"/>
        <v>17.538306754422301</v>
      </c>
      <c r="F157" s="89">
        <f t="shared" si="63"/>
        <v>382.60503149793226</v>
      </c>
      <c r="G157" s="89">
        <f t="shared" si="64"/>
        <v>-276.42656646197037</v>
      </c>
      <c r="H157" s="89">
        <f t="shared" si="70"/>
        <v>-0.28961134810942823</v>
      </c>
      <c r="I157" s="89">
        <f t="shared" si="71"/>
        <v>-21.389611348109433</v>
      </c>
      <c r="K157" s="86" t="s">
        <v>10</v>
      </c>
      <c r="L157" s="90">
        <f t="shared" si="65"/>
        <v>0.63748764338241148</v>
      </c>
      <c r="M157" s="92">
        <f t="shared" si="66"/>
        <v>-293.32738557301025</v>
      </c>
      <c r="N157" s="92">
        <f t="shared" si="67"/>
        <v>-279.47111355498788</v>
      </c>
      <c r="O157" s="92">
        <f t="shared" si="68"/>
        <v>-17.190430459149319</v>
      </c>
      <c r="P157" s="92">
        <f t="shared" si="69"/>
        <v>-38.29043045914932</v>
      </c>
    </row>
    <row r="159" spans="2:16" ht="13.8" thickBot="1" x14ac:dyDescent="0.3"/>
    <row r="160" spans="2:16" ht="13.8" thickBot="1" x14ac:dyDescent="0.3">
      <c r="B160" s="245" t="s">
        <v>191</v>
      </c>
      <c r="C160" s="245"/>
      <c r="D160" s="245"/>
      <c r="E160" s="245"/>
      <c r="F160" s="245"/>
      <c r="G160" s="245"/>
      <c r="H160" s="245"/>
      <c r="I160" s="245"/>
      <c r="J160" s="245"/>
      <c r="K160" s="245"/>
      <c r="L160" s="245"/>
      <c r="M160" s="5"/>
      <c r="N160" s="65"/>
      <c r="O160" s="65"/>
      <c r="P160" s="65"/>
    </row>
    <row r="161" spans="2:16" ht="40.200000000000003" thickBot="1" x14ac:dyDescent="0.3">
      <c r="B161" s="81" t="s">
        <v>52</v>
      </c>
      <c r="C161" s="81" t="s">
        <v>51</v>
      </c>
      <c r="D161" s="81" t="s">
        <v>74</v>
      </c>
      <c r="E161" s="81" t="s">
        <v>54</v>
      </c>
      <c r="F161" s="81" t="s">
        <v>55</v>
      </c>
      <c r="G161" s="81" t="s">
        <v>187</v>
      </c>
      <c r="H161" s="80" t="s">
        <v>270</v>
      </c>
      <c r="I161" s="80" t="s">
        <v>271</v>
      </c>
      <c r="J161" s="80" t="s">
        <v>272</v>
      </c>
      <c r="K161" s="81" t="s">
        <v>273</v>
      </c>
      <c r="L161" s="81" t="s">
        <v>274</v>
      </c>
      <c r="M161" s="68"/>
      <c r="O161" s="3"/>
    </row>
    <row r="162" spans="2:16" x14ac:dyDescent="0.25">
      <c r="B162" s="82" t="s">
        <v>1</v>
      </c>
      <c r="C162" s="83">
        <v>13199.085501550475</v>
      </c>
      <c r="D162" s="84">
        <v>7498.2226388555227</v>
      </c>
      <c r="E162" s="84">
        <v>7480.8958351792899</v>
      </c>
      <c r="F162" s="84">
        <v>17.326803676232597</v>
      </c>
      <c r="G162" s="83">
        <v>4.9757543348031366</v>
      </c>
      <c r="H162" s="78">
        <v>17.511417826213687</v>
      </c>
      <c r="I162" s="78">
        <v>14.686677411069958</v>
      </c>
      <c r="J162" s="78">
        <v>2.8482081257467033</v>
      </c>
      <c r="K162" s="84">
        <v>0</v>
      </c>
      <c r="L162" s="85">
        <f t="shared" ref="L162:L172" si="72">K162+J162</f>
        <v>2.8482081257467033</v>
      </c>
      <c r="M162" s="15"/>
      <c r="N162" s="3"/>
      <c r="O162" s="3"/>
      <c r="P162" s="3"/>
    </row>
    <row r="163" spans="2:16" x14ac:dyDescent="0.25">
      <c r="B163" s="82" t="s">
        <v>195</v>
      </c>
      <c r="C163" s="83">
        <v>20450.034940117202</v>
      </c>
      <c r="D163" s="84">
        <v>4549.0211045835576</v>
      </c>
      <c r="E163" s="84">
        <v>4095.8505435363099</v>
      </c>
      <c r="F163" s="84">
        <v>453.17056104724901</v>
      </c>
      <c r="G163" s="83">
        <v>3.1105895851824568</v>
      </c>
      <c r="H163" s="78">
        <v>25.735679786065873</v>
      </c>
      <c r="I163" s="78">
        <v>25.8803296101798</v>
      </c>
      <c r="J163" s="78">
        <v>4.4267135247947871E-3</v>
      </c>
      <c r="K163" s="84">
        <v>0</v>
      </c>
      <c r="L163" s="85">
        <f t="shared" si="72"/>
        <v>4.4267135247947871E-3</v>
      </c>
      <c r="M163" s="15"/>
      <c r="N163" s="3"/>
      <c r="O163" s="72"/>
      <c r="P163" s="3"/>
    </row>
    <row r="164" spans="2:16" x14ac:dyDescent="0.25">
      <c r="B164" s="82" t="s">
        <v>2</v>
      </c>
      <c r="C164" s="83">
        <v>251430.37783690859</v>
      </c>
      <c r="D164" s="84">
        <v>33738.127951375733</v>
      </c>
      <c r="E164" s="84">
        <v>36.2275463161657</v>
      </c>
      <c r="F164" s="84">
        <v>32732.968091907202</v>
      </c>
      <c r="G164" s="83">
        <v>73.382151788699886</v>
      </c>
      <c r="H164" s="78">
        <v>2.9665622667677747</v>
      </c>
      <c r="I164" s="78">
        <v>60.37746401341785</v>
      </c>
      <c r="J164" s="78">
        <v>0</v>
      </c>
      <c r="K164" s="84">
        <v>56.5</v>
      </c>
      <c r="L164" s="85">
        <f t="shared" si="72"/>
        <v>56.5</v>
      </c>
      <c r="M164" s="15"/>
      <c r="N164" s="3"/>
      <c r="O164" s="72"/>
      <c r="P164" s="3"/>
    </row>
    <row r="165" spans="2:16" x14ac:dyDescent="0.25">
      <c r="B165" s="82" t="s">
        <v>3</v>
      </c>
      <c r="C165" s="83">
        <v>24496.645034227455</v>
      </c>
      <c r="D165" s="84">
        <v>4739.5256339269945</v>
      </c>
      <c r="E165" s="84">
        <v>4571.8337917332701</v>
      </c>
      <c r="F165" s="84">
        <v>167.66828675695399</v>
      </c>
      <c r="G165" s="83">
        <v>1.1696643749086759</v>
      </c>
      <c r="H165" s="78">
        <v>11.346117940002056</v>
      </c>
      <c r="I165" s="78">
        <v>10.93665848659211</v>
      </c>
      <c r="J165" s="78">
        <v>0.45743447564730311</v>
      </c>
      <c r="K165" s="84">
        <v>0</v>
      </c>
      <c r="L165" s="85">
        <f t="shared" si="72"/>
        <v>0.45743447564730311</v>
      </c>
      <c r="M165" s="15"/>
      <c r="O165" s="17"/>
      <c r="P165" s="3"/>
    </row>
    <row r="166" spans="2:16" x14ac:dyDescent="0.25">
      <c r="B166" s="82" t="s">
        <v>4</v>
      </c>
      <c r="C166" s="83">
        <v>363314.38569269452</v>
      </c>
      <c r="D166" s="84">
        <v>149774.72401466093</v>
      </c>
      <c r="E166" s="84">
        <v>148845.87450464899</v>
      </c>
      <c r="F166" s="84">
        <v>928.38682241953302</v>
      </c>
      <c r="G166" s="83">
        <v>32.446858085974341</v>
      </c>
      <c r="H166" s="78">
        <v>441.48024978528468</v>
      </c>
      <c r="I166" s="78">
        <v>349.17735064884971</v>
      </c>
      <c r="J166" s="78">
        <v>92.838566818258556</v>
      </c>
      <c r="K166" s="84">
        <v>0</v>
      </c>
      <c r="L166" s="85">
        <f t="shared" si="72"/>
        <v>92.838566818258556</v>
      </c>
      <c r="M166" s="15"/>
      <c r="N166" s="3"/>
      <c r="O166" s="2"/>
      <c r="P166" s="3"/>
    </row>
    <row r="167" spans="2:16" x14ac:dyDescent="0.25">
      <c r="B167" s="82" t="s">
        <v>5</v>
      </c>
      <c r="C167" s="83">
        <v>49475.746319971244</v>
      </c>
      <c r="D167" s="84">
        <v>34543.134541376516</v>
      </c>
      <c r="E167" s="84">
        <v>34381.756113589799</v>
      </c>
      <c r="F167" s="84">
        <v>161.37842778671799</v>
      </c>
      <c r="G167" s="83">
        <v>16.86054974048762</v>
      </c>
      <c r="H167" s="78">
        <v>77.23342386103532</v>
      </c>
      <c r="I167" s="78">
        <v>62.873233448578979</v>
      </c>
      <c r="J167" s="78">
        <v>15.369887542025644</v>
      </c>
      <c r="K167" s="84">
        <v>0</v>
      </c>
      <c r="L167" s="85">
        <f t="shared" si="72"/>
        <v>15.369887542025644</v>
      </c>
      <c r="M167" s="15"/>
      <c r="N167" s="3"/>
      <c r="O167" s="73"/>
      <c r="P167" s="3"/>
    </row>
    <row r="168" spans="2:16" x14ac:dyDescent="0.25">
      <c r="B168" s="82" t="s">
        <v>6</v>
      </c>
      <c r="C168" s="83">
        <v>20836.189535136225</v>
      </c>
      <c r="D168" s="84">
        <v>12709.055149886017</v>
      </c>
      <c r="E168" s="84">
        <v>12592.695935711299</v>
      </c>
      <c r="F168" s="84">
        <v>116.35921417471801</v>
      </c>
      <c r="G168" s="83">
        <v>9.5603114874115178</v>
      </c>
      <c r="H168" s="78">
        <v>23.334648738799025</v>
      </c>
      <c r="I168" s="78">
        <v>21.495318730714615</v>
      </c>
      <c r="J168" s="78">
        <v>1.9083911264401188</v>
      </c>
      <c r="K168" s="84">
        <v>3.8</v>
      </c>
      <c r="L168" s="85">
        <f t="shared" si="72"/>
        <v>5.7083911264401186</v>
      </c>
      <c r="M168" s="15"/>
      <c r="O168" s="2"/>
    </row>
    <row r="169" spans="2:16" x14ac:dyDescent="0.25">
      <c r="B169" s="82" t="s">
        <v>7</v>
      </c>
      <c r="C169" s="83">
        <v>1339764.2833351614</v>
      </c>
      <c r="D169" s="84">
        <v>179268.67227891536</v>
      </c>
      <c r="E169" s="84">
        <v>148932.274304138</v>
      </c>
      <c r="F169" s="84">
        <v>29965.5849251578</v>
      </c>
      <c r="G169" s="83">
        <v>31.282876631198732</v>
      </c>
      <c r="H169" s="78">
        <v>335.61572301246139</v>
      </c>
      <c r="I169" s="78">
        <v>394.52684671849278</v>
      </c>
      <c r="J169" s="78">
        <v>0</v>
      </c>
      <c r="K169" s="84">
        <v>33.799999999999997</v>
      </c>
      <c r="L169" s="85">
        <f t="shared" si="72"/>
        <v>33.799999999999997</v>
      </c>
      <c r="M169" s="15"/>
      <c r="N169" s="64"/>
      <c r="O169" s="69"/>
    </row>
    <row r="170" spans="2:16" x14ac:dyDescent="0.25">
      <c r="B170" s="82" t="s">
        <v>8</v>
      </c>
      <c r="C170" s="83">
        <v>617141.72101696266</v>
      </c>
      <c r="D170" s="84">
        <v>8412.6065227973904</v>
      </c>
      <c r="E170" s="84">
        <v>7365.75573141738</v>
      </c>
      <c r="F170" s="84">
        <v>1046.8507913800099</v>
      </c>
      <c r="G170" s="83">
        <v>10.039068649084653</v>
      </c>
      <c r="H170" s="78">
        <v>658.81369388167457</v>
      </c>
      <c r="I170" s="78">
        <v>729.71772963778074</v>
      </c>
      <c r="J170" s="78">
        <v>0</v>
      </c>
      <c r="K170" s="84">
        <v>23.5</v>
      </c>
      <c r="L170" s="85">
        <f t="shared" si="72"/>
        <v>23.5</v>
      </c>
      <c r="M170" s="15"/>
      <c r="N170" s="64"/>
      <c r="O170" s="69"/>
    </row>
    <row r="171" spans="2:16" x14ac:dyDescent="0.25">
      <c r="B171" s="82" t="s">
        <v>9</v>
      </c>
      <c r="C171" s="83">
        <v>119784.51078433092</v>
      </c>
      <c r="D171" s="84">
        <v>43226.930239887697</v>
      </c>
      <c r="E171" s="84">
        <v>42937.449618125</v>
      </c>
      <c r="F171" s="84">
        <v>289.48062176270099</v>
      </c>
      <c r="G171" s="83">
        <v>9.7673050641508965</v>
      </c>
      <c r="H171" s="78">
        <v>136.50672876525519</v>
      </c>
      <c r="I171" s="78">
        <v>124.60740401154084</v>
      </c>
      <c r="J171" s="78">
        <v>24.613443607903758</v>
      </c>
      <c r="K171" s="84">
        <v>0</v>
      </c>
      <c r="L171" s="85">
        <f t="shared" si="72"/>
        <v>24.613443607903758</v>
      </c>
      <c r="M171" s="15"/>
      <c r="N171" s="117"/>
      <c r="O171" s="2"/>
    </row>
    <row r="172" spans="2:16" ht="13.8" thickBot="1" x14ac:dyDescent="0.3">
      <c r="B172" s="86" t="s">
        <v>10</v>
      </c>
      <c r="C172" s="87">
        <v>237021.44592026682</v>
      </c>
      <c r="D172" s="87">
        <v>69411.089457609574</v>
      </c>
      <c r="E172" s="87">
        <v>67656.990471432495</v>
      </c>
      <c r="F172" s="87">
        <v>1753.8306754422299</v>
      </c>
      <c r="G172" s="87">
        <v>33.351521035795983</v>
      </c>
      <c r="H172" s="79">
        <v>292.00394015096231</v>
      </c>
      <c r="I172" s="79">
        <v>309.465301544748</v>
      </c>
      <c r="J172" s="79">
        <v>0</v>
      </c>
      <c r="K172" s="87">
        <v>21.1</v>
      </c>
      <c r="L172" s="87">
        <f t="shared" si="72"/>
        <v>21.1</v>
      </c>
      <c r="M172" s="69"/>
      <c r="N172" s="69"/>
      <c r="O172" s="69"/>
      <c r="P172" s="69"/>
    </row>
    <row r="173" spans="2:16" ht="13.8" thickBot="1" x14ac:dyDescent="0.3">
      <c r="B173" s="86" t="s">
        <v>11</v>
      </c>
      <c r="C173" s="87">
        <f>SUM(C162:C172)</f>
        <v>3056914.4259173274</v>
      </c>
      <c r="D173" s="87">
        <f>SUM(D162:D172)</f>
        <v>547871.10953387525</v>
      </c>
      <c r="E173" s="87">
        <f>SUM(E162:E172)</f>
        <v>478897.60439582798</v>
      </c>
      <c r="F173" s="87">
        <f t="shared" ref="F173" si="73">SUM(F162:F172)</f>
        <v>67633.005221511354</v>
      </c>
      <c r="G173" s="87">
        <f>SUM(G162:G172)</f>
        <v>225.94665077769793</v>
      </c>
      <c r="H173" s="87">
        <f>SUM(H162:H172)</f>
        <v>2022.5481860145219</v>
      </c>
      <c r="I173" s="87">
        <f t="shared" ref="I173:L173" si="74">SUM(I162:I172)</f>
        <v>2103.7443142619654</v>
      </c>
      <c r="J173" s="87">
        <f t="shared" si="74"/>
        <v>138.04035840954688</v>
      </c>
      <c r="K173" s="87">
        <f t="shared" si="74"/>
        <v>138.69999999999999</v>
      </c>
      <c r="L173" s="87">
        <f t="shared" si="74"/>
        <v>276.74035840954684</v>
      </c>
      <c r="M173" s="69"/>
      <c r="N173" s="69"/>
      <c r="O173" s="69"/>
      <c r="P173" s="5"/>
    </row>
    <row r="174" spans="2:16" x14ac:dyDescent="0.25">
      <c r="B174" s="65"/>
      <c r="C174" s="69"/>
      <c r="D174" s="65"/>
      <c r="E174" s="69"/>
      <c r="F174" s="69"/>
      <c r="G174" s="69"/>
      <c r="H174" s="69"/>
      <c r="I174" s="69"/>
      <c r="J174" s="69"/>
      <c r="K174" s="69"/>
      <c r="L174" s="69"/>
      <c r="M174" s="69"/>
      <c r="N174" s="69"/>
      <c r="O174" s="69"/>
      <c r="P174" s="5"/>
    </row>
    <row r="175" spans="2:16" ht="13.8" thickBot="1" x14ac:dyDescent="0.3">
      <c r="B175" s="23"/>
      <c r="C175" s="23"/>
      <c r="D175" s="23"/>
      <c r="E175" s="23"/>
      <c r="F175" s="23"/>
      <c r="G175" s="23"/>
      <c r="H175" s="23"/>
      <c r="I175" s="23"/>
      <c r="J175" s="4"/>
      <c r="K175" s="4"/>
      <c r="L175" s="4"/>
      <c r="M175" s="5"/>
      <c r="N175" s="5"/>
      <c r="O175" s="5"/>
      <c r="P175" s="5"/>
    </row>
    <row r="176" spans="2:16" ht="13.8" thickBot="1" x14ac:dyDescent="0.3">
      <c r="B176" s="248" t="s">
        <v>75</v>
      </c>
      <c r="C176" s="248"/>
      <c r="D176" s="248"/>
      <c r="E176" s="248"/>
      <c r="F176" s="248"/>
      <c r="G176" s="248"/>
      <c r="H176" s="248"/>
      <c r="I176" s="248"/>
      <c r="J176" s="47"/>
      <c r="K176" s="248" t="s">
        <v>60</v>
      </c>
      <c r="L176" s="248"/>
      <c r="M176" s="248"/>
      <c r="N176" s="248"/>
      <c r="O176" s="248"/>
      <c r="P176" s="248"/>
    </row>
    <row r="177" spans="2:16" ht="40.200000000000003" thickBot="1" x14ac:dyDescent="0.3">
      <c r="B177" s="81" t="s">
        <v>52</v>
      </c>
      <c r="C177" s="81" t="s">
        <v>275</v>
      </c>
      <c r="D177" s="81" t="s">
        <v>276</v>
      </c>
      <c r="E177" s="81" t="s">
        <v>277</v>
      </c>
      <c r="F177" s="81" t="s">
        <v>61</v>
      </c>
      <c r="G177" s="81" t="s">
        <v>62</v>
      </c>
      <c r="H177" s="81" t="s">
        <v>64</v>
      </c>
      <c r="I177" s="81" t="s">
        <v>63</v>
      </c>
      <c r="J177" s="105"/>
      <c r="K177" s="104" t="s">
        <v>52</v>
      </c>
      <c r="L177" s="104" t="s">
        <v>278</v>
      </c>
      <c r="M177" s="104" t="s">
        <v>65</v>
      </c>
      <c r="N177" s="104" t="s">
        <v>66</v>
      </c>
      <c r="O177" s="104" t="s">
        <v>67</v>
      </c>
      <c r="P177" s="104" t="s">
        <v>68</v>
      </c>
    </row>
    <row r="178" spans="2:16" x14ac:dyDescent="0.25">
      <c r="B178" s="82" t="s">
        <v>1</v>
      </c>
      <c r="C178" s="85">
        <f t="shared" ref="C178:E188" si="75">D162*$P$10</f>
        <v>74.982226388555233</v>
      </c>
      <c r="D178" s="88">
        <f t="shared" si="75"/>
        <v>74.808958351792896</v>
      </c>
      <c r="E178" s="88">
        <f t="shared" si="75"/>
        <v>0.17326803676232597</v>
      </c>
      <c r="F178" s="85">
        <f t="shared" ref="F178:F188" si="76">D178-H162</f>
        <v>57.297540525579208</v>
      </c>
      <c r="G178" s="85">
        <f t="shared" ref="G178:G188" si="77">E178-H162</f>
        <v>-17.338149789451361</v>
      </c>
      <c r="H178" s="85">
        <f>E178-J162</f>
        <v>-2.6749400889843775</v>
      </c>
      <c r="I178" s="85">
        <f>E178-L162</f>
        <v>-2.6749400889843775</v>
      </c>
      <c r="K178" s="82" t="s">
        <v>1</v>
      </c>
      <c r="L178" s="88">
        <f t="shared" ref="L178:L188" si="78">G162*$P$6</f>
        <v>9.2051455193858017E-2</v>
      </c>
      <c r="M178" s="91">
        <f t="shared" ref="M178:M188" si="79">L178-H162</f>
        <v>-17.41936637101983</v>
      </c>
      <c r="N178" s="91">
        <f t="shared" ref="N178:N188" si="80">L178-I162</f>
        <v>-14.594625955876101</v>
      </c>
      <c r="O178" s="91">
        <f t="shared" ref="O178:O188" si="81">L178-J162</f>
        <v>-2.7561566705528455</v>
      </c>
      <c r="P178" s="91">
        <f t="shared" ref="P178:P188" si="82">L178-L162</f>
        <v>-2.7561566705528455</v>
      </c>
    </row>
    <row r="179" spans="2:16" x14ac:dyDescent="0.25">
      <c r="B179" s="82" t="s">
        <v>195</v>
      </c>
      <c r="C179" s="85">
        <f t="shared" si="75"/>
        <v>45.490211045835579</v>
      </c>
      <c r="D179" s="88">
        <f t="shared" si="75"/>
        <v>40.958505435363101</v>
      </c>
      <c r="E179" s="88">
        <f t="shared" si="75"/>
        <v>4.53170561047249</v>
      </c>
      <c r="F179" s="85">
        <f t="shared" si="76"/>
        <v>15.222825649297228</v>
      </c>
      <c r="G179" s="85">
        <f t="shared" si="77"/>
        <v>-21.203974175593384</v>
      </c>
      <c r="H179" s="85">
        <f t="shared" ref="H179:H188" si="83">E179-J163</f>
        <v>4.5272788969476956</v>
      </c>
      <c r="I179" s="85">
        <f t="shared" ref="I179:I188" si="84">E179-L163</f>
        <v>4.5272788969476956</v>
      </c>
      <c r="K179" s="82" t="s">
        <v>195</v>
      </c>
      <c r="L179" s="88">
        <f t="shared" si="78"/>
        <v>5.7545907325875445E-2</v>
      </c>
      <c r="M179" s="91">
        <f t="shared" si="79"/>
        <v>-25.678133878739999</v>
      </c>
      <c r="N179" s="91">
        <f t="shared" si="80"/>
        <v>-25.822783702853926</v>
      </c>
      <c r="O179" s="91">
        <f t="shared" si="81"/>
        <v>5.3119193801080655E-2</v>
      </c>
      <c r="P179" s="91">
        <f t="shared" si="82"/>
        <v>5.3119193801080655E-2</v>
      </c>
    </row>
    <row r="180" spans="2:16" x14ac:dyDescent="0.25">
      <c r="B180" s="82" t="s">
        <v>2</v>
      </c>
      <c r="C180" s="85">
        <f t="shared" si="75"/>
        <v>337.38127951375731</v>
      </c>
      <c r="D180" s="88">
        <f t="shared" si="75"/>
        <v>0.36227546316165699</v>
      </c>
      <c r="E180" s="88">
        <f t="shared" si="75"/>
        <v>327.32968091907202</v>
      </c>
      <c r="F180" s="85">
        <f t="shared" si="76"/>
        <v>-2.6042868036061178</v>
      </c>
      <c r="G180" s="85">
        <f t="shared" si="77"/>
        <v>324.36311865230425</v>
      </c>
      <c r="H180" s="85">
        <f t="shared" si="83"/>
        <v>327.32968091907202</v>
      </c>
      <c r="I180" s="85">
        <f t="shared" si="84"/>
        <v>270.82968091907202</v>
      </c>
      <c r="K180" s="82" t="s">
        <v>2</v>
      </c>
      <c r="L180" s="88">
        <f t="shared" si="78"/>
        <v>1.3575698080909477</v>
      </c>
      <c r="M180" s="91">
        <f t="shared" si="79"/>
        <v>-1.6089924586768269</v>
      </c>
      <c r="N180" s="91">
        <f t="shared" si="80"/>
        <v>-59.019894205326899</v>
      </c>
      <c r="O180" s="91">
        <f t="shared" si="81"/>
        <v>1.3575698080909477</v>
      </c>
      <c r="P180" s="91">
        <f t="shared" si="82"/>
        <v>-55.14243019190905</v>
      </c>
    </row>
    <row r="181" spans="2:16" x14ac:dyDescent="0.25">
      <c r="B181" s="82" t="s">
        <v>3</v>
      </c>
      <c r="C181" s="85">
        <f t="shared" si="75"/>
        <v>47.395256339269949</v>
      </c>
      <c r="D181" s="88">
        <f t="shared" si="75"/>
        <v>45.718337917332704</v>
      </c>
      <c r="E181" s="88">
        <f t="shared" si="75"/>
        <v>1.67668286756954</v>
      </c>
      <c r="F181" s="85">
        <f t="shared" si="76"/>
        <v>34.372219977330644</v>
      </c>
      <c r="G181" s="85">
        <f t="shared" si="77"/>
        <v>-9.6694350724325169</v>
      </c>
      <c r="H181" s="85">
        <f t="shared" si="83"/>
        <v>1.2192483919222368</v>
      </c>
      <c r="I181" s="85">
        <f t="shared" si="84"/>
        <v>1.2192483919222368</v>
      </c>
      <c r="K181" s="82" t="s">
        <v>3</v>
      </c>
      <c r="L181" s="88">
        <f t="shared" si="78"/>
        <v>2.1638790935810504E-2</v>
      </c>
      <c r="M181" s="91">
        <f t="shared" si="79"/>
        <v>-11.324479149066246</v>
      </c>
      <c r="N181" s="91">
        <f t="shared" si="80"/>
        <v>-10.9150196956563</v>
      </c>
      <c r="O181" s="91">
        <f t="shared" si="81"/>
        <v>-0.4357956847114926</v>
      </c>
      <c r="P181" s="91">
        <f t="shared" si="82"/>
        <v>-0.4357956847114926</v>
      </c>
    </row>
    <row r="182" spans="2:16" x14ac:dyDescent="0.25">
      <c r="B182" s="82" t="s">
        <v>4</v>
      </c>
      <c r="C182" s="85">
        <f t="shared" si="75"/>
        <v>1497.7472401466093</v>
      </c>
      <c r="D182" s="88">
        <f t="shared" si="75"/>
        <v>1488.4587450464899</v>
      </c>
      <c r="E182" s="88">
        <f t="shared" si="75"/>
        <v>9.2838682241953308</v>
      </c>
      <c r="F182" s="85">
        <f t="shared" si="76"/>
        <v>1046.9784952612051</v>
      </c>
      <c r="G182" s="85">
        <f t="shared" si="77"/>
        <v>-432.19638156108937</v>
      </c>
      <c r="H182" s="85">
        <f t="shared" si="83"/>
        <v>-83.554698594063225</v>
      </c>
      <c r="I182" s="85">
        <f t="shared" si="84"/>
        <v>-83.554698594063225</v>
      </c>
      <c r="K182" s="82" t="s">
        <v>4</v>
      </c>
      <c r="L182" s="88">
        <f t="shared" si="78"/>
        <v>0.6002668745905253</v>
      </c>
      <c r="M182" s="91">
        <f t="shared" si="79"/>
        <v>-440.87998291069414</v>
      </c>
      <c r="N182" s="91">
        <f t="shared" si="80"/>
        <v>-348.57708377425917</v>
      </c>
      <c r="O182" s="91">
        <f t="shared" si="81"/>
        <v>-92.238299943668025</v>
      </c>
      <c r="P182" s="91">
        <f t="shared" si="82"/>
        <v>-92.238299943668025</v>
      </c>
    </row>
    <row r="183" spans="2:16" x14ac:dyDescent="0.25">
      <c r="B183" s="82" t="s">
        <v>5</v>
      </c>
      <c r="C183" s="85">
        <f t="shared" si="75"/>
        <v>345.43134541376514</v>
      </c>
      <c r="D183" s="88">
        <f t="shared" si="75"/>
        <v>343.81756113589802</v>
      </c>
      <c r="E183" s="88">
        <f t="shared" si="75"/>
        <v>1.61378427786718</v>
      </c>
      <c r="F183" s="85">
        <f t="shared" si="76"/>
        <v>266.58413727486271</v>
      </c>
      <c r="G183" s="85">
        <f t="shared" si="77"/>
        <v>-75.619639583168137</v>
      </c>
      <c r="H183" s="85">
        <f t="shared" si="83"/>
        <v>-13.756103264158464</v>
      </c>
      <c r="I183" s="85">
        <f t="shared" si="84"/>
        <v>-13.756103264158464</v>
      </c>
      <c r="K183" s="82" t="s">
        <v>5</v>
      </c>
      <c r="L183" s="88">
        <f t="shared" si="78"/>
        <v>0.31192017019902096</v>
      </c>
      <c r="M183" s="91">
        <f t="shared" si="79"/>
        <v>-76.921503690836303</v>
      </c>
      <c r="N183" s="91">
        <f t="shared" si="80"/>
        <v>-62.561313278379956</v>
      </c>
      <c r="O183" s="91">
        <f t="shared" si="81"/>
        <v>-15.057967371826622</v>
      </c>
      <c r="P183" s="91">
        <f t="shared" si="82"/>
        <v>-15.057967371826622</v>
      </c>
    </row>
    <row r="184" spans="2:16" x14ac:dyDescent="0.25">
      <c r="B184" s="82" t="s">
        <v>6</v>
      </c>
      <c r="C184" s="85">
        <f t="shared" si="75"/>
        <v>127.09055149886017</v>
      </c>
      <c r="D184" s="88">
        <f t="shared" si="75"/>
        <v>125.92695935711299</v>
      </c>
      <c r="E184" s="88">
        <f t="shared" si="75"/>
        <v>1.1635921417471802</v>
      </c>
      <c r="F184" s="85">
        <f t="shared" si="76"/>
        <v>102.59231061831397</v>
      </c>
      <c r="G184" s="85">
        <f t="shared" si="77"/>
        <v>-22.171056597051845</v>
      </c>
      <c r="H184" s="85">
        <f t="shared" si="83"/>
        <v>-0.74479898469293859</v>
      </c>
      <c r="I184" s="85">
        <f t="shared" si="84"/>
        <v>-4.5447989846929389</v>
      </c>
      <c r="K184" s="82" t="s">
        <v>6</v>
      </c>
      <c r="L184" s="88">
        <f t="shared" si="78"/>
        <v>0.17686576251711308</v>
      </c>
      <c r="M184" s="91">
        <f t="shared" si="79"/>
        <v>-23.157782976281911</v>
      </c>
      <c r="N184" s="91">
        <f t="shared" si="80"/>
        <v>-21.318452968197501</v>
      </c>
      <c r="O184" s="91">
        <f t="shared" si="81"/>
        <v>-1.7315253639230057</v>
      </c>
      <c r="P184" s="91">
        <f t="shared" si="82"/>
        <v>-5.5315253639230058</v>
      </c>
    </row>
    <row r="185" spans="2:16" x14ac:dyDescent="0.25">
      <c r="B185" s="82" t="s">
        <v>7</v>
      </c>
      <c r="C185" s="85">
        <f t="shared" si="75"/>
        <v>1792.6867227891537</v>
      </c>
      <c r="D185" s="88">
        <f t="shared" si="75"/>
        <v>1489.3227430413801</v>
      </c>
      <c r="E185" s="88">
        <f t="shared" si="75"/>
        <v>299.65584925157799</v>
      </c>
      <c r="F185" s="85">
        <f t="shared" si="76"/>
        <v>1153.7070200289188</v>
      </c>
      <c r="G185" s="85">
        <f t="shared" si="77"/>
        <v>-35.959873760883397</v>
      </c>
      <c r="H185" s="85">
        <f t="shared" si="83"/>
        <v>299.65584925157799</v>
      </c>
      <c r="I185" s="85">
        <f t="shared" si="84"/>
        <v>265.85584925157798</v>
      </c>
      <c r="K185" s="82" t="s">
        <v>7</v>
      </c>
      <c r="L185" s="88">
        <f t="shared" si="78"/>
        <v>0.57873321767717656</v>
      </c>
      <c r="M185" s="91">
        <f t="shared" si="79"/>
        <v>-335.03698979478423</v>
      </c>
      <c r="N185" s="91">
        <f t="shared" si="80"/>
        <v>-393.94811350081562</v>
      </c>
      <c r="O185" s="91">
        <f t="shared" si="81"/>
        <v>0.57873321767717656</v>
      </c>
      <c r="P185" s="91">
        <f t="shared" si="82"/>
        <v>-33.221266782322822</v>
      </c>
    </row>
    <row r="186" spans="2:16" x14ac:dyDescent="0.25">
      <c r="B186" s="82" t="s">
        <v>8</v>
      </c>
      <c r="C186" s="85">
        <f t="shared" si="75"/>
        <v>84.126065227973911</v>
      </c>
      <c r="D186" s="88">
        <f t="shared" si="75"/>
        <v>73.6575573141738</v>
      </c>
      <c r="E186" s="88">
        <f t="shared" si="75"/>
        <v>10.468507913800099</v>
      </c>
      <c r="F186" s="85">
        <f t="shared" si="76"/>
        <v>-585.15613656750077</v>
      </c>
      <c r="G186" s="85">
        <f t="shared" si="77"/>
        <v>-648.3451859678745</v>
      </c>
      <c r="H186" s="85">
        <f t="shared" si="83"/>
        <v>10.468507913800099</v>
      </c>
      <c r="I186" s="85">
        <f t="shared" si="84"/>
        <v>-13.031492086199901</v>
      </c>
      <c r="K186" s="82" t="s">
        <v>8</v>
      </c>
      <c r="L186" s="88">
        <f t="shared" si="78"/>
        <v>0.18572277000806608</v>
      </c>
      <c r="M186" s="91">
        <f t="shared" si="79"/>
        <v>-658.62797111166651</v>
      </c>
      <c r="N186" s="91">
        <f t="shared" si="80"/>
        <v>-729.53200686777268</v>
      </c>
      <c r="O186" s="91">
        <f t="shared" si="81"/>
        <v>0.18572277000806608</v>
      </c>
      <c r="P186" s="91">
        <f t="shared" si="82"/>
        <v>-23.314277229991934</v>
      </c>
    </row>
    <row r="187" spans="2:16" x14ac:dyDescent="0.25">
      <c r="B187" s="82" t="s">
        <v>9</v>
      </c>
      <c r="C187" s="85">
        <f t="shared" si="75"/>
        <v>432.26930239887696</v>
      </c>
      <c r="D187" s="88">
        <f t="shared" si="75"/>
        <v>429.37449618124998</v>
      </c>
      <c r="E187" s="88">
        <f t="shared" si="75"/>
        <v>2.8948062176270102</v>
      </c>
      <c r="F187" s="85">
        <f t="shared" si="76"/>
        <v>292.86776741599476</v>
      </c>
      <c r="G187" s="85">
        <f t="shared" si="77"/>
        <v>-133.61192254762818</v>
      </c>
      <c r="H187" s="85">
        <f t="shared" si="83"/>
        <v>-21.718637390276747</v>
      </c>
      <c r="I187" s="85">
        <f t="shared" si="84"/>
        <v>-21.718637390276747</v>
      </c>
      <c r="K187" s="82" t="s">
        <v>9</v>
      </c>
      <c r="L187" s="88">
        <f t="shared" si="78"/>
        <v>0.18069514368679157</v>
      </c>
      <c r="M187" s="91">
        <f t="shared" si="79"/>
        <v>-136.3260336215684</v>
      </c>
      <c r="N187" s="91">
        <f t="shared" si="80"/>
        <v>-124.42670886785405</v>
      </c>
      <c r="O187" s="91">
        <f t="shared" si="81"/>
        <v>-24.432748464216967</v>
      </c>
      <c r="P187" s="91">
        <f t="shared" si="82"/>
        <v>-24.432748464216967</v>
      </c>
    </row>
    <row r="188" spans="2:16" ht="13.8" thickBot="1" x14ac:dyDescent="0.3">
      <c r="B188" s="86" t="s">
        <v>10</v>
      </c>
      <c r="C188" s="89">
        <f t="shared" si="75"/>
        <v>694.1108945760958</v>
      </c>
      <c r="D188" s="90">
        <f t="shared" si="75"/>
        <v>676.56990471432493</v>
      </c>
      <c r="E188" s="90">
        <f t="shared" si="75"/>
        <v>17.538306754422301</v>
      </c>
      <c r="F188" s="89">
        <f t="shared" si="76"/>
        <v>384.56596456336263</v>
      </c>
      <c r="G188" s="89">
        <f t="shared" si="77"/>
        <v>-274.46563339654</v>
      </c>
      <c r="H188" s="89">
        <f t="shared" si="83"/>
        <v>17.538306754422301</v>
      </c>
      <c r="I188" s="89">
        <f t="shared" si="84"/>
        <v>-3.5616932455777004</v>
      </c>
      <c r="K188" s="86" t="s">
        <v>10</v>
      </c>
      <c r="L188" s="90">
        <f t="shared" si="78"/>
        <v>0.61700313916222571</v>
      </c>
      <c r="M188" s="92">
        <f t="shared" si="79"/>
        <v>-291.38693701180006</v>
      </c>
      <c r="N188" s="92">
        <f t="shared" si="80"/>
        <v>-308.84829840558575</v>
      </c>
      <c r="O188" s="92">
        <f t="shared" si="81"/>
        <v>0.61700313916222571</v>
      </c>
      <c r="P188" s="92">
        <f t="shared" si="82"/>
        <v>-20.482996860837776</v>
      </c>
    </row>
    <row r="190" spans="2:16" ht="13.8" thickBot="1" x14ac:dyDescent="0.3"/>
    <row r="191" spans="2:16" ht="13.8" thickBot="1" x14ac:dyDescent="0.3">
      <c r="B191" s="245" t="s">
        <v>192</v>
      </c>
      <c r="C191" s="245"/>
      <c r="D191" s="245"/>
      <c r="E191" s="245"/>
      <c r="F191" s="245"/>
      <c r="G191" s="245"/>
      <c r="H191" s="245"/>
      <c r="I191" s="245"/>
      <c r="J191" s="245"/>
      <c r="K191" s="245"/>
      <c r="L191" s="245"/>
      <c r="M191" s="5"/>
      <c r="N191" s="65"/>
      <c r="O191" s="65"/>
      <c r="P191" s="65"/>
    </row>
    <row r="192" spans="2:16" ht="47.4" customHeight="1" thickBot="1" x14ac:dyDescent="0.3">
      <c r="B192" s="81" t="s">
        <v>52</v>
      </c>
      <c r="C192" s="81" t="s">
        <v>51</v>
      </c>
      <c r="D192" s="81" t="s">
        <v>74</v>
      </c>
      <c r="E192" s="81" t="s">
        <v>54</v>
      </c>
      <c r="F192" s="81" t="s">
        <v>55</v>
      </c>
      <c r="G192" s="81" t="s">
        <v>187</v>
      </c>
      <c r="H192" s="80" t="s">
        <v>270</v>
      </c>
      <c r="I192" s="80" t="s">
        <v>271</v>
      </c>
      <c r="J192" s="80" t="s">
        <v>272</v>
      </c>
      <c r="K192" s="81" t="s">
        <v>273</v>
      </c>
      <c r="L192" s="81" t="s">
        <v>274</v>
      </c>
      <c r="M192" s="68"/>
      <c r="O192" s="3"/>
    </row>
    <row r="193" spans="2:16" x14ac:dyDescent="0.25">
      <c r="B193" s="82" t="s">
        <v>1</v>
      </c>
      <c r="C193" s="83">
        <v>13199.085501550475</v>
      </c>
      <c r="D193" s="84">
        <v>7498.2226388555227</v>
      </c>
      <c r="E193" s="84">
        <v>7480.8958351792899</v>
      </c>
      <c r="F193" s="84">
        <v>17.326803676232597</v>
      </c>
      <c r="G193" s="83">
        <v>4.8252078498866728</v>
      </c>
      <c r="H193" s="78">
        <v>15.505046378301394</v>
      </c>
      <c r="I193" s="78">
        <v>14.753958320027856</v>
      </c>
      <c r="J193" s="78">
        <v>0.7693067514792219</v>
      </c>
      <c r="K193" s="84">
        <v>0</v>
      </c>
      <c r="L193" s="85">
        <f t="shared" ref="L193:L203" si="85">K193+J193</f>
        <v>0.7693067514792219</v>
      </c>
      <c r="M193" s="15"/>
      <c r="N193" s="3"/>
      <c r="O193" s="3"/>
      <c r="P193" s="3"/>
    </row>
    <row r="194" spans="2:16" x14ac:dyDescent="0.25">
      <c r="B194" s="82" t="s">
        <v>195</v>
      </c>
      <c r="C194" s="83">
        <v>20450.034940117202</v>
      </c>
      <c r="D194" s="84">
        <v>4549.0211045835576</v>
      </c>
      <c r="E194" s="84">
        <v>4095.8505435363099</v>
      </c>
      <c r="F194" s="84">
        <v>453.17056104724901</v>
      </c>
      <c r="G194" s="83">
        <v>3.0144292908057531</v>
      </c>
      <c r="H194" s="78">
        <v>27.810279358694004</v>
      </c>
      <c r="I194" s="78">
        <v>25.458676695696266</v>
      </c>
      <c r="J194" s="78">
        <v>2.4789683273851866</v>
      </c>
      <c r="K194" s="84">
        <v>0</v>
      </c>
      <c r="L194" s="85">
        <f t="shared" si="85"/>
        <v>2.4789683273851866</v>
      </c>
      <c r="M194" s="15"/>
      <c r="N194" s="3"/>
      <c r="O194" s="72"/>
      <c r="P194" s="3"/>
    </row>
    <row r="195" spans="2:16" x14ac:dyDescent="0.25">
      <c r="B195" s="82" t="s">
        <v>2</v>
      </c>
      <c r="C195" s="83">
        <v>251430.37783690859</v>
      </c>
      <c r="D195" s="84">
        <v>33738.127951375733</v>
      </c>
      <c r="E195" s="84">
        <v>36.2275463161657</v>
      </c>
      <c r="F195" s="84">
        <v>32732.968091907202</v>
      </c>
      <c r="G195" s="83">
        <v>71.985630555915122</v>
      </c>
      <c r="H195" s="78">
        <v>3.4774667730851241</v>
      </c>
      <c r="I195" s="78">
        <v>61.182552659450373</v>
      </c>
      <c r="J195" s="78">
        <v>0</v>
      </c>
      <c r="K195" s="84">
        <v>56.5</v>
      </c>
      <c r="L195" s="85">
        <f t="shared" si="85"/>
        <v>56.5</v>
      </c>
      <c r="M195" s="15"/>
      <c r="N195" s="3"/>
      <c r="O195" s="72"/>
      <c r="P195" s="3"/>
    </row>
    <row r="196" spans="2:16" x14ac:dyDescent="0.25">
      <c r="B196" s="82" t="s">
        <v>3</v>
      </c>
      <c r="C196" s="83">
        <v>24496.645034227455</v>
      </c>
      <c r="D196" s="84">
        <v>4739.5256339269945</v>
      </c>
      <c r="E196" s="84">
        <v>4571.8337917332701</v>
      </c>
      <c r="F196" s="84">
        <v>167.66828675695399</v>
      </c>
      <c r="G196" s="83">
        <v>1.1534014149577714</v>
      </c>
      <c r="H196" s="78">
        <v>15.066778136817998</v>
      </c>
      <c r="I196" s="78">
        <v>12.117680835667821</v>
      </c>
      <c r="J196" s="78">
        <v>2.9981638556920855</v>
      </c>
      <c r="K196" s="84">
        <v>0</v>
      </c>
      <c r="L196" s="85">
        <f t="shared" si="85"/>
        <v>2.9981638556920855</v>
      </c>
      <c r="M196" s="15"/>
      <c r="O196" s="17"/>
      <c r="P196" s="3"/>
    </row>
    <row r="197" spans="2:16" x14ac:dyDescent="0.25">
      <c r="B197" s="82" t="s">
        <v>4</v>
      </c>
      <c r="C197" s="83">
        <v>363314.38569269452</v>
      </c>
      <c r="D197" s="84">
        <v>149774.72401466093</v>
      </c>
      <c r="E197" s="84">
        <v>148845.87450464899</v>
      </c>
      <c r="F197" s="84">
        <v>928.38682241953302</v>
      </c>
      <c r="G197" s="83">
        <v>31.578450691945829</v>
      </c>
      <c r="H197" s="78">
        <v>465.09746142377105</v>
      </c>
      <c r="I197" s="78">
        <v>357.16725365795082</v>
      </c>
      <c r="J197" s="78">
        <v>108.47973776175608</v>
      </c>
      <c r="K197" s="84">
        <v>0</v>
      </c>
      <c r="L197" s="85">
        <f t="shared" si="85"/>
        <v>108.47973776175608</v>
      </c>
      <c r="M197" s="15"/>
      <c r="N197" s="3"/>
      <c r="O197" s="2"/>
      <c r="P197" s="3"/>
    </row>
    <row r="198" spans="2:16" x14ac:dyDescent="0.25">
      <c r="B198" s="82" t="s">
        <v>5</v>
      </c>
      <c r="C198" s="83">
        <v>49475.746319971244</v>
      </c>
      <c r="D198" s="84">
        <v>34543.134541376516</v>
      </c>
      <c r="E198" s="84">
        <v>34381.756113589799</v>
      </c>
      <c r="F198" s="84">
        <v>161.37842778671799</v>
      </c>
      <c r="G198" s="83">
        <v>16.484698612131034</v>
      </c>
      <c r="H198" s="78">
        <v>85.552170131890833</v>
      </c>
      <c r="I198" s="78">
        <v>61.374662151806149</v>
      </c>
      <c r="J198" s="78">
        <v>25.321354259396958</v>
      </c>
      <c r="K198" s="84">
        <v>0</v>
      </c>
      <c r="L198" s="85">
        <f t="shared" si="85"/>
        <v>25.321354259396958</v>
      </c>
      <c r="M198" s="15"/>
      <c r="N198" s="3"/>
      <c r="O198" s="73"/>
      <c r="P198" s="3"/>
    </row>
    <row r="199" spans="2:16" x14ac:dyDescent="0.25">
      <c r="B199" s="82" t="s">
        <v>6</v>
      </c>
      <c r="C199" s="83">
        <v>20836.189535136225</v>
      </c>
      <c r="D199" s="84">
        <v>12709.055149886017</v>
      </c>
      <c r="E199" s="84">
        <v>12592.695935711299</v>
      </c>
      <c r="F199" s="84">
        <v>116.35921417471801</v>
      </c>
      <c r="G199" s="83">
        <v>9.3198591220623097</v>
      </c>
      <c r="H199" s="78">
        <v>25.22714592864719</v>
      </c>
      <c r="I199" s="78">
        <v>21.755018612897892</v>
      </c>
      <c r="J199" s="78">
        <v>3.5310475475487979</v>
      </c>
      <c r="K199" s="84">
        <v>3.8</v>
      </c>
      <c r="L199" s="85">
        <f t="shared" si="85"/>
        <v>7.3310475475487973</v>
      </c>
      <c r="M199" s="15"/>
      <c r="O199" s="2"/>
    </row>
    <row r="200" spans="2:16" x14ac:dyDescent="0.25">
      <c r="B200" s="82" t="s">
        <v>7</v>
      </c>
      <c r="C200" s="83">
        <v>1339764.2833351614</v>
      </c>
      <c r="D200" s="84">
        <v>179268.67227891536</v>
      </c>
      <c r="E200" s="84">
        <v>148932.274304138</v>
      </c>
      <c r="F200" s="84">
        <v>29965.5849251578</v>
      </c>
      <c r="G200" s="83">
        <v>30.543718640108114</v>
      </c>
      <c r="H200" s="78">
        <v>392.56604129317407</v>
      </c>
      <c r="I200" s="78">
        <v>438.23592878076829</v>
      </c>
      <c r="J200" s="78">
        <v>0</v>
      </c>
      <c r="K200" s="84">
        <v>33.799999999999997</v>
      </c>
      <c r="L200" s="85">
        <f t="shared" si="85"/>
        <v>33.799999999999997</v>
      </c>
      <c r="M200" s="15"/>
      <c r="N200" s="64"/>
      <c r="O200" s="69"/>
    </row>
    <row r="201" spans="2:16" x14ac:dyDescent="0.25">
      <c r="B201" s="82" t="s">
        <v>8</v>
      </c>
      <c r="C201" s="83">
        <v>617141.72101696266</v>
      </c>
      <c r="D201" s="84">
        <v>8412.6065227973904</v>
      </c>
      <c r="E201" s="84">
        <v>7365.75573141738</v>
      </c>
      <c r="F201" s="84">
        <v>1046.8507913800099</v>
      </c>
      <c r="G201" s="83">
        <v>9.9210086461949327</v>
      </c>
      <c r="H201" s="78">
        <v>693.45037652984286</v>
      </c>
      <c r="I201" s="78">
        <v>710.13202178540371</v>
      </c>
      <c r="J201" s="78">
        <v>0</v>
      </c>
      <c r="K201" s="84">
        <v>23.5</v>
      </c>
      <c r="L201" s="85">
        <f t="shared" si="85"/>
        <v>23.5</v>
      </c>
      <c r="M201" s="15"/>
      <c r="N201" s="64"/>
      <c r="O201" s="69"/>
    </row>
    <row r="202" spans="2:16" x14ac:dyDescent="0.25">
      <c r="B202" s="82" t="s">
        <v>9</v>
      </c>
      <c r="C202" s="83">
        <v>119784.51078433092</v>
      </c>
      <c r="D202" s="84">
        <v>43226.930239887697</v>
      </c>
      <c r="E202" s="84">
        <v>42937.449618125</v>
      </c>
      <c r="F202" s="84">
        <v>289.48062176270099</v>
      </c>
      <c r="G202" s="83">
        <v>9.4846621325994338</v>
      </c>
      <c r="H202" s="78">
        <v>147.33919010948145</v>
      </c>
      <c r="I202" s="78">
        <v>132.5381726843523</v>
      </c>
      <c r="J202" s="78">
        <v>26.214891117774812</v>
      </c>
      <c r="K202" s="84">
        <v>0</v>
      </c>
      <c r="L202" s="85">
        <f t="shared" si="85"/>
        <v>26.214891117774812</v>
      </c>
      <c r="M202" s="15"/>
      <c r="N202" s="117"/>
      <c r="O202" s="2"/>
    </row>
    <row r="203" spans="2:16" ht="13.8" thickBot="1" x14ac:dyDescent="0.3">
      <c r="B203" s="86" t="s">
        <v>10</v>
      </c>
      <c r="C203" s="87">
        <v>237021.44592026682</v>
      </c>
      <c r="D203" s="87">
        <v>69411.089457609574</v>
      </c>
      <c r="E203" s="87">
        <v>67656.990471432495</v>
      </c>
      <c r="F203" s="87">
        <v>1753.8306754422299</v>
      </c>
      <c r="G203" s="87">
        <v>32.279830657951983</v>
      </c>
      <c r="H203" s="79">
        <v>339.88345704567735</v>
      </c>
      <c r="I203" s="79">
        <v>298.67589123453513</v>
      </c>
      <c r="J203" s="79">
        <v>48.022346099497078</v>
      </c>
      <c r="K203" s="87">
        <v>21.1</v>
      </c>
      <c r="L203" s="87">
        <f t="shared" si="85"/>
        <v>69.122346099497079</v>
      </c>
      <c r="M203" s="69"/>
      <c r="N203" s="69"/>
      <c r="O203" s="69"/>
      <c r="P203" s="69"/>
    </row>
    <row r="204" spans="2:16" ht="13.8" thickBot="1" x14ac:dyDescent="0.3">
      <c r="B204" s="86" t="s">
        <v>11</v>
      </c>
      <c r="C204" s="87">
        <f>SUM(C193:C203)</f>
        <v>3056914.4259173274</v>
      </c>
      <c r="D204" s="87">
        <f>SUM(D193:D203)</f>
        <v>547871.10953387525</v>
      </c>
      <c r="E204" s="87">
        <f>SUM(E193:E203)</f>
        <v>478897.60439582798</v>
      </c>
      <c r="F204" s="87">
        <f t="shared" ref="F204" si="86">SUM(F193:F203)</f>
        <v>67633.005221511354</v>
      </c>
      <c r="G204" s="87">
        <f>SUM(G193:G203)</f>
        <v>220.59089761455894</v>
      </c>
      <c r="H204" s="87">
        <f>SUM(H193:H203)</f>
        <v>2210.9754131093837</v>
      </c>
      <c r="I204" s="87">
        <f t="shared" ref="I204:L204" si="87">SUM(I193:I203)</f>
        <v>2133.3918174185565</v>
      </c>
      <c r="J204" s="87">
        <f t="shared" si="87"/>
        <v>217.81581572053022</v>
      </c>
      <c r="K204" s="87">
        <f t="shared" si="87"/>
        <v>138.69999999999999</v>
      </c>
      <c r="L204" s="87">
        <f t="shared" si="87"/>
        <v>356.51581572053021</v>
      </c>
      <c r="M204" s="69"/>
      <c r="N204" s="69"/>
      <c r="O204" s="69"/>
      <c r="P204" s="5"/>
    </row>
    <row r="205" spans="2:16" x14ac:dyDescent="0.25">
      <c r="B205" s="65"/>
      <c r="C205" s="69"/>
      <c r="D205" s="65"/>
      <c r="E205" s="69"/>
      <c r="F205" s="69"/>
      <c r="G205" s="69"/>
      <c r="H205" s="69"/>
      <c r="I205" s="69"/>
      <c r="J205" s="69"/>
      <c r="K205" s="69"/>
      <c r="L205" s="69"/>
      <c r="M205" s="69"/>
      <c r="N205" s="69"/>
      <c r="O205" s="69"/>
      <c r="P205" s="5"/>
    </row>
    <row r="206" spans="2:16" ht="13.8" thickBot="1" x14ac:dyDescent="0.3">
      <c r="B206" s="23"/>
      <c r="C206" s="23"/>
      <c r="D206" s="23"/>
      <c r="E206" s="23"/>
      <c r="F206" s="23"/>
      <c r="G206" s="23"/>
      <c r="H206" s="23"/>
      <c r="I206" s="23"/>
      <c r="J206" s="4"/>
      <c r="K206" s="4"/>
      <c r="L206" s="4"/>
      <c r="M206" s="5"/>
      <c r="N206" s="5"/>
      <c r="O206" s="5"/>
      <c r="P206" s="5"/>
    </row>
    <row r="207" spans="2:16" ht="13.8" thickBot="1" x14ac:dyDescent="0.3">
      <c r="B207" s="248" t="s">
        <v>75</v>
      </c>
      <c r="C207" s="248"/>
      <c r="D207" s="248"/>
      <c r="E207" s="248"/>
      <c r="F207" s="248"/>
      <c r="G207" s="248"/>
      <c r="H207" s="248"/>
      <c r="I207" s="248"/>
      <c r="J207" s="47"/>
      <c r="K207" s="248" t="s">
        <v>60</v>
      </c>
      <c r="L207" s="248"/>
      <c r="M207" s="248"/>
      <c r="N207" s="248"/>
      <c r="O207" s="248"/>
      <c r="P207" s="248"/>
    </row>
    <row r="208" spans="2:16" ht="40.200000000000003" thickBot="1" x14ac:dyDescent="0.3">
      <c r="B208" s="81" t="s">
        <v>52</v>
      </c>
      <c r="C208" s="81" t="s">
        <v>275</v>
      </c>
      <c r="D208" s="81" t="s">
        <v>276</v>
      </c>
      <c r="E208" s="81" t="s">
        <v>277</v>
      </c>
      <c r="F208" s="81" t="s">
        <v>61</v>
      </c>
      <c r="G208" s="81" t="s">
        <v>62</v>
      </c>
      <c r="H208" s="81" t="s">
        <v>64</v>
      </c>
      <c r="I208" s="81" t="s">
        <v>63</v>
      </c>
      <c r="J208" s="105"/>
      <c r="K208" s="104" t="s">
        <v>52</v>
      </c>
      <c r="L208" s="104" t="s">
        <v>278</v>
      </c>
      <c r="M208" s="104" t="s">
        <v>65</v>
      </c>
      <c r="N208" s="104" t="s">
        <v>66</v>
      </c>
      <c r="O208" s="104" t="s">
        <v>67</v>
      </c>
      <c r="P208" s="104" t="s">
        <v>68</v>
      </c>
    </row>
    <row r="209" spans="2:16" x14ac:dyDescent="0.25">
      <c r="B209" s="82" t="s">
        <v>1</v>
      </c>
      <c r="C209" s="85">
        <f t="shared" ref="C209:E219" si="88">D193*$P$10</f>
        <v>74.982226388555233</v>
      </c>
      <c r="D209" s="88">
        <f t="shared" si="88"/>
        <v>74.808958351792896</v>
      </c>
      <c r="E209" s="88">
        <f t="shared" si="88"/>
        <v>0.17326803676232597</v>
      </c>
      <c r="F209" s="85">
        <f t="shared" ref="F209:F219" si="89">D209-H193</f>
        <v>59.303911973491502</v>
      </c>
      <c r="G209" s="85">
        <f t="shared" ref="G209:G219" si="90">E209-H193</f>
        <v>-15.331778341539067</v>
      </c>
      <c r="H209" s="85">
        <f>E209-J193</f>
        <v>-0.59603871471689596</v>
      </c>
      <c r="I209" s="85">
        <f>E209-L193</f>
        <v>-0.59603871471689596</v>
      </c>
      <c r="K209" s="82" t="s">
        <v>1</v>
      </c>
      <c r="L209" s="88">
        <f t="shared" ref="L209:L219" si="91">G193*$P$6</f>
        <v>8.9266345222903443E-2</v>
      </c>
      <c r="M209" s="91">
        <f t="shared" ref="M209:M219" si="92">L209-H193</f>
        <v>-15.415780033078491</v>
      </c>
      <c r="N209" s="91">
        <f t="shared" ref="N209:N219" si="93">L209-I193</f>
        <v>-14.664691974804953</v>
      </c>
      <c r="O209" s="91">
        <f t="shared" ref="O209:O219" si="94">L209-J193</f>
        <v>-0.68004040625631845</v>
      </c>
      <c r="P209" s="91">
        <f t="shared" ref="P209:P219" si="95">L209-L193</f>
        <v>-0.68004040625631845</v>
      </c>
    </row>
    <row r="210" spans="2:16" x14ac:dyDescent="0.25">
      <c r="B210" s="82" t="s">
        <v>195</v>
      </c>
      <c r="C210" s="85">
        <f t="shared" si="88"/>
        <v>45.490211045835579</v>
      </c>
      <c r="D210" s="88">
        <f t="shared" si="88"/>
        <v>40.958505435363101</v>
      </c>
      <c r="E210" s="88">
        <f t="shared" si="88"/>
        <v>4.53170561047249</v>
      </c>
      <c r="F210" s="85">
        <f t="shared" si="89"/>
        <v>13.148226076669097</v>
      </c>
      <c r="G210" s="85">
        <f t="shared" si="90"/>
        <v>-23.278573748221515</v>
      </c>
      <c r="H210" s="85">
        <f t="shared" ref="H210:H219" si="96">E210-J194</f>
        <v>2.0527372830873034</v>
      </c>
      <c r="I210" s="85">
        <f t="shared" ref="I210:I219" si="97">E210-L194</f>
        <v>2.0527372830873034</v>
      </c>
      <c r="K210" s="82" t="s">
        <v>195</v>
      </c>
      <c r="L210" s="88">
        <f t="shared" si="91"/>
        <v>5.5766941879906426E-2</v>
      </c>
      <c r="M210" s="91">
        <f t="shared" si="92"/>
        <v>-27.754512416814098</v>
      </c>
      <c r="N210" s="91">
        <f t="shared" si="93"/>
        <v>-25.40290975381636</v>
      </c>
      <c r="O210" s="91">
        <f t="shared" si="94"/>
        <v>-2.4232013855052803</v>
      </c>
      <c r="P210" s="91">
        <f t="shared" si="95"/>
        <v>-2.4232013855052803</v>
      </c>
    </row>
    <row r="211" spans="2:16" x14ac:dyDescent="0.25">
      <c r="B211" s="82" t="s">
        <v>2</v>
      </c>
      <c r="C211" s="85">
        <f t="shared" si="88"/>
        <v>337.38127951375731</v>
      </c>
      <c r="D211" s="88">
        <f t="shared" si="88"/>
        <v>0.36227546316165699</v>
      </c>
      <c r="E211" s="88">
        <f t="shared" si="88"/>
        <v>327.32968091907202</v>
      </c>
      <c r="F211" s="85">
        <f t="shared" si="89"/>
        <v>-3.1151913099234672</v>
      </c>
      <c r="G211" s="85">
        <f t="shared" si="90"/>
        <v>323.85221414598692</v>
      </c>
      <c r="H211" s="85">
        <f t="shared" si="96"/>
        <v>327.32968091907202</v>
      </c>
      <c r="I211" s="85">
        <f t="shared" si="97"/>
        <v>270.82968091907202</v>
      </c>
      <c r="K211" s="82" t="s">
        <v>2</v>
      </c>
      <c r="L211" s="88">
        <f t="shared" si="91"/>
        <v>1.3317341652844297</v>
      </c>
      <c r="M211" s="91">
        <f t="shared" si="92"/>
        <v>-2.1457326078006944</v>
      </c>
      <c r="N211" s="91">
        <f t="shared" si="93"/>
        <v>-59.850818494165942</v>
      </c>
      <c r="O211" s="91">
        <f t="shared" si="94"/>
        <v>1.3317341652844297</v>
      </c>
      <c r="P211" s="91">
        <f t="shared" si="95"/>
        <v>-55.168265834715569</v>
      </c>
    </row>
    <row r="212" spans="2:16" x14ac:dyDescent="0.25">
      <c r="B212" s="82" t="s">
        <v>3</v>
      </c>
      <c r="C212" s="85">
        <f t="shared" si="88"/>
        <v>47.395256339269949</v>
      </c>
      <c r="D212" s="88">
        <f t="shared" si="88"/>
        <v>45.718337917332704</v>
      </c>
      <c r="E212" s="88">
        <f t="shared" si="88"/>
        <v>1.67668286756954</v>
      </c>
      <c r="F212" s="85">
        <f t="shared" si="89"/>
        <v>30.651559780514706</v>
      </c>
      <c r="G212" s="85">
        <f t="shared" si="90"/>
        <v>-13.390095269248459</v>
      </c>
      <c r="H212" s="85">
        <f t="shared" si="96"/>
        <v>-1.3214809881225456</v>
      </c>
      <c r="I212" s="85">
        <f t="shared" si="97"/>
        <v>-1.3214809881225456</v>
      </c>
      <c r="K212" s="82" t="s">
        <v>3</v>
      </c>
      <c r="L212" s="88">
        <f t="shared" si="91"/>
        <v>2.1337926176718768E-2</v>
      </c>
      <c r="M212" s="91">
        <f t="shared" si="92"/>
        <v>-15.04544021064128</v>
      </c>
      <c r="N212" s="91">
        <f t="shared" si="93"/>
        <v>-12.096342909491103</v>
      </c>
      <c r="O212" s="91">
        <f t="shared" si="94"/>
        <v>-2.9768259295153667</v>
      </c>
      <c r="P212" s="91">
        <f t="shared" si="95"/>
        <v>-2.9768259295153667</v>
      </c>
    </row>
    <row r="213" spans="2:16" x14ac:dyDescent="0.25">
      <c r="B213" s="82" t="s">
        <v>4</v>
      </c>
      <c r="C213" s="85">
        <f t="shared" si="88"/>
        <v>1497.7472401466093</v>
      </c>
      <c r="D213" s="88">
        <f t="shared" si="88"/>
        <v>1488.4587450464899</v>
      </c>
      <c r="E213" s="88">
        <f t="shared" si="88"/>
        <v>9.2838682241953308</v>
      </c>
      <c r="F213" s="85">
        <f t="shared" si="89"/>
        <v>1023.3612836227188</v>
      </c>
      <c r="G213" s="85">
        <f t="shared" si="90"/>
        <v>-455.81359319957573</v>
      </c>
      <c r="H213" s="85">
        <f t="shared" si="96"/>
        <v>-99.195869537560753</v>
      </c>
      <c r="I213" s="85">
        <f t="shared" si="97"/>
        <v>-99.195869537560753</v>
      </c>
      <c r="K213" s="82" t="s">
        <v>4</v>
      </c>
      <c r="L213" s="88">
        <f t="shared" si="91"/>
        <v>0.58420133780099781</v>
      </c>
      <c r="M213" s="91">
        <f t="shared" si="92"/>
        <v>-464.51326008597005</v>
      </c>
      <c r="N213" s="91">
        <f t="shared" si="93"/>
        <v>-356.58305232014982</v>
      </c>
      <c r="O213" s="91">
        <f t="shared" si="94"/>
        <v>-107.89553642395509</v>
      </c>
      <c r="P213" s="91">
        <f t="shared" si="95"/>
        <v>-107.89553642395509</v>
      </c>
    </row>
    <row r="214" spans="2:16" x14ac:dyDescent="0.25">
      <c r="B214" s="82" t="s">
        <v>5</v>
      </c>
      <c r="C214" s="85">
        <f t="shared" si="88"/>
        <v>345.43134541376514</v>
      </c>
      <c r="D214" s="88">
        <f t="shared" si="88"/>
        <v>343.81756113589802</v>
      </c>
      <c r="E214" s="88">
        <f t="shared" si="88"/>
        <v>1.61378427786718</v>
      </c>
      <c r="F214" s="85">
        <f t="shared" si="89"/>
        <v>258.2653910040072</v>
      </c>
      <c r="G214" s="85">
        <f t="shared" si="90"/>
        <v>-83.93838585402365</v>
      </c>
      <c r="H214" s="85">
        <f t="shared" si="96"/>
        <v>-23.70756998152978</v>
      </c>
      <c r="I214" s="85">
        <f t="shared" si="97"/>
        <v>-23.70756998152978</v>
      </c>
      <c r="K214" s="82" t="s">
        <v>5</v>
      </c>
      <c r="L214" s="88">
        <f t="shared" si="91"/>
        <v>0.30496692432442413</v>
      </c>
      <c r="M214" s="91">
        <f t="shared" si="92"/>
        <v>-85.247203207566415</v>
      </c>
      <c r="N214" s="91">
        <f t="shared" si="93"/>
        <v>-61.069695227481724</v>
      </c>
      <c r="O214" s="91">
        <f t="shared" si="94"/>
        <v>-25.016387335072533</v>
      </c>
      <c r="P214" s="91">
        <f t="shared" si="95"/>
        <v>-25.016387335072533</v>
      </c>
    </row>
    <row r="215" spans="2:16" x14ac:dyDescent="0.25">
      <c r="B215" s="82" t="s">
        <v>6</v>
      </c>
      <c r="C215" s="85">
        <f t="shared" si="88"/>
        <v>127.09055149886017</v>
      </c>
      <c r="D215" s="88">
        <f t="shared" si="88"/>
        <v>125.92695935711299</v>
      </c>
      <c r="E215" s="88">
        <f t="shared" si="88"/>
        <v>1.1635921417471802</v>
      </c>
      <c r="F215" s="85">
        <f t="shared" si="89"/>
        <v>100.6998134284658</v>
      </c>
      <c r="G215" s="85">
        <f t="shared" si="90"/>
        <v>-24.063553786900009</v>
      </c>
      <c r="H215" s="85">
        <f t="shared" si="96"/>
        <v>-2.3674554058016177</v>
      </c>
      <c r="I215" s="85">
        <f t="shared" si="97"/>
        <v>-6.1674554058016167</v>
      </c>
      <c r="K215" s="82" t="s">
        <v>6</v>
      </c>
      <c r="L215" s="88">
        <f t="shared" si="91"/>
        <v>0.17241739375815271</v>
      </c>
      <c r="M215" s="91">
        <f t="shared" si="92"/>
        <v>-25.054728534889037</v>
      </c>
      <c r="N215" s="91">
        <f t="shared" si="93"/>
        <v>-21.58260121913974</v>
      </c>
      <c r="O215" s="91">
        <f t="shared" si="94"/>
        <v>-3.3586301537906453</v>
      </c>
      <c r="P215" s="91">
        <f t="shared" si="95"/>
        <v>-7.1586301537906447</v>
      </c>
    </row>
    <row r="216" spans="2:16" x14ac:dyDescent="0.25">
      <c r="B216" s="82" t="s">
        <v>7</v>
      </c>
      <c r="C216" s="85">
        <f t="shared" si="88"/>
        <v>1792.6867227891537</v>
      </c>
      <c r="D216" s="88">
        <f t="shared" si="88"/>
        <v>1489.3227430413801</v>
      </c>
      <c r="E216" s="88">
        <f t="shared" si="88"/>
        <v>299.65584925157799</v>
      </c>
      <c r="F216" s="85">
        <f t="shared" si="89"/>
        <v>1096.7567017482061</v>
      </c>
      <c r="G216" s="85">
        <f t="shared" si="90"/>
        <v>-92.910192041596076</v>
      </c>
      <c r="H216" s="85">
        <f t="shared" si="96"/>
        <v>299.65584925157799</v>
      </c>
      <c r="I216" s="85">
        <f t="shared" si="97"/>
        <v>265.85584925157798</v>
      </c>
      <c r="K216" s="82" t="s">
        <v>7</v>
      </c>
      <c r="L216" s="88">
        <f t="shared" si="91"/>
        <v>0.56505879484200006</v>
      </c>
      <c r="M216" s="91">
        <f t="shared" si="92"/>
        <v>-392.00098249833206</v>
      </c>
      <c r="N216" s="91">
        <f t="shared" si="93"/>
        <v>-437.67086998592629</v>
      </c>
      <c r="O216" s="91">
        <f t="shared" si="94"/>
        <v>0.56505879484200006</v>
      </c>
      <c r="P216" s="91">
        <f t="shared" si="95"/>
        <v>-33.234941205157995</v>
      </c>
    </row>
    <row r="217" spans="2:16" x14ac:dyDescent="0.25">
      <c r="B217" s="82" t="s">
        <v>8</v>
      </c>
      <c r="C217" s="85">
        <f t="shared" si="88"/>
        <v>84.126065227973911</v>
      </c>
      <c r="D217" s="88">
        <f t="shared" si="88"/>
        <v>73.6575573141738</v>
      </c>
      <c r="E217" s="88">
        <f t="shared" si="88"/>
        <v>10.468507913800099</v>
      </c>
      <c r="F217" s="85">
        <f t="shared" si="89"/>
        <v>-619.79281921566906</v>
      </c>
      <c r="G217" s="85">
        <f t="shared" si="90"/>
        <v>-682.98186861604279</v>
      </c>
      <c r="H217" s="85">
        <f t="shared" si="96"/>
        <v>10.468507913800099</v>
      </c>
      <c r="I217" s="85">
        <f t="shared" si="97"/>
        <v>-13.031492086199901</v>
      </c>
      <c r="K217" s="82" t="s">
        <v>8</v>
      </c>
      <c r="L217" s="88">
        <f t="shared" si="91"/>
        <v>0.18353865995460625</v>
      </c>
      <c r="M217" s="91">
        <f t="shared" si="92"/>
        <v>-693.26683786988826</v>
      </c>
      <c r="N217" s="91">
        <f t="shared" si="93"/>
        <v>-709.94848312544912</v>
      </c>
      <c r="O217" s="91">
        <f t="shared" si="94"/>
        <v>0.18353865995460625</v>
      </c>
      <c r="P217" s="91">
        <f t="shared" si="95"/>
        <v>-23.316461340045393</v>
      </c>
    </row>
    <row r="218" spans="2:16" x14ac:dyDescent="0.25">
      <c r="B218" s="82" t="s">
        <v>9</v>
      </c>
      <c r="C218" s="85">
        <f t="shared" si="88"/>
        <v>432.26930239887696</v>
      </c>
      <c r="D218" s="88">
        <f t="shared" si="88"/>
        <v>429.37449618124998</v>
      </c>
      <c r="E218" s="88">
        <f t="shared" si="88"/>
        <v>2.8948062176270102</v>
      </c>
      <c r="F218" s="85">
        <f t="shared" si="89"/>
        <v>282.03530607176856</v>
      </c>
      <c r="G218" s="85">
        <f t="shared" si="90"/>
        <v>-144.44438389185444</v>
      </c>
      <c r="H218" s="85">
        <f t="shared" si="96"/>
        <v>-23.320084900147801</v>
      </c>
      <c r="I218" s="85">
        <f t="shared" si="97"/>
        <v>-23.320084900147801</v>
      </c>
      <c r="K218" s="82" t="s">
        <v>9</v>
      </c>
      <c r="L218" s="88">
        <f t="shared" si="91"/>
        <v>0.17546624945308953</v>
      </c>
      <c r="M218" s="91">
        <f t="shared" si="92"/>
        <v>-147.16372386002837</v>
      </c>
      <c r="N218" s="91">
        <f t="shared" si="93"/>
        <v>-132.36270643489922</v>
      </c>
      <c r="O218" s="91">
        <f t="shared" si="94"/>
        <v>-26.039424868321721</v>
      </c>
      <c r="P218" s="91">
        <f t="shared" si="95"/>
        <v>-26.039424868321721</v>
      </c>
    </row>
    <row r="219" spans="2:16" ht="13.8" thickBot="1" x14ac:dyDescent="0.3">
      <c r="B219" s="86" t="s">
        <v>10</v>
      </c>
      <c r="C219" s="89">
        <f t="shared" si="88"/>
        <v>694.1108945760958</v>
      </c>
      <c r="D219" s="90">
        <f t="shared" si="88"/>
        <v>676.56990471432493</v>
      </c>
      <c r="E219" s="90">
        <f t="shared" si="88"/>
        <v>17.538306754422301</v>
      </c>
      <c r="F219" s="89">
        <f t="shared" si="89"/>
        <v>336.68644766864759</v>
      </c>
      <c r="G219" s="89">
        <f t="shared" si="90"/>
        <v>-322.34515029125504</v>
      </c>
      <c r="H219" s="89">
        <f t="shared" si="96"/>
        <v>-30.484039345074777</v>
      </c>
      <c r="I219" s="89">
        <f t="shared" si="97"/>
        <v>-51.584039345074778</v>
      </c>
      <c r="K219" s="86" t="s">
        <v>10</v>
      </c>
      <c r="L219" s="90">
        <f t="shared" si="91"/>
        <v>0.59717686717211171</v>
      </c>
      <c r="M219" s="92">
        <f t="shared" si="92"/>
        <v>-339.28628017850525</v>
      </c>
      <c r="N219" s="92">
        <f t="shared" si="93"/>
        <v>-298.07871436736303</v>
      </c>
      <c r="O219" s="92">
        <f t="shared" si="94"/>
        <v>-47.425169232324969</v>
      </c>
      <c r="P219" s="92">
        <f t="shared" si="95"/>
        <v>-68.52516923232497</v>
      </c>
    </row>
    <row r="221" spans="2:16" ht="13.8" thickBot="1" x14ac:dyDescent="0.3"/>
    <row r="222" spans="2:16" ht="13.8" thickBot="1" x14ac:dyDescent="0.3">
      <c r="B222" s="245" t="s">
        <v>193</v>
      </c>
      <c r="C222" s="245"/>
      <c r="D222" s="245"/>
      <c r="E222" s="245"/>
      <c r="F222" s="245"/>
      <c r="G222" s="245"/>
      <c r="H222" s="245"/>
      <c r="I222" s="245"/>
      <c r="J222" s="245"/>
      <c r="K222" s="245"/>
      <c r="L222" s="245"/>
      <c r="M222" s="5"/>
      <c r="N222" s="65"/>
      <c r="O222" s="65"/>
      <c r="P222" s="65"/>
    </row>
    <row r="223" spans="2:16" ht="40.200000000000003" thickBot="1" x14ac:dyDescent="0.3">
      <c r="B223" s="81" t="s">
        <v>52</v>
      </c>
      <c r="C223" s="81" t="s">
        <v>51</v>
      </c>
      <c r="D223" s="81" t="s">
        <v>74</v>
      </c>
      <c r="E223" s="81" t="s">
        <v>54</v>
      </c>
      <c r="F223" s="81" t="s">
        <v>55</v>
      </c>
      <c r="G223" s="81" t="s">
        <v>187</v>
      </c>
      <c r="H223" s="80" t="s">
        <v>270</v>
      </c>
      <c r="I223" s="80" t="s">
        <v>271</v>
      </c>
      <c r="J223" s="80" t="s">
        <v>272</v>
      </c>
      <c r="K223" s="81" t="s">
        <v>273</v>
      </c>
      <c r="L223" s="81" t="s">
        <v>274</v>
      </c>
      <c r="M223" s="68"/>
      <c r="O223" s="3"/>
    </row>
    <row r="224" spans="2:16" x14ac:dyDescent="0.25">
      <c r="B224" s="82" t="s">
        <v>1</v>
      </c>
      <c r="C224" s="83">
        <v>13199.085501550475</v>
      </c>
      <c r="D224" s="84">
        <v>7498.2226388555227</v>
      </c>
      <c r="E224" s="84">
        <v>7480.8958351792899</v>
      </c>
      <c r="F224" s="84">
        <v>17.326803676232597</v>
      </c>
      <c r="G224" s="83">
        <v>4.6792163012865338</v>
      </c>
      <c r="H224" s="78">
        <v>16.119568257640697</v>
      </c>
      <c r="I224" s="78">
        <v>14.87970566394463</v>
      </c>
      <c r="J224" s="78">
        <v>1.2659744256775787</v>
      </c>
      <c r="K224" s="84">
        <v>0</v>
      </c>
      <c r="L224" s="85">
        <f t="shared" ref="L224:L234" si="98">K224+J224</f>
        <v>1.2659744256775787</v>
      </c>
      <c r="M224" s="15"/>
      <c r="N224" s="3"/>
      <c r="O224" s="3"/>
      <c r="P224" s="3"/>
    </row>
    <row r="225" spans="2:16" x14ac:dyDescent="0.25">
      <c r="B225" s="82" t="s">
        <v>195</v>
      </c>
      <c r="C225" s="83">
        <v>20450.034940117202</v>
      </c>
      <c r="D225" s="84">
        <v>4549.0211045835576</v>
      </c>
      <c r="E225" s="84">
        <v>4095.8505435363099</v>
      </c>
      <c r="F225" s="84">
        <v>453.17056104724901</v>
      </c>
      <c r="G225" s="83">
        <v>2.9212416811762312</v>
      </c>
      <c r="H225" s="78">
        <v>26.253813751823277</v>
      </c>
      <c r="I225" s="78">
        <v>26.487263324145417</v>
      </c>
      <c r="J225" s="78">
        <v>0</v>
      </c>
      <c r="K225" s="84">
        <v>0</v>
      </c>
      <c r="L225" s="85">
        <f t="shared" si="98"/>
        <v>0</v>
      </c>
      <c r="M225" s="15"/>
      <c r="N225" s="3"/>
      <c r="O225" s="72"/>
      <c r="P225" s="3"/>
    </row>
    <row r="226" spans="2:16" x14ac:dyDescent="0.25">
      <c r="B226" s="82" t="s">
        <v>2</v>
      </c>
      <c r="C226" s="83">
        <v>251430.37783690859</v>
      </c>
      <c r="D226" s="84">
        <v>33738.127951375733</v>
      </c>
      <c r="E226" s="84">
        <v>36.2275463161657</v>
      </c>
      <c r="F226" s="84">
        <v>32732.968091907202</v>
      </c>
      <c r="G226" s="83">
        <v>70.615686242804699</v>
      </c>
      <c r="H226" s="78">
        <v>2.5183118413223982</v>
      </c>
      <c r="I226" s="78">
        <v>57.406515877545473</v>
      </c>
      <c r="J226" s="78">
        <v>0</v>
      </c>
      <c r="K226" s="84">
        <v>56.5</v>
      </c>
      <c r="L226" s="85">
        <f t="shared" si="98"/>
        <v>56.5</v>
      </c>
      <c r="M226" s="15"/>
      <c r="N226" s="3"/>
      <c r="O226" s="72"/>
      <c r="P226" s="3"/>
    </row>
    <row r="227" spans="2:16" x14ac:dyDescent="0.25">
      <c r="B227" s="82" t="s">
        <v>3</v>
      </c>
      <c r="C227" s="83">
        <v>24496.645034227455</v>
      </c>
      <c r="D227" s="84">
        <v>4739.5256339269945</v>
      </c>
      <c r="E227" s="84">
        <v>4571.8337917332701</v>
      </c>
      <c r="F227" s="84">
        <v>167.66828675695399</v>
      </c>
      <c r="G227" s="83">
        <v>1.1373645744579148</v>
      </c>
      <c r="H227" s="78">
        <v>12.211567510036925</v>
      </c>
      <c r="I227" s="78">
        <v>12.430383918221033</v>
      </c>
      <c r="J227" s="78">
        <v>0</v>
      </c>
      <c r="K227" s="84">
        <v>0</v>
      </c>
      <c r="L227" s="85">
        <f t="shared" si="98"/>
        <v>0</v>
      </c>
      <c r="M227" s="15"/>
      <c r="O227" s="17"/>
      <c r="P227" s="3"/>
    </row>
    <row r="228" spans="2:16" x14ac:dyDescent="0.25">
      <c r="B228" s="82" t="s">
        <v>4</v>
      </c>
      <c r="C228" s="83">
        <v>363314.38569269452</v>
      </c>
      <c r="D228" s="84">
        <v>149774.72401466093</v>
      </c>
      <c r="E228" s="84">
        <v>148845.87450464899</v>
      </c>
      <c r="F228" s="84">
        <v>928.38682241953302</v>
      </c>
      <c r="G228" s="83">
        <v>30.733285344959441</v>
      </c>
      <c r="H228" s="78">
        <v>441.00564598635611</v>
      </c>
      <c r="I228" s="78">
        <v>377.49670014536434</v>
      </c>
      <c r="J228" s="78">
        <v>64.093575287693014</v>
      </c>
      <c r="K228" s="84">
        <v>0</v>
      </c>
      <c r="L228" s="85">
        <f t="shared" si="98"/>
        <v>64.093575287693014</v>
      </c>
      <c r="M228" s="15"/>
      <c r="N228" s="3"/>
      <c r="O228" s="2"/>
      <c r="P228" s="3"/>
    </row>
    <row r="229" spans="2:16" x14ac:dyDescent="0.25">
      <c r="B229" s="82" t="s">
        <v>5</v>
      </c>
      <c r="C229" s="83">
        <v>49475.746319971244</v>
      </c>
      <c r="D229" s="84">
        <v>34543.134541376516</v>
      </c>
      <c r="E229" s="84">
        <v>34381.756113589799</v>
      </c>
      <c r="F229" s="84">
        <v>161.37842778671799</v>
      </c>
      <c r="G229" s="83">
        <v>16.117225862466793</v>
      </c>
      <c r="H229" s="78">
        <v>76.989228247043215</v>
      </c>
      <c r="I229" s="78">
        <v>61.088307514794813</v>
      </c>
      <c r="J229" s="78">
        <v>16.824037840124145</v>
      </c>
      <c r="K229" s="84">
        <v>0</v>
      </c>
      <c r="L229" s="85">
        <f t="shared" si="98"/>
        <v>16.824037840124145</v>
      </c>
      <c r="M229" s="15"/>
      <c r="N229" s="3"/>
      <c r="O229" s="73"/>
      <c r="P229" s="3"/>
    </row>
    <row r="230" spans="2:16" x14ac:dyDescent="0.25">
      <c r="B230" s="82" t="s">
        <v>6</v>
      </c>
      <c r="C230" s="83">
        <v>20836.189535136225</v>
      </c>
      <c r="D230" s="84">
        <v>12709.055149886017</v>
      </c>
      <c r="E230" s="84">
        <v>12592.695935711299</v>
      </c>
      <c r="F230" s="84">
        <v>116.35921417471801</v>
      </c>
      <c r="G230" s="83">
        <v>9.0854543985789711</v>
      </c>
      <c r="H230" s="78">
        <v>25.568969407520573</v>
      </c>
      <c r="I230" s="78">
        <v>21.778950457619164</v>
      </c>
      <c r="J230" s="78">
        <v>3.843941814762962</v>
      </c>
      <c r="K230" s="84">
        <v>3.8</v>
      </c>
      <c r="L230" s="85">
        <f t="shared" si="98"/>
        <v>7.6439418147629619</v>
      </c>
      <c r="M230" s="15"/>
      <c r="O230" s="2"/>
    </row>
    <row r="231" spans="2:16" x14ac:dyDescent="0.25">
      <c r="B231" s="82" t="s">
        <v>7</v>
      </c>
      <c r="C231" s="83">
        <v>1339764.2833351614</v>
      </c>
      <c r="D231" s="84">
        <v>179268.67227891536</v>
      </c>
      <c r="E231" s="84">
        <v>148932.274304138</v>
      </c>
      <c r="F231" s="84">
        <v>29965.5849251578</v>
      </c>
      <c r="G231" s="83">
        <v>29.822025620101655</v>
      </c>
      <c r="H231" s="78">
        <v>338.1638706235197</v>
      </c>
      <c r="I231" s="78">
        <v>400.68179774902404</v>
      </c>
      <c r="J231" s="78">
        <v>0</v>
      </c>
      <c r="K231" s="84">
        <v>33.799999999999997</v>
      </c>
      <c r="L231" s="85">
        <f t="shared" si="98"/>
        <v>33.799999999999997</v>
      </c>
      <c r="M231" s="15"/>
      <c r="N231" s="64"/>
      <c r="O231" s="69"/>
    </row>
    <row r="232" spans="2:16" x14ac:dyDescent="0.25">
      <c r="B232" s="82" t="s">
        <v>8</v>
      </c>
      <c r="C232" s="83">
        <v>617141.72101696266</v>
      </c>
      <c r="D232" s="84">
        <v>8412.6065227973904</v>
      </c>
      <c r="E232" s="84">
        <v>7365.75573141738</v>
      </c>
      <c r="F232" s="84">
        <v>1046.8507913800099</v>
      </c>
      <c r="G232" s="83">
        <v>9.8043370354728054</v>
      </c>
      <c r="H232" s="78">
        <v>639.30171283634877</v>
      </c>
      <c r="I232" s="78">
        <v>758.67651151455357</v>
      </c>
      <c r="J232" s="78">
        <v>0</v>
      </c>
      <c r="K232" s="84">
        <v>23.5</v>
      </c>
      <c r="L232" s="85">
        <f t="shared" si="98"/>
        <v>23.5</v>
      </c>
      <c r="M232" s="15"/>
      <c r="N232" s="64"/>
      <c r="O232" s="69"/>
    </row>
    <row r="233" spans="2:16" x14ac:dyDescent="0.25">
      <c r="B233" s="82" t="s">
        <v>9</v>
      </c>
      <c r="C233" s="83">
        <v>119784.51078433092</v>
      </c>
      <c r="D233" s="84">
        <v>43226.930239887697</v>
      </c>
      <c r="E233" s="84">
        <v>42937.449618125</v>
      </c>
      <c r="F233" s="84">
        <v>289.48062176270099</v>
      </c>
      <c r="G233" s="83">
        <v>9.2101982254801253</v>
      </c>
      <c r="H233" s="78">
        <v>157.50468272422137</v>
      </c>
      <c r="I233" s="78">
        <v>122.25690376263047</v>
      </c>
      <c r="J233" s="78">
        <v>41.495772011888072</v>
      </c>
      <c r="K233" s="84">
        <v>0</v>
      </c>
      <c r="L233" s="85">
        <f t="shared" si="98"/>
        <v>41.495772011888072</v>
      </c>
      <c r="M233" s="15"/>
      <c r="N233" s="117"/>
      <c r="O233" s="2"/>
    </row>
    <row r="234" spans="2:16" ht="13.8" thickBot="1" x14ac:dyDescent="0.3">
      <c r="B234" s="86" t="s">
        <v>10</v>
      </c>
      <c r="C234" s="87">
        <v>237021.44592026682</v>
      </c>
      <c r="D234" s="87">
        <v>69411.089457609574</v>
      </c>
      <c r="E234" s="87">
        <v>67656.990471432495</v>
      </c>
      <c r="F234" s="87">
        <v>1753.8306754422299</v>
      </c>
      <c r="G234" s="87">
        <v>31.242577098288798</v>
      </c>
      <c r="H234" s="79">
        <v>320.97337292558882</v>
      </c>
      <c r="I234" s="79">
        <v>302.83700707899817</v>
      </c>
      <c r="J234" s="79">
        <v>23.810297901754669</v>
      </c>
      <c r="K234" s="87">
        <v>21.1</v>
      </c>
      <c r="L234" s="87">
        <f t="shared" si="98"/>
        <v>44.910297901754674</v>
      </c>
      <c r="M234" s="69"/>
      <c r="N234" s="69"/>
      <c r="O234" s="69"/>
      <c r="P234" s="69"/>
    </row>
    <row r="235" spans="2:16" ht="13.8" thickBot="1" x14ac:dyDescent="0.3">
      <c r="B235" s="86" t="s">
        <v>11</v>
      </c>
      <c r="C235" s="87">
        <f>SUM(C224:C234)</f>
        <v>3056914.4259173274</v>
      </c>
      <c r="D235" s="87">
        <f>SUM(D224:D234)</f>
        <v>547871.10953387525</v>
      </c>
      <c r="E235" s="87">
        <f>SUM(E224:E234)</f>
        <v>478897.60439582798</v>
      </c>
      <c r="F235" s="87">
        <f t="shared" ref="F235" si="99">SUM(F224:F234)</f>
        <v>67633.005221511354</v>
      </c>
      <c r="G235" s="87">
        <f>SUM(G224:G234)</f>
        <v>215.36861238507396</v>
      </c>
      <c r="H235" s="87">
        <f>SUM(H224:H234)</f>
        <v>2056.6107441114218</v>
      </c>
      <c r="I235" s="87">
        <f t="shared" ref="I235:L235" si="100">SUM(I224:I234)</f>
        <v>2156.0200470068412</v>
      </c>
      <c r="J235" s="87">
        <f t="shared" si="100"/>
        <v>151.33359928190043</v>
      </c>
      <c r="K235" s="87">
        <f t="shared" si="100"/>
        <v>138.69999999999999</v>
      </c>
      <c r="L235" s="87">
        <f t="shared" si="100"/>
        <v>290.03359928190042</v>
      </c>
      <c r="M235" s="69"/>
      <c r="N235" s="69"/>
      <c r="O235" s="69"/>
      <c r="P235" s="5"/>
    </row>
    <row r="236" spans="2:16" x14ac:dyDescent="0.25">
      <c r="B236" s="65"/>
      <c r="C236" s="69"/>
      <c r="D236" s="65"/>
      <c r="E236" s="69"/>
      <c r="F236" s="69"/>
      <c r="G236" s="69"/>
      <c r="H236" s="69"/>
      <c r="I236" s="69"/>
      <c r="J236" s="69"/>
      <c r="K236" s="69"/>
      <c r="L236" s="69"/>
      <c r="M236" s="69"/>
      <c r="N236" s="69"/>
      <c r="O236" s="69"/>
      <c r="P236" s="5"/>
    </row>
    <row r="237" spans="2:16" ht="13.8" thickBot="1" x14ac:dyDescent="0.3">
      <c r="B237" s="23"/>
      <c r="C237" s="23"/>
      <c r="D237" s="23"/>
      <c r="E237" s="23"/>
      <c r="F237" s="23"/>
      <c r="G237" s="23"/>
      <c r="H237" s="23"/>
      <c r="I237" s="23"/>
      <c r="J237" s="4"/>
      <c r="K237" s="4"/>
      <c r="L237" s="4"/>
      <c r="M237" s="5"/>
      <c r="N237" s="5"/>
      <c r="O237" s="5"/>
      <c r="P237" s="5"/>
    </row>
    <row r="238" spans="2:16" ht="13.8" thickBot="1" x14ac:dyDescent="0.3">
      <c r="B238" s="248" t="s">
        <v>75</v>
      </c>
      <c r="C238" s="248"/>
      <c r="D238" s="248"/>
      <c r="E238" s="248"/>
      <c r="F238" s="248"/>
      <c r="G238" s="248"/>
      <c r="H238" s="248"/>
      <c r="I238" s="248"/>
      <c r="J238" s="47"/>
      <c r="K238" s="248" t="s">
        <v>60</v>
      </c>
      <c r="L238" s="248"/>
      <c r="M238" s="248"/>
      <c r="N238" s="248"/>
      <c r="O238" s="248"/>
      <c r="P238" s="248"/>
    </row>
    <row r="239" spans="2:16" ht="40.200000000000003" thickBot="1" x14ac:dyDescent="0.3">
      <c r="B239" s="81" t="s">
        <v>52</v>
      </c>
      <c r="C239" s="81" t="s">
        <v>275</v>
      </c>
      <c r="D239" s="81" t="s">
        <v>276</v>
      </c>
      <c r="E239" s="81" t="s">
        <v>277</v>
      </c>
      <c r="F239" s="81" t="s">
        <v>61</v>
      </c>
      <c r="G239" s="81" t="s">
        <v>62</v>
      </c>
      <c r="H239" s="81" t="s">
        <v>64</v>
      </c>
      <c r="I239" s="81" t="s">
        <v>63</v>
      </c>
      <c r="J239" s="105"/>
      <c r="K239" s="104" t="s">
        <v>52</v>
      </c>
      <c r="L239" s="104" t="s">
        <v>278</v>
      </c>
      <c r="M239" s="104" t="s">
        <v>65</v>
      </c>
      <c r="N239" s="104" t="s">
        <v>66</v>
      </c>
      <c r="O239" s="104" t="s">
        <v>67</v>
      </c>
      <c r="P239" s="104" t="s">
        <v>68</v>
      </c>
    </row>
    <row r="240" spans="2:16" x14ac:dyDescent="0.25">
      <c r="B240" s="82" t="s">
        <v>1</v>
      </c>
      <c r="C240" s="85">
        <f t="shared" ref="C240:E250" si="101">D224*$P$10</f>
        <v>74.982226388555233</v>
      </c>
      <c r="D240" s="88">
        <f t="shared" si="101"/>
        <v>74.808958351792896</v>
      </c>
      <c r="E240" s="88">
        <f t="shared" si="101"/>
        <v>0.17326803676232597</v>
      </c>
      <c r="F240" s="85">
        <f t="shared" ref="F240:F250" si="102">D240-H224</f>
        <v>58.689390094152202</v>
      </c>
      <c r="G240" s="85">
        <f t="shared" ref="G240:G250" si="103">E240-H224</f>
        <v>-15.946300220878371</v>
      </c>
      <c r="H240" s="85">
        <f>E240-J224</f>
        <v>-1.0927063889152526</v>
      </c>
      <c r="I240" s="85">
        <f>E240-L224</f>
        <v>-1.0927063889152526</v>
      </c>
      <c r="K240" s="82" t="s">
        <v>1</v>
      </c>
      <c r="L240" s="88">
        <f t="shared" ref="L240:L250" si="104">G224*$P$6</f>
        <v>8.6565501573800871E-2</v>
      </c>
      <c r="M240" s="91">
        <f t="shared" ref="M240:M250" si="105">L240-H224</f>
        <v>-16.033002756066896</v>
      </c>
      <c r="N240" s="91">
        <f t="shared" ref="N240:N250" si="106">L240-I224</f>
        <v>-14.793140162370829</v>
      </c>
      <c r="O240" s="91">
        <f t="shared" ref="O240:O250" si="107">L240-J224</f>
        <v>-1.1794089241037777</v>
      </c>
      <c r="P240" s="91">
        <f t="shared" ref="P240:P250" si="108">L240-L224</f>
        <v>-1.1794089241037777</v>
      </c>
    </row>
    <row r="241" spans="2:16" x14ac:dyDescent="0.25">
      <c r="B241" s="82" t="s">
        <v>195</v>
      </c>
      <c r="C241" s="85">
        <f t="shared" si="101"/>
        <v>45.490211045835579</v>
      </c>
      <c r="D241" s="88">
        <f t="shared" si="101"/>
        <v>40.958505435363101</v>
      </c>
      <c r="E241" s="88">
        <f t="shared" si="101"/>
        <v>4.53170561047249</v>
      </c>
      <c r="F241" s="85">
        <f t="shared" si="102"/>
        <v>14.704691683539824</v>
      </c>
      <c r="G241" s="85">
        <f t="shared" si="103"/>
        <v>-21.722108141350787</v>
      </c>
      <c r="H241" s="85">
        <f t="shared" ref="H241:H250" si="109">E241-J225</f>
        <v>4.53170561047249</v>
      </c>
      <c r="I241" s="85">
        <f t="shared" ref="I241:I250" si="110">E241-L225</f>
        <v>4.53170561047249</v>
      </c>
      <c r="K241" s="82" t="s">
        <v>195</v>
      </c>
      <c r="L241" s="88">
        <f t="shared" si="104"/>
        <v>5.4042971101760276E-2</v>
      </c>
      <c r="M241" s="91">
        <f t="shared" si="105"/>
        <v>-26.199770780721515</v>
      </c>
      <c r="N241" s="91">
        <f t="shared" si="106"/>
        <v>-26.433220353043655</v>
      </c>
      <c r="O241" s="91">
        <f t="shared" si="107"/>
        <v>5.4042971101760276E-2</v>
      </c>
      <c r="P241" s="91">
        <f t="shared" si="108"/>
        <v>5.4042971101760276E-2</v>
      </c>
    </row>
    <row r="242" spans="2:16" x14ac:dyDescent="0.25">
      <c r="B242" s="82" t="s">
        <v>2</v>
      </c>
      <c r="C242" s="85">
        <f t="shared" si="101"/>
        <v>337.38127951375731</v>
      </c>
      <c r="D242" s="88">
        <f t="shared" si="101"/>
        <v>0.36227546316165699</v>
      </c>
      <c r="E242" s="88">
        <f t="shared" si="101"/>
        <v>327.32968091907202</v>
      </c>
      <c r="F242" s="85">
        <f t="shared" si="102"/>
        <v>-2.1560363781607412</v>
      </c>
      <c r="G242" s="85">
        <f t="shared" si="103"/>
        <v>324.81136907774965</v>
      </c>
      <c r="H242" s="85">
        <f t="shared" si="109"/>
        <v>327.32968091907202</v>
      </c>
      <c r="I242" s="85">
        <f t="shared" si="110"/>
        <v>270.82968091907202</v>
      </c>
      <c r="K242" s="82" t="s">
        <v>2</v>
      </c>
      <c r="L242" s="88">
        <f t="shared" si="104"/>
        <v>1.3063901954918868</v>
      </c>
      <c r="M242" s="91">
        <f t="shared" si="105"/>
        <v>-1.2119216458305113</v>
      </c>
      <c r="N242" s="91">
        <f t="shared" si="106"/>
        <v>-56.100125682053587</v>
      </c>
      <c r="O242" s="91">
        <f t="shared" si="107"/>
        <v>1.3063901954918868</v>
      </c>
      <c r="P242" s="91">
        <f t="shared" si="108"/>
        <v>-55.193609804508114</v>
      </c>
    </row>
    <row r="243" spans="2:16" x14ac:dyDescent="0.25">
      <c r="B243" s="82" t="s">
        <v>3</v>
      </c>
      <c r="C243" s="85">
        <f t="shared" si="101"/>
        <v>47.395256339269949</v>
      </c>
      <c r="D243" s="88">
        <f t="shared" si="101"/>
        <v>45.718337917332704</v>
      </c>
      <c r="E243" s="88">
        <f t="shared" si="101"/>
        <v>1.67668286756954</v>
      </c>
      <c r="F243" s="85">
        <f t="shared" si="102"/>
        <v>33.506770407295775</v>
      </c>
      <c r="G243" s="85">
        <f t="shared" si="103"/>
        <v>-10.534884642467386</v>
      </c>
      <c r="H243" s="85">
        <f t="shared" si="109"/>
        <v>1.67668286756954</v>
      </c>
      <c r="I243" s="85">
        <f t="shared" si="110"/>
        <v>1.67668286756954</v>
      </c>
      <c r="K243" s="82" t="s">
        <v>3</v>
      </c>
      <c r="L243" s="88">
        <f t="shared" si="104"/>
        <v>2.1041244627471423E-2</v>
      </c>
      <c r="M243" s="91">
        <f t="shared" si="105"/>
        <v>-12.190526265409455</v>
      </c>
      <c r="N243" s="91">
        <f t="shared" si="106"/>
        <v>-12.409342673593562</v>
      </c>
      <c r="O243" s="91">
        <f t="shared" si="107"/>
        <v>2.1041244627471423E-2</v>
      </c>
      <c r="P243" s="91">
        <f t="shared" si="108"/>
        <v>2.1041244627471423E-2</v>
      </c>
    </row>
    <row r="244" spans="2:16" x14ac:dyDescent="0.25">
      <c r="B244" s="82" t="s">
        <v>4</v>
      </c>
      <c r="C244" s="85">
        <f t="shared" si="101"/>
        <v>1497.7472401466093</v>
      </c>
      <c r="D244" s="88">
        <f t="shared" si="101"/>
        <v>1488.4587450464899</v>
      </c>
      <c r="E244" s="88">
        <f t="shared" si="101"/>
        <v>9.2838682241953308</v>
      </c>
      <c r="F244" s="85">
        <f t="shared" si="102"/>
        <v>1047.4530990601338</v>
      </c>
      <c r="G244" s="85">
        <f t="shared" si="103"/>
        <v>-431.7217777621608</v>
      </c>
      <c r="H244" s="85">
        <f t="shared" si="109"/>
        <v>-54.809707063497683</v>
      </c>
      <c r="I244" s="85">
        <f t="shared" si="110"/>
        <v>-54.809707063497683</v>
      </c>
      <c r="K244" s="82" t="s">
        <v>4</v>
      </c>
      <c r="L244" s="88">
        <f t="shared" si="104"/>
        <v>0.56856577888174964</v>
      </c>
      <c r="M244" s="91">
        <f t="shared" si="105"/>
        <v>-440.43708020747437</v>
      </c>
      <c r="N244" s="91">
        <f t="shared" si="106"/>
        <v>-376.9281343664826</v>
      </c>
      <c r="O244" s="91">
        <f t="shared" si="107"/>
        <v>-63.525009508811266</v>
      </c>
      <c r="P244" s="91">
        <f t="shared" si="108"/>
        <v>-63.525009508811266</v>
      </c>
    </row>
    <row r="245" spans="2:16" x14ac:dyDescent="0.25">
      <c r="B245" s="82" t="s">
        <v>5</v>
      </c>
      <c r="C245" s="85">
        <f t="shared" si="101"/>
        <v>345.43134541376514</v>
      </c>
      <c r="D245" s="88">
        <f t="shared" si="101"/>
        <v>343.81756113589802</v>
      </c>
      <c r="E245" s="88">
        <f t="shared" si="101"/>
        <v>1.61378427786718</v>
      </c>
      <c r="F245" s="85">
        <f t="shared" si="102"/>
        <v>266.82833288885479</v>
      </c>
      <c r="G245" s="85">
        <f t="shared" si="103"/>
        <v>-75.375443969176033</v>
      </c>
      <c r="H245" s="85">
        <f t="shared" si="109"/>
        <v>-15.210253562256964</v>
      </c>
      <c r="I245" s="85">
        <f t="shared" si="110"/>
        <v>-15.210253562256964</v>
      </c>
      <c r="K245" s="82" t="s">
        <v>5</v>
      </c>
      <c r="L245" s="88">
        <f t="shared" si="104"/>
        <v>0.29816867845563566</v>
      </c>
      <c r="M245" s="91">
        <f t="shared" si="105"/>
        <v>-76.691059568587576</v>
      </c>
      <c r="N245" s="91">
        <f t="shared" si="106"/>
        <v>-60.790138836339175</v>
      </c>
      <c r="O245" s="91">
        <f t="shared" si="107"/>
        <v>-16.52586916166851</v>
      </c>
      <c r="P245" s="91">
        <f t="shared" si="108"/>
        <v>-16.52586916166851</v>
      </c>
    </row>
    <row r="246" spans="2:16" x14ac:dyDescent="0.25">
      <c r="B246" s="82" t="s">
        <v>6</v>
      </c>
      <c r="C246" s="85">
        <f t="shared" si="101"/>
        <v>127.09055149886017</v>
      </c>
      <c r="D246" s="88">
        <f t="shared" si="101"/>
        <v>125.92695935711299</v>
      </c>
      <c r="E246" s="88">
        <f t="shared" si="101"/>
        <v>1.1635921417471802</v>
      </c>
      <c r="F246" s="85">
        <f t="shared" si="102"/>
        <v>100.35798994959242</v>
      </c>
      <c r="G246" s="85">
        <f t="shared" si="103"/>
        <v>-24.405377265773392</v>
      </c>
      <c r="H246" s="85">
        <f t="shared" si="109"/>
        <v>-2.6803496730157819</v>
      </c>
      <c r="I246" s="85">
        <f t="shared" si="110"/>
        <v>-6.4803496730157821</v>
      </c>
      <c r="K246" s="82" t="s">
        <v>6</v>
      </c>
      <c r="L246" s="88">
        <f t="shared" si="104"/>
        <v>0.16808090637371095</v>
      </c>
      <c r="M246" s="91">
        <f t="shared" si="105"/>
        <v>-25.400888501146863</v>
      </c>
      <c r="N246" s="91">
        <f t="shared" si="106"/>
        <v>-21.610869551245454</v>
      </c>
      <c r="O246" s="91">
        <f t="shared" si="107"/>
        <v>-3.6758609083892511</v>
      </c>
      <c r="P246" s="91">
        <f t="shared" si="108"/>
        <v>-7.4758609083892509</v>
      </c>
    </row>
    <row r="247" spans="2:16" x14ac:dyDescent="0.25">
      <c r="B247" s="82" t="s">
        <v>7</v>
      </c>
      <c r="C247" s="85">
        <f t="shared" si="101"/>
        <v>1792.6867227891537</v>
      </c>
      <c r="D247" s="88">
        <f t="shared" si="101"/>
        <v>1489.3227430413801</v>
      </c>
      <c r="E247" s="88">
        <f t="shared" si="101"/>
        <v>299.65584925157799</v>
      </c>
      <c r="F247" s="85">
        <f t="shared" si="102"/>
        <v>1151.1588724178605</v>
      </c>
      <c r="G247" s="85">
        <f t="shared" si="103"/>
        <v>-38.508021371941709</v>
      </c>
      <c r="H247" s="85">
        <f t="shared" si="109"/>
        <v>299.65584925157799</v>
      </c>
      <c r="I247" s="85">
        <f t="shared" si="110"/>
        <v>265.85584925157798</v>
      </c>
      <c r="K247" s="82" t="s">
        <v>7</v>
      </c>
      <c r="L247" s="88">
        <f t="shared" si="104"/>
        <v>0.55170747397188058</v>
      </c>
      <c r="M247" s="91">
        <f t="shared" si="105"/>
        <v>-337.61216314954783</v>
      </c>
      <c r="N247" s="91">
        <f t="shared" si="106"/>
        <v>-400.13009027505217</v>
      </c>
      <c r="O247" s="91">
        <f t="shared" si="107"/>
        <v>0.55170747397188058</v>
      </c>
      <c r="P247" s="91">
        <f t="shared" si="108"/>
        <v>-33.248292526028116</v>
      </c>
    </row>
    <row r="248" spans="2:16" x14ac:dyDescent="0.25">
      <c r="B248" s="82" t="s">
        <v>8</v>
      </c>
      <c r="C248" s="85">
        <f t="shared" si="101"/>
        <v>84.126065227973911</v>
      </c>
      <c r="D248" s="88">
        <f t="shared" si="101"/>
        <v>73.6575573141738</v>
      </c>
      <c r="E248" s="88">
        <f t="shared" si="101"/>
        <v>10.468507913800099</v>
      </c>
      <c r="F248" s="85">
        <f t="shared" si="102"/>
        <v>-565.64415552217497</v>
      </c>
      <c r="G248" s="85">
        <f t="shared" si="103"/>
        <v>-628.8332049225487</v>
      </c>
      <c r="H248" s="85">
        <f t="shared" si="109"/>
        <v>10.468507913800099</v>
      </c>
      <c r="I248" s="85">
        <f t="shared" si="110"/>
        <v>-13.031492086199901</v>
      </c>
      <c r="K248" s="82" t="s">
        <v>8</v>
      </c>
      <c r="L248" s="88">
        <f t="shared" si="104"/>
        <v>0.18138023515624691</v>
      </c>
      <c r="M248" s="91">
        <f t="shared" si="105"/>
        <v>-639.12033260119256</v>
      </c>
      <c r="N248" s="91">
        <f t="shared" si="106"/>
        <v>-758.49513127939736</v>
      </c>
      <c r="O248" s="91">
        <f t="shared" si="107"/>
        <v>0.18138023515624691</v>
      </c>
      <c r="P248" s="91">
        <f t="shared" si="108"/>
        <v>-23.318619764843753</v>
      </c>
    </row>
    <row r="249" spans="2:16" x14ac:dyDescent="0.25">
      <c r="B249" s="82" t="s">
        <v>9</v>
      </c>
      <c r="C249" s="85">
        <f t="shared" si="101"/>
        <v>432.26930239887696</v>
      </c>
      <c r="D249" s="88">
        <f t="shared" si="101"/>
        <v>429.37449618124998</v>
      </c>
      <c r="E249" s="88">
        <f t="shared" si="101"/>
        <v>2.8948062176270102</v>
      </c>
      <c r="F249" s="85">
        <f t="shared" si="102"/>
        <v>271.86981345702861</v>
      </c>
      <c r="G249" s="85">
        <f t="shared" si="103"/>
        <v>-154.60987650659436</v>
      </c>
      <c r="H249" s="85">
        <f t="shared" si="109"/>
        <v>-38.600965794261064</v>
      </c>
      <c r="I249" s="85">
        <f t="shared" si="110"/>
        <v>-38.600965794261064</v>
      </c>
      <c r="K249" s="82" t="s">
        <v>9</v>
      </c>
      <c r="L249" s="88">
        <f t="shared" si="104"/>
        <v>0.17038866717138232</v>
      </c>
      <c r="M249" s="91">
        <f t="shared" si="105"/>
        <v>-157.33429405704999</v>
      </c>
      <c r="N249" s="91">
        <f t="shared" si="106"/>
        <v>-122.08651509545909</v>
      </c>
      <c r="O249" s="91">
        <f t="shared" si="107"/>
        <v>-41.325383344716691</v>
      </c>
      <c r="P249" s="91">
        <f t="shared" si="108"/>
        <v>-41.325383344716691</v>
      </c>
    </row>
    <row r="250" spans="2:16" ht="13.8" thickBot="1" x14ac:dyDescent="0.3">
      <c r="B250" s="86" t="s">
        <v>10</v>
      </c>
      <c r="C250" s="89">
        <f t="shared" si="101"/>
        <v>694.1108945760958</v>
      </c>
      <c r="D250" s="90">
        <f t="shared" si="101"/>
        <v>676.56990471432493</v>
      </c>
      <c r="E250" s="90">
        <f t="shared" si="101"/>
        <v>17.538306754422301</v>
      </c>
      <c r="F250" s="89">
        <f t="shared" si="102"/>
        <v>355.59653178873612</v>
      </c>
      <c r="G250" s="89">
        <f t="shared" si="103"/>
        <v>-303.43506617116651</v>
      </c>
      <c r="H250" s="89">
        <f t="shared" si="109"/>
        <v>-6.2719911473323684</v>
      </c>
      <c r="I250" s="89">
        <f t="shared" si="110"/>
        <v>-27.371991147332373</v>
      </c>
      <c r="K250" s="86" t="s">
        <v>10</v>
      </c>
      <c r="L250" s="90">
        <f t="shared" si="104"/>
        <v>0.57798767631834269</v>
      </c>
      <c r="M250" s="92">
        <f t="shared" si="105"/>
        <v>-320.39538524927048</v>
      </c>
      <c r="N250" s="92">
        <f t="shared" si="106"/>
        <v>-302.25901940267983</v>
      </c>
      <c r="O250" s="92">
        <f t="shared" si="107"/>
        <v>-23.232310225436326</v>
      </c>
      <c r="P250" s="92">
        <f t="shared" si="108"/>
        <v>-44.332310225436331</v>
      </c>
    </row>
    <row r="252" spans="2:16" ht="13.8" thickBot="1" x14ac:dyDescent="0.3"/>
    <row r="253" spans="2:16" ht="13.8" thickBot="1" x14ac:dyDescent="0.3">
      <c r="B253" s="245" t="s">
        <v>194</v>
      </c>
      <c r="C253" s="245"/>
      <c r="D253" s="245"/>
      <c r="E253" s="245"/>
      <c r="F253" s="245"/>
      <c r="G253" s="245"/>
      <c r="H253" s="245"/>
      <c r="I253" s="245"/>
      <c r="J253" s="245"/>
      <c r="K253" s="245"/>
      <c r="L253" s="245"/>
      <c r="M253" s="5"/>
      <c r="N253" s="65"/>
      <c r="O253" s="65"/>
      <c r="P253" s="65"/>
    </row>
    <row r="254" spans="2:16" ht="40.200000000000003" thickBot="1" x14ac:dyDescent="0.3">
      <c r="B254" s="81" t="s">
        <v>52</v>
      </c>
      <c r="C254" s="81" t="s">
        <v>51</v>
      </c>
      <c r="D254" s="81" t="s">
        <v>74</v>
      </c>
      <c r="E254" s="81" t="s">
        <v>54</v>
      </c>
      <c r="F254" s="81" t="s">
        <v>55</v>
      </c>
      <c r="G254" s="81" t="s">
        <v>187</v>
      </c>
      <c r="H254" s="80" t="s">
        <v>270</v>
      </c>
      <c r="I254" s="80" t="s">
        <v>271</v>
      </c>
      <c r="J254" s="80" t="s">
        <v>272</v>
      </c>
      <c r="K254" s="81" t="s">
        <v>273</v>
      </c>
      <c r="L254" s="81" t="s">
        <v>274</v>
      </c>
      <c r="M254" s="68"/>
      <c r="O254" s="3"/>
    </row>
    <row r="255" spans="2:16" x14ac:dyDescent="0.25">
      <c r="B255" s="82" t="s">
        <v>1</v>
      </c>
      <c r="C255" s="83">
        <v>13199.085501550475</v>
      </c>
      <c r="D255" s="84">
        <v>7498.2226388555227</v>
      </c>
      <c r="E255" s="84">
        <v>7480.8958351792899</v>
      </c>
      <c r="F255" s="84">
        <v>17.326803676232597</v>
      </c>
      <c r="G255" s="83">
        <v>4.5376418747929925</v>
      </c>
      <c r="H255" s="78">
        <v>15.520950911310514</v>
      </c>
      <c r="I255" s="78">
        <v>14.311543976463907</v>
      </c>
      <c r="J255" s="78">
        <v>1.2332552620142447</v>
      </c>
      <c r="K255" s="84">
        <v>0</v>
      </c>
      <c r="L255" s="85">
        <f t="shared" ref="L255:L265" si="111">K255+J255</f>
        <v>1.2332552620142447</v>
      </c>
      <c r="M255" s="15"/>
      <c r="N255" s="3"/>
      <c r="O255" s="3"/>
      <c r="P255" s="3"/>
    </row>
    <row r="256" spans="2:16" x14ac:dyDescent="0.25">
      <c r="B256" s="82" t="s">
        <v>195</v>
      </c>
      <c r="C256" s="83">
        <v>20450.034940117202</v>
      </c>
      <c r="D256" s="84">
        <v>4549.0211045835576</v>
      </c>
      <c r="E256" s="84">
        <v>4095.8505435363099</v>
      </c>
      <c r="F256" s="84">
        <v>453.17056104724901</v>
      </c>
      <c r="G256" s="83">
        <v>2.8309348591687482</v>
      </c>
      <c r="H256" s="78">
        <v>29.013266537802092</v>
      </c>
      <c r="I256" s="78">
        <v>26.829847298910604</v>
      </c>
      <c r="J256" s="78">
        <v>2.4187231998381997</v>
      </c>
      <c r="K256" s="84">
        <v>0</v>
      </c>
      <c r="L256" s="85">
        <f t="shared" si="111"/>
        <v>2.4187231998381997</v>
      </c>
      <c r="M256" s="15"/>
      <c r="N256" s="3"/>
      <c r="O256" s="72"/>
      <c r="P256" s="3"/>
    </row>
    <row r="257" spans="2:16" x14ac:dyDescent="0.25">
      <c r="B257" s="82" t="s">
        <v>2</v>
      </c>
      <c r="C257" s="83">
        <v>251430.37783690859</v>
      </c>
      <c r="D257" s="84">
        <v>33738.127951375733</v>
      </c>
      <c r="E257" s="84">
        <v>36.2275463161657</v>
      </c>
      <c r="F257" s="84">
        <v>32732.968091907202</v>
      </c>
      <c r="G257" s="83">
        <v>69.271813069261029</v>
      </c>
      <c r="H257" s="78">
        <v>2.0694062512288069</v>
      </c>
      <c r="I257" s="78">
        <v>62.298247354744262</v>
      </c>
      <c r="J257" s="78">
        <v>0</v>
      </c>
      <c r="K257" s="84">
        <v>56.5</v>
      </c>
      <c r="L257" s="85">
        <f t="shared" si="111"/>
        <v>56.5</v>
      </c>
      <c r="M257" s="15"/>
      <c r="N257" s="3"/>
      <c r="O257" s="72"/>
      <c r="P257" s="3"/>
    </row>
    <row r="258" spans="2:16" x14ac:dyDescent="0.25">
      <c r="B258" s="82" t="s">
        <v>3</v>
      </c>
      <c r="C258" s="83">
        <v>24496.645034227455</v>
      </c>
      <c r="D258" s="84">
        <v>4739.5256339269945</v>
      </c>
      <c r="E258" s="84">
        <v>4571.8337917332701</v>
      </c>
      <c r="F258" s="84">
        <v>167.66828675695399</v>
      </c>
      <c r="G258" s="83">
        <v>1.1215507094546049</v>
      </c>
      <c r="H258" s="78">
        <v>14.968035031675058</v>
      </c>
      <c r="I258" s="78">
        <v>11.508286871268448</v>
      </c>
      <c r="J258" s="78">
        <v>3.502514612375089</v>
      </c>
      <c r="K258" s="84">
        <v>0</v>
      </c>
      <c r="L258" s="85">
        <f t="shared" si="111"/>
        <v>3.502514612375089</v>
      </c>
      <c r="M258" s="15"/>
      <c r="O258" s="17"/>
      <c r="P258" s="3"/>
    </row>
    <row r="259" spans="2:16" x14ac:dyDescent="0.25">
      <c r="B259" s="82" t="s">
        <v>4</v>
      </c>
      <c r="C259" s="83">
        <v>363314.38569269452</v>
      </c>
      <c r="D259" s="84">
        <v>149774.72401466093</v>
      </c>
      <c r="E259" s="84">
        <v>148845.87450464899</v>
      </c>
      <c r="F259" s="84">
        <v>928.38682241953302</v>
      </c>
      <c r="G259" s="83">
        <v>29.910739995094342</v>
      </c>
      <c r="H259" s="78">
        <v>445.72650305262221</v>
      </c>
      <c r="I259" s="78">
        <v>342.27085552911922</v>
      </c>
      <c r="J259" s="78">
        <v>103.97256102695296</v>
      </c>
      <c r="K259" s="84">
        <v>0</v>
      </c>
      <c r="L259" s="85">
        <f t="shared" si="111"/>
        <v>103.97256102695296</v>
      </c>
      <c r="M259" s="15"/>
      <c r="N259" s="3"/>
      <c r="O259" s="2"/>
      <c r="P259" s="3"/>
    </row>
    <row r="260" spans="2:16" x14ac:dyDescent="0.25">
      <c r="B260" s="82" t="s">
        <v>5</v>
      </c>
      <c r="C260" s="83">
        <v>49475.746319971244</v>
      </c>
      <c r="D260" s="84">
        <v>34543.134541376516</v>
      </c>
      <c r="E260" s="84">
        <v>34381.756113589799</v>
      </c>
      <c r="F260" s="84">
        <v>161.37842778671799</v>
      </c>
      <c r="G260" s="83">
        <v>15.757944722787245</v>
      </c>
      <c r="H260" s="78">
        <v>78.591924466995167</v>
      </c>
      <c r="I260" s="78">
        <v>61.971112889067193</v>
      </c>
      <c r="J260" s="78">
        <v>17.520230893648204</v>
      </c>
      <c r="K260" s="84">
        <v>0</v>
      </c>
      <c r="L260" s="85">
        <f t="shared" si="111"/>
        <v>17.520230893648204</v>
      </c>
      <c r="M260" s="15"/>
      <c r="N260" s="3"/>
      <c r="O260" s="73"/>
      <c r="P260" s="3"/>
    </row>
    <row r="261" spans="2:16" x14ac:dyDescent="0.25">
      <c r="B261" s="82" t="s">
        <v>6</v>
      </c>
      <c r="C261" s="83">
        <v>20836.189535136225</v>
      </c>
      <c r="D261" s="84">
        <v>12709.055149886017</v>
      </c>
      <c r="E261" s="84">
        <v>12592.695935711299</v>
      </c>
      <c r="F261" s="84">
        <v>116.35921417471801</v>
      </c>
      <c r="G261" s="83">
        <v>8.8569452121066199</v>
      </c>
      <c r="H261" s="78">
        <v>24.882879792724239</v>
      </c>
      <c r="I261" s="78">
        <v>21.369975555093788</v>
      </c>
      <c r="J261" s="78">
        <v>3.5584735717562475</v>
      </c>
      <c r="K261" s="84">
        <v>3.8</v>
      </c>
      <c r="L261" s="85">
        <f t="shared" si="111"/>
        <v>7.3584735717562477</v>
      </c>
      <c r="M261" s="15"/>
      <c r="O261" s="2"/>
    </row>
    <row r="262" spans="2:16" x14ac:dyDescent="0.25">
      <c r="B262" s="82" t="s">
        <v>7</v>
      </c>
      <c r="C262" s="83">
        <v>1339764.2833351614</v>
      </c>
      <c r="D262" s="84">
        <v>179268.67227891536</v>
      </c>
      <c r="E262" s="84">
        <v>148932.274304138</v>
      </c>
      <c r="F262" s="84">
        <v>29965.5849251578</v>
      </c>
      <c r="G262" s="83">
        <v>29.117384905391187</v>
      </c>
      <c r="H262" s="78">
        <v>373.05433487641909</v>
      </c>
      <c r="I262" s="78">
        <v>430.80565735119228</v>
      </c>
      <c r="J262" s="78">
        <v>0</v>
      </c>
      <c r="K262" s="84">
        <v>33.799999999999997</v>
      </c>
      <c r="L262" s="85">
        <f t="shared" si="111"/>
        <v>33.799999999999997</v>
      </c>
      <c r="M262" s="15"/>
      <c r="N262" s="64"/>
      <c r="O262" s="69"/>
    </row>
    <row r="263" spans="2:16" x14ac:dyDescent="0.25">
      <c r="B263" s="82" t="s">
        <v>8</v>
      </c>
      <c r="C263" s="83">
        <v>617141.72101696266</v>
      </c>
      <c r="D263" s="84">
        <v>8412.6065227973904</v>
      </c>
      <c r="E263" s="84">
        <v>7365.75573141738</v>
      </c>
      <c r="F263" s="84">
        <v>1046.8507913800099</v>
      </c>
      <c r="G263" s="83">
        <v>9.6890374893495448</v>
      </c>
      <c r="H263" s="78">
        <v>635.49364444008404</v>
      </c>
      <c r="I263" s="78">
        <v>729.52570392512223</v>
      </c>
      <c r="J263" s="78">
        <v>0</v>
      </c>
      <c r="K263" s="84">
        <v>23.5</v>
      </c>
      <c r="L263" s="85">
        <f t="shared" si="111"/>
        <v>23.5</v>
      </c>
      <c r="M263" s="15"/>
      <c r="N263" s="64"/>
      <c r="O263" s="69"/>
    </row>
    <row r="264" spans="2:16" x14ac:dyDescent="0.25">
      <c r="B264" s="82" t="s">
        <v>9</v>
      </c>
      <c r="C264" s="83">
        <v>119784.51078433092</v>
      </c>
      <c r="D264" s="84">
        <v>43226.930239887697</v>
      </c>
      <c r="E264" s="84">
        <v>42937.449618125</v>
      </c>
      <c r="F264" s="84">
        <v>289.48062176270099</v>
      </c>
      <c r="G264" s="83">
        <v>8.9436766609828364</v>
      </c>
      <c r="H264" s="78">
        <v>139.00252479965184</v>
      </c>
      <c r="I264" s="78">
        <v>126.36290461320199</v>
      </c>
      <c r="J264" s="78">
        <v>23.742632694444477</v>
      </c>
      <c r="K264" s="84">
        <v>0</v>
      </c>
      <c r="L264" s="85">
        <f t="shared" si="111"/>
        <v>23.742632694444477</v>
      </c>
      <c r="M264" s="15"/>
      <c r="N264" s="117"/>
      <c r="O264" s="2"/>
    </row>
    <row r="265" spans="2:16" ht="13.8" thickBot="1" x14ac:dyDescent="0.3">
      <c r="B265" s="86" t="s">
        <v>10</v>
      </c>
      <c r="C265" s="87">
        <v>237021.44592026682</v>
      </c>
      <c r="D265" s="87">
        <v>69411.089457609574</v>
      </c>
      <c r="E265" s="87">
        <v>67656.990471432495</v>
      </c>
      <c r="F265" s="87">
        <v>1753.8306754422299</v>
      </c>
      <c r="G265" s="87">
        <v>30.238653792381729</v>
      </c>
      <c r="H265" s="79">
        <v>307.55202051543557</v>
      </c>
      <c r="I265" s="79">
        <v>317.78499103639581</v>
      </c>
      <c r="J265" s="79">
        <v>0</v>
      </c>
      <c r="K265" s="87">
        <v>21.1</v>
      </c>
      <c r="L265" s="87">
        <f t="shared" si="111"/>
        <v>21.1</v>
      </c>
      <c r="M265" s="69"/>
      <c r="N265" s="69"/>
      <c r="O265" s="69"/>
      <c r="P265" s="69"/>
    </row>
    <row r="266" spans="2:16" ht="13.8" thickBot="1" x14ac:dyDescent="0.3">
      <c r="B266" s="86" t="s">
        <v>11</v>
      </c>
      <c r="C266" s="87">
        <f>SUM(C255:C265)</f>
        <v>3056914.4259173274</v>
      </c>
      <c r="D266" s="87">
        <f>SUM(D255:D265)</f>
        <v>547871.10953387525</v>
      </c>
      <c r="E266" s="87">
        <f>SUM(E255:E265)</f>
        <v>478897.60439582798</v>
      </c>
      <c r="F266" s="87">
        <f t="shared" ref="F266" si="112">SUM(F255:F265)</f>
        <v>67633.005221511354</v>
      </c>
      <c r="G266" s="87">
        <f>SUM(G255:G265)</f>
        <v>210.2763232907709</v>
      </c>
      <c r="H266" s="87">
        <f>SUM(H255:H265)</f>
        <v>2065.8754906759486</v>
      </c>
      <c r="I266" s="87">
        <f t="shared" ref="I266:L266" si="113">SUM(I255:I265)</f>
        <v>2145.0391264005798</v>
      </c>
      <c r="J266" s="87">
        <f t="shared" si="113"/>
        <v>155.9483912610294</v>
      </c>
      <c r="K266" s="87">
        <f t="shared" si="113"/>
        <v>138.69999999999999</v>
      </c>
      <c r="L266" s="87">
        <f t="shared" si="113"/>
        <v>294.64839126102942</v>
      </c>
      <c r="M266" s="69"/>
      <c r="N266" s="69"/>
      <c r="O266" s="69"/>
      <c r="P266" s="5"/>
    </row>
    <row r="267" spans="2:16" x14ac:dyDescent="0.25">
      <c r="B267" s="65"/>
      <c r="C267" s="69"/>
      <c r="D267" s="65"/>
      <c r="E267" s="69"/>
      <c r="F267" s="69"/>
      <c r="G267" s="69"/>
      <c r="H267" s="69"/>
      <c r="I267" s="69"/>
      <c r="J267" s="69"/>
      <c r="K267" s="69"/>
      <c r="L267" s="69"/>
      <c r="M267" s="69"/>
      <c r="N267" s="69"/>
      <c r="O267" s="69"/>
      <c r="P267" s="5"/>
    </row>
    <row r="268" spans="2:16" ht="13.8" thickBot="1" x14ac:dyDescent="0.3">
      <c r="B268" s="23"/>
      <c r="C268" s="23"/>
      <c r="D268" s="23"/>
      <c r="E268" s="23"/>
      <c r="F268" s="23"/>
      <c r="G268" s="23"/>
      <c r="H268" s="23"/>
      <c r="I268" s="23"/>
      <c r="J268" s="4"/>
      <c r="K268" s="4"/>
      <c r="L268" s="4"/>
      <c r="M268" s="5"/>
      <c r="N268" s="5"/>
      <c r="O268" s="5"/>
      <c r="P268" s="5"/>
    </row>
    <row r="269" spans="2:16" ht="13.8" thickBot="1" x14ac:dyDescent="0.3">
      <c r="B269" s="248" t="s">
        <v>75</v>
      </c>
      <c r="C269" s="248"/>
      <c r="D269" s="248"/>
      <c r="E269" s="248"/>
      <c r="F269" s="248"/>
      <c r="G269" s="248"/>
      <c r="H269" s="248"/>
      <c r="I269" s="248"/>
      <c r="J269" s="47"/>
      <c r="K269" s="248" t="s">
        <v>60</v>
      </c>
      <c r="L269" s="248"/>
      <c r="M269" s="248"/>
      <c r="N269" s="248"/>
      <c r="O269" s="248"/>
      <c r="P269" s="248"/>
    </row>
    <row r="270" spans="2:16" ht="40.200000000000003" thickBot="1" x14ac:dyDescent="0.3">
      <c r="B270" s="81" t="s">
        <v>52</v>
      </c>
      <c r="C270" s="81" t="s">
        <v>275</v>
      </c>
      <c r="D270" s="81" t="s">
        <v>276</v>
      </c>
      <c r="E270" s="81" t="s">
        <v>277</v>
      </c>
      <c r="F270" s="81" t="s">
        <v>61</v>
      </c>
      <c r="G270" s="81" t="s">
        <v>62</v>
      </c>
      <c r="H270" s="81" t="s">
        <v>64</v>
      </c>
      <c r="I270" s="81" t="s">
        <v>63</v>
      </c>
      <c r="J270" s="105"/>
      <c r="K270" s="104" t="s">
        <v>52</v>
      </c>
      <c r="L270" s="104" t="s">
        <v>278</v>
      </c>
      <c r="M270" s="104" t="s">
        <v>65</v>
      </c>
      <c r="N270" s="104" t="s">
        <v>66</v>
      </c>
      <c r="O270" s="104" t="s">
        <v>67</v>
      </c>
      <c r="P270" s="104" t="s">
        <v>68</v>
      </c>
    </row>
    <row r="271" spans="2:16" x14ac:dyDescent="0.25">
      <c r="B271" s="82" t="s">
        <v>1</v>
      </c>
      <c r="C271" s="85">
        <f t="shared" ref="C271:E281" si="114">D255*$P$10</f>
        <v>74.982226388555233</v>
      </c>
      <c r="D271" s="88">
        <f t="shared" si="114"/>
        <v>74.808958351792896</v>
      </c>
      <c r="E271" s="88">
        <f t="shared" si="114"/>
        <v>0.17326803676232597</v>
      </c>
      <c r="F271" s="85">
        <f t="shared" ref="F271:F281" si="115">D271-H255</f>
        <v>59.288007440482382</v>
      </c>
      <c r="G271" s="85">
        <f t="shared" ref="G271:G281" si="116">E271-H255</f>
        <v>-15.347682874548187</v>
      </c>
      <c r="H271" s="85">
        <f>E271-J255</f>
        <v>-1.0599872252519187</v>
      </c>
      <c r="I271" s="85">
        <f>E271-L255</f>
        <v>-1.0599872252519187</v>
      </c>
      <c r="K271" s="82" t="s">
        <v>1</v>
      </c>
      <c r="L271" s="88">
        <f t="shared" ref="L271:L281" si="117">G255*$P$6</f>
        <v>8.3946374683670361E-2</v>
      </c>
      <c r="M271" s="91">
        <f t="shared" ref="M271:M281" si="118">L271-H255</f>
        <v>-15.437004536626844</v>
      </c>
      <c r="N271" s="91">
        <f t="shared" ref="N271:N281" si="119">L271-I255</f>
        <v>-14.227597601780237</v>
      </c>
      <c r="O271" s="91">
        <f t="shared" ref="O271:O281" si="120">L271-J255</f>
        <v>-1.1493088873305743</v>
      </c>
      <c r="P271" s="91">
        <f t="shared" ref="P271:P281" si="121">L271-L255</f>
        <v>-1.1493088873305743</v>
      </c>
    </row>
    <row r="272" spans="2:16" x14ac:dyDescent="0.25">
      <c r="B272" s="82" t="s">
        <v>195</v>
      </c>
      <c r="C272" s="85">
        <f t="shared" si="114"/>
        <v>45.490211045835579</v>
      </c>
      <c r="D272" s="88">
        <f t="shared" si="114"/>
        <v>40.958505435363101</v>
      </c>
      <c r="E272" s="88">
        <f t="shared" si="114"/>
        <v>4.53170561047249</v>
      </c>
      <c r="F272" s="85">
        <f t="shared" si="115"/>
        <v>11.945238897561008</v>
      </c>
      <c r="G272" s="85">
        <f t="shared" si="116"/>
        <v>-24.481560927329603</v>
      </c>
      <c r="H272" s="85">
        <f t="shared" ref="H272:H281" si="122">E272-J256</f>
        <v>2.1129824106342903</v>
      </c>
      <c r="I272" s="85">
        <f t="shared" ref="I272:I281" si="123">E272-L256</f>
        <v>2.1129824106342903</v>
      </c>
      <c r="K272" s="82" t="s">
        <v>195</v>
      </c>
      <c r="L272" s="88">
        <f t="shared" si="117"/>
        <v>5.2372294894621842E-2</v>
      </c>
      <c r="M272" s="91">
        <f t="shared" si="118"/>
        <v>-28.960894242907472</v>
      </c>
      <c r="N272" s="91">
        <f t="shared" si="119"/>
        <v>-26.777475004015983</v>
      </c>
      <c r="O272" s="91">
        <f t="shared" si="120"/>
        <v>-2.366350904943578</v>
      </c>
      <c r="P272" s="91">
        <f t="shared" si="121"/>
        <v>-2.366350904943578</v>
      </c>
    </row>
    <row r="273" spans="2:16" x14ac:dyDescent="0.25">
      <c r="B273" s="82" t="s">
        <v>2</v>
      </c>
      <c r="C273" s="85">
        <f t="shared" si="114"/>
        <v>337.38127951375731</v>
      </c>
      <c r="D273" s="88">
        <f t="shared" si="114"/>
        <v>0.36227546316165699</v>
      </c>
      <c r="E273" s="88">
        <f t="shared" si="114"/>
        <v>327.32968091907202</v>
      </c>
      <c r="F273" s="85">
        <f t="shared" si="115"/>
        <v>-1.70713078806715</v>
      </c>
      <c r="G273" s="85">
        <f t="shared" si="116"/>
        <v>325.26027466784319</v>
      </c>
      <c r="H273" s="85">
        <f t="shared" si="122"/>
        <v>327.32968091907202</v>
      </c>
      <c r="I273" s="85">
        <f t="shared" si="123"/>
        <v>270.82968091907202</v>
      </c>
      <c r="K273" s="82" t="s">
        <v>2</v>
      </c>
      <c r="L273" s="88">
        <f t="shared" si="117"/>
        <v>1.2815285417813289</v>
      </c>
      <c r="M273" s="91">
        <f t="shared" si="118"/>
        <v>-0.78787770944747804</v>
      </c>
      <c r="N273" s="91">
        <f t="shared" si="119"/>
        <v>-61.016718812962935</v>
      </c>
      <c r="O273" s="91">
        <f t="shared" si="120"/>
        <v>1.2815285417813289</v>
      </c>
      <c r="P273" s="91">
        <f t="shared" si="121"/>
        <v>-55.218471458218673</v>
      </c>
    </row>
    <row r="274" spans="2:16" x14ac:dyDescent="0.25">
      <c r="B274" s="82" t="s">
        <v>3</v>
      </c>
      <c r="C274" s="85">
        <f t="shared" si="114"/>
        <v>47.395256339269949</v>
      </c>
      <c r="D274" s="88">
        <f t="shared" si="114"/>
        <v>45.718337917332704</v>
      </c>
      <c r="E274" s="88">
        <f t="shared" si="114"/>
        <v>1.67668286756954</v>
      </c>
      <c r="F274" s="85">
        <f t="shared" si="115"/>
        <v>30.750302885657646</v>
      </c>
      <c r="G274" s="85">
        <f t="shared" si="116"/>
        <v>-13.291352164105518</v>
      </c>
      <c r="H274" s="85">
        <f t="shared" si="122"/>
        <v>-1.825831744805549</v>
      </c>
      <c r="I274" s="85">
        <f t="shared" si="123"/>
        <v>-1.825831744805549</v>
      </c>
      <c r="K274" s="82" t="s">
        <v>3</v>
      </c>
      <c r="L274" s="88">
        <f t="shared" si="117"/>
        <v>2.0748688124910191E-2</v>
      </c>
      <c r="M274" s="91">
        <f t="shared" si="118"/>
        <v>-14.947286343550147</v>
      </c>
      <c r="N274" s="91">
        <f t="shared" si="119"/>
        <v>-11.487538183143537</v>
      </c>
      <c r="O274" s="91">
        <f t="shared" si="120"/>
        <v>-3.4817659242501788</v>
      </c>
      <c r="P274" s="91">
        <f t="shared" si="121"/>
        <v>-3.4817659242501788</v>
      </c>
    </row>
    <row r="275" spans="2:16" x14ac:dyDescent="0.25">
      <c r="B275" s="82" t="s">
        <v>4</v>
      </c>
      <c r="C275" s="85">
        <f t="shared" si="114"/>
        <v>1497.7472401466093</v>
      </c>
      <c r="D275" s="88">
        <f t="shared" si="114"/>
        <v>1488.4587450464899</v>
      </c>
      <c r="E275" s="88">
        <f t="shared" si="114"/>
        <v>9.2838682241953308</v>
      </c>
      <c r="F275" s="85">
        <f t="shared" si="115"/>
        <v>1042.7322419938678</v>
      </c>
      <c r="G275" s="85">
        <f t="shared" si="116"/>
        <v>-436.44263482842689</v>
      </c>
      <c r="H275" s="85">
        <f t="shared" si="122"/>
        <v>-94.688692802757629</v>
      </c>
      <c r="I275" s="85">
        <f t="shared" si="123"/>
        <v>-94.688692802757629</v>
      </c>
      <c r="K275" s="82" t="s">
        <v>4</v>
      </c>
      <c r="L275" s="88">
        <f t="shared" si="117"/>
        <v>0.55334868990924535</v>
      </c>
      <c r="M275" s="91">
        <f t="shared" si="118"/>
        <v>-445.17315436271298</v>
      </c>
      <c r="N275" s="91">
        <f t="shared" si="119"/>
        <v>-341.71750683920999</v>
      </c>
      <c r="O275" s="91">
        <f t="shared" si="120"/>
        <v>-103.41921233704372</v>
      </c>
      <c r="P275" s="91">
        <f t="shared" si="121"/>
        <v>-103.41921233704372</v>
      </c>
    </row>
    <row r="276" spans="2:16" x14ac:dyDescent="0.25">
      <c r="B276" s="82" t="s">
        <v>5</v>
      </c>
      <c r="C276" s="85">
        <f t="shared" si="114"/>
        <v>345.43134541376514</v>
      </c>
      <c r="D276" s="88">
        <f t="shared" si="114"/>
        <v>343.81756113589802</v>
      </c>
      <c r="E276" s="88">
        <f t="shared" si="114"/>
        <v>1.61378427786718</v>
      </c>
      <c r="F276" s="85">
        <f t="shared" si="115"/>
        <v>265.22563666890284</v>
      </c>
      <c r="G276" s="85">
        <f t="shared" si="116"/>
        <v>-76.978140189127984</v>
      </c>
      <c r="H276" s="85">
        <f t="shared" si="122"/>
        <v>-15.906446615781023</v>
      </c>
      <c r="I276" s="85">
        <f t="shared" si="123"/>
        <v>-15.906446615781023</v>
      </c>
      <c r="K276" s="82" t="s">
        <v>5</v>
      </c>
      <c r="L276" s="88">
        <f t="shared" si="117"/>
        <v>0.29152197737156405</v>
      </c>
      <c r="M276" s="91">
        <f t="shared" si="118"/>
        <v>-78.300402489623607</v>
      </c>
      <c r="N276" s="91">
        <f t="shared" si="119"/>
        <v>-61.679590911695627</v>
      </c>
      <c r="O276" s="91">
        <f t="shared" si="120"/>
        <v>-17.228708916276641</v>
      </c>
      <c r="P276" s="91">
        <f t="shared" si="121"/>
        <v>-17.228708916276641</v>
      </c>
    </row>
    <row r="277" spans="2:16" x14ac:dyDescent="0.25">
      <c r="B277" s="82" t="s">
        <v>6</v>
      </c>
      <c r="C277" s="85">
        <f t="shared" si="114"/>
        <v>127.09055149886017</v>
      </c>
      <c r="D277" s="88">
        <f t="shared" si="114"/>
        <v>125.92695935711299</v>
      </c>
      <c r="E277" s="88">
        <f t="shared" si="114"/>
        <v>1.1635921417471802</v>
      </c>
      <c r="F277" s="85">
        <f t="shared" si="115"/>
        <v>101.04407956438875</v>
      </c>
      <c r="G277" s="85">
        <f t="shared" si="116"/>
        <v>-23.719287650977058</v>
      </c>
      <c r="H277" s="85">
        <f t="shared" si="122"/>
        <v>-2.3948814300090673</v>
      </c>
      <c r="I277" s="85">
        <f t="shared" si="123"/>
        <v>-6.1948814300090671</v>
      </c>
      <c r="K277" s="82" t="s">
        <v>6</v>
      </c>
      <c r="L277" s="88">
        <f t="shared" si="117"/>
        <v>0.16385348642397246</v>
      </c>
      <c r="M277" s="91">
        <f t="shared" si="118"/>
        <v>-24.719026306300268</v>
      </c>
      <c r="N277" s="91">
        <f t="shared" si="119"/>
        <v>-21.206122068669817</v>
      </c>
      <c r="O277" s="91">
        <f t="shared" si="120"/>
        <v>-3.3946200853322752</v>
      </c>
      <c r="P277" s="91">
        <f t="shared" si="121"/>
        <v>-7.194620085332275</v>
      </c>
    </row>
    <row r="278" spans="2:16" x14ac:dyDescent="0.25">
      <c r="B278" s="82" t="s">
        <v>7</v>
      </c>
      <c r="C278" s="85">
        <f t="shared" si="114"/>
        <v>1792.6867227891537</v>
      </c>
      <c r="D278" s="88">
        <f t="shared" si="114"/>
        <v>1489.3227430413801</v>
      </c>
      <c r="E278" s="88">
        <f t="shared" si="114"/>
        <v>299.65584925157799</v>
      </c>
      <c r="F278" s="85">
        <f t="shared" si="115"/>
        <v>1116.2684081649611</v>
      </c>
      <c r="G278" s="85">
        <f t="shared" si="116"/>
        <v>-73.398485624841101</v>
      </c>
      <c r="H278" s="85">
        <f t="shared" si="122"/>
        <v>299.65584925157799</v>
      </c>
      <c r="I278" s="85">
        <f t="shared" si="123"/>
        <v>265.85584925157798</v>
      </c>
      <c r="K278" s="82" t="s">
        <v>7</v>
      </c>
      <c r="L278" s="88">
        <f t="shared" si="117"/>
        <v>0.53867162074973696</v>
      </c>
      <c r="M278" s="91">
        <f t="shared" si="118"/>
        <v>-372.51566325566938</v>
      </c>
      <c r="N278" s="91">
        <f t="shared" si="119"/>
        <v>-430.26698573044257</v>
      </c>
      <c r="O278" s="91">
        <f t="shared" si="120"/>
        <v>0.53867162074973696</v>
      </c>
      <c r="P278" s="91">
        <f t="shared" si="121"/>
        <v>-33.261328379250259</v>
      </c>
    </row>
    <row r="279" spans="2:16" x14ac:dyDescent="0.25">
      <c r="B279" s="82" t="s">
        <v>8</v>
      </c>
      <c r="C279" s="85">
        <f t="shared" si="114"/>
        <v>84.126065227973911</v>
      </c>
      <c r="D279" s="88">
        <f t="shared" si="114"/>
        <v>73.6575573141738</v>
      </c>
      <c r="E279" s="88">
        <f t="shared" si="114"/>
        <v>10.468507913800099</v>
      </c>
      <c r="F279" s="85">
        <f t="shared" si="115"/>
        <v>-561.83608712591024</v>
      </c>
      <c r="G279" s="85">
        <f t="shared" si="116"/>
        <v>-625.02513652628397</v>
      </c>
      <c r="H279" s="85">
        <f t="shared" si="122"/>
        <v>10.468507913800099</v>
      </c>
      <c r="I279" s="85">
        <f t="shared" si="123"/>
        <v>-13.031492086199901</v>
      </c>
      <c r="K279" s="82" t="s">
        <v>8</v>
      </c>
      <c r="L279" s="88">
        <f t="shared" si="117"/>
        <v>0.17924719355296656</v>
      </c>
      <c r="M279" s="91">
        <f t="shared" si="118"/>
        <v>-635.31439724653103</v>
      </c>
      <c r="N279" s="91">
        <f t="shared" si="119"/>
        <v>-729.34645673156922</v>
      </c>
      <c r="O279" s="91">
        <f t="shared" si="120"/>
        <v>0.17924719355296656</v>
      </c>
      <c r="P279" s="91">
        <f t="shared" si="121"/>
        <v>-23.320752806447032</v>
      </c>
    </row>
    <row r="280" spans="2:16" x14ac:dyDescent="0.25">
      <c r="B280" s="82" t="s">
        <v>9</v>
      </c>
      <c r="C280" s="85">
        <f t="shared" si="114"/>
        <v>432.26930239887696</v>
      </c>
      <c r="D280" s="88">
        <f t="shared" si="114"/>
        <v>429.37449618124998</v>
      </c>
      <c r="E280" s="88">
        <f t="shared" si="114"/>
        <v>2.8948062176270102</v>
      </c>
      <c r="F280" s="85">
        <f t="shared" si="115"/>
        <v>290.37197138159814</v>
      </c>
      <c r="G280" s="85">
        <f t="shared" si="116"/>
        <v>-136.10771858202483</v>
      </c>
      <c r="H280" s="85">
        <f t="shared" si="122"/>
        <v>-20.847826476817467</v>
      </c>
      <c r="I280" s="85">
        <f t="shared" si="123"/>
        <v>-20.847826476817467</v>
      </c>
      <c r="K280" s="82" t="s">
        <v>9</v>
      </c>
      <c r="L280" s="88">
        <f t="shared" si="117"/>
        <v>0.16545801822818246</v>
      </c>
      <c r="M280" s="91">
        <f t="shared" si="118"/>
        <v>-138.83706678142366</v>
      </c>
      <c r="N280" s="91">
        <f t="shared" si="119"/>
        <v>-126.19744659497381</v>
      </c>
      <c r="O280" s="91">
        <f t="shared" si="120"/>
        <v>-23.577174676216295</v>
      </c>
      <c r="P280" s="91">
        <f t="shared" si="121"/>
        <v>-23.577174676216295</v>
      </c>
    </row>
    <row r="281" spans="2:16" ht="13.8" thickBot="1" x14ac:dyDescent="0.3">
      <c r="B281" s="86" t="s">
        <v>10</v>
      </c>
      <c r="C281" s="89">
        <f t="shared" si="114"/>
        <v>694.1108945760958</v>
      </c>
      <c r="D281" s="90">
        <f t="shared" si="114"/>
        <v>676.56990471432493</v>
      </c>
      <c r="E281" s="90">
        <f t="shared" si="114"/>
        <v>17.538306754422301</v>
      </c>
      <c r="F281" s="89">
        <f t="shared" si="115"/>
        <v>369.01788419888936</v>
      </c>
      <c r="G281" s="89">
        <f t="shared" si="116"/>
        <v>-290.01371376101326</v>
      </c>
      <c r="H281" s="89">
        <f t="shared" si="122"/>
        <v>17.538306754422301</v>
      </c>
      <c r="I281" s="89">
        <f t="shared" si="123"/>
        <v>-3.5616932455777004</v>
      </c>
      <c r="K281" s="86" t="s">
        <v>10</v>
      </c>
      <c r="L281" s="90">
        <f t="shared" si="117"/>
        <v>0.55941509515906196</v>
      </c>
      <c r="M281" s="92">
        <f t="shared" si="118"/>
        <v>-306.9926054202765</v>
      </c>
      <c r="N281" s="92">
        <f t="shared" si="119"/>
        <v>-317.22557594123674</v>
      </c>
      <c r="O281" s="92">
        <f t="shared" si="120"/>
        <v>0.55941509515906196</v>
      </c>
      <c r="P281" s="92">
        <f t="shared" si="121"/>
        <v>-20.540584904840941</v>
      </c>
    </row>
  </sheetData>
  <mergeCells count="37">
    <mergeCell ref="AG18:AK18"/>
    <mergeCell ref="Y18:AD18"/>
    <mergeCell ref="Y19:AD19"/>
    <mergeCell ref="AG19:AK19"/>
    <mergeCell ref="B82:I82"/>
    <mergeCell ref="K82:P82"/>
    <mergeCell ref="B67:L67"/>
    <mergeCell ref="B19:I19"/>
    <mergeCell ref="K19:P19"/>
    <mergeCell ref="Y50:Z50"/>
    <mergeCell ref="B51:I51"/>
    <mergeCell ref="K51:P51"/>
    <mergeCell ref="R51:W51"/>
    <mergeCell ref="Y51:Z51"/>
    <mergeCell ref="B222:L222"/>
    <mergeCell ref="B238:I238"/>
    <mergeCell ref="K238:P238"/>
    <mergeCell ref="B253:L253"/>
    <mergeCell ref="B269:I269"/>
    <mergeCell ref="K269:P269"/>
    <mergeCell ref="B160:L160"/>
    <mergeCell ref="B176:I176"/>
    <mergeCell ref="K176:P176"/>
    <mergeCell ref="B191:L191"/>
    <mergeCell ref="B207:I207"/>
    <mergeCell ref="K207:P207"/>
    <mergeCell ref="B98:L98"/>
    <mergeCell ref="B114:I114"/>
    <mergeCell ref="K114:P114"/>
    <mergeCell ref="B129:L129"/>
    <mergeCell ref="B145:I145"/>
    <mergeCell ref="K145:P145"/>
    <mergeCell ref="R18:W18"/>
    <mergeCell ref="R19:W19"/>
    <mergeCell ref="B35:L35"/>
    <mergeCell ref="R50:W50"/>
    <mergeCell ref="B2:M2"/>
  </mergeCell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86C958-E1FC-4436-A762-A02764E2C6A4}">
  <dimension ref="A1:AE916"/>
  <sheetViews>
    <sheetView showGridLines="0" zoomScale="65" zoomScaleNormal="40" workbookViewId="0">
      <selection activeCell="D22" sqref="D22:N22"/>
    </sheetView>
  </sheetViews>
  <sheetFormatPr defaultColWidth="12.6640625" defaultRowHeight="15" customHeight="1" x14ac:dyDescent="0.25"/>
  <cols>
    <col min="1" max="1" width="8.6640625" style="2" customWidth="1"/>
    <col min="2" max="2" width="12.6640625" style="2" customWidth="1"/>
    <col min="3" max="3" width="38.44140625" style="2" bestFit="1" customWidth="1"/>
    <col min="4" max="4" width="9.88671875" style="2" bestFit="1" customWidth="1"/>
    <col min="5" max="6" width="8.77734375" style="2" bestFit="1" customWidth="1"/>
    <col min="7" max="7" width="9" style="2" bestFit="1" customWidth="1"/>
    <col min="8" max="8" width="10.5546875" style="2" bestFit="1" customWidth="1"/>
    <col min="9" max="9" width="9" style="2" bestFit="1" customWidth="1"/>
    <col min="10" max="10" width="9.88671875" style="2" bestFit="1" customWidth="1"/>
    <col min="11" max="11" width="10.77734375" style="2" customWidth="1"/>
    <col min="12" max="13" width="11.21875" style="2" bestFit="1" customWidth="1"/>
    <col min="14" max="14" width="9.6640625" style="2" bestFit="1" customWidth="1"/>
    <col min="15" max="15" width="8.6640625" style="2" customWidth="1"/>
    <col min="16" max="16" width="14.6640625" style="2" bestFit="1" customWidth="1"/>
    <col min="17" max="17" width="10" style="2" bestFit="1" customWidth="1"/>
    <col min="18" max="18" width="8.6640625" style="2" customWidth="1"/>
    <col min="19" max="19" width="7.33203125" style="2" bestFit="1" customWidth="1"/>
    <col min="20" max="20" width="8.33203125" style="2" bestFit="1" customWidth="1"/>
    <col min="21" max="21" width="10" style="2" bestFit="1" customWidth="1"/>
    <col min="22" max="22" width="8" style="2" customWidth="1"/>
    <col min="23" max="23" width="9.6640625" style="2" bestFit="1" customWidth="1"/>
    <col min="24" max="24" width="10.5546875" style="2" bestFit="1" customWidth="1"/>
    <col min="25" max="25" width="11.21875" style="2" bestFit="1" customWidth="1"/>
    <col min="26" max="26" width="11.109375" style="2" bestFit="1" customWidth="1"/>
    <col min="27" max="27" width="9.5546875" style="2" bestFit="1" customWidth="1"/>
    <col min="28" max="16384" width="12.6640625" style="2"/>
  </cols>
  <sheetData>
    <row r="1" spans="1:31" ht="25.05" customHeight="1" x14ac:dyDescent="0.25">
      <c r="A1" s="252" t="s">
        <v>81</v>
      </c>
      <c r="B1" s="252"/>
      <c r="C1" s="252"/>
      <c r="D1" s="252"/>
      <c r="E1" s="252"/>
      <c r="F1" s="252"/>
    </row>
    <row r="2" spans="1:31" ht="15" customHeight="1" x14ac:dyDescent="0.25">
      <c r="B2" s="5"/>
      <c r="C2" s="5"/>
      <c r="D2" s="5"/>
      <c r="E2" s="5"/>
      <c r="F2" s="5"/>
      <c r="G2" s="5"/>
      <c r="H2" s="5"/>
      <c r="I2" s="5"/>
      <c r="J2" s="5"/>
      <c r="K2" s="5"/>
      <c r="L2" s="5"/>
      <c r="M2" s="5"/>
      <c r="N2" s="5"/>
      <c r="O2" s="5"/>
      <c r="P2" s="5"/>
      <c r="Q2" s="5"/>
      <c r="R2" s="5"/>
      <c r="S2" s="5"/>
      <c r="T2" s="5"/>
      <c r="U2" s="5"/>
      <c r="V2" s="5"/>
      <c r="W2" s="5"/>
      <c r="X2" s="5"/>
      <c r="Y2" s="5"/>
      <c r="Z2" s="5"/>
      <c r="AA2" s="5"/>
    </row>
    <row r="3" spans="1:31" ht="15" customHeight="1" thickBot="1" x14ac:dyDescent="0.3">
      <c r="B3" s="253" t="s">
        <v>71</v>
      </c>
      <c r="C3" s="253"/>
      <c r="D3" s="253"/>
      <c r="E3" s="253"/>
      <c r="F3" s="253"/>
      <c r="G3" s="253"/>
      <c r="H3" s="253"/>
      <c r="I3" s="253"/>
      <c r="J3" s="253"/>
      <c r="K3" s="253"/>
      <c r="L3" s="253"/>
      <c r="M3" s="253"/>
      <c r="N3" s="253"/>
      <c r="P3" s="253" t="s">
        <v>76</v>
      </c>
      <c r="Q3" s="253"/>
      <c r="R3" s="253"/>
      <c r="S3" s="253"/>
      <c r="T3" s="253"/>
      <c r="U3" s="253"/>
      <c r="V3" s="253"/>
      <c r="W3" s="253"/>
      <c r="X3" s="253"/>
      <c r="Y3" s="253"/>
      <c r="Z3" s="253"/>
      <c r="AA3" s="253"/>
      <c r="AB3" s="10"/>
      <c r="AC3" s="3" t="s">
        <v>22</v>
      </c>
      <c r="AD3" s="13" t="s">
        <v>23</v>
      </c>
      <c r="AE3" s="15">
        <f t="array" ref="AE3">MIN(IF(D6:N16&gt;0,D6:N16))</f>
        <v>0.48971819307669762</v>
      </c>
    </row>
    <row r="4" spans="1:31" ht="15" customHeight="1" thickBot="1" x14ac:dyDescent="0.3">
      <c r="B4" s="75" t="s">
        <v>13</v>
      </c>
      <c r="C4" s="66" t="s">
        <v>14</v>
      </c>
      <c r="D4" s="67" t="s">
        <v>1</v>
      </c>
      <c r="E4" s="67" t="s">
        <v>195</v>
      </c>
      <c r="F4" s="67" t="s">
        <v>2</v>
      </c>
      <c r="G4" s="67" t="s">
        <v>3</v>
      </c>
      <c r="H4" s="67" t="s">
        <v>4</v>
      </c>
      <c r="I4" s="67" t="s">
        <v>5</v>
      </c>
      <c r="J4" s="67" t="s">
        <v>6</v>
      </c>
      <c r="K4" s="67" t="s">
        <v>7</v>
      </c>
      <c r="L4" s="67" t="s">
        <v>295</v>
      </c>
      <c r="M4" s="67" t="s">
        <v>9</v>
      </c>
      <c r="N4" s="67" t="s">
        <v>10</v>
      </c>
      <c r="P4" s="76" t="s">
        <v>19</v>
      </c>
      <c r="Q4" s="77" t="s">
        <v>1</v>
      </c>
      <c r="R4" s="77" t="s">
        <v>195</v>
      </c>
      <c r="S4" s="77" t="s">
        <v>2</v>
      </c>
      <c r="T4" s="77" t="s">
        <v>3</v>
      </c>
      <c r="U4" s="77" t="s">
        <v>4</v>
      </c>
      <c r="V4" s="77" t="s">
        <v>5</v>
      </c>
      <c r="W4" s="77" t="s">
        <v>6</v>
      </c>
      <c r="X4" s="77" t="s">
        <v>7</v>
      </c>
      <c r="Y4" s="77" t="s">
        <v>295</v>
      </c>
      <c r="Z4" s="77" t="s">
        <v>9</v>
      </c>
      <c r="AA4" s="77" t="s">
        <v>10</v>
      </c>
      <c r="AB4" s="254" t="s">
        <v>26</v>
      </c>
      <c r="AC4" s="254"/>
      <c r="AD4" s="13" t="s">
        <v>24</v>
      </c>
      <c r="AE4" s="20">
        <f>MAX(D6:N16)</f>
        <v>634.52651953708357</v>
      </c>
    </row>
    <row r="5" spans="1:31" ht="15.6" customHeight="1" x14ac:dyDescent="0.25">
      <c r="B5" s="93"/>
      <c r="C5" s="94" t="s">
        <v>69</v>
      </c>
      <c r="D5" s="95">
        <f>C6</f>
        <v>-15.437004536626844</v>
      </c>
      <c r="E5" s="95">
        <f>C7</f>
        <v>-28.960894242907472</v>
      </c>
      <c r="F5" s="95">
        <f>C8</f>
        <v>-0.78787770944747804</v>
      </c>
      <c r="G5" s="95">
        <f>C9</f>
        <v>-14.947286343550147</v>
      </c>
      <c r="H5" s="95">
        <f>C10</f>
        <v>-445.17315436271298</v>
      </c>
      <c r="I5" s="95">
        <f>C11</f>
        <v>-78.300402489623607</v>
      </c>
      <c r="J5" s="95">
        <f>C12</f>
        <v>-24.719026306300268</v>
      </c>
      <c r="K5" s="95">
        <f>C13</f>
        <v>-372.51566325566938</v>
      </c>
      <c r="L5" s="95">
        <f>C14</f>
        <v>-635.31439724653103</v>
      </c>
      <c r="M5" s="95">
        <f>C15</f>
        <v>-138.83706678142366</v>
      </c>
      <c r="N5" s="95">
        <f>C16</f>
        <v>-306.9926054202765</v>
      </c>
      <c r="P5" s="21" t="s">
        <v>1</v>
      </c>
      <c r="Q5" s="97">
        <f t="shared" ref="Q5:AA15" si="0">$AE$5+(D6-$AE$3)*($AE$6-$AE$5)/($AE$4-$AE$3)</f>
        <v>2.2839104315936691E-4</v>
      </c>
      <c r="R5" s="97">
        <f t="shared" si="0"/>
        <v>2.153687942732822E-2</v>
      </c>
      <c r="S5" s="97">
        <f t="shared" si="0"/>
        <v>2.2839104315936691E-4</v>
      </c>
      <c r="T5" s="97">
        <f t="shared" si="0"/>
        <v>2.2839104315936691E-4</v>
      </c>
      <c r="U5" s="97">
        <f t="shared" si="0"/>
        <v>0.67732854164361789</v>
      </c>
      <c r="V5" s="97">
        <f t="shared" si="0"/>
        <v>9.9277112539958287E-2</v>
      </c>
      <c r="W5" s="97">
        <f t="shared" si="0"/>
        <v>1.4853314593728913E-2</v>
      </c>
      <c r="X5" s="97">
        <f t="shared" si="0"/>
        <v>0.56284806754168248</v>
      </c>
      <c r="Y5" s="97">
        <f t="shared" si="0"/>
        <v>0.97691856739335847</v>
      </c>
      <c r="Z5" s="97">
        <f t="shared" si="0"/>
        <v>0.19465978985350424</v>
      </c>
      <c r="AA5" s="97">
        <f t="shared" si="0"/>
        <v>0.45960873720817003</v>
      </c>
      <c r="AD5" s="3" t="s">
        <v>25</v>
      </c>
      <c r="AE5" s="2">
        <v>1E-3</v>
      </c>
    </row>
    <row r="6" spans="1:31" ht="15" customHeight="1" x14ac:dyDescent="0.25">
      <c r="B6" s="21" t="s">
        <v>1</v>
      </c>
      <c r="C6" s="95">
        <f>Annual_sorted!M271</f>
        <v>-15.437004536626844</v>
      </c>
      <c r="D6" s="29">
        <f>IF(C6-Table_1463109[Burundi]&gt;0, C6-Table_1463109[Burundi], 0)</f>
        <v>0</v>
      </c>
      <c r="E6" s="29">
        <f>IF(C6-Table_1463109[DRC]&gt;0, C6-Table_1463109[DRC], 0)</f>
        <v>13.523889706280627</v>
      </c>
      <c r="F6" s="29">
        <f>IF(C6-Table_1463109[Egypt]&gt;0, C6-Table_1463109[Egypt], 0)</f>
        <v>0</v>
      </c>
      <c r="G6" s="29">
        <f>IF(C6-Table_1463109[Eritrea]&gt;0, C6-Table_1463109[Eritrea], 0)</f>
        <v>0</v>
      </c>
      <c r="H6" s="29">
        <f>IF(C6-Table_1463109[Ethiopia]&gt;0, C6-Table_1463109[Ethiopia], 0)</f>
        <v>429.73614982608615</v>
      </c>
      <c r="I6" s="29">
        <f>IF(C6-Table_1463109[Kenya]&gt;0, C6-Table_1463109[Kenya], 0)</f>
        <v>62.863397952996763</v>
      </c>
      <c r="J6" s="29">
        <f>IF(C6-Table_1463109[Rwanda]&gt;0, C6-Table_1463109[Rwanda], 0)</f>
        <v>9.282021769673424</v>
      </c>
      <c r="K6" s="29">
        <f>IF(C6-Table_1463109[Sudan]&gt;0, C6-Table_1463109[Sudan], 0)</f>
        <v>357.07865871904255</v>
      </c>
      <c r="L6" s="29">
        <f>IF(C6-Table_1463109[S. Sudan]&gt;0, C6-Table_1463109[S. Sudan], 0)</f>
        <v>619.87739270990414</v>
      </c>
      <c r="M6" s="29">
        <f>IF(C6-Table_1463109[Tanzania]&gt;0, C6-Table_1463109[Tanzania], 0)</f>
        <v>123.40006224479681</v>
      </c>
      <c r="N6" s="29">
        <f>IF(C6-Table_1463109[Uganda]&gt;0, C6-Table_1463109[Uganda], 0)</f>
        <v>291.55560088364967</v>
      </c>
      <c r="P6" s="21" t="s">
        <v>195</v>
      </c>
      <c r="Q6" s="97">
        <f t="shared" si="0"/>
        <v>2.2839104315936691E-4</v>
      </c>
      <c r="R6" s="97">
        <f t="shared" si="0"/>
        <v>2.2839104315936691E-4</v>
      </c>
      <c r="S6" s="97">
        <f t="shared" si="0"/>
        <v>2.2839104315936691E-4</v>
      </c>
      <c r="T6" s="97">
        <f t="shared" si="0"/>
        <v>2.2839104315936691E-4</v>
      </c>
      <c r="U6" s="97">
        <f t="shared" si="0"/>
        <v>0.6560200532594489</v>
      </c>
      <c r="V6" s="97">
        <f t="shared" si="0"/>
        <v>7.7968624155789437E-2</v>
      </c>
      <c r="W6" s="97">
        <f t="shared" si="0"/>
        <v>2.2839104315936691E-4</v>
      </c>
      <c r="X6" s="97">
        <f t="shared" si="0"/>
        <v>0.54153957915751361</v>
      </c>
      <c r="Y6" s="97">
        <f t="shared" si="0"/>
        <v>0.95561007900918971</v>
      </c>
      <c r="Z6" s="97">
        <f t="shared" si="0"/>
        <v>0.17335130146933539</v>
      </c>
      <c r="AA6" s="97">
        <f t="shared" si="0"/>
        <v>0.43830024882400126</v>
      </c>
      <c r="AD6" s="3" t="s">
        <v>70</v>
      </c>
      <c r="AE6" s="2">
        <v>1</v>
      </c>
    </row>
    <row r="7" spans="1:31" ht="15" customHeight="1" x14ac:dyDescent="0.25">
      <c r="B7" s="21" t="s">
        <v>195</v>
      </c>
      <c r="C7" s="95">
        <f>Annual_sorted!M272</f>
        <v>-28.960894242907472</v>
      </c>
      <c r="D7" s="29">
        <f>IF(C7-Table_1463109[Burundi]&gt;0, C7-Table_1463109[Burundi], 0)</f>
        <v>0</v>
      </c>
      <c r="E7" s="29">
        <f>IF(C7-Table_1463109[DRC]&gt;0, C7-Table_1463109[DRC], 0)</f>
        <v>0</v>
      </c>
      <c r="F7" s="29">
        <f>IF(C7-Table_1463109[Egypt]&gt;0, C7-Table_1463109[Egypt], 0)</f>
        <v>0</v>
      </c>
      <c r="G7" s="29">
        <f>IF(C7-Table_1463109[Eritrea]&gt;0, C7-Table_1463109[Eritrea], 0)</f>
        <v>0</v>
      </c>
      <c r="H7" s="29">
        <f>IF(C7-Table_1463109[Ethiopia]&gt;0, C7-Table_1463109[Ethiopia], 0)</f>
        <v>416.21226011980548</v>
      </c>
      <c r="I7" s="29">
        <f>IF(C7-Table_1463109[Kenya]&gt;0, C7-Table_1463109[Kenya], 0)</f>
        <v>49.339508246716136</v>
      </c>
      <c r="J7" s="29">
        <f>IF(C7-Table_1463109[Rwanda]&gt;0, C7-Table_1463109[Rwanda], 0)</f>
        <v>0</v>
      </c>
      <c r="K7" s="29">
        <f>IF(C7-Table_1463109[Sudan]&gt;0, C7-Table_1463109[Sudan], 0)</f>
        <v>343.55476901276188</v>
      </c>
      <c r="L7" s="29">
        <f>IF(C7-Table_1463109[S. Sudan]&gt;0, C7-Table_1463109[S. Sudan], 0)</f>
        <v>606.35350300362359</v>
      </c>
      <c r="M7" s="29">
        <f>IF(C7-Table_1463109[Tanzania]&gt;0, C7-Table_1463109[Tanzania], 0)</f>
        <v>109.87617253851619</v>
      </c>
      <c r="N7" s="29">
        <f>IF(C7-Table_1463109[Uganda]&gt;0, C7-Table_1463109[Uganda], 0)</f>
        <v>278.03171117736906</v>
      </c>
      <c r="P7" s="21" t="s">
        <v>2</v>
      </c>
      <c r="Q7" s="97">
        <f t="shared" si="0"/>
        <v>2.3309823649800783E-2</v>
      </c>
      <c r="R7" s="97">
        <f t="shared" si="0"/>
        <v>4.4618312033969633E-2</v>
      </c>
      <c r="S7" s="97">
        <f t="shared" si="0"/>
        <v>2.2839104315936691E-4</v>
      </c>
      <c r="T7" s="97">
        <f t="shared" si="0"/>
        <v>2.2538214692960152E-2</v>
      </c>
      <c r="U7" s="97">
        <f t="shared" si="0"/>
        <v>0.70040997425025919</v>
      </c>
      <c r="V7" s="97">
        <f t="shared" si="0"/>
        <v>0.12235854514659973</v>
      </c>
      <c r="W7" s="97">
        <f t="shared" si="0"/>
        <v>3.7934747200370329E-2</v>
      </c>
      <c r="X7" s="97">
        <f t="shared" si="0"/>
        <v>0.58592950014832379</v>
      </c>
      <c r="Y7" s="97">
        <f t="shared" si="0"/>
        <v>1</v>
      </c>
      <c r="Z7" s="97">
        <f t="shared" si="0"/>
        <v>0.21774122246014566</v>
      </c>
      <c r="AA7" s="97">
        <f t="shared" si="0"/>
        <v>0.48269016981481155</v>
      </c>
    </row>
    <row r="8" spans="1:31" ht="15" customHeight="1" x14ac:dyDescent="0.25">
      <c r="B8" s="21" t="s">
        <v>2</v>
      </c>
      <c r="C8" s="95">
        <f>Annual_sorted!M273</f>
        <v>-0.78787770944747804</v>
      </c>
      <c r="D8" s="29">
        <f>IF(C8-Table_1463109[Burundi]&gt;0, C8-Table_1463109[Burundi], 0)</f>
        <v>14.649126827179366</v>
      </c>
      <c r="E8" s="29">
        <f>IF(C8-Table_1463109[DRC]&gt;0, C8-Table_1463109[DRC], 0)</f>
        <v>28.173016533459993</v>
      </c>
      <c r="F8" s="29">
        <f>IF(C8-Table_1463109[Egypt]&gt;0, C8-Table_1463109[Egypt], 0)</f>
        <v>0</v>
      </c>
      <c r="G8" s="29">
        <f>IF(C8-Table_1463109[Eritrea]&gt;0, C8-Table_1463109[Eritrea], 0)</f>
        <v>14.159408634102668</v>
      </c>
      <c r="H8" s="29">
        <f>IF(C8-Table_1463109[Ethiopia]&gt;0, C8-Table_1463109[Ethiopia], 0)</f>
        <v>444.38527665326552</v>
      </c>
      <c r="I8" s="29">
        <f>IF(C8-Table_1463109[Kenya]&gt;0, C8-Table_1463109[Kenya], 0)</f>
        <v>77.512524780176136</v>
      </c>
      <c r="J8" s="29">
        <f>IF(C8-Table_1463109[Rwanda]&gt;0, C8-Table_1463109[Rwanda], 0)</f>
        <v>23.93114859685279</v>
      </c>
      <c r="K8" s="29">
        <f>IF(C8-Table_1463109[Sudan]&gt;0, C8-Table_1463109[Sudan], 0)</f>
        <v>371.72778554622192</v>
      </c>
      <c r="L8" s="29">
        <f>IF(C8-Table_1463109[S. Sudan]&gt;0, C8-Table_1463109[S. Sudan], 0)</f>
        <v>634.52651953708357</v>
      </c>
      <c r="M8" s="29">
        <f>IF(C8-Table_1463109[Tanzania]&gt;0, C8-Table_1463109[Tanzania], 0)</f>
        <v>138.04918907197617</v>
      </c>
      <c r="N8" s="29">
        <f>IF(C8-Table_1463109[Uganda]&gt;0, C8-Table_1463109[Uganda], 0)</f>
        <v>306.20472771082905</v>
      </c>
      <c r="P8" s="21" t="s">
        <v>3</v>
      </c>
      <c r="Q8" s="97">
        <f t="shared" si="0"/>
        <v>1E-3</v>
      </c>
      <c r="R8" s="97">
        <f t="shared" si="0"/>
        <v>2.2308488384168854E-2</v>
      </c>
      <c r="S8" s="97">
        <f t="shared" si="0"/>
        <v>2.2839104315936691E-4</v>
      </c>
      <c r="T8" s="97">
        <f t="shared" si="0"/>
        <v>2.2839104315936691E-4</v>
      </c>
      <c r="U8" s="97">
        <f t="shared" si="0"/>
        <v>0.67810015060045847</v>
      </c>
      <c r="V8" s="97">
        <f t="shared" si="0"/>
        <v>0.10004872149679893</v>
      </c>
      <c r="W8" s="97">
        <f t="shared" si="0"/>
        <v>1.5624923550569547E-2</v>
      </c>
      <c r="X8" s="97">
        <f t="shared" si="0"/>
        <v>0.56361967649852307</v>
      </c>
      <c r="Y8" s="97">
        <f t="shared" si="0"/>
        <v>0.97769017635019928</v>
      </c>
      <c r="Z8" s="97">
        <f t="shared" si="0"/>
        <v>0.19543139881034488</v>
      </c>
      <c r="AA8" s="97">
        <f t="shared" si="0"/>
        <v>0.46038034616501061</v>
      </c>
    </row>
    <row r="9" spans="1:31" ht="15" customHeight="1" x14ac:dyDescent="0.25">
      <c r="B9" s="21" t="s">
        <v>3</v>
      </c>
      <c r="C9" s="95">
        <f>Annual_sorted!M274</f>
        <v>-14.947286343550147</v>
      </c>
      <c r="D9" s="29">
        <f>IF(C9-Table_1463109[Burundi]&gt;0, C9-Table_1463109[Burundi], 0)</f>
        <v>0.48971819307669762</v>
      </c>
      <c r="E9" s="29">
        <f>IF(C9-Table_1463109[DRC]&gt;0, C9-Table_1463109[DRC], 0)</f>
        <v>14.013607899357325</v>
      </c>
      <c r="F9" s="29">
        <f>IF(C9-Table_1463109[Egypt]&gt;0, C9-Table_1463109[Egypt], 0)</f>
        <v>0</v>
      </c>
      <c r="G9" s="29">
        <f>IF(C9-Table_1463109[Eritrea]&gt;0, C9-Table_1463109[Eritrea], 0)</f>
        <v>0</v>
      </c>
      <c r="H9" s="29">
        <f>IF(C9-Table_1463109[Ethiopia]&gt;0, C9-Table_1463109[Ethiopia], 0)</f>
        <v>430.22586801916282</v>
      </c>
      <c r="I9" s="29">
        <f>IF(C9-Table_1463109[Kenya]&gt;0, C9-Table_1463109[Kenya], 0)</f>
        <v>63.353116146073461</v>
      </c>
      <c r="J9" s="29">
        <f>IF(C9-Table_1463109[Rwanda]&gt;0, C9-Table_1463109[Rwanda], 0)</f>
        <v>9.7717399627501216</v>
      </c>
      <c r="K9" s="29">
        <f>IF(C9-Table_1463109[Sudan]&gt;0, C9-Table_1463109[Sudan], 0)</f>
        <v>357.56837691211922</v>
      </c>
      <c r="L9" s="29">
        <f>IF(C9-Table_1463109[S. Sudan]&gt;0, C9-Table_1463109[S. Sudan], 0)</f>
        <v>620.36711090298093</v>
      </c>
      <c r="M9" s="29">
        <f>IF(C9-Table_1463109[Tanzania]&gt;0, C9-Table_1463109[Tanzania], 0)</f>
        <v>123.88978043787351</v>
      </c>
      <c r="N9" s="29">
        <f>IF(C9-Table_1463109[Uganda]&gt;0, C9-Table_1463109[Uganda], 0)</f>
        <v>292.04531907672634</v>
      </c>
      <c r="P9" s="21" t="s">
        <v>4</v>
      </c>
      <c r="Q9" s="97">
        <f t="shared" si="0"/>
        <v>2.2839104315936691E-4</v>
      </c>
      <c r="R9" s="97">
        <f t="shared" si="0"/>
        <v>2.2839104315936691E-4</v>
      </c>
      <c r="S9" s="97">
        <f t="shared" si="0"/>
        <v>2.2839104315936691E-4</v>
      </c>
      <c r="T9" s="97">
        <f t="shared" si="0"/>
        <v>2.2839104315936691E-4</v>
      </c>
      <c r="U9" s="97">
        <f t="shared" si="0"/>
        <v>2.2839104315936691E-4</v>
      </c>
      <c r="V9" s="97">
        <f t="shared" si="0"/>
        <v>2.2839104315936691E-4</v>
      </c>
      <c r="W9" s="97">
        <f t="shared" si="0"/>
        <v>2.2839104315936691E-4</v>
      </c>
      <c r="X9" s="97">
        <f t="shared" si="0"/>
        <v>2.2839104315936691E-4</v>
      </c>
      <c r="Y9" s="97">
        <f t="shared" si="0"/>
        <v>0.29981841679290006</v>
      </c>
      <c r="Z9" s="97">
        <f t="shared" si="0"/>
        <v>2.2839104315936691E-4</v>
      </c>
      <c r="AA9" s="97">
        <f t="shared" si="0"/>
        <v>2.2839104315936691E-4</v>
      </c>
    </row>
    <row r="10" spans="1:31" ht="15" customHeight="1" x14ac:dyDescent="0.25">
      <c r="B10" s="21" t="s">
        <v>4</v>
      </c>
      <c r="C10" s="95">
        <f>Annual_sorted!M275</f>
        <v>-445.17315436271298</v>
      </c>
      <c r="D10" s="29">
        <f>IF(C10-Table_1463109[Burundi]&gt;0, C10-Table_1463109[Burundi], 0)</f>
        <v>0</v>
      </c>
      <c r="E10" s="29">
        <f>IF(C10-Table_1463109[DRC]&gt;0, C10-Table_1463109[DRC], 0)</f>
        <v>0</v>
      </c>
      <c r="F10" s="29">
        <f>IF(C10-Table_1463109[Egypt]&gt;0, C10-Table_1463109[Egypt], 0)</f>
        <v>0</v>
      </c>
      <c r="G10" s="29">
        <f>IF(C10-Table_1463109[Eritrea]&gt;0, C10-Table_1463109[Eritrea], 0)</f>
        <v>0</v>
      </c>
      <c r="H10" s="29">
        <f>IF(C10-Table_1463109[Ethiopia]&gt;0, C10-Table_1463109[Ethiopia], 0)</f>
        <v>0</v>
      </c>
      <c r="I10" s="29">
        <f>IF(C10-Table_1463109[Kenya]&gt;0, C10-Table_1463109[Kenya], 0)</f>
        <v>0</v>
      </c>
      <c r="J10" s="29">
        <f>IF(C10-Table_1463109[Rwanda]&gt;0, C10-Table_1463109[Rwanda], 0)</f>
        <v>0</v>
      </c>
      <c r="K10" s="29">
        <f>IF(C10-Table_1463109[Sudan]&gt;0, C10-Table_1463109[Sudan], 0)</f>
        <v>0</v>
      </c>
      <c r="L10" s="29">
        <f>IF(C10-Table_1463109[S. Sudan]&gt;0, C10-Table_1463109[S. Sudan], 0)</f>
        <v>190.14124288381805</v>
      </c>
      <c r="M10" s="29">
        <f>IF(C10-Table_1463109[Tanzania]&gt;0, C10-Table_1463109[Tanzania], 0)</f>
        <v>0</v>
      </c>
      <c r="N10" s="29">
        <f>IF(C10-Table_1463109[Uganda]&gt;0, C10-Table_1463109[Uganda], 0)</f>
        <v>0</v>
      </c>
      <c r="P10" s="21" t="s">
        <v>5</v>
      </c>
      <c r="Q10" s="97">
        <f t="shared" si="0"/>
        <v>2.2839104315936691E-4</v>
      </c>
      <c r="R10" s="97">
        <f t="shared" si="0"/>
        <v>2.2839104315936691E-4</v>
      </c>
      <c r="S10" s="97">
        <f t="shared" si="0"/>
        <v>2.2839104315936691E-4</v>
      </c>
      <c r="T10" s="97">
        <f t="shared" si="0"/>
        <v>2.2839104315936691E-4</v>
      </c>
      <c r="U10" s="97">
        <f t="shared" si="0"/>
        <v>0.57827982014681889</v>
      </c>
      <c r="V10" s="97">
        <f t="shared" si="0"/>
        <v>2.2839104315936691E-4</v>
      </c>
      <c r="W10" s="97">
        <f t="shared" si="0"/>
        <v>2.2839104315936691E-4</v>
      </c>
      <c r="X10" s="97">
        <f t="shared" si="0"/>
        <v>0.46379934604488343</v>
      </c>
      <c r="Y10" s="97">
        <f t="shared" si="0"/>
        <v>0.8778698458965597</v>
      </c>
      <c r="Z10" s="97">
        <f t="shared" si="0"/>
        <v>9.5611068356705325E-2</v>
      </c>
      <c r="AA10" s="97">
        <f t="shared" si="0"/>
        <v>0.36056001571137114</v>
      </c>
    </row>
    <row r="11" spans="1:31" ht="15" customHeight="1" x14ac:dyDescent="0.25">
      <c r="B11" s="21" t="s">
        <v>5</v>
      </c>
      <c r="C11" s="95">
        <f>Annual_sorted!M276</f>
        <v>-78.300402489623607</v>
      </c>
      <c r="D11" s="29">
        <f>IF(C11-Table_1463109[Burundi]&gt;0, C11-Table_1463109[Burundi], 0)</f>
        <v>0</v>
      </c>
      <c r="E11" s="29">
        <f>IF(C11-Table_1463109[DRC]&gt;0, C11-Table_1463109[DRC], 0)</f>
        <v>0</v>
      </c>
      <c r="F11" s="29">
        <f>IF(C11-Table_1463109[Egypt]&gt;0, C11-Table_1463109[Egypt], 0)</f>
        <v>0</v>
      </c>
      <c r="G11" s="29">
        <f>IF(C11-Table_1463109[Eritrea]&gt;0, C11-Table_1463109[Eritrea], 0)</f>
        <v>0</v>
      </c>
      <c r="H11" s="29">
        <f>IF(C11-Table_1463109[Ethiopia]&gt;0, C11-Table_1463109[Ethiopia], 0)</f>
        <v>366.87275187308938</v>
      </c>
      <c r="I11" s="29">
        <f>IF(C11-Table_1463109[Kenya]&gt;0, C11-Table_1463109[Kenya], 0)</f>
        <v>0</v>
      </c>
      <c r="J11" s="29">
        <f>IF(C11-Table_1463109[Rwanda]&gt;0, C11-Table_1463109[Rwanda], 0)</f>
        <v>0</v>
      </c>
      <c r="K11" s="29">
        <f>IF(C11-Table_1463109[Sudan]&gt;0, C11-Table_1463109[Sudan], 0)</f>
        <v>294.21526076604579</v>
      </c>
      <c r="L11" s="29">
        <f>IF(C11-Table_1463109[S. Sudan]&gt;0, C11-Table_1463109[S. Sudan], 0)</f>
        <v>557.01399475690744</v>
      </c>
      <c r="M11" s="29">
        <f>IF(C11-Table_1463109[Tanzania]&gt;0, C11-Table_1463109[Tanzania], 0)</f>
        <v>60.536664291800051</v>
      </c>
      <c r="N11" s="29">
        <f>IF(C11-Table_1463109[Uganda]&gt;0, C11-Table_1463109[Uganda], 0)</f>
        <v>228.69220293065291</v>
      </c>
      <c r="P11" s="21" t="s">
        <v>6</v>
      </c>
      <c r="Q11" s="97">
        <f t="shared" si="0"/>
        <v>2.2839104315936691E-4</v>
      </c>
      <c r="R11" s="97">
        <f t="shared" si="0"/>
        <v>6.911955876758677E-3</v>
      </c>
      <c r="S11" s="97">
        <f t="shared" si="0"/>
        <v>2.2839104315936691E-4</v>
      </c>
      <c r="T11" s="97">
        <f t="shared" si="0"/>
        <v>2.2839104315936691E-4</v>
      </c>
      <c r="U11" s="97">
        <f t="shared" si="0"/>
        <v>0.66270361809304823</v>
      </c>
      <c r="V11" s="97">
        <f t="shared" si="0"/>
        <v>8.4652188989388755E-2</v>
      </c>
      <c r="W11" s="97">
        <f t="shared" si="0"/>
        <v>2.2839104315936691E-4</v>
      </c>
      <c r="X11" s="97">
        <f t="shared" si="0"/>
        <v>0.54822314399111272</v>
      </c>
      <c r="Y11" s="97">
        <f t="shared" si="0"/>
        <v>0.96229364384278893</v>
      </c>
      <c r="Z11" s="97">
        <f t="shared" si="0"/>
        <v>0.18003486630293469</v>
      </c>
      <c r="AA11" s="97">
        <f t="shared" si="0"/>
        <v>0.44498381365760054</v>
      </c>
    </row>
    <row r="12" spans="1:31" ht="15" customHeight="1" x14ac:dyDescent="0.25">
      <c r="B12" s="21" t="s">
        <v>6</v>
      </c>
      <c r="C12" s="95">
        <f>Annual_sorted!M277</f>
        <v>-24.719026306300268</v>
      </c>
      <c r="D12" s="29">
        <f>IF(C12-Table_1463109[Burundi]&gt;0, C12-Table_1463109[Burundi], 0)</f>
        <v>0</v>
      </c>
      <c r="E12" s="29">
        <f>IF(C12-Table_1463109[DRC]&gt;0, C12-Table_1463109[DRC], 0)</f>
        <v>4.2418679366072034</v>
      </c>
      <c r="F12" s="29">
        <f>IF(C12-Table_1463109[Egypt]&gt;0, C12-Table_1463109[Egypt], 0)</f>
        <v>0</v>
      </c>
      <c r="G12" s="29">
        <f>IF(C12-Table_1463109[Eritrea]&gt;0, C12-Table_1463109[Eritrea], 0)</f>
        <v>0</v>
      </c>
      <c r="H12" s="29">
        <f>IF(C12-Table_1463109[Ethiopia]&gt;0, C12-Table_1463109[Ethiopia], 0)</f>
        <v>420.45412805641269</v>
      </c>
      <c r="I12" s="29">
        <f>IF(C12-Table_1463109[Kenya]&gt;0, C12-Table_1463109[Kenya], 0)</f>
        <v>53.581376183323343</v>
      </c>
      <c r="J12" s="29">
        <f>IF(C12-Table_1463109[Rwanda]&gt;0, C12-Table_1463109[Rwanda], 0)</f>
        <v>0</v>
      </c>
      <c r="K12" s="29">
        <f>IF(C12-Table_1463109[Sudan]&gt;0, C12-Table_1463109[Sudan], 0)</f>
        <v>347.79663694936909</v>
      </c>
      <c r="L12" s="29">
        <f>IF(C12-Table_1463109[S. Sudan]&gt;0, C12-Table_1463109[S. Sudan], 0)</f>
        <v>610.59537094023074</v>
      </c>
      <c r="M12" s="29">
        <f>IF(C12-Table_1463109[Tanzania]&gt;0, C12-Table_1463109[Tanzania], 0)</f>
        <v>114.11804047512339</v>
      </c>
      <c r="N12" s="29">
        <f>IF(C12-Table_1463109[Uganda]&gt;0, C12-Table_1463109[Uganda], 0)</f>
        <v>282.27357911397621</v>
      </c>
      <c r="P12" s="21" t="s">
        <v>7</v>
      </c>
      <c r="Q12" s="97">
        <f t="shared" si="0"/>
        <v>2.2839104315936691E-4</v>
      </c>
      <c r="R12" s="97">
        <f t="shared" si="0"/>
        <v>2.2839104315936691E-4</v>
      </c>
      <c r="S12" s="97">
        <f t="shared" si="0"/>
        <v>2.2839104315936691E-4</v>
      </c>
      <c r="T12" s="97">
        <f t="shared" si="0"/>
        <v>2.2839104315936691E-4</v>
      </c>
      <c r="U12" s="97">
        <f t="shared" si="0"/>
        <v>0.11470886514509478</v>
      </c>
      <c r="V12" s="97">
        <f t="shared" si="0"/>
        <v>2.2839104315936691E-4</v>
      </c>
      <c r="W12" s="97">
        <f t="shared" si="0"/>
        <v>2.2839104315936691E-4</v>
      </c>
      <c r="X12" s="97">
        <f t="shared" si="0"/>
        <v>2.2839104315936691E-4</v>
      </c>
      <c r="Y12" s="97">
        <f t="shared" si="0"/>
        <v>0.4142988908948354</v>
      </c>
      <c r="Z12" s="97">
        <f t="shared" si="0"/>
        <v>2.2839104315936691E-4</v>
      </c>
      <c r="AA12" s="97">
        <f t="shared" si="0"/>
        <v>2.2839104315936691E-4</v>
      </c>
    </row>
    <row r="13" spans="1:31" ht="15" customHeight="1" x14ac:dyDescent="0.25">
      <c r="B13" s="21" t="s">
        <v>7</v>
      </c>
      <c r="C13" s="95">
        <f>Annual_sorted!M278</f>
        <v>-372.51566325566938</v>
      </c>
      <c r="D13" s="29">
        <f>IF(C13-Table_1463109[Burundi]&gt;0, C13-Table_1463109[Burundi], 0)</f>
        <v>0</v>
      </c>
      <c r="E13" s="29">
        <f>IF(C13-Table_1463109[DRC]&gt;0, C13-Table_1463109[DRC], 0)</f>
        <v>0</v>
      </c>
      <c r="F13" s="29">
        <f>IF(C13-Table_1463109[Egypt]&gt;0, C13-Table_1463109[Egypt], 0)</f>
        <v>0</v>
      </c>
      <c r="G13" s="29">
        <f>IF(C13-Table_1463109[Eritrea]&gt;0, C13-Table_1463109[Eritrea], 0)</f>
        <v>0</v>
      </c>
      <c r="H13" s="29">
        <f>IF(C13-Table_1463109[Ethiopia]&gt;0, C13-Table_1463109[Ethiopia], 0)</f>
        <v>72.657491107043597</v>
      </c>
      <c r="I13" s="29">
        <f>IF(C13-Table_1463109[Kenya]&gt;0, C13-Table_1463109[Kenya], 0)</f>
        <v>0</v>
      </c>
      <c r="J13" s="29">
        <f>IF(C13-Table_1463109[Rwanda]&gt;0, C13-Table_1463109[Rwanda], 0)</f>
        <v>0</v>
      </c>
      <c r="K13" s="29">
        <f>IF(C13-Table_1463109[Sudan]&gt;0, C13-Table_1463109[Sudan], 0)</f>
        <v>0</v>
      </c>
      <c r="L13" s="29">
        <f>IF(C13-Table_1463109[S. Sudan]&gt;0, C13-Table_1463109[S. Sudan], 0)</f>
        <v>262.79873399086165</v>
      </c>
      <c r="M13" s="29">
        <f>IF(C13-Table_1463109[Tanzania]&gt;0, C13-Table_1463109[Tanzania], 0)</f>
        <v>0</v>
      </c>
      <c r="N13" s="29">
        <f>IF(C13-Table_1463109[Uganda]&gt;0, C13-Table_1463109[Uganda], 0)</f>
        <v>0</v>
      </c>
      <c r="P13" s="21" t="s">
        <v>8</v>
      </c>
      <c r="Q13" s="97">
        <f t="shared" si="0"/>
        <v>2.2839104315936691E-4</v>
      </c>
      <c r="R13" s="97">
        <f t="shared" si="0"/>
        <v>2.2839104315936691E-4</v>
      </c>
      <c r="S13" s="97">
        <f t="shared" si="0"/>
        <v>2.2839104315936691E-4</v>
      </c>
      <c r="T13" s="97">
        <f t="shared" si="0"/>
        <v>2.2839104315936691E-4</v>
      </c>
      <c r="U13" s="97">
        <f t="shared" si="0"/>
        <v>2.2839104315936691E-4</v>
      </c>
      <c r="V13" s="97">
        <f t="shared" si="0"/>
        <v>2.2839104315936691E-4</v>
      </c>
      <c r="W13" s="97">
        <f t="shared" si="0"/>
        <v>2.2839104315936691E-4</v>
      </c>
      <c r="X13" s="97">
        <f t="shared" si="0"/>
        <v>2.2839104315936691E-4</v>
      </c>
      <c r="Y13" s="97">
        <f t="shared" si="0"/>
        <v>2.2839104315936691E-4</v>
      </c>
      <c r="Z13" s="97">
        <f t="shared" si="0"/>
        <v>2.2839104315936691E-4</v>
      </c>
      <c r="AA13" s="97">
        <f t="shared" si="0"/>
        <v>2.2839104315936691E-4</v>
      </c>
    </row>
    <row r="14" spans="1:31" ht="15" customHeight="1" x14ac:dyDescent="0.25">
      <c r="B14" s="21" t="s">
        <v>8</v>
      </c>
      <c r="C14" s="95">
        <f>Annual_sorted!M279</f>
        <v>-635.31439724653103</v>
      </c>
      <c r="D14" s="29">
        <f>IF(C14-Table_1463109[Burundi]&gt;0, C14-Table_1463109[Burundi], 0)</f>
        <v>0</v>
      </c>
      <c r="E14" s="29">
        <f>IF(C14-Table_1463109[DRC]&gt;0, C14-Table_1463109[DRC], 0)</f>
        <v>0</v>
      </c>
      <c r="F14" s="29">
        <f>IF(C14-Table_1463109[Egypt]&gt;0, C14-Table_1463109[Egypt], 0)</f>
        <v>0</v>
      </c>
      <c r="G14" s="29">
        <f>IF(C14-Table_1463109[Eritrea]&gt;0, C14-Table_1463109[Eritrea], 0)</f>
        <v>0</v>
      </c>
      <c r="H14" s="29">
        <f>IF(C14-Table_1463109[Ethiopia]&gt;0, C14-Table_1463109[Ethiopia], 0)</f>
        <v>0</v>
      </c>
      <c r="I14" s="29">
        <f>IF(C14-Table_1463109[Kenya]&gt;0, C14-Table_1463109[Kenya], 0)</f>
        <v>0</v>
      </c>
      <c r="J14" s="29">
        <f>IF(C14-Table_1463109[Rwanda]&gt;0, C14-Table_1463109[Rwanda], 0)</f>
        <v>0</v>
      </c>
      <c r="K14" s="29">
        <f>IF(C14-Table_1463109[Sudan]&gt;0, C14-Table_1463109[Sudan], 0)</f>
        <v>0</v>
      </c>
      <c r="L14" s="29">
        <f>IF(C14-Table_1463109[S. Sudan]&gt;0, C14-Table_1463109[S. Sudan], 0)</f>
        <v>0</v>
      </c>
      <c r="M14" s="29">
        <f>IF(C14-Table_1463109[Tanzania]&gt;0, C14-Table_1463109[Tanzania], 0)</f>
        <v>0</v>
      </c>
      <c r="N14" s="29">
        <f>IF(C14-Table_1463109[Uganda]&gt;0, C14-Table_1463109[Uganda], 0)</f>
        <v>0</v>
      </c>
      <c r="P14" s="21" t="s">
        <v>9</v>
      </c>
      <c r="Q14" s="97">
        <f t="shared" si="0"/>
        <v>2.2839104315936691E-4</v>
      </c>
      <c r="R14" s="97">
        <f t="shared" si="0"/>
        <v>2.2839104315936691E-4</v>
      </c>
      <c r="S14" s="97">
        <f t="shared" si="0"/>
        <v>2.2839104315936691E-4</v>
      </c>
      <c r="T14" s="97">
        <f t="shared" si="0"/>
        <v>2.2839104315936691E-4</v>
      </c>
      <c r="U14" s="97">
        <f t="shared" si="0"/>
        <v>0.48289714283327301</v>
      </c>
      <c r="V14" s="97">
        <f t="shared" si="0"/>
        <v>2.2839104315936691E-4</v>
      </c>
      <c r="W14" s="97">
        <f t="shared" si="0"/>
        <v>2.2839104315936691E-4</v>
      </c>
      <c r="X14" s="97">
        <f t="shared" si="0"/>
        <v>0.36841666873133755</v>
      </c>
      <c r="Y14" s="97">
        <f t="shared" si="0"/>
        <v>0.78248716858301359</v>
      </c>
      <c r="Z14" s="97">
        <f t="shared" si="0"/>
        <v>2.2839104315936691E-4</v>
      </c>
      <c r="AA14" s="97">
        <f t="shared" si="0"/>
        <v>0.2651773383978252</v>
      </c>
    </row>
    <row r="15" spans="1:31" ht="15" customHeight="1" thickBot="1" x14ac:dyDescent="0.3">
      <c r="B15" s="21" t="s">
        <v>9</v>
      </c>
      <c r="C15" s="95">
        <f>Annual_sorted!M280</f>
        <v>-138.83706678142366</v>
      </c>
      <c r="D15" s="29">
        <f>IF(C15-Table_1463109[Burundi]&gt;0, C15-Table_1463109[Burundi], 0)</f>
        <v>0</v>
      </c>
      <c r="E15" s="29">
        <f>IF(C15-Table_1463109[DRC]&gt;0, C15-Table_1463109[DRC], 0)</f>
        <v>0</v>
      </c>
      <c r="F15" s="29">
        <f>IF(C15-Table_1463109[Egypt]&gt;0, C15-Table_1463109[Egypt], 0)</f>
        <v>0</v>
      </c>
      <c r="G15" s="29">
        <f>IF(C15-Table_1463109[Eritrea]&gt;0, C15-Table_1463109[Eritrea], 0)</f>
        <v>0</v>
      </c>
      <c r="H15" s="29">
        <f>IF(C15-Table_1463109[Ethiopia]&gt;0, C15-Table_1463109[Ethiopia], 0)</f>
        <v>306.33608758128935</v>
      </c>
      <c r="I15" s="29">
        <f>IF(C15-Table_1463109[Kenya]&gt;0, C15-Table_1463109[Kenya], 0)</f>
        <v>0</v>
      </c>
      <c r="J15" s="29">
        <f>IF(C15-Table_1463109[Rwanda]&gt;0, C15-Table_1463109[Rwanda], 0)</f>
        <v>0</v>
      </c>
      <c r="K15" s="29">
        <f>IF(C15-Table_1463109[Sudan]&gt;0, C15-Table_1463109[Sudan], 0)</f>
        <v>233.67859647424572</v>
      </c>
      <c r="L15" s="29">
        <f>IF(C15-Table_1463109[S. Sudan]&gt;0, C15-Table_1463109[S. Sudan], 0)</f>
        <v>496.47733046510734</v>
      </c>
      <c r="M15" s="29">
        <f>IF(C15-Table_1463109[Tanzania]&gt;0, C15-Table_1463109[Tanzania], 0)</f>
        <v>0</v>
      </c>
      <c r="N15" s="29">
        <f>IF(C15-Table_1463109[Uganda]&gt;0, C15-Table_1463109[Uganda], 0)</f>
        <v>168.15553863885285</v>
      </c>
      <c r="P15" s="22" t="s">
        <v>10</v>
      </c>
      <c r="Q15" s="98">
        <f t="shared" si="0"/>
        <v>2.2839104315936691E-4</v>
      </c>
      <c r="R15" s="98">
        <f t="shared" si="0"/>
        <v>2.2839104315936691E-4</v>
      </c>
      <c r="S15" s="98">
        <f t="shared" si="0"/>
        <v>2.2839104315936691E-4</v>
      </c>
      <c r="T15" s="98">
        <f t="shared" si="0"/>
        <v>2.2839104315936691E-4</v>
      </c>
      <c r="U15" s="98">
        <f t="shared" si="0"/>
        <v>0.21794819547860714</v>
      </c>
      <c r="V15" s="98">
        <f t="shared" si="0"/>
        <v>2.2839104315936691E-4</v>
      </c>
      <c r="W15" s="98">
        <f t="shared" si="0"/>
        <v>2.2839104315936691E-4</v>
      </c>
      <c r="X15" s="98">
        <f t="shared" si="0"/>
        <v>0.10346772137667173</v>
      </c>
      <c r="Y15" s="98">
        <f t="shared" si="0"/>
        <v>0.51753822122834781</v>
      </c>
      <c r="Z15" s="98">
        <f t="shared" si="0"/>
        <v>2.2839104315936691E-4</v>
      </c>
      <c r="AA15" s="98">
        <f t="shared" si="0"/>
        <v>2.2839104315936691E-4</v>
      </c>
    </row>
    <row r="16" spans="1:31" ht="15" customHeight="1" thickBot="1" x14ac:dyDescent="0.3">
      <c r="B16" s="22" t="s">
        <v>10</v>
      </c>
      <c r="C16" s="96">
        <f>Annual_sorted!M281</f>
        <v>-306.9926054202765</v>
      </c>
      <c r="D16" s="32">
        <f>IF(C16-Table_1463109[Burundi]&gt;0, C16-Table_1463109[Burundi], 0)</f>
        <v>0</v>
      </c>
      <c r="E16" s="32">
        <f>IF(C16-Table_1463109[DRC]&gt;0, C16-Table_1463109[DRC], 0)</f>
        <v>0</v>
      </c>
      <c r="F16" s="32">
        <f>IF(C16-Table_1463109[Egypt]&gt;0, C16-Table_1463109[Egypt], 0)</f>
        <v>0</v>
      </c>
      <c r="G16" s="32">
        <f>IF(C16-Table_1463109[Eritrea]&gt;0, C16-Table_1463109[Eritrea], 0)</f>
        <v>0</v>
      </c>
      <c r="H16" s="32">
        <f>IF(C16-Table_1463109[Ethiopia]&gt;0, C16-Table_1463109[Ethiopia], 0)</f>
        <v>138.18054894243647</v>
      </c>
      <c r="I16" s="32">
        <f>IF(C16-Table_1463109[Kenya]&gt;0, C16-Table_1463109[Kenya], 0)</f>
        <v>0</v>
      </c>
      <c r="J16" s="32">
        <f>IF(C16-Table_1463109[Rwanda]&gt;0, C16-Table_1463109[Rwanda], 0)</f>
        <v>0</v>
      </c>
      <c r="K16" s="32">
        <f>IF(C16-Table_1463109[Sudan]&gt;0, C16-Table_1463109[Sudan], 0)</f>
        <v>65.523057835392876</v>
      </c>
      <c r="L16" s="32">
        <f>IF(C16-Table_1463109[S. Sudan]&gt;0, C16-Table_1463109[S. Sudan], 0)</f>
        <v>328.32179182625453</v>
      </c>
      <c r="M16" s="32">
        <f>IF(C16-Table_1463109[Tanzania]&gt;0, C16-Table_1463109[Tanzania], 0)</f>
        <v>0</v>
      </c>
      <c r="N16" s="32">
        <f>IF(C16-Table_1463109[Uganda]&gt;0, C16-Table_1463109[Uganda], 0)</f>
        <v>0</v>
      </c>
      <c r="Q16" s="186">
        <f t="shared" ref="Q16:X16" si="1">SUM(Q5:Q15)</f>
        <v>2.6365343038235081E-2</v>
      </c>
      <c r="R16" s="186">
        <f t="shared" si="1"/>
        <v>9.697437302434099E-2</v>
      </c>
      <c r="S16" s="186">
        <f t="shared" si="1"/>
        <v>2.5123014747530353E-3</v>
      </c>
      <c r="T16" s="186">
        <f t="shared" si="1"/>
        <v>2.4822125124553816E-2</v>
      </c>
      <c r="U16" s="186">
        <f t="shared" si="1"/>
        <v>4.768853143536945</v>
      </c>
      <c r="V16" s="186">
        <f t="shared" si="1"/>
        <v>0.4856755385874913</v>
      </c>
      <c r="W16" s="186">
        <f t="shared" si="1"/>
        <v>7.0240113689943776E-2</v>
      </c>
      <c r="X16" s="186">
        <f t="shared" si="1"/>
        <v>3.7385288766195273</v>
      </c>
      <c r="Y16" s="186">
        <f>SUM(Y5:Y15)</f>
        <v>7.7647534010343522</v>
      </c>
      <c r="Z16" s="186">
        <f t="shared" ref="Z16:AA16" si="2">SUM(Z5:Z15)</f>
        <v>1.0579716024687666</v>
      </c>
      <c r="AA16" s="186">
        <f t="shared" si="2"/>
        <v>2.9126142339514285</v>
      </c>
      <c r="AB16" s="186">
        <f>SUM(Q5:AA15)</f>
        <v>20.949311052550293</v>
      </c>
    </row>
    <row r="18" spans="2:31" ht="12.75" customHeight="1" x14ac:dyDescent="0.25">
      <c r="B18" s="5"/>
      <c r="C18" s="5"/>
      <c r="D18" s="5"/>
      <c r="E18" s="5"/>
      <c r="F18" s="5"/>
      <c r="G18" s="5"/>
      <c r="H18" s="5"/>
      <c r="I18" s="5"/>
      <c r="J18" s="5"/>
      <c r="K18" s="5"/>
      <c r="L18" s="5"/>
      <c r="M18" s="5"/>
      <c r="N18" s="5"/>
    </row>
    <row r="19" spans="2:31" ht="12.75" customHeight="1" x14ac:dyDescent="0.25">
      <c r="B19" s="5"/>
      <c r="C19" s="5"/>
      <c r="D19" s="5"/>
      <c r="E19" s="5"/>
      <c r="F19" s="5"/>
      <c r="G19" s="5"/>
      <c r="H19" s="5"/>
      <c r="I19" s="5"/>
      <c r="J19" s="5"/>
      <c r="K19" s="5"/>
      <c r="L19" s="5"/>
      <c r="M19" s="5"/>
      <c r="N19" s="44"/>
      <c r="O19" s="5"/>
      <c r="P19" s="5"/>
      <c r="Q19" s="5"/>
      <c r="R19" s="5"/>
      <c r="S19" s="5"/>
      <c r="T19" s="5"/>
      <c r="U19" s="5"/>
      <c r="V19" s="5"/>
      <c r="W19" s="5"/>
      <c r="X19" s="5"/>
      <c r="Y19" s="5"/>
      <c r="Z19" s="5"/>
      <c r="AA19" s="5"/>
    </row>
    <row r="20" spans="2:31" ht="12.75" customHeight="1" x14ac:dyDescent="0.25">
      <c r="B20" s="5"/>
      <c r="C20" s="5"/>
      <c r="D20" s="5"/>
      <c r="E20" s="5"/>
      <c r="F20" s="5"/>
      <c r="G20" s="5"/>
      <c r="H20" s="5"/>
      <c r="I20" s="5"/>
      <c r="J20" s="5"/>
      <c r="K20" s="5"/>
      <c r="L20" s="5"/>
      <c r="M20" s="5"/>
      <c r="N20" s="44"/>
      <c r="O20" s="5"/>
      <c r="P20" s="5"/>
      <c r="Q20" s="5"/>
      <c r="R20" s="5"/>
      <c r="S20" s="5"/>
      <c r="T20" s="5"/>
      <c r="U20" s="5"/>
      <c r="V20" s="5"/>
      <c r="W20" s="5"/>
      <c r="X20" s="5"/>
      <c r="Y20" s="5"/>
      <c r="Z20" s="5"/>
      <c r="AA20" s="5"/>
    </row>
    <row r="21" spans="2:31" ht="12.75" customHeight="1" thickBot="1" x14ac:dyDescent="0.3">
      <c r="B21" s="253" t="s">
        <v>102</v>
      </c>
      <c r="C21" s="253"/>
      <c r="D21" s="253"/>
      <c r="E21" s="253"/>
      <c r="F21" s="253"/>
      <c r="G21" s="253"/>
      <c r="H21" s="253"/>
      <c r="I21" s="253"/>
      <c r="J21" s="253"/>
      <c r="K21" s="253"/>
      <c r="L21" s="253"/>
      <c r="M21" s="253"/>
      <c r="N21" s="253"/>
      <c r="P21" s="253" t="s">
        <v>103</v>
      </c>
      <c r="Q21" s="253"/>
      <c r="R21" s="253"/>
      <c r="S21" s="253"/>
      <c r="T21" s="253"/>
      <c r="U21" s="253"/>
      <c r="V21" s="253"/>
      <c r="W21" s="253"/>
      <c r="X21" s="253"/>
      <c r="Y21" s="253"/>
      <c r="Z21" s="253"/>
      <c r="AA21" s="253"/>
      <c r="AB21" s="10"/>
      <c r="AC21" s="3" t="s">
        <v>22</v>
      </c>
      <c r="AD21" s="13" t="s">
        <v>23</v>
      </c>
      <c r="AE21" s="74">
        <f t="array" ref="AE21">MIN(IF(D24:N34&gt;0,D24:N34))</f>
        <v>0.66287209873269148</v>
      </c>
    </row>
    <row r="22" spans="2:31" ht="12.75" customHeight="1" thickBot="1" x14ac:dyDescent="0.3">
      <c r="B22" s="75" t="s">
        <v>13</v>
      </c>
      <c r="C22" s="66" t="s">
        <v>14</v>
      </c>
      <c r="D22" s="67" t="s">
        <v>1</v>
      </c>
      <c r="E22" s="67" t="s">
        <v>195</v>
      </c>
      <c r="F22" s="67" t="s">
        <v>2</v>
      </c>
      <c r="G22" s="67" t="s">
        <v>3</v>
      </c>
      <c r="H22" s="67" t="s">
        <v>4</v>
      </c>
      <c r="I22" s="67" t="s">
        <v>5</v>
      </c>
      <c r="J22" s="67" t="s">
        <v>6</v>
      </c>
      <c r="K22" s="67" t="s">
        <v>7</v>
      </c>
      <c r="L22" s="67" t="s">
        <v>295</v>
      </c>
      <c r="M22" s="67" t="s">
        <v>9</v>
      </c>
      <c r="N22" s="67" t="s">
        <v>10</v>
      </c>
      <c r="P22" s="76" t="s">
        <v>19</v>
      </c>
      <c r="Q22" s="77" t="s">
        <v>1</v>
      </c>
      <c r="R22" s="77" t="s">
        <v>195</v>
      </c>
      <c r="S22" s="77" t="s">
        <v>2</v>
      </c>
      <c r="T22" s="77" t="s">
        <v>3</v>
      </c>
      <c r="U22" s="77" t="s">
        <v>4</v>
      </c>
      <c r="V22" s="77" t="s">
        <v>5</v>
      </c>
      <c r="W22" s="77" t="s">
        <v>6</v>
      </c>
      <c r="X22" s="77" t="s">
        <v>7</v>
      </c>
      <c r="Y22" s="77" t="s">
        <v>295</v>
      </c>
      <c r="Z22" s="77" t="s">
        <v>9</v>
      </c>
      <c r="AA22" s="77" t="s">
        <v>10</v>
      </c>
      <c r="AB22" s="254" t="s">
        <v>26</v>
      </c>
      <c r="AC22" s="254"/>
      <c r="AD22" s="13" t="s">
        <v>24</v>
      </c>
      <c r="AE22" s="20">
        <f>MAX(D24:N34)</f>
        <v>717.85891854842566</v>
      </c>
    </row>
    <row r="23" spans="2:31" ht="13.2" x14ac:dyDescent="0.25">
      <c r="B23" s="93"/>
      <c r="C23" s="94" t="s">
        <v>258</v>
      </c>
      <c r="D23" s="95">
        <f>C24</f>
        <v>-14.227597601780237</v>
      </c>
      <c r="E23" s="95">
        <f>C25</f>
        <v>-26.777475004015983</v>
      </c>
      <c r="F23" s="95">
        <f>C26</f>
        <v>-61.016718812962935</v>
      </c>
      <c r="G23" s="95">
        <f>C27</f>
        <v>-11.487538183143537</v>
      </c>
      <c r="H23" s="95">
        <f>C28</f>
        <v>-341.71750683920999</v>
      </c>
      <c r="I23" s="95">
        <f>C29</f>
        <v>-61.679590911695627</v>
      </c>
      <c r="J23" s="95">
        <f>C30</f>
        <v>-21.206122068669817</v>
      </c>
      <c r="K23" s="95">
        <f>C31</f>
        <v>-430.26698573044257</v>
      </c>
      <c r="L23" s="95">
        <f>C32</f>
        <v>-729.34645673156922</v>
      </c>
      <c r="M23" s="95">
        <f>C33</f>
        <v>-126.19744659497381</v>
      </c>
      <c r="N23" s="95">
        <f>C34</f>
        <v>-317.22557594123674</v>
      </c>
      <c r="P23" s="21" t="s">
        <v>1</v>
      </c>
      <c r="Q23" s="97">
        <f>AE23+(D24-AE21)*(AE24-AE23)/(AE22-AE21)</f>
        <v>7.6669161922926477E-5</v>
      </c>
      <c r="R23" s="97">
        <f t="shared" ref="R23:AA33" si="3">$AE$23+(E24-$AE$21)*($AE$24-$AE$23)/($AE$22-$AE$21)</f>
        <v>1.7557701840360772E-2</v>
      </c>
      <c r="S23" s="97">
        <f t="shared" si="3"/>
        <v>6.5250386057544726E-2</v>
      </c>
      <c r="T23" s="97">
        <f t="shared" si="3"/>
        <v>7.6669161922926477E-5</v>
      </c>
      <c r="U23" s="97">
        <f t="shared" si="3"/>
        <v>0.45624541262855445</v>
      </c>
      <c r="V23" s="97">
        <f t="shared" si="3"/>
        <v>6.6173716895621806E-2</v>
      </c>
      <c r="W23" s="97">
        <f t="shared" si="3"/>
        <v>9.7972274066785367E-3</v>
      </c>
      <c r="X23" s="97">
        <f t="shared" si="3"/>
        <v>0.57958815810274655</v>
      </c>
      <c r="Y23" s="97">
        <f t="shared" si="3"/>
        <v>0.99618330389191567</v>
      </c>
      <c r="Z23" s="97">
        <f t="shared" si="3"/>
        <v>0.15604222376575266</v>
      </c>
      <c r="AA23" s="97">
        <f t="shared" si="3"/>
        <v>0.42213000012984442</v>
      </c>
      <c r="AD23" s="3" t="s">
        <v>25</v>
      </c>
      <c r="AE23" s="2">
        <v>1E-3</v>
      </c>
    </row>
    <row r="24" spans="2:31" ht="12.75" customHeight="1" x14ac:dyDescent="0.25">
      <c r="B24" s="21" t="s">
        <v>1</v>
      </c>
      <c r="C24" s="95">
        <f>Annual_sorted!N271</f>
        <v>-14.227597601780237</v>
      </c>
      <c r="D24" s="29">
        <f>IF(C24-Table_146341211[Burundi]&gt;0, C24-Table_146341211[Burundi], 0)</f>
        <v>0</v>
      </c>
      <c r="E24" s="29">
        <f>IF(C24-Table_146341211[DRC]&gt;0, C24-Table_146341211[DRC], 0)</f>
        <v>12.549877402235746</v>
      </c>
      <c r="F24" s="29">
        <f>IF(C24-Table_146341211[Egypt]&gt;0, C24-Table_146341211[Egypt], 0)</f>
        <v>46.789121211182696</v>
      </c>
      <c r="G24" s="29">
        <f>IF(C24-Table_146341211[Eritrea]&gt;0, C24-Table_146341211[Eritrea], 0)</f>
        <v>0</v>
      </c>
      <c r="H24" s="29">
        <f>IF(C24-Table_146341211[Ethiopia]&gt;0, C24-Table_146341211[Ethiopia], 0)</f>
        <v>327.48990923742974</v>
      </c>
      <c r="I24" s="29">
        <f>IF(C24-Table_146341211[Kenya]&gt;0, C24-Table_146341211[Kenya], 0)</f>
        <v>47.451993309915387</v>
      </c>
      <c r="J24" s="29">
        <f>IF(C24-Table_146341211[Rwanda]&gt;0, C24-Table_146341211[Rwanda], 0)</f>
        <v>6.9785244668895796</v>
      </c>
      <c r="K24" s="29">
        <f>IF(C24-Table_146341211[Sudan]&gt;0, C24-Table_146341211[Sudan], 0)</f>
        <v>416.03938812866232</v>
      </c>
      <c r="L24" s="29">
        <f>IF(C24-Table_146341211[S. Sudan]&gt;0, C24-Table_146341211[S. Sudan], 0)</f>
        <v>715.11885912978903</v>
      </c>
      <c r="M24" s="29">
        <f>IF(C24-Table_146341211[Tanzania]&gt;0, C24-Table_146341211[Tanzania], 0)</f>
        <v>111.96984899319358</v>
      </c>
      <c r="N24" s="29">
        <f>IF(C24-Table_146341211[Uganda]&gt;0, C24-Table_146341211[Uganda], 0)</f>
        <v>302.99797833945649</v>
      </c>
      <c r="P24" s="21" t="s">
        <v>195</v>
      </c>
      <c r="Q24" s="97">
        <f t="shared" ref="Q24:Q33" si="4">$AE$23+(D25-$AE$21)*($AE$24-$AE$23)/($AE$22-$AE$21)</f>
        <v>7.6669161922926477E-5</v>
      </c>
      <c r="R24" s="97">
        <f t="shared" si="3"/>
        <v>7.6669161922926477E-5</v>
      </c>
      <c r="S24" s="97">
        <f t="shared" si="3"/>
        <v>4.7769353379106892E-2</v>
      </c>
      <c r="T24" s="97">
        <f t="shared" si="3"/>
        <v>7.6669161922926477E-5</v>
      </c>
      <c r="U24" s="97">
        <f t="shared" si="3"/>
        <v>0.43876437995011663</v>
      </c>
      <c r="V24" s="97">
        <f t="shared" si="3"/>
        <v>4.8692684217183958E-2</v>
      </c>
      <c r="W24" s="97">
        <f t="shared" si="3"/>
        <v>7.6669161922926477E-5</v>
      </c>
      <c r="X24" s="97">
        <f t="shared" si="3"/>
        <v>0.56210712542430874</v>
      </c>
      <c r="Y24" s="97">
        <f t="shared" si="3"/>
        <v>0.97870227121347786</v>
      </c>
      <c r="Z24" s="97">
        <f t="shared" si="3"/>
        <v>0.13856119108731479</v>
      </c>
      <c r="AA24" s="97">
        <f t="shared" si="3"/>
        <v>0.4046489674514066</v>
      </c>
      <c r="AD24" s="3" t="s">
        <v>70</v>
      </c>
      <c r="AE24" s="2">
        <v>1</v>
      </c>
    </row>
    <row r="25" spans="2:31" ht="12.75" customHeight="1" x14ac:dyDescent="0.25">
      <c r="B25" s="21" t="s">
        <v>195</v>
      </c>
      <c r="C25" s="95">
        <f>Annual_sorted!N272</f>
        <v>-26.777475004015983</v>
      </c>
      <c r="D25" s="29">
        <f>IF(C25-Table_146341211[Burundi]&gt;0, C25-Table_146341211[Burundi], 0)</f>
        <v>0</v>
      </c>
      <c r="E25" s="29">
        <f>IF(C25-Table_146341211[DRC]&gt;0, C25-Table_146341211[DRC], 0)</f>
        <v>0</v>
      </c>
      <c r="F25" s="29">
        <f>IF(C25-Table_146341211[Egypt]&gt;0, C25-Table_146341211[Egypt], 0)</f>
        <v>34.239243808946952</v>
      </c>
      <c r="G25" s="29">
        <f>IF(C25-Table_146341211[Eritrea]&gt;0, C25-Table_146341211[Eritrea], 0)</f>
        <v>0</v>
      </c>
      <c r="H25" s="29">
        <f>IF(C25-Table_146341211[Ethiopia]&gt;0, C25-Table_146341211[Ethiopia], 0)</f>
        <v>314.94003183519402</v>
      </c>
      <c r="I25" s="29">
        <f>IF(C25-Table_146341211[Kenya]&gt;0, C25-Table_146341211[Kenya], 0)</f>
        <v>34.902115907679644</v>
      </c>
      <c r="J25" s="29">
        <f>IF(C25-Table_146341211[Rwanda]&gt;0, C25-Table_146341211[Rwanda], 0)</f>
        <v>0</v>
      </c>
      <c r="K25" s="29">
        <f>IF(C25-Table_146341211[Sudan]&gt;0, C25-Table_146341211[Sudan], 0)</f>
        <v>403.4895107264266</v>
      </c>
      <c r="L25" s="29">
        <f>IF(C25-Table_146341211[S. Sudan]&gt;0, C25-Table_146341211[S. Sudan], 0)</f>
        <v>702.56898172755325</v>
      </c>
      <c r="M25" s="29">
        <f>IF(C25-Table_146341211[Tanzania]&gt;0, C25-Table_146341211[Tanzania], 0)</f>
        <v>99.419971590957829</v>
      </c>
      <c r="N25" s="29">
        <f>IF(C25-Table_146341211[Uganda]&gt;0, C25-Table_146341211[Uganda], 0)</f>
        <v>290.44810093722077</v>
      </c>
      <c r="P25" s="21" t="s">
        <v>2</v>
      </c>
      <c r="Q25" s="97">
        <f t="shared" si="4"/>
        <v>7.6669161922926477E-5</v>
      </c>
      <c r="R25" s="97">
        <f t="shared" si="3"/>
        <v>7.6669161922926477E-5</v>
      </c>
      <c r="S25" s="97">
        <f t="shared" si="3"/>
        <v>7.6669161922926477E-5</v>
      </c>
      <c r="T25" s="97">
        <f t="shared" si="3"/>
        <v>7.6669161922926477E-5</v>
      </c>
      <c r="U25" s="97">
        <f t="shared" si="3"/>
        <v>0.39107169573293266</v>
      </c>
      <c r="V25" s="97">
        <f t="shared" si="3"/>
        <v>1E-3</v>
      </c>
      <c r="W25" s="97">
        <f t="shared" si="3"/>
        <v>7.6669161922926477E-5</v>
      </c>
      <c r="X25" s="97">
        <f t="shared" si="3"/>
        <v>0.51441444120712476</v>
      </c>
      <c r="Y25" s="97">
        <f t="shared" si="3"/>
        <v>0.93100958699629377</v>
      </c>
      <c r="Z25" s="97">
        <f t="shared" si="3"/>
        <v>9.0868506870130844E-2</v>
      </c>
      <c r="AA25" s="97">
        <f t="shared" si="3"/>
        <v>0.35695628323422257</v>
      </c>
    </row>
    <row r="26" spans="2:31" ht="12.75" customHeight="1" x14ac:dyDescent="0.25">
      <c r="B26" s="21" t="s">
        <v>2</v>
      </c>
      <c r="C26" s="95">
        <f>Annual_sorted!N273</f>
        <v>-61.016718812962935</v>
      </c>
      <c r="D26" s="29">
        <f>IF(C26-Table_146341211[Burundi]&gt;0, C26-Table_146341211[Burundi], 0)</f>
        <v>0</v>
      </c>
      <c r="E26" s="29">
        <f>IF(C26-Table_146341211[DRC]&gt;0, C26-Table_146341211[DRC], 0)</f>
        <v>0</v>
      </c>
      <c r="F26" s="29">
        <f>IF(C26-Table_146341211[Egypt]&gt;0, C26-Table_146341211[Egypt], 0)</f>
        <v>0</v>
      </c>
      <c r="G26" s="29">
        <f>IF(C26-Table_146341211[Eritrea]&gt;0, C26-Table_146341211[Eritrea], 0)</f>
        <v>0</v>
      </c>
      <c r="H26" s="29">
        <f>IF(C26-Table_146341211[Ethiopia]&gt;0, C26-Table_146341211[Ethiopia], 0)</f>
        <v>280.70078802624704</v>
      </c>
      <c r="I26" s="29">
        <f>IF(C26-Table_146341211[Kenya]&gt;0, C26-Table_146341211[Kenya], 0)</f>
        <v>0.66287209873269148</v>
      </c>
      <c r="J26" s="29">
        <f>IF(C26-Table_146341211[Rwanda]&gt;0, C26-Table_146341211[Rwanda], 0)</f>
        <v>0</v>
      </c>
      <c r="K26" s="29">
        <f>IF(C26-Table_146341211[Sudan]&gt;0, C26-Table_146341211[Sudan], 0)</f>
        <v>369.25026691747962</v>
      </c>
      <c r="L26" s="29">
        <f>IF(C26-Table_146341211[S. Sudan]&gt;0, C26-Table_146341211[S. Sudan], 0)</f>
        <v>668.32973791860627</v>
      </c>
      <c r="M26" s="29">
        <f>IF(C26-Table_146341211[Tanzania]&gt;0, C26-Table_146341211[Tanzania], 0)</f>
        <v>65.180727782010877</v>
      </c>
      <c r="N26" s="29">
        <f>IF(C26-Table_146341211[Uganda]&gt;0, C26-Table_146341211[Uganda], 0)</f>
        <v>256.20885712827379</v>
      </c>
      <c r="P26" s="21" t="s">
        <v>3</v>
      </c>
      <c r="Q26" s="97">
        <f t="shared" si="4"/>
        <v>3.8933652700073301E-3</v>
      </c>
      <c r="R26" s="97">
        <f t="shared" si="3"/>
        <v>2.1374397948445176E-2</v>
      </c>
      <c r="S26" s="97">
        <f t="shared" si="3"/>
        <v>6.9067082165629137E-2</v>
      </c>
      <c r="T26" s="97">
        <f t="shared" si="3"/>
        <v>7.6669161922926477E-5</v>
      </c>
      <c r="U26" s="97">
        <f t="shared" si="3"/>
        <v>0.46006210873663878</v>
      </c>
      <c r="V26" s="97">
        <f t="shared" si="3"/>
        <v>6.9990413003706217E-2</v>
      </c>
      <c r="W26" s="97">
        <f t="shared" si="3"/>
        <v>1.3613923514762941E-2</v>
      </c>
      <c r="X26" s="97">
        <f t="shared" si="3"/>
        <v>0.58340485421083099</v>
      </c>
      <c r="Y26" s="97">
        <f>$AE$23+(L27-$AE$21)*($AE$24-$AE$23)/($AE$22-$AE$21)</f>
        <v>1</v>
      </c>
      <c r="Z26" s="97">
        <f t="shared" si="3"/>
        <v>0.15985891987383705</v>
      </c>
      <c r="AA26" s="97">
        <f t="shared" si="3"/>
        <v>0.42594669623792875</v>
      </c>
    </row>
    <row r="27" spans="2:31" ht="12.75" customHeight="1" x14ac:dyDescent="0.25">
      <c r="B27" s="21" t="s">
        <v>3</v>
      </c>
      <c r="C27" s="95">
        <f>Annual_sorted!N274</f>
        <v>-11.487538183143537</v>
      </c>
      <c r="D27" s="29">
        <f>IF(C27-Table_146341211[Burundi]&gt;0, C27-Table_146341211[Burundi], 0)</f>
        <v>2.7400594186367009</v>
      </c>
      <c r="E27" s="29">
        <f>IF(C27-Table_146341211[DRC]&gt;0, C27-Table_146341211[DRC], 0)</f>
        <v>15.289936820872446</v>
      </c>
      <c r="F27" s="29">
        <f>IF(C27-Table_146341211[Egypt]&gt;0, C27-Table_146341211[Egypt], 0)</f>
        <v>49.5291806298194</v>
      </c>
      <c r="G27" s="29">
        <f>IF(C27-Table_146341211[Eritrea]&gt;0, C27-Table_146341211[Eritrea], 0)</f>
        <v>0</v>
      </c>
      <c r="H27" s="29">
        <f>IF(C27-Table_146341211[Ethiopia]&gt;0, C27-Table_146341211[Ethiopia], 0)</f>
        <v>330.22996865606643</v>
      </c>
      <c r="I27" s="29">
        <f>IF(C27-Table_146341211[Kenya]&gt;0, C27-Table_146341211[Kenya], 0)</f>
        <v>50.192052728552092</v>
      </c>
      <c r="J27" s="29">
        <f>IF(C27-Table_146341211[Rwanda]&gt;0, C27-Table_146341211[Rwanda], 0)</f>
        <v>9.7185838855262805</v>
      </c>
      <c r="K27" s="29">
        <f>IF(C27-Table_146341211[Sudan]&gt;0, C27-Table_146341211[Sudan], 0)</f>
        <v>418.77944754729901</v>
      </c>
      <c r="L27" s="29">
        <f>IF(C27-Table_146341211[S. Sudan]&gt;0, C27-Table_146341211[S. Sudan], 0)</f>
        <v>717.85891854842566</v>
      </c>
      <c r="M27" s="29">
        <f>IF(C27-Table_146341211[Tanzania]&gt;0, C27-Table_146341211[Tanzania], 0)</f>
        <v>114.70990841183027</v>
      </c>
      <c r="N27" s="29">
        <f>IF(C27-Table_146341211[Uganda]&gt;0, C27-Table_146341211[Uganda], 0)</f>
        <v>305.73803775809318</v>
      </c>
      <c r="P27" s="21" t="s">
        <v>4</v>
      </c>
      <c r="Q27" s="97">
        <f t="shared" si="4"/>
        <v>7.6669161922926477E-5</v>
      </c>
      <c r="R27" s="97">
        <f t="shared" si="3"/>
        <v>7.6669161922926477E-5</v>
      </c>
      <c r="S27" s="97">
        <f t="shared" si="3"/>
        <v>7.6669161922926477E-5</v>
      </c>
      <c r="T27" s="97">
        <f t="shared" si="3"/>
        <v>7.6669161922926477E-5</v>
      </c>
      <c r="U27" s="97">
        <f t="shared" si="3"/>
        <v>7.6669161922926477E-5</v>
      </c>
      <c r="V27" s="97">
        <f t="shared" si="3"/>
        <v>7.6669161922926477E-5</v>
      </c>
      <c r="W27" s="97">
        <f t="shared" si="3"/>
        <v>7.6669161922926477E-5</v>
      </c>
      <c r="X27" s="97">
        <f t="shared" si="3"/>
        <v>0.12341941463611505</v>
      </c>
      <c r="Y27" s="97">
        <f t="shared" si="3"/>
        <v>0.54001456042528417</v>
      </c>
      <c r="Z27" s="97">
        <f t="shared" si="3"/>
        <v>7.6669161922926477E-5</v>
      </c>
      <c r="AA27" s="97">
        <f t="shared" si="3"/>
        <v>7.6669161922926477E-5</v>
      </c>
    </row>
    <row r="28" spans="2:31" ht="12.75" customHeight="1" x14ac:dyDescent="0.25">
      <c r="B28" s="21" t="s">
        <v>4</v>
      </c>
      <c r="C28" s="95">
        <f>Annual_sorted!N275</f>
        <v>-341.71750683920999</v>
      </c>
      <c r="D28" s="29">
        <f>IF(C28-Table_146341211[Burundi]&gt;0, C28-Table_146341211[Burundi], 0)</f>
        <v>0</v>
      </c>
      <c r="E28" s="29">
        <f>IF(C28-Table_146341211[DRC]&gt;0, C28-Table_146341211[DRC], 0)</f>
        <v>0</v>
      </c>
      <c r="F28" s="29">
        <f>IF(C28-Table_146341211[Egypt]&gt;0, C28-Table_146341211[Egypt], 0)</f>
        <v>0</v>
      </c>
      <c r="G28" s="29">
        <f>IF(C28-Table_146341211[Eritrea]&gt;0, C28-Table_146341211[Eritrea], 0)</f>
        <v>0</v>
      </c>
      <c r="H28" s="29">
        <f>IF(C28-Table_146341211[Ethiopia]&gt;0, C28-Table_146341211[Ethiopia], 0)</f>
        <v>0</v>
      </c>
      <c r="I28" s="29">
        <f>IF(C28-Table_146341211[Kenya]&gt;0, C28-Table_146341211[Kenya], 0)</f>
        <v>0</v>
      </c>
      <c r="J28" s="29">
        <f>IF(C28-Table_146341211[Rwanda]&gt;0, C28-Table_146341211[Rwanda], 0)</f>
        <v>0</v>
      </c>
      <c r="K28" s="29">
        <f>IF(C28-Table_146341211[Sudan]&gt;0, C28-Table_146341211[Sudan], 0)</f>
        <v>88.549478891232582</v>
      </c>
      <c r="L28" s="29">
        <f>IF(C28-Table_146341211[S. Sudan]&gt;0, C28-Table_146341211[S. Sudan], 0)</f>
        <v>387.62894989235923</v>
      </c>
      <c r="M28" s="29">
        <f>IF(C28-Table_146341211[Tanzania]&gt;0, C28-Table_146341211[Tanzania], 0)</f>
        <v>0</v>
      </c>
      <c r="N28" s="29">
        <f>IF(C28-Table_146341211[Uganda]&gt;0, C28-Table_146341211[Uganda], 0)</f>
        <v>0</v>
      </c>
      <c r="P28" s="21" t="s">
        <v>5</v>
      </c>
      <c r="Q28" s="97">
        <f t="shared" si="4"/>
        <v>7.6669161922926477E-5</v>
      </c>
      <c r="R28" s="97">
        <f t="shared" si="3"/>
        <v>7.6669161922926477E-5</v>
      </c>
      <c r="S28" s="97">
        <f t="shared" si="3"/>
        <v>7.6669161922926477E-5</v>
      </c>
      <c r="T28" s="97">
        <f t="shared" si="3"/>
        <v>7.6669161922926477E-5</v>
      </c>
      <c r="U28" s="97">
        <f t="shared" si="3"/>
        <v>0.39014836489485549</v>
      </c>
      <c r="V28" s="97">
        <f t="shared" si="3"/>
        <v>7.6669161922926477E-5</v>
      </c>
      <c r="W28" s="97">
        <f t="shared" si="3"/>
        <v>7.6669161922926477E-5</v>
      </c>
      <c r="X28" s="97">
        <f t="shared" si="3"/>
        <v>0.51349111036904771</v>
      </c>
      <c r="Y28" s="97">
        <f t="shared" si="3"/>
        <v>0.93008625615821683</v>
      </c>
      <c r="Z28" s="97">
        <f t="shared" si="3"/>
        <v>8.9945176032053764E-2</v>
      </c>
      <c r="AA28" s="97">
        <f t="shared" si="3"/>
        <v>0.35603295239614552</v>
      </c>
    </row>
    <row r="29" spans="2:31" ht="12.75" customHeight="1" x14ac:dyDescent="0.25">
      <c r="B29" s="21" t="s">
        <v>5</v>
      </c>
      <c r="C29" s="95">
        <f>Annual_sorted!N276</f>
        <v>-61.679590911695627</v>
      </c>
      <c r="D29" s="29">
        <f>IF(C29-Table_146341211[Burundi]&gt;0, C29-Table_146341211[Burundi], 0)</f>
        <v>0</v>
      </c>
      <c r="E29" s="29">
        <f>IF(C29-Table_146341211[DRC]&gt;0, C29-Table_146341211[DRC], 0)</f>
        <v>0</v>
      </c>
      <c r="F29" s="29">
        <f>IF(C29-Table_146341211[Egypt]&gt;0, C29-Table_146341211[Egypt], 0)</f>
        <v>0</v>
      </c>
      <c r="G29" s="29">
        <f>IF(C29-Table_146341211[Eritrea]&gt;0, C29-Table_146341211[Eritrea], 0)</f>
        <v>0</v>
      </c>
      <c r="H29" s="29">
        <f>IF(C29-Table_146341211[Ethiopia]&gt;0, C29-Table_146341211[Ethiopia], 0)</f>
        <v>280.03791592751435</v>
      </c>
      <c r="I29" s="29">
        <f>IF(C29-Table_146341211[Kenya]&gt;0, C29-Table_146341211[Kenya], 0)</f>
        <v>0</v>
      </c>
      <c r="J29" s="29">
        <f>IF(C29-Table_146341211[Rwanda]&gt;0, C29-Table_146341211[Rwanda], 0)</f>
        <v>0</v>
      </c>
      <c r="K29" s="29">
        <f>IF(C29-Table_146341211[Sudan]&gt;0, C29-Table_146341211[Sudan], 0)</f>
        <v>368.58739481874693</v>
      </c>
      <c r="L29" s="29">
        <f>IF(C29-Table_146341211[S. Sudan]&gt;0, C29-Table_146341211[S. Sudan], 0)</f>
        <v>667.66686581987358</v>
      </c>
      <c r="M29" s="29">
        <f>IF(C29-Table_146341211[Tanzania]&gt;0, C29-Table_146341211[Tanzania], 0)</f>
        <v>64.517855683278185</v>
      </c>
      <c r="N29" s="29">
        <f>IF(C29-Table_146341211[Uganda]&gt;0, C29-Table_146341211[Uganda], 0)</f>
        <v>255.5459850295411</v>
      </c>
      <c r="P29" s="21" t="s">
        <v>6</v>
      </c>
      <c r="Q29" s="97">
        <f t="shared" si="4"/>
        <v>7.6669161922926477E-5</v>
      </c>
      <c r="R29" s="97">
        <f t="shared" si="3"/>
        <v>7.8371435956051637E-3</v>
      </c>
      <c r="S29" s="97">
        <f t="shared" si="3"/>
        <v>5.5529827812789131E-2</v>
      </c>
      <c r="T29" s="97">
        <f t="shared" si="3"/>
        <v>7.6669161922926477E-5</v>
      </c>
      <c r="U29" s="97">
        <f t="shared" si="3"/>
        <v>0.44652485438379885</v>
      </c>
      <c r="V29" s="97">
        <f t="shared" si="3"/>
        <v>5.6453158650866198E-2</v>
      </c>
      <c r="W29" s="97">
        <f t="shared" si="3"/>
        <v>7.6669161922926477E-5</v>
      </c>
      <c r="X29" s="97">
        <f t="shared" si="3"/>
        <v>0.56986759985799096</v>
      </c>
      <c r="Y29" s="97">
        <f t="shared" si="3"/>
        <v>0.98646274564715997</v>
      </c>
      <c r="Z29" s="97">
        <f t="shared" si="3"/>
        <v>0.14632166552099704</v>
      </c>
      <c r="AA29" s="97">
        <f t="shared" si="3"/>
        <v>0.41240944188508882</v>
      </c>
    </row>
    <row r="30" spans="2:31" ht="12.75" customHeight="1" x14ac:dyDescent="0.25">
      <c r="B30" s="21" t="s">
        <v>6</v>
      </c>
      <c r="C30" s="95">
        <f>Annual_sorted!N277</f>
        <v>-21.206122068669817</v>
      </c>
      <c r="D30" s="29">
        <f>IF(C30-Table_146341211[Burundi]&gt;0, C30-Table_146341211[Burundi], 0)</f>
        <v>0</v>
      </c>
      <c r="E30" s="29">
        <f>IF(C30-Table_146341211[DRC]&gt;0, C30-Table_146341211[DRC], 0)</f>
        <v>5.5713529353461659</v>
      </c>
      <c r="F30" s="29">
        <f>IF(C30-Table_146341211[Egypt]&gt;0, C30-Table_146341211[Egypt], 0)</f>
        <v>39.810596744293122</v>
      </c>
      <c r="G30" s="29">
        <f>IF(C30-Table_146341211[Eritrea]&gt;0, C30-Table_146341211[Eritrea], 0)</f>
        <v>0</v>
      </c>
      <c r="H30" s="29">
        <f>IF(C30-Table_146341211[Ethiopia]&gt;0, C30-Table_146341211[Ethiopia], 0)</f>
        <v>320.51138477054019</v>
      </c>
      <c r="I30" s="29">
        <f>IF(C30-Table_146341211[Kenya]&gt;0, C30-Table_146341211[Kenya], 0)</f>
        <v>40.473468843025813</v>
      </c>
      <c r="J30" s="29">
        <f>IF(C30-Table_146341211[Rwanda]&gt;0, C30-Table_146341211[Rwanda], 0)</f>
        <v>0</v>
      </c>
      <c r="K30" s="29">
        <f>IF(C30-Table_146341211[Sudan]&gt;0, C30-Table_146341211[Sudan], 0)</f>
        <v>409.06086366177277</v>
      </c>
      <c r="L30" s="29">
        <f>IF(C30-Table_146341211[S. Sudan]&gt;0, C30-Table_146341211[S. Sudan], 0)</f>
        <v>708.14033466289936</v>
      </c>
      <c r="M30" s="29">
        <f>IF(C30-Table_146341211[Tanzania]&gt;0, C30-Table_146341211[Tanzania], 0)</f>
        <v>104.991324526304</v>
      </c>
      <c r="N30" s="29">
        <f>IF(C30-Table_146341211[Uganda]&gt;0, C30-Table_146341211[Uganda], 0)</f>
        <v>296.01945387256694</v>
      </c>
      <c r="P30" s="21" t="s">
        <v>7</v>
      </c>
      <c r="Q30" s="97">
        <f t="shared" si="4"/>
        <v>7.6669161922926477E-5</v>
      </c>
      <c r="R30" s="97">
        <f t="shared" si="3"/>
        <v>7.6669161922926477E-5</v>
      </c>
      <c r="S30" s="97">
        <f t="shared" si="3"/>
        <v>7.6669161922926477E-5</v>
      </c>
      <c r="T30" s="97">
        <f t="shared" si="3"/>
        <v>7.6669161922926477E-5</v>
      </c>
      <c r="U30" s="97">
        <f t="shared" si="3"/>
        <v>7.6669161922926477E-5</v>
      </c>
      <c r="V30" s="97">
        <f t="shared" si="3"/>
        <v>7.6669161922926477E-5</v>
      </c>
      <c r="W30" s="97">
        <f t="shared" si="3"/>
        <v>7.6669161922926477E-5</v>
      </c>
      <c r="X30" s="97">
        <f t="shared" si="3"/>
        <v>7.6669161922926477E-5</v>
      </c>
      <c r="Y30" s="97">
        <f t="shared" si="3"/>
        <v>0.41667181495109201</v>
      </c>
      <c r="Z30" s="97">
        <f t="shared" si="3"/>
        <v>7.6669161922926477E-5</v>
      </c>
      <c r="AA30" s="97">
        <f t="shared" si="3"/>
        <v>7.6669161922926477E-5</v>
      </c>
    </row>
    <row r="31" spans="2:31" ht="12.75" customHeight="1" x14ac:dyDescent="0.25">
      <c r="B31" s="21" t="s">
        <v>7</v>
      </c>
      <c r="C31" s="95">
        <f>Annual_sorted!N278</f>
        <v>-430.26698573044257</v>
      </c>
      <c r="D31" s="29">
        <f>IF(C31-Table_146341211[Burundi]&gt;0, C31-Table_146341211[Burundi], 0)</f>
        <v>0</v>
      </c>
      <c r="E31" s="29">
        <f>IF(C31-Table_146341211[DRC]&gt;0, C31-Table_146341211[DRC], 0)</f>
        <v>0</v>
      </c>
      <c r="F31" s="29">
        <f>IF(C31-Table_146341211[Egypt]&gt;0, C31-Table_146341211[Egypt], 0)</f>
        <v>0</v>
      </c>
      <c r="G31" s="29">
        <f>IF(C31-Table_146341211[Eritrea]&gt;0, C31-Table_146341211[Eritrea], 0)</f>
        <v>0</v>
      </c>
      <c r="H31" s="29">
        <f>IF(C31-Table_146341211[Ethiopia]&gt;0, C31-Table_146341211[Ethiopia], 0)</f>
        <v>0</v>
      </c>
      <c r="I31" s="29">
        <f>IF(C31-Table_146341211[Kenya]&gt;0, C31-Table_146341211[Kenya], 0)</f>
        <v>0</v>
      </c>
      <c r="J31" s="29">
        <f>IF(C31-Table_146341211[Rwanda]&gt;0, C31-Table_146341211[Rwanda], 0)</f>
        <v>0</v>
      </c>
      <c r="K31" s="29">
        <f>IF(C31-Table_146341211[Sudan]&gt;0, C31-Table_146341211[Sudan], 0)</f>
        <v>0</v>
      </c>
      <c r="L31" s="29">
        <f>IF(C31-Table_146341211[S. Sudan]&gt;0, C31-Table_146341211[S. Sudan], 0)</f>
        <v>299.07947100112665</v>
      </c>
      <c r="M31" s="29">
        <f>IF(C31-Table_146341211[Tanzania]&gt;0, C31-Table_146341211[Tanzania], 0)</f>
        <v>0</v>
      </c>
      <c r="N31" s="29">
        <f>IF(C31-Table_146341211[Uganda]&gt;0, C31-Table_146341211[Uganda], 0)</f>
        <v>0</v>
      </c>
      <c r="P31" s="21" t="s">
        <v>8</v>
      </c>
      <c r="Q31" s="97">
        <f t="shared" si="4"/>
        <v>7.6669161922926477E-5</v>
      </c>
      <c r="R31" s="97">
        <f t="shared" si="3"/>
        <v>7.6669161922926477E-5</v>
      </c>
      <c r="S31" s="97">
        <f t="shared" si="3"/>
        <v>7.6669161922926477E-5</v>
      </c>
      <c r="T31" s="97">
        <f t="shared" si="3"/>
        <v>7.6669161922926477E-5</v>
      </c>
      <c r="U31" s="97">
        <f t="shared" si="3"/>
        <v>7.6669161922926477E-5</v>
      </c>
      <c r="V31" s="97">
        <f t="shared" si="3"/>
        <v>7.6669161922926477E-5</v>
      </c>
      <c r="W31" s="97">
        <f t="shared" si="3"/>
        <v>7.6669161922926477E-5</v>
      </c>
      <c r="X31" s="97">
        <f t="shared" si="3"/>
        <v>7.6669161922926477E-5</v>
      </c>
      <c r="Y31" s="97">
        <f t="shared" si="3"/>
        <v>7.6669161922926477E-5</v>
      </c>
      <c r="Z31" s="97">
        <f t="shared" si="3"/>
        <v>7.6669161922926477E-5</v>
      </c>
      <c r="AA31" s="97">
        <f t="shared" si="3"/>
        <v>7.6669161922926477E-5</v>
      </c>
    </row>
    <row r="32" spans="2:31" ht="12.75" customHeight="1" x14ac:dyDescent="0.25">
      <c r="B32" s="21" t="s">
        <v>8</v>
      </c>
      <c r="C32" s="95">
        <f>Annual_sorted!N279</f>
        <v>-729.34645673156922</v>
      </c>
      <c r="D32" s="29">
        <f>IF(C32-Table_146341211[Burundi]&gt;0, C32-Table_146341211[Burundi], 0)</f>
        <v>0</v>
      </c>
      <c r="E32" s="29">
        <f>IF(C32-Table_146341211[DRC]&gt;0, C32-Table_146341211[DRC], 0)</f>
        <v>0</v>
      </c>
      <c r="F32" s="29">
        <f>IF(C32-Table_146341211[Egypt]&gt;0, C32-Table_146341211[Egypt], 0)</f>
        <v>0</v>
      </c>
      <c r="G32" s="29">
        <f>IF(C32-Table_146341211[Eritrea]&gt;0, C32-Table_146341211[Eritrea], 0)</f>
        <v>0</v>
      </c>
      <c r="H32" s="29">
        <f>IF(C32-Table_146341211[Ethiopia]&gt;0, C32-Table_146341211[Ethiopia], 0)</f>
        <v>0</v>
      </c>
      <c r="I32" s="29">
        <f>IF(C32-Table_146341211[Kenya]&gt;0, C32-Table_146341211[Kenya], 0)</f>
        <v>0</v>
      </c>
      <c r="J32" s="29">
        <f>IF(C32-Table_146341211[Rwanda]&gt;0, C32-Table_146341211[Rwanda], 0)</f>
        <v>0</v>
      </c>
      <c r="K32" s="29">
        <f>IF(C32-Table_146341211[Sudan]&gt;0, C32-Table_146341211[Sudan], 0)</f>
        <v>0</v>
      </c>
      <c r="L32" s="29">
        <f>IF(C32-Table_146341211[S. Sudan]&gt;0, C32-Table_146341211[S. Sudan], 0)</f>
        <v>0</v>
      </c>
      <c r="M32" s="29">
        <f>IF(C32-Table_146341211[Tanzania]&gt;0, C32-Table_146341211[Tanzania], 0)</f>
        <v>0</v>
      </c>
      <c r="N32" s="29">
        <f>IF(C32-Table_146341211[Uganda]&gt;0, C32-Table_146341211[Uganda], 0)</f>
        <v>0</v>
      </c>
      <c r="P32" s="21" t="s">
        <v>9</v>
      </c>
      <c r="Q32" s="97">
        <f t="shared" si="4"/>
        <v>7.6669161922926477E-5</v>
      </c>
      <c r="R32" s="97">
        <f t="shared" si="3"/>
        <v>7.6669161922926477E-5</v>
      </c>
      <c r="S32" s="97">
        <f t="shared" si="3"/>
        <v>7.6669161922926477E-5</v>
      </c>
      <c r="T32" s="97">
        <f t="shared" si="3"/>
        <v>7.6669161922926477E-5</v>
      </c>
      <c r="U32" s="97">
        <f t="shared" si="3"/>
        <v>0.30027985802472468</v>
      </c>
      <c r="V32" s="97">
        <f t="shared" si="3"/>
        <v>7.6669161922926477E-5</v>
      </c>
      <c r="W32" s="97">
        <f t="shared" si="3"/>
        <v>7.6669161922926477E-5</v>
      </c>
      <c r="X32" s="97">
        <f t="shared" si="3"/>
        <v>0.42362260349891684</v>
      </c>
      <c r="Y32" s="97">
        <f t="shared" si="3"/>
        <v>0.8402177492880859</v>
      </c>
      <c r="Z32" s="97">
        <f t="shared" si="3"/>
        <v>7.6669161922926477E-5</v>
      </c>
      <c r="AA32" s="97">
        <f t="shared" si="3"/>
        <v>0.2661644455260147</v>
      </c>
    </row>
    <row r="33" spans="2:31" ht="12.75" customHeight="1" thickBot="1" x14ac:dyDescent="0.3">
      <c r="B33" s="21" t="s">
        <v>9</v>
      </c>
      <c r="C33" s="95">
        <f>Annual_sorted!N280</f>
        <v>-126.19744659497381</v>
      </c>
      <c r="D33" s="29">
        <f>IF(C33-Table_146341211[Burundi]&gt;0, C33-Table_146341211[Burundi], 0)</f>
        <v>0</v>
      </c>
      <c r="E33" s="29">
        <f>IF(C33-Table_146341211[DRC]&gt;0, C33-Table_146341211[DRC], 0)</f>
        <v>0</v>
      </c>
      <c r="F33" s="29">
        <f>IF(C33-Table_146341211[Egypt]&gt;0, C33-Table_146341211[Egypt], 0)</f>
        <v>0</v>
      </c>
      <c r="G33" s="29">
        <f>IF(C33-Table_146341211[Eritrea]&gt;0, C33-Table_146341211[Eritrea], 0)</f>
        <v>0</v>
      </c>
      <c r="H33" s="29">
        <f>IF(C33-Table_146341211[Ethiopia]&gt;0, C33-Table_146341211[Ethiopia], 0)</f>
        <v>215.52006024423616</v>
      </c>
      <c r="I33" s="29">
        <f>IF(C33-Table_146341211[Kenya]&gt;0, C33-Table_146341211[Kenya], 0)</f>
        <v>0</v>
      </c>
      <c r="J33" s="29">
        <f>IF(C33-Table_146341211[Rwanda]&gt;0, C33-Table_146341211[Rwanda], 0)</f>
        <v>0</v>
      </c>
      <c r="K33" s="29">
        <f>IF(C33-Table_146341211[Sudan]&gt;0, C33-Table_146341211[Sudan], 0)</f>
        <v>304.06953913546874</v>
      </c>
      <c r="L33" s="29">
        <f>IF(C33-Table_146341211[S. Sudan]&gt;0, C33-Table_146341211[S. Sudan], 0)</f>
        <v>603.14901013659539</v>
      </c>
      <c r="M33" s="29">
        <f>IF(C33-Table_146341211[Tanzania]&gt;0, C33-Table_146341211[Tanzania], 0)</f>
        <v>0</v>
      </c>
      <c r="N33" s="29">
        <f>IF(C33-Table_146341211[Uganda]&gt;0, C33-Table_146341211[Uganda], 0)</f>
        <v>191.02812934626292</v>
      </c>
      <c r="P33" s="22" t="s">
        <v>10</v>
      </c>
      <c r="Q33" s="98">
        <f t="shared" si="4"/>
        <v>7.6669161922926477E-5</v>
      </c>
      <c r="R33" s="98">
        <f t="shared" si="3"/>
        <v>7.6669161922926477E-5</v>
      </c>
      <c r="S33" s="98">
        <f t="shared" si="3"/>
        <v>7.6669161922926477E-5</v>
      </c>
      <c r="T33" s="98">
        <f t="shared" si="3"/>
        <v>7.6669161922926477E-5</v>
      </c>
      <c r="U33" s="98">
        <f t="shared" si="3"/>
        <v>3.4192081660632957E-2</v>
      </c>
      <c r="V33" s="98">
        <f t="shared" si="3"/>
        <v>7.6669161922926477E-5</v>
      </c>
      <c r="W33" s="98">
        <f t="shared" si="3"/>
        <v>7.6669161922926477E-5</v>
      </c>
      <c r="X33" s="98">
        <f t="shared" si="3"/>
        <v>0.15753482713482508</v>
      </c>
      <c r="Y33" s="98">
        <f t="shared" si="3"/>
        <v>0.57412997292399415</v>
      </c>
      <c r="Z33" s="98">
        <f t="shared" si="3"/>
        <v>7.6669161922926477E-5</v>
      </c>
      <c r="AA33" s="98">
        <f t="shared" si="3"/>
        <v>7.6669161922926477E-5</v>
      </c>
      <c r="AB33" s="186">
        <f>SUM(Q23:AA33)</f>
        <v>19.123164168405676</v>
      </c>
    </row>
    <row r="34" spans="2:31" ht="12.75" customHeight="1" thickBot="1" x14ac:dyDescent="0.3">
      <c r="B34" s="22" t="s">
        <v>10</v>
      </c>
      <c r="C34" s="96">
        <f>Annual_sorted!N281</f>
        <v>-317.22557594123674</v>
      </c>
      <c r="D34" s="32">
        <f>IF(C34-Table_146341211[Burundi]&gt;0, C34-Table_146341211[Burundi], 0)</f>
        <v>0</v>
      </c>
      <c r="E34" s="32">
        <f>IF(C34-Table_146341211[DRC]&gt;0, C34-Table_146341211[DRC], 0)</f>
        <v>0</v>
      </c>
      <c r="F34" s="32">
        <f>IF(C34-Table_146341211[Egypt]&gt;0, C34-Table_146341211[Egypt], 0)</f>
        <v>0</v>
      </c>
      <c r="G34" s="32">
        <f>IF(C34-Table_146341211[Eritrea]&gt;0, C34-Table_146341211[Eritrea], 0)</f>
        <v>0</v>
      </c>
      <c r="H34" s="32">
        <f>IF(C34-Table_146341211[Ethiopia]&gt;0, C34-Table_146341211[Ethiopia], 0)</f>
        <v>24.491930897973248</v>
      </c>
      <c r="I34" s="32">
        <f>IF(C34-Table_146341211[Kenya]&gt;0, C34-Table_146341211[Kenya], 0)</f>
        <v>0</v>
      </c>
      <c r="J34" s="32">
        <f>IF(C34-Table_146341211[Rwanda]&gt;0, C34-Table_146341211[Rwanda], 0)</f>
        <v>0</v>
      </c>
      <c r="K34" s="32">
        <f>IF(C34-Table_146341211[Sudan]&gt;0, C34-Table_146341211[Sudan], 0)</f>
        <v>113.04140978920583</v>
      </c>
      <c r="L34" s="32">
        <f>IF(C34-Table_146341211[S. Sudan]&gt;0, C34-Table_146341211[S. Sudan], 0)</f>
        <v>412.12088079033248</v>
      </c>
      <c r="M34" s="32">
        <f>IF(C34-Table_146341211[Tanzania]&gt;0, C34-Table_146341211[Tanzania], 0)</f>
        <v>0</v>
      </c>
      <c r="N34" s="32">
        <f>IF(C34-Table_146341211[Uganda]&gt;0, C34-Table_146341211[Uganda], 0)</f>
        <v>0</v>
      </c>
    </row>
    <row r="35" spans="2:31" ht="12.75" customHeight="1" x14ac:dyDescent="0.25">
      <c r="C35" s="19"/>
    </row>
    <row r="36" spans="2:31" ht="12.75" customHeight="1" x14ac:dyDescent="0.25"/>
    <row r="37" spans="2:31" ht="12.75" customHeight="1" x14ac:dyDescent="0.25">
      <c r="B37" s="5"/>
      <c r="C37" s="5"/>
      <c r="D37" s="5"/>
      <c r="E37" s="5"/>
      <c r="F37" s="5"/>
      <c r="G37" s="5"/>
      <c r="H37" s="5"/>
      <c r="I37" s="5"/>
      <c r="J37" s="5"/>
      <c r="K37" s="5"/>
      <c r="L37" s="5"/>
      <c r="M37" s="5"/>
      <c r="N37" s="5"/>
      <c r="O37" s="5"/>
      <c r="P37" s="5"/>
      <c r="Q37" s="5"/>
      <c r="R37" s="5"/>
      <c r="S37" s="5"/>
      <c r="T37" s="5"/>
      <c r="U37" s="5"/>
      <c r="V37" s="5"/>
      <c r="W37" s="5"/>
      <c r="X37" s="5"/>
      <c r="Y37" s="5"/>
      <c r="Z37" s="5"/>
      <c r="AA37" s="5"/>
    </row>
    <row r="38" spans="2:31" ht="12.75" customHeight="1" x14ac:dyDescent="0.25">
      <c r="B38" s="5"/>
      <c r="C38" s="5"/>
      <c r="D38" s="5"/>
      <c r="E38" s="5"/>
      <c r="F38" s="5"/>
      <c r="G38" s="5"/>
      <c r="H38" s="5"/>
      <c r="I38" s="5"/>
      <c r="J38" s="5"/>
      <c r="K38" s="5"/>
      <c r="L38" s="5"/>
      <c r="M38" s="5"/>
      <c r="N38" s="44"/>
      <c r="O38" s="5"/>
      <c r="P38" s="5"/>
      <c r="Q38" s="5"/>
      <c r="R38" s="5"/>
      <c r="S38" s="5"/>
      <c r="T38" s="5"/>
      <c r="U38" s="5"/>
      <c r="V38" s="5"/>
      <c r="W38" s="5"/>
      <c r="X38" s="5"/>
      <c r="Y38" s="5"/>
      <c r="Z38" s="5"/>
      <c r="AA38" s="5"/>
    </row>
    <row r="39" spans="2:31" ht="12.75" customHeight="1" thickBot="1" x14ac:dyDescent="0.3">
      <c r="B39" s="253" t="s">
        <v>77</v>
      </c>
      <c r="C39" s="253"/>
      <c r="D39" s="253"/>
      <c r="E39" s="253"/>
      <c r="F39" s="253"/>
      <c r="G39" s="253"/>
      <c r="H39" s="253"/>
      <c r="I39" s="253"/>
      <c r="J39" s="253"/>
      <c r="K39" s="253"/>
      <c r="L39" s="253"/>
      <c r="M39" s="253"/>
      <c r="N39" s="253"/>
      <c r="O39" s="5"/>
      <c r="P39" s="253" t="s">
        <v>78</v>
      </c>
      <c r="Q39" s="253"/>
      <c r="R39" s="253"/>
      <c r="S39" s="253"/>
      <c r="T39" s="253"/>
      <c r="U39" s="253"/>
      <c r="V39" s="253"/>
      <c r="W39" s="253"/>
      <c r="X39" s="253"/>
      <c r="Y39" s="253"/>
      <c r="Z39" s="253"/>
      <c r="AA39" s="253"/>
      <c r="AB39" s="10"/>
      <c r="AC39" s="3" t="s">
        <v>22</v>
      </c>
      <c r="AD39" s="13" t="s">
        <v>23</v>
      </c>
      <c r="AE39" s="74">
        <f t="array" ref="AE39">MIN(IF(D42:N52&gt;0,D42:N52))</f>
        <v>2.0743474409325002E-2</v>
      </c>
    </row>
    <row r="40" spans="2:31" ht="12.75" customHeight="1" thickBot="1" x14ac:dyDescent="0.3">
      <c r="B40" s="75" t="s">
        <v>13</v>
      </c>
      <c r="C40" s="66" t="s">
        <v>14</v>
      </c>
      <c r="D40" s="67" t="s">
        <v>1</v>
      </c>
      <c r="E40" s="67" t="s">
        <v>195</v>
      </c>
      <c r="F40" s="67" t="s">
        <v>2</v>
      </c>
      <c r="G40" s="67" t="s">
        <v>3</v>
      </c>
      <c r="H40" s="67" t="s">
        <v>4</v>
      </c>
      <c r="I40" s="67" t="s">
        <v>5</v>
      </c>
      <c r="J40" s="67" t="s">
        <v>6</v>
      </c>
      <c r="K40" s="67" t="s">
        <v>7</v>
      </c>
      <c r="L40" s="67" t="s">
        <v>295</v>
      </c>
      <c r="M40" s="67" t="s">
        <v>9</v>
      </c>
      <c r="N40" s="67" t="s">
        <v>10</v>
      </c>
      <c r="P40" s="76" t="s">
        <v>19</v>
      </c>
      <c r="Q40" s="77" t="s">
        <v>1</v>
      </c>
      <c r="R40" s="77" t="s">
        <v>195</v>
      </c>
      <c r="S40" s="77" t="s">
        <v>2</v>
      </c>
      <c r="T40" s="77" t="s">
        <v>3</v>
      </c>
      <c r="U40" s="77" t="s">
        <v>4</v>
      </c>
      <c r="V40" s="77" t="s">
        <v>5</v>
      </c>
      <c r="W40" s="77" t="s">
        <v>6</v>
      </c>
      <c r="X40" s="77" t="s">
        <v>7</v>
      </c>
      <c r="Y40" s="77" t="s">
        <v>295</v>
      </c>
      <c r="Z40" s="77" t="s">
        <v>9</v>
      </c>
      <c r="AA40" s="77" t="s">
        <v>10</v>
      </c>
      <c r="AB40" s="254" t="s">
        <v>26</v>
      </c>
      <c r="AC40" s="254"/>
      <c r="AD40" s="13" t="s">
        <v>24</v>
      </c>
      <c r="AE40" s="20">
        <f>MAX(D42:N52)</f>
        <v>104.70074087882504</v>
      </c>
    </row>
    <row r="41" spans="2:31" ht="12.75" customHeight="1" x14ac:dyDescent="0.25">
      <c r="B41" s="93"/>
      <c r="C41" s="94" t="s">
        <v>259</v>
      </c>
      <c r="D41" s="95">
        <f>C42</f>
        <v>-1.1493088873305743</v>
      </c>
      <c r="E41" s="95">
        <f>C43</f>
        <v>-2.366350904943578</v>
      </c>
      <c r="F41" s="95">
        <f>C44</f>
        <v>1.2815285417813289</v>
      </c>
      <c r="G41" s="95">
        <f>C45</f>
        <v>-3.4817659242501788</v>
      </c>
      <c r="H41" s="95">
        <f>C46</f>
        <v>-103.41921233704372</v>
      </c>
      <c r="I41" s="95">
        <f>C47</f>
        <v>-17.228708916276641</v>
      </c>
      <c r="J41" s="95">
        <f>C48</f>
        <v>-3.3946200853322752</v>
      </c>
      <c r="K41" s="95">
        <f>C49</f>
        <v>0.53867162074973696</v>
      </c>
      <c r="L41" s="95">
        <f>C50</f>
        <v>0.17924719355296656</v>
      </c>
      <c r="M41" s="95">
        <f>C51</f>
        <v>-23.577174676216295</v>
      </c>
      <c r="N41" s="95">
        <f>C52</f>
        <v>0.55941509515906196</v>
      </c>
      <c r="P41" s="21" t="s">
        <v>1</v>
      </c>
      <c r="Q41" s="97">
        <f>$AE$41+(D42-$AE$39)*($AE$42-$AE$41)/($AE$40-$AE$39)</f>
        <v>8.0203733808994603E-4</v>
      </c>
      <c r="R41" s="97">
        <f t="shared" ref="R41:AA51" si="5">$AE$41+(E42-$AE$39)*($AE$42-$AE$41)/($AE$40-$AE$39)</f>
        <v>1.2416720235895438E-2</v>
      </c>
      <c r="S41" s="97">
        <f t="shared" si="5"/>
        <v>8.0203733808994603E-4</v>
      </c>
      <c r="T41" s="97">
        <f t="shared" si="5"/>
        <v>2.3061539035253664E-2</v>
      </c>
      <c r="U41" s="97">
        <f t="shared" si="5"/>
        <v>0.97680161776942931</v>
      </c>
      <c r="V41" s="97">
        <f t="shared" si="5"/>
        <v>0.15425370935962099</v>
      </c>
      <c r="W41" s="97">
        <f t="shared" si="5"/>
        <v>2.2229874006235294E-2</v>
      </c>
      <c r="X41" s="97">
        <f t="shared" si="5"/>
        <v>8.0203733808994603E-4</v>
      </c>
      <c r="Y41" s="97">
        <f t="shared" si="5"/>
        <v>8.0203733808994603E-4</v>
      </c>
      <c r="Z41" s="97">
        <f t="shared" si="5"/>
        <v>0.21483947026366343</v>
      </c>
      <c r="AA41" s="97">
        <f t="shared" si="5"/>
        <v>8.0203733808994603E-4</v>
      </c>
      <c r="AD41" s="3" t="s">
        <v>25</v>
      </c>
      <c r="AE41" s="2">
        <v>1E-3</v>
      </c>
    </row>
    <row r="42" spans="2:31" ht="12.75" customHeight="1" x14ac:dyDescent="0.25">
      <c r="B42" s="21" t="s">
        <v>1</v>
      </c>
      <c r="C42" s="95">
        <f>Annual_sorted!O271</f>
        <v>-1.1493088873305743</v>
      </c>
      <c r="D42" s="29">
        <f>IF(C42-Table_1463451520[Burundi]&gt;0, C42-Table_1463451520[Burundi], 0)</f>
        <v>0</v>
      </c>
      <c r="E42" s="29">
        <f>IF(C42-Table_1463451520[DRC]&gt;0, C42-Table_1463451520[DRC], 0)</f>
        <v>1.2170420176130037</v>
      </c>
      <c r="F42" s="29">
        <f>IF(C42-Table_1463451520[Egypt]&gt;0, C42-Table_1463451520[Egypt], 0)</f>
        <v>0</v>
      </c>
      <c r="G42" s="29">
        <f>IF(C42-Table_1463451520[Eritrea]&gt;0, C42-Table_1463451520[Eritrea], 0)</f>
        <v>2.3324570369196045</v>
      </c>
      <c r="H42" s="29">
        <f>IF(C42-Table_1463451520[Ethiopia]&gt;0, C42-Table_1463451520[Ethiopia], 0)</f>
        <v>102.26990344971314</v>
      </c>
      <c r="I42" s="29">
        <f>IF(C42-Table_1463451520[Kenya]&gt;0, C42-Table_1463451520[Kenya], 0)</f>
        <v>16.079400028946068</v>
      </c>
      <c r="J42" s="29">
        <f>IF(C42-Table_1463451520[Rwanda]&gt;0, C42-Table_1463451520[Rwanda], 0)</f>
        <v>2.2453111980017009</v>
      </c>
      <c r="K42" s="29">
        <f>IF(C42-Table_1463451520[Sudan]&gt;0, C42-Table_1463451520[Sudan], 0)</f>
        <v>0</v>
      </c>
      <c r="L42" s="29">
        <f>IF(C42-Table_1463451520[S. Sudan]&gt;0, C42-Table_1463451520[S. Sudan], 0)</f>
        <v>0</v>
      </c>
      <c r="M42" s="29">
        <f>IF(C42-Table_1463451520[Tanzania]&gt;0, C42-Table_1463451520[Tanzania], 0)</f>
        <v>22.427865788885722</v>
      </c>
      <c r="N42" s="29">
        <f>IF(C42-Table_1463451520[Uganda]&gt;0, C42-Table_1463451520[Uganda], 0)</f>
        <v>0</v>
      </c>
      <c r="P42" s="21" t="s">
        <v>195</v>
      </c>
      <c r="Q42" s="97">
        <f t="shared" ref="Q42:Q51" si="6">$AE$41+(D43-$AE$39)*($AE$42-$AE$41)/($AE$40-$AE$39)</f>
        <v>8.0203733808994603E-4</v>
      </c>
      <c r="R42" s="97">
        <f t="shared" si="5"/>
        <v>8.0203733808994603E-4</v>
      </c>
      <c r="S42" s="97">
        <f t="shared" si="5"/>
        <v>8.0203733808994603E-4</v>
      </c>
      <c r="T42" s="97">
        <f t="shared" si="5"/>
        <v>1.1446856137448166E-2</v>
      </c>
      <c r="U42" s="97">
        <f t="shared" si="5"/>
        <v>0.96518693487162388</v>
      </c>
      <c r="V42" s="97">
        <f t="shared" si="5"/>
        <v>0.14263902646181548</v>
      </c>
      <c r="W42" s="97">
        <f t="shared" si="5"/>
        <v>1.0615191108429803E-2</v>
      </c>
      <c r="X42" s="97">
        <f t="shared" si="5"/>
        <v>8.0203733808994603E-4</v>
      </c>
      <c r="Y42" s="97">
        <f t="shared" si="5"/>
        <v>8.0203733808994603E-4</v>
      </c>
      <c r="Z42" s="97">
        <f t="shared" si="5"/>
        <v>0.20322478736585792</v>
      </c>
      <c r="AA42" s="97">
        <f t="shared" si="5"/>
        <v>8.0203733808994603E-4</v>
      </c>
      <c r="AD42" s="3" t="s">
        <v>70</v>
      </c>
      <c r="AE42" s="2">
        <v>1</v>
      </c>
    </row>
    <row r="43" spans="2:31" ht="12.75" customHeight="1" x14ac:dyDescent="0.25">
      <c r="B43" s="21" t="s">
        <v>195</v>
      </c>
      <c r="C43" s="95">
        <f>Annual_sorted!O272</f>
        <v>-2.366350904943578</v>
      </c>
      <c r="D43" s="29">
        <f>IF(C43-Table_1463451520[Burundi]&gt;0, C43-Table_1463451520[Burundi], 0)</f>
        <v>0</v>
      </c>
      <c r="E43" s="29">
        <f>IF(C43-Table_1463451520[DRC]&gt;0, C43-Table_1463451520[DRC], 0)</f>
        <v>0</v>
      </c>
      <c r="F43" s="29">
        <f>IF(C43-Table_1463451520[Egypt]&gt;0, C43-Table_1463451520[Egypt], 0)</f>
        <v>0</v>
      </c>
      <c r="G43" s="29">
        <f>IF(C43-Table_1463451520[Eritrea]&gt;0, C43-Table_1463451520[Eritrea], 0)</f>
        <v>1.1154150193066008</v>
      </c>
      <c r="H43" s="29">
        <f>IF(C43-Table_1463451520[Ethiopia]&gt;0, C43-Table_1463451520[Ethiopia], 0)</f>
        <v>101.05286143210014</v>
      </c>
      <c r="I43" s="29">
        <f>IF(C43-Table_1463451520[Kenya]&gt;0, C43-Table_1463451520[Kenya], 0)</f>
        <v>14.862358011333063</v>
      </c>
      <c r="J43" s="29">
        <f>IF(C43-Table_1463451520[Rwanda]&gt;0, C43-Table_1463451520[Rwanda], 0)</f>
        <v>1.0282691803886972</v>
      </c>
      <c r="K43" s="29">
        <f>IF(C43-Table_1463451520[Sudan]&gt;0, C43-Table_1463451520[Sudan], 0)</f>
        <v>0</v>
      </c>
      <c r="L43" s="29">
        <f>IF(C43-Table_1463451520[S. Sudan]&gt;0, C43-Table_1463451520[S. Sudan], 0)</f>
        <v>0</v>
      </c>
      <c r="M43" s="29">
        <f>IF(C43-Table_1463451520[Tanzania]&gt;0, C43-Table_1463451520[Tanzania], 0)</f>
        <v>21.210823771272718</v>
      </c>
      <c r="N43" s="29">
        <f>IF(C43-Table_1463451520[Uganda]&gt;0, C43-Table_1463451520[Uganda], 0)</f>
        <v>0</v>
      </c>
      <c r="P43" s="21" t="s">
        <v>2</v>
      </c>
      <c r="Q43" s="97">
        <f t="shared" si="6"/>
        <v>2.4000419568660711E-2</v>
      </c>
      <c r="R43" s="97">
        <f t="shared" si="5"/>
        <v>3.5615102466466209E-2</v>
      </c>
      <c r="S43" s="97">
        <f t="shared" si="5"/>
        <v>8.0203733808994603E-4</v>
      </c>
      <c r="T43" s="97">
        <f t="shared" si="5"/>
        <v>4.6259921265824427E-2</v>
      </c>
      <c r="U43" s="97">
        <f t="shared" si="5"/>
        <v>1</v>
      </c>
      <c r="V43" s="97">
        <f t="shared" si="5"/>
        <v>0.17745209159019176</v>
      </c>
      <c r="W43" s="97">
        <f t="shared" si="5"/>
        <v>4.5428256236806068E-2</v>
      </c>
      <c r="X43" s="97">
        <f t="shared" si="5"/>
        <v>7.8913961698781447E-3</v>
      </c>
      <c r="Y43" s="97">
        <f t="shared" si="5"/>
        <v>1.132151664821919E-2</v>
      </c>
      <c r="Z43" s="97">
        <f t="shared" si="5"/>
        <v>0.23803785249423415</v>
      </c>
      <c r="AA43" s="97">
        <f t="shared" si="5"/>
        <v>7.6934335079680916E-3</v>
      </c>
    </row>
    <row r="44" spans="2:31" ht="12.75" customHeight="1" x14ac:dyDescent="0.25">
      <c r="B44" s="21" t="s">
        <v>2</v>
      </c>
      <c r="C44" s="95">
        <f>Annual_sorted!O273</f>
        <v>1.2815285417813289</v>
      </c>
      <c r="D44" s="29">
        <f>IF(C44-Table_1463451520[Burundi]&gt;0, C44-Table_1463451520[Burundi], 0)</f>
        <v>2.4308374291119033</v>
      </c>
      <c r="E44" s="29">
        <f>IF(C44-Table_1463451520[DRC]&gt;0, C44-Table_1463451520[DRC], 0)</f>
        <v>3.6478794467249069</v>
      </c>
      <c r="F44" s="29">
        <f>IF(C44-Table_1463451520[Egypt]&gt;0, C44-Table_1463451520[Egypt], 0)</f>
        <v>0</v>
      </c>
      <c r="G44" s="29">
        <f>IF(C44-Table_1463451520[Eritrea]&gt;0, C44-Table_1463451520[Eritrea], 0)</f>
        <v>4.7632944660315077</v>
      </c>
      <c r="H44" s="29">
        <f>IF(C44-Table_1463451520[Ethiopia]&gt;0, C44-Table_1463451520[Ethiopia], 0)</f>
        <v>104.70074087882504</v>
      </c>
      <c r="I44" s="29">
        <f>IF(C44-Table_1463451520[Kenya]&gt;0, C44-Table_1463451520[Kenya], 0)</f>
        <v>18.510237458057972</v>
      </c>
      <c r="J44" s="29">
        <f>IF(C44-Table_1463451520[Rwanda]&gt;0, C44-Table_1463451520[Rwanda], 0)</f>
        <v>4.6761486271136041</v>
      </c>
      <c r="K44" s="29">
        <f>IF(C44-Table_1463451520[Sudan]&gt;0, C44-Table_1463451520[Sudan], 0)</f>
        <v>0.74285692103159195</v>
      </c>
      <c r="L44" s="29">
        <f>IF(C44-Table_1463451520[S. Sudan]&gt;0, C44-Table_1463451520[S. Sudan], 0)</f>
        <v>1.1022813482283624</v>
      </c>
      <c r="M44" s="29">
        <f>IF(C44-Table_1463451520[Tanzania]&gt;0, C44-Table_1463451520[Tanzania], 0)</f>
        <v>24.858703217997622</v>
      </c>
      <c r="N44" s="29">
        <f>IF(C44-Table_1463451520[Uganda]&gt;0, C44-Table_1463451520[Uganda], 0)</f>
        <v>0.72211344662226695</v>
      </c>
      <c r="P44" s="21" t="s">
        <v>3</v>
      </c>
      <c r="Q44" s="97">
        <f t="shared" si="6"/>
        <v>8.0203733808994603E-4</v>
      </c>
      <c r="R44" s="97">
        <f t="shared" si="5"/>
        <v>8.0203733808994603E-4</v>
      </c>
      <c r="S44" s="97">
        <f t="shared" si="5"/>
        <v>8.0203733808994603E-4</v>
      </c>
      <c r="T44" s="97">
        <f t="shared" si="5"/>
        <v>8.0203733808994603E-4</v>
      </c>
      <c r="U44" s="97">
        <f t="shared" si="5"/>
        <v>0.95454211607226547</v>
      </c>
      <c r="V44" s="97">
        <f t="shared" si="5"/>
        <v>0.13199420766245726</v>
      </c>
      <c r="W44" s="97">
        <f t="shared" si="5"/>
        <v>8.0203733808994603E-4</v>
      </c>
      <c r="X44" s="97">
        <f t="shared" si="5"/>
        <v>8.0203733808994603E-4</v>
      </c>
      <c r="Y44" s="97">
        <f t="shared" si="5"/>
        <v>8.0203733808994603E-4</v>
      </c>
      <c r="Z44" s="97">
        <f t="shared" si="5"/>
        <v>0.19257996856649967</v>
      </c>
      <c r="AA44" s="97">
        <f t="shared" si="5"/>
        <v>8.0203733808994603E-4</v>
      </c>
    </row>
    <row r="45" spans="2:31" ht="12.75" customHeight="1" x14ac:dyDescent="0.25">
      <c r="B45" s="21" t="s">
        <v>3</v>
      </c>
      <c r="C45" s="95">
        <f>Annual_sorted!O274</f>
        <v>-3.4817659242501788</v>
      </c>
      <c r="D45" s="29">
        <f>IF(C45-Table_1463451520[Burundi]&gt;0, C45-Table_1463451520[Burundi], 0)</f>
        <v>0</v>
      </c>
      <c r="E45" s="29">
        <f>IF(C45-Table_1463451520[DRC]&gt;0, C45-Table_1463451520[DRC], 0)</f>
        <v>0</v>
      </c>
      <c r="F45" s="29">
        <f>IF(C45-Table_1463451520[Egypt]&gt;0, C45-Table_1463451520[Egypt], 0)</f>
        <v>0</v>
      </c>
      <c r="G45" s="29">
        <f>IF(C45-Table_1463451520[Eritrea]&gt;0, C45-Table_1463451520[Eritrea], 0)</f>
        <v>0</v>
      </c>
      <c r="H45" s="29">
        <f>IF(C45-Table_1463451520[Ethiopia]&gt;0, C45-Table_1463451520[Ethiopia], 0)</f>
        <v>99.937446412793534</v>
      </c>
      <c r="I45" s="29">
        <f>IF(C45-Table_1463451520[Kenya]&gt;0, C45-Table_1463451520[Kenya], 0)</f>
        <v>13.746942992026462</v>
      </c>
      <c r="J45" s="29">
        <f>IF(C45-Table_1463451520[Rwanda]&gt;0, C45-Table_1463451520[Rwanda], 0)</f>
        <v>0</v>
      </c>
      <c r="K45" s="29">
        <f>IF(C45-Table_1463451520[Sudan]&gt;0, C45-Table_1463451520[Sudan], 0)</f>
        <v>0</v>
      </c>
      <c r="L45" s="29">
        <f>IF(C45-Table_1463451520[S. Sudan]&gt;0, C45-Table_1463451520[S. Sudan], 0)</f>
        <v>0</v>
      </c>
      <c r="M45" s="29">
        <f>IF(C45-Table_1463451520[Tanzania]&gt;0, C45-Table_1463451520[Tanzania], 0)</f>
        <v>20.095408751966115</v>
      </c>
      <c r="N45" s="29">
        <f>IF(C45-Table_1463451520[Uganda]&gt;0, C45-Table_1463451520[Uganda], 0)</f>
        <v>0</v>
      </c>
      <c r="P45" s="21" t="s">
        <v>4</v>
      </c>
      <c r="Q45" s="97">
        <f t="shared" si="6"/>
        <v>8.0203733808994603E-4</v>
      </c>
      <c r="R45" s="97">
        <f t="shared" si="5"/>
        <v>8.0203733808994603E-4</v>
      </c>
      <c r="S45" s="97">
        <f t="shared" si="5"/>
        <v>8.0203733808994603E-4</v>
      </c>
      <c r="T45" s="97">
        <f t="shared" si="5"/>
        <v>8.0203733808994603E-4</v>
      </c>
      <c r="U45" s="97">
        <f t="shared" si="5"/>
        <v>8.0203733808994603E-4</v>
      </c>
      <c r="V45" s="97">
        <f t="shared" si="5"/>
        <v>8.0203733808994603E-4</v>
      </c>
      <c r="W45" s="97">
        <f t="shared" si="5"/>
        <v>8.0203733808994603E-4</v>
      </c>
      <c r="X45" s="97">
        <f t="shared" si="5"/>
        <v>8.0203733808994603E-4</v>
      </c>
      <c r="Y45" s="97">
        <f t="shared" si="5"/>
        <v>8.0203733808994603E-4</v>
      </c>
      <c r="Z45" s="97">
        <f t="shared" si="5"/>
        <v>8.0203733808994603E-4</v>
      </c>
      <c r="AA45" s="97">
        <f t="shared" si="5"/>
        <v>8.0203733808994603E-4</v>
      </c>
    </row>
    <row r="46" spans="2:31" ht="12.75" customHeight="1" x14ac:dyDescent="0.25">
      <c r="B46" s="21" t="s">
        <v>4</v>
      </c>
      <c r="C46" s="95">
        <f>Annual_sorted!O275</f>
        <v>-103.41921233704372</v>
      </c>
      <c r="D46" s="29">
        <f>IF(C46-Table_1463451520[Burundi]&gt;0, C46-Table_1463451520[Burundi], 0)</f>
        <v>0</v>
      </c>
      <c r="E46" s="29">
        <f>IF(C46-Table_1463451520[DRC]&gt;0, C46-Table_1463451520[DRC], 0)</f>
        <v>0</v>
      </c>
      <c r="F46" s="29">
        <f>IF(C46-Table_1463451520[Egypt]&gt;0, C46-Table_1463451520[Egypt], 0)</f>
        <v>0</v>
      </c>
      <c r="G46" s="29">
        <f>IF(C46-Table_1463451520[Eritrea]&gt;0, C46-Table_1463451520[Eritrea], 0)</f>
        <v>0</v>
      </c>
      <c r="H46" s="29">
        <f>IF(C46-Table_1463451520[Ethiopia]&gt;0, C46-Table_1463451520[Ethiopia], 0)</f>
        <v>0</v>
      </c>
      <c r="I46" s="29">
        <f>IF(C46-Table_1463451520[Kenya]&gt;0, C46-Table_1463451520[Kenya], 0)</f>
        <v>0</v>
      </c>
      <c r="J46" s="29">
        <f>IF(C46-Table_1463451520[Rwanda]&gt;0, C46-Table_1463451520[Rwanda], 0)</f>
        <v>0</v>
      </c>
      <c r="K46" s="29">
        <f>IF(C46-Table_1463451520[Sudan]&gt;0, C46-Table_1463451520[Sudan], 0)</f>
        <v>0</v>
      </c>
      <c r="L46" s="29">
        <f>IF(C46-Table_1463451520[S. Sudan]&gt;0, C46-Table_1463451520[S. Sudan], 0)</f>
        <v>0</v>
      </c>
      <c r="M46" s="29">
        <f>IF(C46-Table_1463451520[Tanzania]&gt;0, C46-Table_1463451520[Tanzania], 0)</f>
        <v>0</v>
      </c>
      <c r="N46" s="29">
        <f>IF(C46-Table_1463451520[Uganda]&gt;0, C46-Table_1463451520[Uganda], 0)</f>
        <v>0</v>
      </c>
      <c r="P46" s="21" t="s">
        <v>5</v>
      </c>
      <c r="Q46" s="97">
        <f t="shared" si="6"/>
        <v>8.0203733808994603E-4</v>
      </c>
      <c r="R46" s="97">
        <f t="shared" si="5"/>
        <v>8.0203733808994603E-4</v>
      </c>
      <c r="S46" s="97">
        <f t="shared" si="5"/>
        <v>8.0203733808994603E-4</v>
      </c>
      <c r="T46" s="97">
        <f t="shared" si="5"/>
        <v>8.0203733808994603E-4</v>
      </c>
      <c r="U46" s="97">
        <f t="shared" si="5"/>
        <v>0.82334994574789822</v>
      </c>
      <c r="V46" s="97">
        <f t="shared" si="5"/>
        <v>8.0203733808994603E-4</v>
      </c>
      <c r="W46" s="97">
        <f t="shared" si="5"/>
        <v>8.0203733808994603E-4</v>
      </c>
      <c r="X46" s="97">
        <f t="shared" si="5"/>
        <v>8.0203733808994603E-4</v>
      </c>
      <c r="Y46" s="97">
        <f t="shared" si="5"/>
        <v>8.0203733808994603E-4</v>
      </c>
      <c r="Z46" s="97">
        <f t="shared" si="5"/>
        <v>6.1387798242132384E-2</v>
      </c>
      <c r="AA46" s="97">
        <f t="shared" si="5"/>
        <v>8.0203733808994603E-4</v>
      </c>
    </row>
    <row r="47" spans="2:31" ht="12.75" customHeight="1" x14ac:dyDescent="0.25">
      <c r="B47" s="21" t="s">
        <v>5</v>
      </c>
      <c r="C47" s="95">
        <f>Annual_sorted!O276</f>
        <v>-17.228708916276641</v>
      </c>
      <c r="D47" s="29">
        <f>IF(C47-Table_1463451520[Burundi]&gt;0, C47-Table_1463451520[Burundi], 0)</f>
        <v>0</v>
      </c>
      <c r="E47" s="29">
        <f>IF(C47-Table_1463451520[DRC]&gt;0, C47-Table_1463451520[DRC], 0)</f>
        <v>0</v>
      </c>
      <c r="F47" s="29">
        <f>IF(C47-Table_1463451520[Egypt]&gt;0, C47-Table_1463451520[Egypt], 0)</f>
        <v>0</v>
      </c>
      <c r="G47" s="29">
        <f>IF(C47-Table_1463451520[Eritrea]&gt;0, C47-Table_1463451520[Eritrea], 0)</f>
        <v>0</v>
      </c>
      <c r="H47" s="29">
        <f>IF(C47-Table_1463451520[Ethiopia]&gt;0, C47-Table_1463451520[Ethiopia], 0)</f>
        <v>86.190503420767072</v>
      </c>
      <c r="I47" s="29">
        <f>IF(C47-Table_1463451520[Kenya]&gt;0, C47-Table_1463451520[Kenya], 0)</f>
        <v>0</v>
      </c>
      <c r="J47" s="29">
        <f>IF(C47-Table_1463451520[Rwanda]&gt;0, C47-Table_1463451520[Rwanda], 0)</f>
        <v>0</v>
      </c>
      <c r="K47" s="29">
        <f>IF(C47-Table_1463451520[Sudan]&gt;0, C47-Table_1463451520[Sudan], 0)</f>
        <v>0</v>
      </c>
      <c r="L47" s="29">
        <f>IF(C47-Table_1463451520[S. Sudan]&gt;0, C47-Table_1463451520[S. Sudan], 0)</f>
        <v>0</v>
      </c>
      <c r="M47" s="29">
        <f>IF(C47-Table_1463451520[Tanzania]&gt;0, C47-Table_1463451520[Tanzania], 0)</f>
        <v>6.3484657599396535</v>
      </c>
      <c r="N47" s="29">
        <f>IF(C47-Table_1463451520[Uganda]&gt;0, C47-Table_1463451520[Uganda], 0)</f>
        <v>0</v>
      </c>
      <c r="P47" s="21" t="s">
        <v>6</v>
      </c>
      <c r="Q47" s="97">
        <f t="shared" si="6"/>
        <v>8.0203733808994603E-4</v>
      </c>
      <c r="R47" s="97">
        <f t="shared" si="5"/>
        <v>8.0203733808994603E-4</v>
      </c>
      <c r="S47" s="97">
        <f t="shared" si="5"/>
        <v>8.0203733808994603E-4</v>
      </c>
      <c r="T47" s="97">
        <f t="shared" si="5"/>
        <v>1.6337023671083104E-3</v>
      </c>
      <c r="U47" s="97">
        <f t="shared" si="5"/>
        <v>0.95537378110128379</v>
      </c>
      <c r="V47" s="97">
        <f t="shared" si="5"/>
        <v>0.13282587269147564</v>
      </c>
      <c r="W47" s="97">
        <f t="shared" si="5"/>
        <v>8.0203733808994603E-4</v>
      </c>
      <c r="X47" s="97">
        <f t="shared" si="5"/>
        <v>8.0203733808994603E-4</v>
      </c>
      <c r="Y47" s="97">
        <f t="shared" si="5"/>
        <v>8.0203733808994603E-4</v>
      </c>
      <c r="Z47" s="97">
        <f t="shared" si="5"/>
        <v>0.19341163359551811</v>
      </c>
      <c r="AA47" s="97">
        <f t="shared" si="5"/>
        <v>8.0203733808994603E-4</v>
      </c>
    </row>
    <row r="48" spans="2:31" ht="12.75" customHeight="1" x14ac:dyDescent="0.25">
      <c r="B48" s="21" t="s">
        <v>6</v>
      </c>
      <c r="C48" s="95">
        <f>Annual_sorted!O277</f>
        <v>-3.3946200853322752</v>
      </c>
      <c r="D48" s="29">
        <f>IF(C48-Table_1463451520[Burundi]&gt;0, C48-Table_1463451520[Burundi], 0)</f>
        <v>0</v>
      </c>
      <c r="E48" s="29">
        <f>IF(C48-Table_1463451520[DRC]&gt;0, C48-Table_1463451520[DRC], 0)</f>
        <v>0</v>
      </c>
      <c r="F48" s="29">
        <f>IF(C48-Table_1463451520[Egypt]&gt;0, C48-Table_1463451520[Egypt], 0)</f>
        <v>0</v>
      </c>
      <c r="G48" s="29">
        <f>IF(C48-Table_1463451520[Eritrea]&gt;0, C48-Table_1463451520[Eritrea], 0)</f>
        <v>8.7145838917903617E-2</v>
      </c>
      <c r="H48" s="29">
        <f>IF(C48-Table_1463451520[Ethiopia]&gt;0, C48-Table_1463451520[Ethiopia], 0)</f>
        <v>100.02459225171144</v>
      </c>
      <c r="I48" s="29">
        <f>IF(C48-Table_1463451520[Kenya]&gt;0, C48-Table_1463451520[Kenya], 0)</f>
        <v>13.834088830944367</v>
      </c>
      <c r="J48" s="29">
        <f>IF(C48-Table_1463451520[Rwanda]&gt;0, C48-Table_1463451520[Rwanda], 0)</f>
        <v>0</v>
      </c>
      <c r="K48" s="29">
        <f>IF(C48-Table_1463451520[Sudan]&gt;0, C48-Table_1463451520[Sudan], 0)</f>
        <v>0</v>
      </c>
      <c r="L48" s="29">
        <f>IF(C48-Table_1463451520[S. Sudan]&gt;0, C48-Table_1463451520[S. Sudan], 0)</f>
        <v>0</v>
      </c>
      <c r="M48" s="29">
        <f>IF(C48-Table_1463451520[Tanzania]&gt;0, C48-Table_1463451520[Tanzania], 0)</f>
        <v>20.18255459088402</v>
      </c>
      <c r="N48" s="29">
        <f>IF(C48-Table_1463451520[Uganda]&gt;0, C48-Table_1463451520[Uganda], 0)</f>
        <v>0</v>
      </c>
      <c r="P48" s="21" t="s">
        <v>7</v>
      </c>
      <c r="Q48" s="97">
        <f t="shared" si="6"/>
        <v>1.691106073687251E-2</v>
      </c>
      <c r="R48" s="97">
        <f t="shared" si="5"/>
        <v>2.8525743634678004E-2</v>
      </c>
      <c r="S48" s="97">
        <f t="shared" si="5"/>
        <v>8.0203733808994603E-4</v>
      </c>
      <c r="T48" s="97">
        <f t="shared" si="5"/>
        <v>3.9170562434036223E-2</v>
      </c>
      <c r="U48" s="97">
        <f t="shared" si="5"/>
        <v>0.99291064116821182</v>
      </c>
      <c r="V48" s="97">
        <f t="shared" si="5"/>
        <v>0.17036273275840355</v>
      </c>
      <c r="W48" s="97">
        <f t="shared" si="5"/>
        <v>3.8338897405017863E-2</v>
      </c>
      <c r="X48" s="97">
        <f t="shared" si="5"/>
        <v>8.0203733808994603E-4</v>
      </c>
      <c r="Y48" s="97">
        <f t="shared" si="5"/>
        <v>4.2321578164309891E-3</v>
      </c>
      <c r="Z48" s="97">
        <f t="shared" si="5"/>
        <v>0.23094849366244599</v>
      </c>
      <c r="AA48" s="97">
        <f t="shared" si="5"/>
        <v>8.0203733808994603E-4</v>
      </c>
    </row>
    <row r="49" spans="2:31" ht="12.75" customHeight="1" x14ac:dyDescent="0.25">
      <c r="B49" s="21" t="s">
        <v>7</v>
      </c>
      <c r="C49" s="95">
        <f>Annual_sorted!O278</f>
        <v>0.53867162074973696</v>
      </c>
      <c r="D49" s="29">
        <f>IF(C49-Table_1463451520[Burundi]&gt;0, C49-Table_1463451520[Burundi], 0)</f>
        <v>1.6879805080803112</v>
      </c>
      <c r="E49" s="29">
        <f>IF(C49-Table_1463451520[DRC]&gt;0, C49-Table_1463451520[DRC], 0)</f>
        <v>2.9050225256933149</v>
      </c>
      <c r="F49" s="29">
        <f>IF(C49-Table_1463451520[Egypt]&gt;0, C49-Table_1463451520[Egypt], 0)</f>
        <v>0</v>
      </c>
      <c r="G49" s="29">
        <f>IF(C49-Table_1463451520[Eritrea]&gt;0, C49-Table_1463451520[Eritrea], 0)</f>
        <v>4.0204375449999157</v>
      </c>
      <c r="H49" s="29">
        <f>IF(C49-Table_1463451520[Ethiopia]&gt;0, C49-Table_1463451520[Ethiopia], 0)</f>
        <v>103.95788395779346</v>
      </c>
      <c r="I49" s="29">
        <f>IF(C49-Table_1463451520[Kenya]&gt;0, C49-Table_1463451520[Kenya], 0)</f>
        <v>17.76738053702638</v>
      </c>
      <c r="J49" s="29">
        <f>IF(C49-Table_1463451520[Rwanda]&gt;0, C49-Table_1463451520[Rwanda], 0)</f>
        <v>3.9332917060820121</v>
      </c>
      <c r="K49" s="29">
        <f>IF(C49-Table_1463451520[Sudan]&gt;0, C49-Table_1463451520[Sudan], 0)</f>
        <v>0</v>
      </c>
      <c r="L49" s="29">
        <f>IF(C49-Table_1463451520[S. Sudan]&gt;0, C49-Table_1463451520[S. Sudan], 0)</f>
        <v>0.35942442719677037</v>
      </c>
      <c r="M49" s="29">
        <f>IF(C49-Table_1463451520[Tanzania]&gt;0, C49-Table_1463451520[Tanzania], 0)</f>
        <v>24.115846296966033</v>
      </c>
      <c r="N49" s="29">
        <f>IF(C49-Table_1463451520[Uganda]&gt;0, C49-Table_1463451520[Uganda], 0)</f>
        <v>0</v>
      </c>
      <c r="P49" s="21" t="s">
        <v>8</v>
      </c>
      <c r="Q49" s="97">
        <f t="shared" si="6"/>
        <v>1.3480940258531467E-2</v>
      </c>
      <c r="R49" s="97">
        <f t="shared" si="5"/>
        <v>2.5095623156336962E-2</v>
      </c>
      <c r="S49" s="97">
        <f t="shared" si="5"/>
        <v>8.0203733808994603E-4</v>
      </c>
      <c r="T49" s="97">
        <f t="shared" si="5"/>
        <v>3.5740441955695187E-2</v>
      </c>
      <c r="U49" s="97">
        <f t="shared" si="5"/>
        <v>0.98948052068987069</v>
      </c>
      <c r="V49" s="97">
        <f t="shared" si="5"/>
        <v>0.16693261228006251</v>
      </c>
      <c r="W49" s="97">
        <f t="shared" si="5"/>
        <v>3.4908776926676821E-2</v>
      </c>
      <c r="X49" s="97">
        <f t="shared" si="5"/>
        <v>8.0203733808994603E-4</v>
      </c>
      <c r="Y49" s="97">
        <f t="shared" si="5"/>
        <v>8.0203733808994603E-4</v>
      </c>
      <c r="Z49" s="97">
        <f t="shared" si="5"/>
        <v>0.22751837318410495</v>
      </c>
      <c r="AA49" s="97">
        <f t="shared" si="5"/>
        <v>8.0203733808994603E-4</v>
      </c>
    </row>
    <row r="50" spans="2:31" ht="12.75" customHeight="1" x14ac:dyDescent="0.25">
      <c r="B50" s="21" t="s">
        <v>8</v>
      </c>
      <c r="C50" s="95">
        <f>Annual_sorted!O279</f>
        <v>0.17924719355296656</v>
      </c>
      <c r="D50" s="29">
        <f>IF(C50-Table_1463451520[Burundi]&gt;0, C50-Table_1463451520[Burundi], 0)</f>
        <v>1.3285560808835408</v>
      </c>
      <c r="E50" s="29">
        <f>IF(C50-Table_1463451520[DRC]&gt;0, C50-Table_1463451520[DRC], 0)</f>
        <v>2.5455980984965447</v>
      </c>
      <c r="F50" s="29">
        <f>IF(C50-Table_1463451520[Egypt]&gt;0, C50-Table_1463451520[Egypt], 0)</f>
        <v>0</v>
      </c>
      <c r="G50" s="29">
        <f>IF(C50-Table_1463451520[Eritrea]&gt;0, C50-Table_1463451520[Eritrea], 0)</f>
        <v>3.6610131178031455</v>
      </c>
      <c r="H50" s="29">
        <f>IF(C50-Table_1463451520[Ethiopia]&gt;0, C50-Table_1463451520[Ethiopia], 0)</f>
        <v>103.59845953059668</v>
      </c>
      <c r="I50" s="29">
        <f>IF(C50-Table_1463451520[Kenya]&gt;0, C50-Table_1463451520[Kenya], 0)</f>
        <v>17.407956109829609</v>
      </c>
      <c r="J50" s="29">
        <f>IF(C50-Table_1463451520[Rwanda]&gt;0, C50-Table_1463451520[Rwanda], 0)</f>
        <v>3.5738672788852419</v>
      </c>
      <c r="K50" s="29">
        <f>IF(C50-Table_1463451520[Sudan]&gt;0, C50-Table_1463451520[Sudan], 0)</f>
        <v>0</v>
      </c>
      <c r="L50" s="29">
        <f>IF(C50-Table_1463451520[S. Sudan]&gt;0, C50-Table_1463451520[S. Sudan], 0)</f>
        <v>0</v>
      </c>
      <c r="M50" s="29">
        <f>IF(C50-Table_1463451520[Tanzania]&gt;0, C50-Table_1463451520[Tanzania], 0)</f>
        <v>23.756421869769262</v>
      </c>
      <c r="N50" s="29">
        <f>IF(C50-Table_1463451520[Uganda]&gt;0, C50-Table_1463451520[Uganda], 0)</f>
        <v>0</v>
      </c>
      <c r="P50" s="21" t="s">
        <v>9</v>
      </c>
      <c r="Q50" s="97">
        <f t="shared" si="6"/>
        <v>8.0203733808994603E-4</v>
      </c>
      <c r="R50" s="97">
        <f t="shared" si="5"/>
        <v>8.0203733808994603E-4</v>
      </c>
      <c r="S50" s="97">
        <f t="shared" si="5"/>
        <v>8.0203733808994603E-4</v>
      </c>
      <c r="T50" s="97">
        <f t="shared" si="5"/>
        <v>8.0203733808994603E-4</v>
      </c>
      <c r="U50" s="97">
        <f t="shared" si="5"/>
        <v>0.76276418484385589</v>
      </c>
      <c r="V50" s="97">
        <f t="shared" si="5"/>
        <v>8.0203733808994603E-4</v>
      </c>
      <c r="W50" s="97">
        <f t="shared" si="5"/>
        <v>8.0203733808994603E-4</v>
      </c>
      <c r="X50" s="97">
        <f t="shared" si="5"/>
        <v>8.0203733808994603E-4</v>
      </c>
      <c r="Y50" s="97">
        <f t="shared" si="5"/>
        <v>8.0203733808994603E-4</v>
      </c>
      <c r="Z50" s="97">
        <f t="shared" si="5"/>
        <v>8.0203733808994603E-4</v>
      </c>
      <c r="AA50" s="97">
        <f t="shared" si="5"/>
        <v>8.0203733808994603E-4</v>
      </c>
    </row>
    <row r="51" spans="2:31" ht="12.75" customHeight="1" thickBot="1" x14ac:dyDescent="0.3">
      <c r="B51" s="21" t="s">
        <v>9</v>
      </c>
      <c r="C51" s="95">
        <f>Annual_sorted!O280</f>
        <v>-23.577174676216295</v>
      </c>
      <c r="D51" s="29">
        <f>IF(C51-Table_1463451520[Burundi]&gt;0, C51-Table_1463451520[Burundi], 0)</f>
        <v>0</v>
      </c>
      <c r="E51" s="29">
        <f>IF(C51-Table_1463451520[DRC]&gt;0, C51-Table_1463451520[DRC], 0)</f>
        <v>0</v>
      </c>
      <c r="F51" s="29">
        <f>IF(C51-Table_1463451520[Egypt]&gt;0, C51-Table_1463451520[Egypt], 0)</f>
        <v>0</v>
      </c>
      <c r="G51" s="29">
        <f>IF(C51-Table_1463451520[Eritrea]&gt;0, C51-Table_1463451520[Eritrea], 0)</f>
        <v>0</v>
      </c>
      <c r="H51" s="29">
        <f>IF(C51-Table_1463451520[Ethiopia]&gt;0, C51-Table_1463451520[Ethiopia], 0)</f>
        <v>79.84203766082743</v>
      </c>
      <c r="I51" s="29">
        <f>IF(C51-Table_1463451520[Kenya]&gt;0, C51-Table_1463451520[Kenya], 0)</f>
        <v>0</v>
      </c>
      <c r="J51" s="29">
        <f>IF(C51-Table_1463451520[Rwanda]&gt;0, C51-Table_1463451520[Rwanda], 0)</f>
        <v>0</v>
      </c>
      <c r="K51" s="29">
        <f>IF(C51-Table_1463451520[Sudan]&gt;0, C51-Table_1463451520[Sudan], 0)</f>
        <v>0</v>
      </c>
      <c r="L51" s="29">
        <f>IF(C51-Table_1463451520[S. Sudan]&gt;0, C51-Table_1463451520[S. Sudan], 0)</f>
        <v>0</v>
      </c>
      <c r="M51" s="29">
        <f>IF(C51-Table_1463451520[Tanzania]&gt;0, C51-Table_1463451520[Tanzania], 0)</f>
        <v>0</v>
      </c>
      <c r="N51" s="29">
        <f>IF(C51-Table_1463451520[Uganda]&gt;0, C51-Table_1463451520[Uganda], 0)</f>
        <v>0</v>
      </c>
      <c r="P51" s="22" t="s">
        <v>10</v>
      </c>
      <c r="Q51" s="98">
        <f t="shared" si="6"/>
        <v>1.7109023398782567E-2</v>
      </c>
      <c r="R51" s="98">
        <f t="shared" si="5"/>
        <v>2.8723706296588058E-2</v>
      </c>
      <c r="S51" s="98">
        <f t="shared" si="5"/>
        <v>8.0203733808994603E-4</v>
      </c>
      <c r="T51" s="98">
        <f t="shared" si="5"/>
        <v>3.936852509594628E-2</v>
      </c>
      <c r="U51" s="98">
        <f t="shared" si="5"/>
        <v>0.99310860383012201</v>
      </c>
      <c r="V51" s="98">
        <f t="shared" si="5"/>
        <v>0.17056069542031357</v>
      </c>
      <c r="W51" s="98">
        <f t="shared" si="5"/>
        <v>3.8536860066927914E-2</v>
      </c>
      <c r="X51" s="98">
        <f t="shared" si="5"/>
        <v>1E-3</v>
      </c>
      <c r="Y51" s="98">
        <f t="shared" si="5"/>
        <v>4.4301204783410431E-3</v>
      </c>
      <c r="Z51" s="98">
        <f t="shared" si="5"/>
        <v>0.23114645632435604</v>
      </c>
      <c r="AA51" s="98">
        <f t="shared" si="5"/>
        <v>8.0203733808994603E-4</v>
      </c>
      <c r="AB51" s="186">
        <f>SUM(Q41:AA51)</f>
        <v>13.131754960746724</v>
      </c>
    </row>
    <row r="52" spans="2:31" ht="12.75" customHeight="1" thickBot="1" x14ac:dyDescent="0.3">
      <c r="B52" s="22" t="s">
        <v>10</v>
      </c>
      <c r="C52" s="96">
        <f>Annual_sorted!O281</f>
        <v>0.55941509515906196</v>
      </c>
      <c r="D52" s="32">
        <f>IF(C52-Table_1463451520[Burundi]&gt;0, C52-Table_1463451520[Burundi], 0)</f>
        <v>1.7087239824896363</v>
      </c>
      <c r="E52" s="32">
        <f>IF(C52-Table_1463451520[DRC]&gt;0, C52-Table_1463451520[DRC], 0)</f>
        <v>2.92576600010264</v>
      </c>
      <c r="F52" s="32">
        <f>IF(C52-Table_1463451520[Egypt]&gt;0, C52-Table_1463451520[Egypt], 0)</f>
        <v>0</v>
      </c>
      <c r="G52" s="32">
        <f>IF(C52-Table_1463451520[Eritrea]&gt;0, C52-Table_1463451520[Eritrea], 0)</f>
        <v>4.0411810194092403</v>
      </c>
      <c r="H52" s="32">
        <f>IF(C52-Table_1463451520[Ethiopia]&gt;0, C52-Table_1463451520[Ethiopia], 0)</f>
        <v>103.97862743220279</v>
      </c>
      <c r="I52" s="32">
        <f>IF(C52-Table_1463451520[Kenya]&gt;0, C52-Table_1463451520[Kenya], 0)</f>
        <v>17.788124011435702</v>
      </c>
      <c r="J52" s="32">
        <f>IF(C52-Table_1463451520[Rwanda]&gt;0, C52-Table_1463451520[Rwanda], 0)</f>
        <v>3.9540351804913372</v>
      </c>
      <c r="K52" s="32">
        <f>IF(C52-Table_1463451520[Sudan]&gt;0, C52-Table_1463451520[Sudan], 0)</f>
        <v>2.0743474409325002E-2</v>
      </c>
      <c r="L52" s="32">
        <f>IF(C52-Table_1463451520[S. Sudan]&gt;0, C52-Table_1463451520[S. Sudan], 0)</f>
        <v>0.38016790160609537</v>
      </c>
      <c r="M52" s="32">
        <f>IF(C52-Table_1463451520[Tanzania]&gt;0, C52-Table_1463451520[Tanzania], 0)</f>
        <v>24.136589771375355</v>
      </c>
      <c r="N52" s="32">
        <f>IF(C52-Table_1463451520[Uganda]&gt;0, C52-Table_1463451520[Uganda], 0)</f>
        <v>0</v>
      </c>
    </row>
    <row r="53" spans="2:31" ht="12.75" customHeight="1" x14ac:dyDescent="0.25"/>
    <row r="54" spans="2:31" ht="12.75" customHeight="1" x14ac:dyDescent="0.25"/>
    <row r="55" spans="2:31" ht="12.75" customHeight="1" x14ac:dyDescent="0.25"/>
    <row r="56" spans="2:31" ht="12.75" customHeight="1" x14ac:dyDescent="0.25">
      <c r="B56" s="5"/>
      <c r="C56" s="5"/>
      <c r="D56" s="5"/>
      <c r="E56" s="5"/>
      <c r="F56" s="5"/>
      <c r="G56" s="5"/>
      <c r="H56" s="5"/>
      <c r="I56" s="5"/>
      <c r="J56" s="5"/>
      <c r="K56" s="5"/>
      <c r="L56" s="5"/>
      <c r="M56" s="5"/>
      <c r="N56" s="44"/>
      <c r="O56" s="5"/>
      <c r="P56" s="5"/>
      <c r="Q56" s="5"/>
      <c r="R56" s="5"/>
      <c r="S56" s="5"/>
      <c r="T56" s="5"/>
      <c r="U56" s="5"/>
      <c r="V56" s="5"/>
      <c r="W56" s="5"/>
      <c r="X56" s="5"/>
      <c r="Y56" s="5"/>
      <c r="Z56" s="5"/>
      <c r="AA56" s="5"/>
    </row>
    <row r="57" spans="2:31" ht="12.75" customHeight="1" thickBot="1" x14ac:dyDescent="0.3">
      <c r="B57" s="253" t="s">
        <v>79</v>
      </c>
      <c r="C57" s="253"/>
      <c r="D57" s="253"/>
      <c r="E57" s="253"/>
      <c r="F57" s="253"/>
      <c r="G57" s="253"/>
      <c r="H57" s="253"/>
      <c r="I57" s="253"/>
      <c r="J57" s="253"/>
      <c r="K57" s="253"/>
      <c r="L57" s="253"/>
      <c r="M57" s="253"/>
      <c r="N57" s="253"/>
      <c r="O57" s="5"/>
      <c r="P57" s="253" t="s">
        <v>80</v>
      </c>
      <c r="Q57" s="253"/>
      <c r="R57" s="253"/>
      <c r="S57" s="253"/>
      <c r="T57" s="253"/>
      <c r="U57" s="253"/>
      <c r="V57" s="253"/>
      <c r="W57" s="253"/>
      <c r="X57" s="253"/>
      <c r="Y57" s="253"/>
      <c r="Z57" s="253"/>
      <c r="AA57" s="253"/>
      <c r="AB57" s="10"/>
      <c r="AC57" s="3" t="s">
        <v>22</v>
      </c>
      <c r="AD57" s="13" t="s">
        <v>23</v>
      </c>
      <c r="AE57" s="74">
        <f t="array" ref="AE57">MIN(IF(D60:N70&gt;0,D60:N70))</f>
        <v>0.2564218697692624</v>
      </c>
    </row>
    <row r="58" spans="2:31" ht="12.75" customHeight="1" thickBot="1" x14ac:dyDescent="0.3">
      <c r="B58" s="75" t="s">
        <v>13</v>
      </c>
      <c r="C58" s="66" t="s">
        <v>14</v>
      </c>
      <c r="D58" s="67" t="s">
        <v>1</v>
      </c>
      <c r="E58" s="67" t="s">
        <v>195</v>
      </c>
      <c r="F58" s="67" t="s">
        <v>2</v>
      </c>
      <c r="G58" s="67" t="s">
        <v>3</v>
      </c>
      <c r="H58" s="67" t="s">
        <v>4</v>
      </c>
      <c r="I58" s="67" t="s">
        <v>5</v>
      </c>
      <c r="J58" s="67" t="s">
        <v>6</v>
      </c>
      <c r="K58" s="67" t="s">
        <v>7</v>
      </c>
      <c r="L58" s="67" t="s">
        <v>295</v>
      </c>
      <c r="M58" s="67" t="s">
        <v>9</v>
      </c>
      <c r="N58" s="67" t="s">
        <v>10</v>
      </c>
      <c r="P58" s="128" t="s">
        <v>19</v>
      </c>
      <c r="Q58" s="123" t="s">
        <v>1</v>
      </c>
      <c r="R58" s="123" t="s">
        <v>195</v>
      </c>
      <c r="S58" s="123" t="s">
        <v>2</v>
      </c>
      <c r="T58" s="123" t="s">
        <v>3</v>
      </c>
      <c r="U58" s="123" t="s">
        <v>4</v>
      </c>
      <c r="V58" s="123" t="s">
        <v>5</v>
      </c>
      <c r="W58" s="123" t="s">
        <v>6</v>
      </c>
      <c r="X58" s="123" t="s">
        <v>7</v>
      </c>
      <c r="Y58" s="123" t="s">
        <v>295</v>
      </c>
      <c r="Z58" s="123" t="s">
        <v>9</v>
      </c>
      <c r="AA58" s="123" t="s">
        <v>10</v>
      </c>
      <c r="AB58" s="254" t="s">
        <v>26</v>
      </c>
      <c r="AC58" s="254"/>
      <c r="AD58" s="13" t="s">
        <v>24</v>
      </c>
      <c r="AE58" s="20">
        <f>MAX(D60:N70)</f>
        <v>102.26990344971314</v>
      </c>
    </row>
    <row r="59" spans="2:31" ht="12.75" customHeight="1" x14ac:dyDescent="0.25">
      <c r="B59" s="93"/>
      <c r="C59" s="94" t="s">
        <v>260</v>
      </c>
      <c r="D59" s="95">
        <f>C60</f>
        <v>-1.1493088873305743</v>
      </c>
      <c r="E59" s="95">
        <f>C61</f>
        <v>-2.366350904943578</v>
      </c>
      <c r="F59" s="95">
        <f>C62</f>
        <v>-55.218471458218673</v>
      </c>
      <c r="G59" s="95">
        <f>C63</f>
        <v>-3.4817659242501788</v>
      </c>
      <c r="H59" s="95">
        <f>C64</f>
        <v>-103.41921233704372</v>
      </c>
      <c r="I59" s="95">
        <f>C65</f>
        <v>-17.228708916276641</v>
      </c>
      <c r="J59" s="95">
        <f>C66</f>
        <v>-7.194620085332275</v>
      </c>
      <c r="K59" s="95">
        <f>C67</f>
        <v>-33.261328379250259</v>
      </c>
      <c r="L59" s="95">
        <f>C68</f>
        <v>-23.320752806447032</v>
      </c>
      <c r="M59" s="95">
        <f>C69</f>
        <v>-23.577174676216295</v>
      </c>
      <c r="N59" s="95">
        <f>C70</f>
        <v>-20.540584904840941</v>
      </c>
      <c r="P59" s="21" t="s">
        <v>1</v>
      </c>
      <c r="Q59" s="97">
        <f>$AE$59+(D60-$AE$57)*($AE$60-$AE$59)/($AE$58-$AE$57)</f>
        <v>-1.5110940625896246E-3</v>
      </c>
      <c r="R59" s="97">
        <f t="shared" ref="R59:AA69" si="7">$AE$59+(E60-$AE$57)*($AE$60-$AE$59)/($AE$58-$AE$57)</f>
        <v>1.0407183372560917E-2</v>
      </c>
      <c r="S59" s="97">
        <f t="shared" si="7"/>
        <v>0.52797866132810101</v>
      </c>
      <c r="T59" s="97">
        <f t="shared" si="7"/>
        <v>2.1330245570120192E-2</v>
      </c>
      <c r="U59" s="97">
        <f t="shared" si="7"/>
        <v>1</v>
      </c>
      <c r="V59" s="97">
        <f t="shared" si="7"/>
        <v>0.15595162929646897</v>
      </c>
      <c r="W59" s="97">
        <f t="shared" si="7"/>
        <v>5.7689570332644914E-2</v>
      </c>
      <c r="X59" s="97">
        <f t="shared" si="7"/>
        <v>0.31295623883877816</v>
      </c>
      <c r="Y59" s="97">
        <f t="shared" si="7"/>
        <v>0.21560993868875161</v>
      </c>
      <c r="Z59" s="97">
        <f t="shared" si="7"/>
        <v>0.21812103275134123</v>
      </c>
      <c r="AA59" s="97">
        <f t="shared" si="7"/>
        <v>0.18838424566573722</v>
      </c>
      <c r="AD59" s="3" t="s">
        <v>25</v>
      </c>
      <c r="AE59" s="2">
        <v>1E-3</v>
      </c>
    </row>
    <row r="60" spans="2:31" ht="12.75" customHeight="1" x14ac:dyDescent="0.25">
      <c r="B60" s="21" t="s">
        <v>1</v>
      </c>
      <c r="C60" s="95">
        <f>Annual_sorted!P271</f>
        <v>-1.1493088873305743</v>
      </c>
      <c r="D60" s="29">
        <f>IF(C60-Table_14634571419[Burundi]&gt;0, C60-Table_14634571419[Burundi], 0)</f>
        <v>0</v>
      </c>
      <c r="E60" s="29">
        <f>IF(C60-Table_14634571419[DRC]&gt;0, C60-Table_14634571419[DRC], 0)</f>
        <v>1.2170420176130037</v>
      </c>
      <c r="F60" s="29">
        <f>IF(C60-Table_14634571419[Egypt]&gt;0, C60-Table_14634571419[Egypt], 0)</f>
        <v>54.069162570888096</v>
      </c>
      <c r="G60" s="29">
        <f>IF(C60-Table_14634571419[Eritrea]&gt;0, C60-Table_14634571419[Eritrea], 0)</f>
        <v>2.3324570369196045</v>
      </c>
      <c r="H60" s="29">
        <f>IF(C60-Table_14634571419[Ethiopia]&gt;0, C60-Table_14634571419[Ethiopia], 0)</f>
        <v>102.26990344971314</v>
      </c>
      <c r="I60" s="29">
        <f>IF(C60-Table_14634571419[Kenya]&gt;0, C60-Table_14634571419[Kenya], 0)</f>
        <v>16.079400028946068</v>
      </c>
      <c r="J60" s="29">
        <f>IF(C60-Table_14634571419[Rwanda]&gt;0, C60-Table_14634571419[Rwanda], 0)</f>
        <v>6.0453111980017002</v>
      </c>
      <c r="K60" s="29">
        <f>IF(C60-Table_14634571419[Sudan]&gt;0, C60-Table_14634571419[Sudan], 0)</f>
        <v>32.112019491919682</v>
      </c>
      <c r="L60" s="29">
        <f>IF(C60-Table_14634571419[S. Sudan]&gt;0, C60-Table_14634571419[S. Sudan], 0)</f>
        <v>22.171443919116459</v>
      </c>
      <c r="M60" s="29">
        <f>IF(C60-Table_14634571419[Tanzania]&gt;0, C60-Table_14634571419[Tanzania], 0)</f>
        <v>22.427865788885722</v>
      </c>
      <c r="N60" s="29">
        <f>IF(C60-Table_14634571419[Uganda]&gt;0, C60-Table_14634571419[Uganda], 0)</f>
        <v>19.391276017510368</v>
      </c>
      <c r="P60" s="21" t="s">
        <v>195</v>
      </c>
      <c r="Q60" s="97">
        <f t="shared" ref="Q60:Q69" si="8">$AE$59+(D61-$AE$57)*($AE$60-$AE$59)/($AE$58-$AE$57)</f>
        <v>-1.5110940625896246E-3</v>
      </c>
      <c r="R60" s="97">
        <f t="shared" si="7"/>
        <v>-1.5110940625896246E-3</v>
      </c>
      <c r="S60" s="97">
        <f t="shared" si="7"/>
        <v>0.51606038389295039</v>
      </c>
      <c r="T60" s="97">
        <f t="shared" si="7"/>
        <v>9.4119681349696463E-3</v>
      </c>
      <c r="U60" s="97">
        <f t="shared" si="7"/>
        <v>0.98808172256484939</v>
      </c>
      <c r="V60" s="97">
        <f t="shared" si="7"/>
        <v>0.14403335186131841</v>
      </c>
      <c r="W60" s="97">
        <f t="shared" si="7"/>
        <v>4.5771292897494376E-2</v>
      </c>
      <c r="X60" s="97">
        <f t="shared" si="7"/>
        <v>0.30103796140362765</v>
      </c>
      <c r="Y60" s="97">
        <f t="shared" si="7"/>
        <v>0.20369166125360108</v>
      </c>
      <c r="Z60" s="97">
        <f t="shared" si="7"/>
        <v>0.20620275531619073</v>
      </c>
      <c r="AA60" s="97">
        <f t="shared" si="7"/>
        <v>0.17646596823058666</v>
      </c>
      <c r="AD60" s="3" t="s">
        <v>70</v>
      </c>
      <c r="AE60" s="2">
        <v>1</v>
      </c>
    </row>
    <row r="61" spans="2:31" ht="12.75" customHeight="1" x14ac:dyDescent="0.25">
      <c r="B61" s="21" t="s">
        <v>195</v>
      </c>
      <c r="C61" s="95">
        <f>Annual_sorted!P272</f>
        <v>-2.366350904943578</v>
      </c>
      <c r="D61" s="29">
        <f>IF(C61-Table_14634571419[Burundi]&gt;0, C61-Table_14634571419[Burundi], 0)</f>
        <v>0</v>
      </c>
      <c r="E61" s="29">
        <f>IF(C61-Table_14634571419[DRC]&gt;0, C61-Table_14634571419[DRC], 0)</f>
        <v>0</v>
      </c>
      <c r="F61" s="29">
        <f>IF(C61-Table_14634571419[Egypt]&gt;0, C61-Table_14634571419[Egypt], 0)</f>
        <v>52.852120553275093</v>
      </c>
      <c r="G61" s="29">
        <f>IF(C61-Table_14634571419[Eritrea]&gt;0, C61-Table_14634571419[Eritrea], 0)</f>
        <v>1.1154150193066008</v>
      </c>
      <c r="H61" s="29">
        <f>IF(C61-Table_14634571419[Ethiopia]&gt;0, C61-Table_14634571419[Ethiopia], 0)</f>
        <v>101.05286143210014</v>
      </c>
      <c r="I61" s="29">
        <f>IF(C61-Table_14634571419[Kenya]&gt;0, C61-Table_14634571419[Kenya], 0)</f>
        <v>14.862358011333063</v>
      </c>
      <c r="J61" s="29">
        <f>IF(C61-Table_14634571419[Rwanda]&gt;0, C61-Table_14634571419[Rwanda], 0)</f>
        <v>4.8282691803886966</v>
      </c>
      <c r="K61" s="29">
        <f>IF(C61-Table_14634571419[Sudan]&gt;0, C61-Table_14634571419[Sudan], 0)</f>
        <v>30.894977474306682</v>
      </c>
      <c r="L61" s="29">
        <f>IF(C61-Table_14634571419[S. Sudan]&gt;0, C61-Table_14634571419[S. Sudan], 0)</f>
        <v>20.954401901503456</v>
      </c>
      <c r="M61" s="29">
        <f>IF(C61-Table_14634571419[Tanzania]&gt;0, C61-Table_14634571419[Tanzania], 0)</f>
        <v>21.210823771272718</v>
      </c>
      <c r="N61" s="29">
        <f>IF(C61-Table_14634571419[Uganda]&gt;0, C61-Table_14634571419[Uganda], 0)</f>
        <v>18.174233999897364</v>
      </c>
      <c r="P61" s="21" t="s">
        <v>2</v>
      </c>
      <c r="Q61" s="97">
        <f t="shared" si="8"/>
        <v>-1.5110940625896246E-3</v>
      </c>
      <c r="R61" s="97">
        <f t="shared" si="7"/>
        <v>-1.5110940625896246E-3</v>
      </c>
      <c r="S61" s="97">
        <f t="shared" si="7"/>
        <v>-1.5110940625896246E-3</v>
      </c>
      <c r="T61" s="97">
        <f t="shared" si="7"/>
        <v>-1.5110940625896246E-3</v>
      </c>
      <c r="U61" s="97">
        <f t="shared" si="7"/>
        <v>0.47051024460930935</v>
      </c>
      <c r="V61" s="97">
        <f t="shared" si="7"/>
        <v>-1.5110940625896246E-3</v>
      </c>
      <c r="W61" s="97">
        <f t="shared" si="7"/>
        <v>-1.5110940625896246E-3</v>
      </c>
      <c r="X61" s="97">
        <f t="shared" si="7"/>
        <v>-1.5110940625896246E-3</v>
      </c>
      <c r="Y61" s="97">
        <f t="shared" si="7"/>
        <v>-1.5110940625896246E-3</v>
      </c>
      <c r="Z61" s="97">
        <f t="shared" si="7"/>
        <v>-1.5110940625896246E-3</v>
      </c>
      <c r="AA61" s="97">
        <f t="shared" si="7"/>
        <v>-1.5110940625896246E-3</v>
      </c>
    </row>
    <row r="62" spans="2:31" ht="12.75" customHeight="1" x14ac:dyDescent="0.25">
      <c r="B62" s="21" t="s">
        <v>2</v>
      </c>
      <c r="C62" s="95">
        <f>Annual_sorted!P273</f>
        <v>-55.218471458218673</v>
      </c>
      <c r="D62" s="29">
        <f>IF(C62-Table_14634571419[Burundi]&gt;0, C62-Table_14634571419[Burundi], 0)</f>
        <v>0</v>
      </c>
      <c r="E62" s="29">
        <f>IF(C62-Table_14634571419[DRC]&gt;0, C62-Table_14634571419[DRC], 0)</f>
        <v>0</v>
      </c>
      <c r="F62" s="29">
        <f>IF(C62-Table_14634571419[Egypt]&gt;0, C62-Table_14634571419[Egypt], 0)</f>
        <v>0</v>
      </c>
      <c r="G62" s="29">
        <f>IF(C62-Table_14634571419[Eritrea]&gt;0, C62-Table_14634571419[Eritrea], 0)</f>
        <v>0</v>
      </c>
      <c r="H62" s="29">
        <f>IF(C62-Table_14634571419[Ethiopia]&gt;0, C62-Table_14634571419[Ethiopia], 0)</f>
        <v>48.200740878825044</v>
      </c>
      <c r="I62" s="29">
        <f>IF(C62-Table_14634571419[Kenya]&gt;0, C62-Table_14634571419[Kenya], 0)</f>
        <v>0</v>
      </c>
      <c r="J62" s="29">
        <f>IF(C62-Table_14634571419[Rwanda]&gt;0, C62-Table_14634571419[Rwanda], 0)</f>
        <v>0</v>
      </c>
      <c r="K62" s="29">
        <f>IF(C62-Table_14634571419[Sudan]&gt;0, C62-Table_14634571419[Sudan], 0)</f>
        <v>0</v>
      </c>
      <c r="L62" s="29">
        <f>IF(C62-Table_14634571419[S. Sudan]&gt;0, C62-Table_14634571419[S. Sudan], 0)</f>
        <v>0</v>
      </c>
      <c r="M62" s="29">
        <f>IF(C62-Table_14634571419[Tanzania]&gt;0, C62-Table_14634571419[Tanzania], 0)</f>
        <v>0</v>
      </c>
      <c r="N62" s="29">
        <f>IF(C62-Table_14634571419[Uganda]&gt;0, C62-Table_14634571419[Uganda], 0)</f>
        <v>0</v>
      </c>
      <c r="P62" s="21" t="s">
        <v>3</v>
      </c>
      <c r="Q62" s="97">
        <f t="shared" si="8"/>
        <v>-1.5110940625896246E-3</v>
      </c>
      <c r="R62" s="97">
        <f t="shared" si="7"/>
        <v>-1.5110940625896246E-3</v>
      </c>
      <c r="S62" s="97">
        <f t="shared" si="7"/>
        <v>0.50513732169539116</v>
      </c>
      <c r="T62" s="97">
        <f t="shared" si="7"/>
        <v>-1.5110940625896246E-3</v>
      </c>
      <c r="U62" s="97">
        <f t="shared" si="7"/>
        <v>0.97715866036729004</v>
      </c>
      <c r="V62" s="97">
        <f t="shared" si="7"/>
        <v>0.13311028966375912</v>
      </c>
      <c r="W62" s="97">
        <f t="shared" si="7"/>
        <v>3.4848230699935104E-2</v>
      </c>
      <c r="X62" s="97">
        <f t="shared" si="7"/>
        <v>0.29011489920606837</v>
      </c>
      <c r="Y62" s="97">
        <f t="shared" si="7"/>
        <v>0.1927685990560418</v>
      </c>
      <c r="Z62" s="97">
        <f t="shared" si="7"/>
        <v>0.19527969311863141</v>
      </c>
      <c r="AA62" s="97">
        <f t="shared" si="7"/>
        <v>0.16554290603302738</v>
      </c>
    </row>
    <row r="63" spans="2:31" ht="12.75" customHeight="1" x14ac:dyDescent="0.25">
      <c r="B63" s="21" t="s">
        <v>3</v>
      </c>
      <c r="C63" s="95">
        <f>Annual_sorted!P274</f>
        <v>-3.4817659242501788</v>
      </c>
      <c r="D63" s="29">
        <f>IF(C63-Table_14634571419[Burundi]&gt;0, C63-Table_14634571419[Burundi], 0)</f>
        <v>0</v>
      </c>
      <c r="E63" s="29">
        <f>IF(C63-Table_14634571419[DRC]&gt;0, C63-Table_14634571419[DRC], 0)</f>
        <v>0</v>
      </c>
      <c r="F63" s="29">
        <f>IF(C63-Table_14634571419[Egypt]&gt;0, C63-Table_14634571419[Egypt], 0)</f>
        <v>51.736705533968497</v>
      </c>
      <c r="G63" s="29">
        <f>IF(C63-Table_14634571419[Eritrea]&gt;0, C63-Table_14634571419[Eritrea], 0)</f>
        <v>0</v>
      </c>
      <c r="H63" s="29">
        <f>IF(C63-Table_14634571419[Ethiopia]&gt;0, C63-Table_14634571419[Ethiopia], 0)</f>
        <v>99.937446412793534</v>
      </c>
      <c r="I63" s="29">
        <f>IF(C63-Table_14634571419[Kenya]&gt;0, C63-Table_14634571419[Kenya], 0)</f>
        <v>13.746942992026462</v>
      </c>
      <c r="J63" s="29">
        <f>IF(C63-Table_14634571419[Rwanda]&gt;0, C63-Table_14634571419[Rwanda], 0)</f>
        <v>3.7128541610820962</v>
      </c>
      <c r="K63" s="29">
        <f>IF(C63-Table_14634571419[Sudan]&gt;0, C63-Table_14634571419[Sudan], 0)</f>
        <v>29.779562455000079</v>
      </c>
      <c r="L63" s="29">
        <f>IF(C63-Table_14634571419[S. Sudan]&gt;0, C63-Table_14634571419[S. Sudan], 0)</f>
        <v>19.838986882196853</v>
      </c>
      <c r="M63" s="29">
        <f>IF(C63-Table_14634571419[Tanzania]&gt;0, C63-Table_14634571419[Tanzania], 0)</f>
        <v>20.095408751966115</v>
      </c>
      <c r="N63" s="29">
        <f>IF(C63-Table_14634571419[Uganda]&gt;0, C63-Table_14634571419[Uganda], 0)</f>
        <v>17.058818980590761</v>
      </c>
      <c r="P63" s="21" t="s">
        <v>4</v>
      </c>
      <c r="Q63" s="97">
        <f t="shared" si="8"/>
        <v>-1.5110940625896246E-3</v>
      </c>
      <c r="R63" s="97">
        <f t="shared" si="7"/>
        <v>-1.5110940625896246E-3</v>
      </c>
      <c r="S63" s="97">
        <f t="shared" si="7"/>
        <v>-1.5110940625896246E-3</v>
      </c>
      <c r="T63" s="97">
        <f t="shared" si="7"/>
        <v>-1.5110940625896246E-3</v>
      </c>
      <c r="U63" s="97">
        <f t="shared" si="7"/>
        <v>-1.5110940625896246E-3</v>
      </c>
      <c r="V63" s="97">
        <f t="shared" si="7"/>
        <v>-1.5110940625896246E-3</v>
      </c>
      <c r="W63" s="97">
        <f t="shared" si="7"/>
        <v>-1.5110940625896246E-3</v>
      </c>
      <c r="X63" s="97">
        <f t="shared" si="7"/>
        <v>-1.5110940625896246E-3</v>
      </c>
      <c r="Y63" s="97">
        <f t="shared" si="7"/>
        <v>-1.5110940625896246E-3</v>
      </c>
      <c r="Z63" s="97">
        <f t="shared" si="7"/>
        <v>-1.5110940625896246E-3</v>
      </c>
      <c r="AA63" s="97">
        <f t="shared" si="7"/>
        <v>-1.5110940625896246E-3</v>
      </c>
    </row>
    <row r="64" spans="2:31" ht="12.75" customHeight="1" x14ac:dyDescent="0.25">
      <c r="B64" s="21" t="s">
        <v>4</v>
      </c>
      <c r="C64" s="95">
        <f>Annual_sorted!P275</f>
        <v>-103.41921233704372</v>
      </c>
      <c r="D64" s="29">
        <f>IF(C64-Table_14634571419[Burundi]&gt;0, C64-Table_14634571419[Burundi], 0)</f>
        <v>0</v>
      </c>
      <c r="E64" s="29">
        <f>IF(C64-Table_14634571419[DRC]&gt;0, C64-Table_14634571419[DRC], 0)</f>
        <v>0</v>
      </c>
      <c r="F64" s="29">
        <f>IF(C64-Table_14634571419[Egypt]&gt;0, C64-Table_14634571419[Egypt], 0)</f>
        <v>0</v>
      </c>
      <c r="G64" s="29">
        <f>IF(C64-Table_14634571419[Eritrea]&gt;0, C64-Table_14634571419[Eritrea], 0)</f>
        <v>0</v>
      </c>
      <c r="H64" s="29">
        <f>IF(C64-Table_14634571419[Ethiopia]&gt;0, C64-Table_14634571419[Ethiopia], 0)</f>
        <v>0</v>
      </c>
      <c r="I64" s="29">
        <f>IF(C64-Table_14634571419[Kenya]&gt;0, C64-Table_14634571419[Kenya], 0)</f>
        <v>0</v>
      </c>
      <c r="J64" s="29">
        <f>IF(C64-Table_14634571419[Rwanda]&gt;0, C64-Table_14634571419[Rwanda], 0)</f>
        <v>0</v>
      </c>
      <c r="K64" s="29">
        <f>IF(C64-Table_14634571419[Sudan]&gt;0, C64-Table_14634571419[Sudan], 0)</f>
        <v>0</v>
      </c>
      <c r="L64" s="29">
        <f>IF(C64-Table_14634571419[S. Sudan]&gt;0, C64-Table_14634571419[S. Sudan], 0)</f>
        <v>0</v>
      </c>
      <c r="M64" s="29">
        <f>IF(C64-Table_14634571419[Tanzania]&gt;0, C64-Table_14634571419[Tanzania], 0)</f>
        <v>0</v>
      </c>
      <c r="N64" s="29">
        <f>IF(C64-Table_14634571419[Uganda]&gt;0, C64-Table_14634571419[Uganda], 0)</f>
        <v>0</v>
      </c>
      <c r="P64" s="21" t="s">
        <v>5</v>
      </c>
      <c r="Q64" s="97">
        <f t="shared" si="8"/>
        <v>-1.5110940625896246E-3</v>
      </c>
      <c r="R64" s="97">
        <f t="shared" si="7"/>
        <v>-1.5110940625896246E-3</v>
      </c>
      <c r="S64" s="97">
        <f t="shared" si="7"/>
        <v>0.37051593796904236</v>
      </c>
      <c r="T64" s="97">
        <f t="shared" si="7"/>
        <v>-1.5110940625896246E-3</v>
      </c>
      <c r="U64" s="97">
        <f t="shared" si="7"/>
        <v>0.84253727664094125</v>
      </c>
      <c r="V64" s="97">
        <f t="shared" si="7"/>
        <v>-1.5110940625896246E-3</v>
      </c>
      <c r="W64" s="97">
        <f t="shared" si="7"/>
        <v>-1.5110940625896246E-3</v>
      </c>
      <c r="X64" s="97">
        <f t="shared" si="7"/>
        <v>0.1554935154797196</v>
      </c>
      <c r="Y64" s="97">
        <f t="shared" si="7"/>
        <v>5.8147215329693039E-2</v>
      </c>
      <c r="Z64" s="97">
        <f t="shared" si="7"/>
        <v>6.0658309392282665E-2</v>
      </c>
      <c r="AA64" s="97">
        <f t="shared" si="7"/>
        <v>3.0921522306678648E-2</v>
      </c>
    </row>
    <row r="65" spans="1:31" ht="12.75" customHeight="1" x14ac:dyDescent="0.25">
      <c r="B65" s="21" t="s">
        <v>5</v>
      </c>
      <c r="C65" s="95">
        <f>Annual_sorted!P276</f>
        <v>-17.228708916276641</v>
      </c>
      <c r="D65" s="29">
        <f>IF(C65-Table_14634571419[Burundi]&gt;0, C65-Table_14634571419[Burundi], 0)</f>
        <v>0</v>
      </c>
      <c r="E65" s="29">
        <f>IF(C65-Table_14634571419[DRC]&gt;0, C65-Table_14634571419[DRC], 0)</f>
        <v>0</v>
      </c>
      <c r="F65" s="29">
        <f>IF(C65-Table_14634571419[Egypt]&gt;0, C65-Table_14634571419[Egypt], 0)</f>
        <v>37.989762541942028</v>
      </c>
      <c r="G65" s="29">
        <f>IF(C65-Table_14634571419[Eritrea]&gt;0, C65-Table_14634571419[Eritrea], 0)</f>
        <v>0</v>
      </c>
      <c r="H65" s="29">
        <f>IF(C65-Table_14634571419[Ethiopia]&gt;0, C65-Table_14634571419[Ethiopia], 0)</f>
        <v>86.190503420767072</v>
      </c>
      <c r="I65" s="29">
        <f>IF(C65-Table_14634571419[Kenya]&gt;0, C65-Table_14634571419[Kenya], 0)</f>
        <v>0</v>
      </c>
      <c r="J65" s="29">
        <f>IF(C65-Table_14634571419[Rwanda]&gt;0, C65-Table_14634571419[Rwanda], 0)</f>
        <v>0</v>
      </c>
      <c r="K65" s="29">
        <f>IF(C65-Table_14634571419[Sudan]&gt;0, C65-Table_14634571419[Sudan], 0)</f>
        <v>16.032619462973617</v>
      </c>
      <c r="L65" s="29">
        <f>IF(C65-Table_14634571419[S. Sudan]&gt;0, C65-Table_14634571419[S. Sudan], 0)</f>
        <v>6.0920438901703911</v>
      </c>
      <c r="M65" s="29">
        <f>IF(C65-Table_14634571419[Tanzania]&gt;0, C65-Table_14634571419[Tanzania], 0)</f>
        <v>6.3484657599396535</v>
      </c>
      <c r="N65" s="29">
        <f>IF(C65-Table_14634571419[Uganda]&gt;0, C65-Table_14634571419[Uganda], 0)</f>
        <v>3.3118759885642994</v>
      </c>
      <c r="P65" s="21" t="s">
        <v>6</v>
      </c>
      <c r="Q65" s="97">
        <f t="shared" si="8"/>
        <v>-1.5110940625896246E-3</v>
      </c>
      <c r="R65" s="97">
        <f t="shared" si="7"/>
        <v>-1.5110940625896246E-3</v>
      </c>
      <c r="S65" s="97">
        <f t="shared" si="7"/>
        <v>0.46877799693286643</v>
      </c>
      <c r="T65" s="97">
        <f t="shared" si="7"/>
        <v>-1.5110940625896246E-3</v>
      </c>
      <c r="U65" s="97">
        <f t="shared" si="7"/>
        <v>0.94079933560476536</v>
      </c>
      <c r="V65" s="97">
        <f t="shared" si="7"/>
        <v>9.6750964901234388E-2</v>
      </c>
      <c r="W65" s="97">
        <f t="shared" si="7"/>
        <v>-1.5110940625896246E-3</v>
      </c>
      <c r="X65" s="97">
        <f t="shared" si="7"/>
        <v>0.25375557444354363</v>
      </c>
      <c r="Y65" s="97">
        <f t="shared" si="7"/>
        <v>0.15640927429351706</v>
      </c>
      <c r="Z65" s="97">
        <f t="shared" si="7"/>
        <v>0.15892036835610668</v>
      </c>
      <c r="AA65" s="97">
        <f t="shared" si="7"/>
        <v>0.12918358127050267</v>
      </c>
    </row>
    <row r="66" spans="1:31" ht="12.75" customHeight="1" x14ac:dyDescent="0.25">
      <c r="B66" s="21" t="s">
        <v>6</v>
      </c>
      <c r="C66" s="95">
        <f>Annual_sorted!P277</f>
        <v>-7.194620085332275</v>
      </c>
      <c r="D66" s="29">
        <f>IF(C66-Table_14634571419[Burundi]&gt;0, C66-Table_14634571419[Burundi], 0)</f>
        <v>0</v>
      </c>
      <c r="E66" s="29">
        <f>IF(C66-Table_14634571419[DRC]&gt;0, C66-Table_14634571419[DRC], 0)</f>
        <v>0</v>
      </c>
      <c r="F66" s="29">
        <f>IF(C66-Table_14634571419[Egypt]&gt;0, C66-Table_14634571419[Egypt], 0)</f>
        <v>48.023851372886398</v>
      </c>
      <c r="G66" s="29">
        <f>IF(C66-Table_14634571419[Eritrea]&gt;0, C66-Table_14634571419[Eritrea], 0)</f>
        <v>0</v>
      </c>
      <c r="H66" s="29">
        <f>IF(C66-Table_14634571419[Ethiopia]&gt;0, C66-Table_14634571419[Ethiopia], 0)</f>
        <v>96.224592251711442</v>
      </c>
      <c r="I66" s="29">
        <f>IF(C66-Table_14634571419[Kenya]&gt;0, C66-Table_14634571419[Kenya], 0)</f>
        <v>10.034088830944366</v>
      </c>
      <c r="J66" s="29">
        <f>IF(C66-Table_14634571419[Rwanda]&gt;0, C66-Table_14634571419[Rwanda], 0)</f>
        <v>0</v>
      </c>
      <c r="K66" s="29">
        <f>IF(C66-Table_14634571419[Sudan]&gt;0, C66-Table_14634571419[Sudan], 0)</f>
        <v>26.066708293917983</v>
      </c>
      <c r="L66" s="29">
        <f>IF(C66-Table_14634571419[S. Sudan]&gt;0, C66-Table_14634571419[S. Sudan], 0)</f>
        <v>16.126132721114757</v>
      </c>
      <c r="M66" s="29">
        <f>IF(C66-Table_14634571419[Tanzania]&gt;0, C66-Table_14634571419[Tanzania], 0)</f>
        <v>16.38255459088402</v>
      </c>
      <c r="N66" s="29">
        <f>IF(C66-Table_14634571419[Uganda]&gt;0, C66-Table_14634571419[Uganda], 0)</f>
        <v>13.345964819508666</v>
      </c>
      <c r="P66" s="21" t="s">
        <v>7</v>
      </c>
      <c r="Q66" s="97">
        <f t="shared" si="8"/>
        <v>-1.5110940625896246E-3</v>
      </c>
      <c r="R66" s="97">
        <f t="shared" si="7"/>
        <v>-1.5110940625896246E-3</v>
      </c>
      <c r="S66" s="97">
        <f t="shared" si="7"/>
        <v>0.2135113284267332</v>
      </c>
      <c r="T66" s="97">
        <f t="shared" si="7"/>
        <v>-1.5110940625896246E-3</v>
      </c>
      <c r="U66" s="97">
        <f t="shared" si="7"/>
        <v>0.68553266709863225</v>
      </c>
      <c r="V66" s="97">
        <f t="shared" si="7"/>
        <v>-1.5110940625896246E-3</v>
      </c>
      <c r="W66" s="97">
        <f t="shared" si="7"/>
        <v>-1.5110940625896246E-3</v>
      </c>
      <c r="X66" s="97">
        <f t="shared" si="7"/>
        <v>-1.5110940625896246E-3</v>
      </c>
      <c r="Y66" s="97">
        <f t="shared" si="7"/>
        <v>-1.5110940625896246E-3</v>
      </c>
      <c r="Z66" s="97">
        <f t="shared" si="7"/>
        <v>-1.5110940625896246E-3</v>
      </c>
      <c r="AA66" s="97">
        <f t="shared" si="7"/>
        <v>-1.5110940625896246E-3</v>
      </c>
    </row>
    <row r="67" spans="1:31" ht="12.75" customHeight="1" x14ac:dyDescent="0.25">
      <c r="B67" s="21" t="s">
        <v>7</v>
      </c>
      <c r="C67" s="95">
        <f>Annual_sorted!P278</f>
        <v>-33.261328379250259</v>
      </c>
      <c r="D67" s="29">
        <f>IF(C67-Table_14634571419[Burundi]&gt;0, C67-Table_14634571419[Burundi], 0)</f>
        <v>0</v>
      </c>
      <c r="E67" s="29">
        <f>IF(C67-Table_14634571419[DRC]&gt;0, C67-Table_14634571419[DRC], 0)</f>
        <v>0</v>
      </c>
      <c r="F67" s="29">
        <f>IF(C67-Table_14634571419[Egypt]&gt;0, C67-Table_14634571419[Egypt], 0)</f>
        <v>21.957143078968414</v>
      </c>
      <c r="G67" s="29">
        <f>IF(C67-Table_14634571419[Eritrea]&gt;0, C67-Table_14634571419[Eritrea], 0)</f>
        <v>0</v>
      </c>
      <c r="H67" s="29">
        <f>IF(C67-Table_14634571419[Ethiopia]&gt;0, C67-Table_14634571419[Ethiopia], 0)</f>
        <v>70.157883957793459</v>
      </c>
      <c r="I67" s="29">
        <f>IF(C67-Table_14634571419[Kenya]&gt;0, C67-Table_14634571419[Kenya], 0)</f>
        <v>0</v>
      </c>
      <c r="J67" s="29">
        <f>IF(C67-Table_14634571419[Rwanda]&gt;0, C67-Table_14634571419[Rwanda], 0)</f>
        <v>0</v>
      </c>
      <c r="K67" s="29">
        <f>IF(C67-Table_14634571419[Sudan]&gt;0, C67-Table_14634571419[Sudan], 0)</f>
        <v>0</v>
      </c>
      <c r="L67" s="29">
        <f>IF(C67-Table_14634571419[S. Sudan]&gt;0, C67-Table_14634571419[S. Sudan], 0)</f>
        <v>0</v>
      </c>
      <c r="M67" s="29">
        <f>IF(C67-Table_14634571419[Tanzania]&gt;0, C67-Table_14634571419[Tanzania], 0)</f>
        <v>0</v>
      </c>
      <c r="N67" s="29">
        <f>IF(C67-Table_14634571419[Uganda]&gt;0, C67-Table_14634571419[Uganda], 0)</f>
        <v>0</v>
      </c>
      <c r="P67" s="21" t="s">
        <v>8</v>
      </c>
      <c r="Q67" s="97">
        <f t="shared" si="8"/>
        <v>-1.5110940625896246E-3</v>
      </c>
      <c r="R67" s="97">
        <f t="shared" si="7"/>
        <v>-1.5110940625896246E-3</v>
      </c>
      <c r="S67" s="97">
        <f t="shared" si="7"/>
        <v>0.31085762857675975</v>
      </c>
      <c r="T67" s="97">
        <f t="shared" si="7"/>
        <v>-1.5110940625896246E-3</v>
      </c>
      <c r="U67" s="97">
        <f t="shared" si="7"/>
        <v>0.7828789672486588</v>
      </c>
      <c r="V67" s="97">
        <f t="shared" si="7"/>
        <v>-1.5110940625896246E-3</v>
      </c>
      <c r="W67" s="97">
        <f t="shared" si="7"/>
        <v>-1.5110940625896246E-3</v>
      </c>
      <c r="X67" s="97">
        <f t="shared" si="7"/>
        <v>9.5835206087436925E-2</v>
      </c>
      <c r="Y67" s="97">
        <f t="shared" si="7"/>
        <v>-1.5110940625896246E-3</v>
      </c>
      <c r="Z67" s="97">
        <f t="shared" si="7"/>
        <v>1E-3</v>
      </c>
      <c r="AA67" s="97">
        <f>$AE$59+(N68-$AE$57)*($AE$60-$AE$59)/($AE$58-$AE$57)</f>
        <v>-1.5110940625896246E-3</v>
      </c>
    </row>
    <row r="68" spans="1:31" ht="12.75" customHeight="1" x14ac:dyDescent="0.25">
      <c r="B68" s="21" t="s">
        <v>8</v>
      </c>
      <c r="C68" s="95">
        <f>Annual_sorted!P279</f>
        <v>-23.320752806447032</v>
      </c>
      <c r="D68" s="29">
        <f>IF(C68-Table_14634571419[Burundi]&gt;0, C68-Table_14634571419[Burundi], 0)</f>
        <v>0</v>
      </c>
      <c r="E68" s="29">
        <f>IF(C68-Table_14634571419[DRC]&gt;0, C68-Table_14634571419[DRC], 0)</f>
        <v>0</v>
      </c>
      <c r="F68" s="29">
        <f>IF(C68-Table_14634571419[Egypt]&gt;0, C68-Table_14634571419[Egypt], 0)</f>
        <v>31.89771865177164</v>
      </c>
      <c r="G68" s="29">
        <f>IF(C68-Table_14634571419[Eritrea]&gt;0, C68-Table_14634571419[Eritrea], 0)</f>
        <v>0</v>
      </c>
      <c r="H68" s="29">
        <f>IF(C68-Table_14634571419[Ethiopia]&gt;0, C68-Table_14634571419[Ethiopia], 0)</f>
        <v>80.098459530596685</v>
      </c>
      <c r="I68" s="29">
        <f>IF(C68-Table_14634571419[Kenya]&gt;0, C68-Table_14634571419[Kenya], 0)</f>
        <v>0</v>
      </c>
      <c r="J68" s="29">
        <f>IF(C68-Table_14634571419[Rwanda]&gt;0, C68-Table_14634571419[Rwanda], 0)</f>
        <v>0</v>
      </c>
      <c r="K68" s="29">
        <f>IF(C68-Table_14634571419[Sudan]&gt;0, C68-Table_14634571419[Sudan], 0)</f>
        <v>9.9405755728032261</v>
      </c>
      <c r="L68" s="29">
        <f>IF(C68-Table_14634571419[S. Sudan]&gt;0, C68-Table_14634571419[S. Sudan], 0)</f>
        <v>0</v>
      </c>
      <c r="M68" s="29">
        <f>IF(C68-Table_14634571419[Tanzania]&gt;0, C68-Table_14634571419[Tanzania], 0)</f>
        <v>0.2564218697692624</v>
      </c>
      <c r="N68" s="29">
        <f>IF(C68-Table_14634571419[Uganda]&gt;0, C68-Table_14634571419[Uganda], 0)</f>
        <v>0</v>
      </c>
      <c r="P68" s="21" t="s">
        <v>9</v>
      </c>
      <c r="Q68" s="97">
        <f t="shared" si="8"/>
        <v>-1.5110940625896246E-3</v>
      </c>
      <c r="R68" s="97">
        <f t="shared" si="7"/>
        <v>-1.5110940625896246E-3</v>
      </c>
      <c r="S68" s="97">
        <f t="shared" si="7"/>
        <v>0.3083465345141701</v>
      </c>
      <c r="T68" s="97">
        <f t="shared" si="7"/>
        <v>-1.5110940625896246E-3</v>
      </c>
      <c r="U68" s="97">
        <f t="shared" si="7"/>
        <v>0.78036787318606904</v>
      </c>
      <c r="V68" s="97">
        <f t="shared" si="7"/>
        <v>-1.5110940625896246E-3</v>
      </c>
      <c r="W68" s="97">
        <f t="shared" si="7"/>
        <v>-1.5110940625896246E-3</v>
      </c>
      <c r="X68" s="97">
        <f t="shared" si="7"/>
        <v>9.3324112024847306E-2</v>
      </c>
      <c r="Y68" s="97">
        <f t="shared" si="7"/>
        <v>-1.5110940625896246E-3</v>
      </c>
      <c r="Z68" s="97">
        <f t="shared" si="7"/>
        <v>-1.5110940625896246E-3</v>
      </c>
      <c r="AA68" s="97">
        <f t="shared" si="7"/>
        <v>-1.5110940625896246E-3</v>
      </c>
    </row>
    <row r="69" spans="1:31" ht="12.75" customHeight="1" thickBot="1" x14ac:dyDescent="0.3">
      <c r="B69" s="21" t="s">
        <v>9</v>
      </c>
      <c r="C69" s="95">
        <f>Annual_sorted!P280</f>
        <v>-23.577174676216295</v>
      </c>
      <c r="D69" s="29">
        <f>IF(C69-Table_14634571419[Burundi]&gt;0, C69-Table_14634571419[Burundi], 0)</f>
        <v>0</v>
      </c>
      <c r="E69" s="29">
        <f>IF(C69-Table_14634571419[DRC]&gt;0, C69-Table_14634571419[DRC], 0)</f>
        <v>0</v>
      </c>
      <c r="F69" s="29">
        <f>IF(C69-Table_14634571419[Egypt]&gt;0, C69-Table_14634571419[Egypt], 0)</f>
        <v>31.641296782002378</v>
      </c>
      <c r="G69" s="29">
        <f>IF(C69-Table_14634571419[Eritrea]&gt;0, C69-Table_14634571419[Eritrea], 0)</f>
        <v>0</v>
      </c>
      <c r="H69" s="29">
        <f>IF(C69-Table_14634571419[Ethiopia]&gt;0, C69-Table_14634571419[Ethiopia], 0)</f>
        <v>79.84203766082743</v>
      </c>
      <c r="I69" s="29">
        <f>IF(C69-Table_14634571419[Kenya]&gt;0, C69-Table_14634571419[Kenya], 0)</f>
        <v>0</v>
      </c>
      <c r="J69" s="29">
        <f>IF(C69-Table_14634571419[Rwanda]&gt;0, C69-Table_14634571419[Rwanda], 0)</f>
        <v>0</v>
      </c>
      <c r="K69" s="29">
        <f>IF(C69-Table_14634571419[Sudan]&gt;0, C69-Table_14634571419[Sudan], 0)</f>
        <v>9.6841537030339637</v>
      </c>
      <c r="L69" s="29">
        <f>IF(C69-Table_14634571419[S. Sudan]&gt;0, C69-Table_14634571419[S. Sudan], 0)</f>
        <v>0</v>
      </c>
      <c r="M69" s="29">
        <f>IF(C69-Table_14634571419[Tanzania]&gt;0, C69-Table_14634571419[Tanzania], 0)</f>
        <v>0</v>
      </c>
      <c r="N69" s="29">
        <f>IF(C69-Table_14634571419[Uganda]&gt;0, C69-Table_14634571419[Uganda], 0)</f>
        <v>0</v>
      </c>
      <c r="P69" s="22" t="s">
        <v>10</v>
      </c>
      <c r="Q69" s="98">
        <f t="shared" si="8"/>
        <v>-1.5110940625896246E-3</v>
      </c>
      <c r="R69" s="98">
        <f t="shared" si="7"/>
        <v>-1.5110940625896246E-3</v>
      </c>
      <c r="S69" s="98">
        <f t="shared" si="7"/>
        <v>0.33808332159977411</v>
      </c>
      <c r="T69" s="98">
        <f t="shared" si="7"/>
        <v>-1.5110940625896246E-3</v>
      </c>
      <c r="U69" s="98">
        <f t="shared" si="7"/>
        <v>0.81010466027167327</v>
      </c>
      <c r="V69" s="98">
        <f t="shared" si="7"/>
        <v>-1.5110940625896246E-3</v>
      </c>
      <c r="W69" s="98">
        <f t="shared" si="7"/>
        <v>-1.5110940625896246E-3</v>
      </c>
      <c r="X69" s="98">
        <f t="shared" si="7"/>
        <v>0.12306089911045133</v>
      </c>
      <c r="Y69" s="98">
        <f t="shared" si="7"/>
        <v>2.5714598960424769E-2</v>
      </c>
      <c r="Z69" s="98">
        <f t="shared" si="7"/>
        <v>2.8225693023014396E-2</v>
      </c>
      <c r="AA69" s="98">
        <f t="shared" si="7"/>
        <v>-1.5110940625896246E-3</v>
      </c>
      <c r="AB69" s="186">
        <f>SUM(Q59:AA69)</f>
        <v>16.483638810768173</v>
      </c>
    </row>
    <row r="70" spans="1:31" ht="12.75" customHeight="1" thickBot="1" x14ac:dyDescent="0.3">
      <c r="B70" s="22" t="s">
        <v>10</v>
      </c>
      <c r="C70" s="96">
        <f>Annual_sorted!P281</f>
        <v>-20.540584904840941</v>
      </c>
      <c r="D70" s="32">
        <f>IF(C70-Table_14634571419[Burundi]&gt;0, C70-Table_14634571419[Burundi], 0)</f>
        <v>0</v>
      </c>
      <c r="E70" s="32">
        <f>IF(C70-Table_14634571419[DRC]&gt;0, C70-Table_14634571419[DRC], 0)</f>
        <v>0</v>
      </c>
      <c r="F70" s="32">
        <f>IF(C70-Table_14634571419[Egypt]&gt;0, C70-Table_14634571419[Egypt], 0)</f>
        <v>34.677886553377732</v>
      </c>
      <c r="G70" s="32">
        <f>IF(C70-Table_14634571419[Eritrea]&gt;0, C70-Table_14634571419[Eritrea], 0)</f>
        <v>0</v>
      </c>
      <c r="H70" s="32">
        <f>IF(C70-Table_14634571419[Ethiopia]&gt;0, C70-Table_14634571419[Ethiopia], 0)</f>
        <v>82.878627432202777</v>
      </c>
      <c r="I70" s="32">
        <f>IF(C70-Table_14634571419[Kenya]&gt;0, C70-Table_14634571419[Kenya], 0)</f>
        <v>0</v>
      </c>
      <c r="J70" s="32">
        <f>IF(C70-Table_14634571419[Rwanda]&gt;0, C70-Table_14634571419[Rwanda], 0)</f>
        <v>0</v>
      </c>
      <c r="K70" s="32">
        <f>IF(C70-Table_14634571419[Sudan]&gt;0, C70-Table_14634571419[Sudan], 0)</f>
        <v>12.720743474409318</v>
      </c>
      <c r="L70" s="32">
        <f>IF(C70-Table_14634571419[S. Sudan]&gt;0, C70-Table_14634571419[S. Sudan], 0)</f>
        <v>2.7801679016060916</v>
      </c>
      <c r="M70" s="32">
        <f>IF(C70-Table_14634571419[Tanzania]&gt;0, C70-Table_14634571419[Tanzania], 0)</f>
        <v>3.036589771375354</v>
      </c>
      <c r="N70" s="32">
        <f>IF(C70-Table_14634571419[Uganda]&gt;0, C70-Table_14634571419[Uganda], 0)</f>
        <v>0</v>
      </c>
    </row>
    <row r="71" spans="1:31" ht="12.75" customHeight="1" x14ac:dyDescent="0.25"/>
    <row r="72" spans="1:31" ht="12.75" customHeight="1" x14ac:dyDescent="0.25"/>
    <row r="73" spans="1:31" ht="12.75" customHeight="1" x14ac:dyDescent="0.25"/>
    <row r="74" spans="1:31" ht="24" customHeight="1" x14ac:dyDescent="0.25">
      <c r="A74" s="252" t="s">
        <v>82</v>
      </c>
      <c r="B74" s="252"/>
      <c r="C74" s="252"/>
      <c r="D74" s="252"/>
      <c r="E74" s="252"/>
      <c r="F74" s="252"/>
    </row>
    <row r="75" spans="1:31" ht="12.75" customHeight="1" x14ac:dyDescent="0.25"/>
    <row r="76" spans="1:31" ht="12.75" customHeight="1" x14ac:dyDescent="0.25">
      <c r="B76" s="5"/>
      <c r="C76" s="5"/>
      <c r="D76" s="5"/>
      <c r="E76" s="5"/>
      <c r="F76" s="5"/>
      <c r="G76" s="5"/>
      <c r="H76" s="5"/>
      <c r="I76" s="5"/>
      <c r="J76" s="5"/>
      <c r="K76" s="5"/>
      <c r="L76" s="5"/>
      <c r="M76" s="5"/>
      <c r="N76" s="5"/>
      <c r="O76" s="5"/>
      <c r="P76" s="5"/>
      <c r="Q76" s="5"/>
      <c r="R76" s="5"/>
      <c r="S76" s="5"/>
      <c r="T76" s="5"/>
      <c r="U76" s="5"/>
      <c r="V76" s="5"/>
      <c r="W76" s="5"/>
      <c r="X76" s="5"/>
      <c r="Y76" s="5"/>
      <c r="Z76" s="5"/>
      <c r="AA76" s="5"/>
    </row>
    <row r="77" spans="1:31" ht="12.75" customHeight="1" thickBot="1" x14ac:dyDescent="0.3">
      <c r="B77" s="253" t="s">
        <v>83</v>
      </c>
      <c r="C77" s="253"/>
      <c r="D77" s="253"/>
      <c r="E77" s="253"/>
      <c r="F77" s="253"/>
      <c r="G77" s="253"/>
      <c r="H77" s="253"/>
      <c r="I77" s="253"/>
      <c r="J77" s="253"/>
      <c r="K77" s="253"/>
      <c r="L77" s="253"/>
      <c r="M77" s="253"/>
      <c r="N77" s="253"/>
      <c r="O77" s="5"/>
      <c r="P77" s="253" t="s">
        <v>84</v>
      </c>
      <c r="Q77" s="253"/>
      <c r="R77" s="253"/>
      <c r="S77" s="253"/>
      <c r="T77" s="253"/>
      <c r="U77" s="253"/>
      <c r="V77" s="253"/>
      <c r="W77" s="253"/>
      <c r="X77" s="253"/>
      <c r="Y77" s="253"/>
      <c r="Z77" s="253"/>
      <c r="AA77" s="253"/>
      <c r="AB77" s="10"/>
      <c r="AC77" s="3" t="s">
        <v>22</v>
      </c>
      <c r="AD77" s="13" t="s">
        <v>23</v>
      </c>
      <c r="AE77" s="74">
        <f t="array" ref="AE77">MIN(IF(D80:N90&gt;0,D80:N90))</f>
        <v>13.652369685628159</v>
      </c>
    </row>
    <row r="78" spans="1:31" ht="12.75" customHeight="1" thickBot="1" x14ac:dyDescent="0.3">
      <c r="B78" s="75" t="s">
        <v>13</v>
      </c>
      <c r="C78" s="66" t="s">
        <v>14</v>
      </c>
      <c r="D78" s="67" t="s">
        <v>1</v>
      </c>
      <c r="E78" s="67" t="s">
        <v>195</v>
      </c>
      <c r="F78" s="67" t="s">
        <v>2</v>
      </c>
      <c r="G78" s="67" t="s">
        <v>3</v>
      </c>
      <c r="H78" s="67" t="s">
        <v>4</v>
      </c>
      <c r="I78" s="67" t="s">
        <v>5</v>
      </c>
      <c r="J78" s="67" t="s">
        <v>6</v>
      </c>
      <c r="K78" s="67" t="s">
        <v>7</v>
      </c>
      <c r="L78" s="67" t="s">
        <v>295</v>
      </c>
      <c r="M78" s="67" t="s">
        <v>9</v>
      </c>
      <c r="N78" s="67" t="s">
        <v>10</v>
      </c>
      <c r="P78" s="76" t="s">
        <v>19</v>
      </c>
      <c r="Q78" s="77" t="s">
        <v>1</v>
      </c>
      <c r="R78" s="77" t="s">
        <v>195</v>
      </c>
      <c r="S78" s="77" t="s">
        <v>2</v>
      </c>
      <c r="T78" s="77" t="s">
        <v>3</v>
      </c>
      <c r="U78" s="77" t="s">
        <v>4</v>
      </c>
      <c r="V78" s="77" t="s">
        <v>5</v>
      </c>
      <c r="W78" s="77" t="s">
        <v>6</v>
      </c>
      <c r="X78" s="77" t="s">
        <v>7</v>
      </c>
      <c r="Y78" s="77" t="s">
        <v>295</v>
      </c>
      <c r="Z78" s="77" t="s">
        <v>9</v>
      </c>
      <c r="AA78" s="77" t="s">
        <v>10</v>
      </c>
      <c r="AB78" s="254" t="s">
        <v>26</v>
      </c>
      <c r="AC78" s="254"/>
      <c r="AD78" s="13" t="s">
        <v>24</v>
      </c>
      <c r="AE78" s="20">
        <f>MAX(D80:N90)</f>
        <v>1678.1044952908715</v>
      </c>
    </row>
    <row r="79" spans="1:31" ht="12.75" customHeight="1" x14ac:dyDescent="0.25">
      <c r="B79" s="93"/>
      <c r="C79" s="94" t="s">
        <v>261</v>
      </c>
      <c r="D79" s="95">
        <f>C80</f>
        <v>59.288007440482382</v>
      </c>
      <c r="E79" s="95">
        <f>C81</f>
        <v>11.945238897561008</v>
      </c>
      <c r="F79" s="95">
        <f>C82</f>
        <v>-1.70713078806715</v>
      </c>
      <c r="G79" s="95">
        <f>C83</f>
        <v>30.750302885657646</v>
      </c>
      <c r="H79" s="95">
        <f>C84</f>
        <v>1042.7322419938678</v>
      </c>
      <c r="I79" s="95">
        <f>C85</f>
        <v>265.22563666890284</v>
      </c>
      <c r="J79" s="95">
        <f>C86</f>
        <v>101.04407956438875</v>
      </c>
      <c r="K79" s="95">
        <f>C87</f>
        <v>1116.2684081649611</v>
      </c>
      <c r="L79" s="95">
        <f>C88</f>
        <v>-561.83608712591024</v>
      </c>
      <c r="M79" s="95">
        <f>C89</f>
        <v>290.37197138159814</v>
      </c>
      <c r="N79" s="95">
        <f>C90</f>
        <v>369.01788419888936</v>
      </c>
      <c r="P79" s="21" t="s">
        <v>1</v>
      </c>
      <c r="Q79" s="97">
        <f>$AE$79+(D80-$AE$77)*($AE$80-$AE$79)/($AE$78-$AE$77)</f>
        <v>-7.1941181161837833E-3</v>
      </c>
      <c r="R79" s="97">
        <f t="shared" ref="R79:AA89" si="9">$AE$79+(E80-$AE$77)*($AE$80-$AE$79)/($AE$78-$AE$77)</f>
        <v>2.1220893073867993E-2</v>
      </c>
      <c r="S79" s="97">
        <f t="shared" si="9"/>
        <v>2.9415011190051778E-2</v>
      </c>
      <c r="T79" s="97">
        <f t="shared" si="9"/>
        <v>9.9341407334981487E-3</v>
      </c>
      <c r="U79" s="97">
        <f t="shared" si="9"/>
        <v>-7.1941181161837833E-3</v>
      </c>
      <c r="V79" s="97">
        <f t="shared" si="9"/>
        <v>-7.1941181161837833E-3</v>
      </c>
      <c r="W79" s="97">
        <f t="shared" si="9"/>
        <v>-7.1941181161837833E-3</v>
      </c>
      <c r="X79" s="97">
        <f t="shared" si="9"/>
        <v>-7.1941181161837833E-3</v>
      </c>
      <c r="Y79" s="97">
        <f t="shared" si="9"/>
        <v>0.36560300889411895</v>
      </c>
      <c r="Z79" s="97">
        <f t="shared" si="9"/>
        <v>-7.1941181161837833E-3</v>
      </c>
      <c r="AA79" s="97">
        <f t="shared" si="9"/>
        <v>-7.1941181161837833E-3</v>
      </c>
      <c r="AD79" s="3" t="s">
        <v>25</v>
      </c>
      <c r="AE79" s="2">
        <v>1E-3</v>
      </c>
    </row>
    <row r="80" spans="1:31" ht="12.75" customHeight="1" x14ac:dyDescent="0.25">
      <c r="B80" s="21" t="s">
        <v>1</v>
      </c>
      <c r="C80" s="95">
        <f>Annual_sorted!F271</f>
        <v>59.288007440482382</v>
      </c>
      <c r="D80" s="29">
        <f>IF(C80-Table_146345781324[Burundi]&gt;0, C80-Table_146345781324[Burundi], 0)</f>
        <v>0</v>
      </c>
      <c r="E80" s="29">
        <f>IF(C80-Table_146345781324[DRC]&gt;0, C80-Table_146345781324[DRC], 0)</f>
        <v>47.342768542921377</v>
      </c>
      <c r="F80" s="29">
        <f>IF(C80-Table_146345781324[Egypt]&gt;0, C80-Table_146345781324[Egypt], 0)</f>
        <v>60.995138228549528</v>
      </c>
      <c r="G80" s="29">
        <f>IF(C80-Table_146345781324[Eritrea]&gt;0, C80-Table_146345781324[Eritrea], 0)</f>
        <v>28.537704554824735</v>
      </c>
      <c r="H80" s="29">
        <f>IF(C80-Table_146345781324[Ethiopia]&gt;0, C80-Table_146345781324[Ethiopia], 0)</f>
        <v>0</v>
      </c>
      <c r="I80" s="29">
        <f>IF(C80-Table_146345781324[Kenya]&gt;0, C80-Table_146345781324[Kenya], 0)</f>
        <v>0</v>
      </c>
      <c r="J80" s="29">
        <f>IF(C80-Table_146345781324[Rwanda]&gt;0, C80-Table_146345781324[Rwanda], 0)</f>
        <v>0</v>
      </c>
      <c r="K80" s="29">
        <f>IF(C80-Table_146345781324[Sudan]&gt;0, C80-Table_146345781324[Sudan], 0)</f>
        <v>0</v>
      </c>
      <c r="L80" s="29">
        <f>IF(C80-Table_146345781324[S. Sudan]&gt;0, C80-Table_146345781324[S. Sudan], 0)</f>
        <v>621.12409456639261</v>
      </c>
      <c r="M80" s="29">
        <f>IF(C80-Table_146345781324[Tanzania]&gt;0, C80-Table_146345781324[Tanzania], 0)</f>
        <v>0</v>
      </c>
      <c r="N80" s="29">
        <f>IF(C80-Table_146345781324[Uganda]&gt;0, C80-Table_146345781324[Uganda], 0)</f>
        <v>0</v>
      </c>
      <c r="P80" s="21" t="s">
        <v>195</v>
      </c>
      <c r="Q80" s="97">
        <f t="shared" ref="Q80:Q89" si="10">$AE$79+(D81-$AE$77)*($AE$80-$AE$79)/($AE$78-$AE$77)</f>
        <v>-7.1941181161837833E-3</v>
      </c>
      <c r="R80" s="97">
        <f t="shared" si="9"/>
        <v>-7.1941181161837833E-3</v>
      </c>
      <c r="S80" s="97">
        <f t="shared" si="9"/>
        <v>1E-3</v>
      </c>
      <c r="T80" s="97">
        <f t="shared" si="9"/>
        <v>-7.1941181161837833E-3</v>
      </c>
      <c r="U80" s="97">
        <f t="shared" si="9"/>
        <v>-7.1941181161837833E-3</v>
      </c>
      <c r="V80" s="97">
        <f t="shared" si="9"/>
        <v>-7.1941181161837833E-3</v>
      </c>
      <c r="W80" s="97">
        <f t="shared" si="9"/>
        <v>-7.1941181161837833E-3</v>
      </c>
      <c r="X80" s="97">
        <f t="shared" si="9"/>
        <v>-7.1941181161837833E-3</v>
      </c>
      <c r="Y80" s="97">
        <f t="shared" si="9"/>
        <v>0.33718799770406715</v>
      </c>
      <c r="Z80" s="97">
        <f t="shared" si="9"/>
        <v>-7.1941181161837833E-3</v>
      </c>
      <c r="AA80" s="97">
        <f t="shared" si="9"/>
        <v>-7.1941181161837833E-3</v>
      </c>
      <c r="AD80" s="3" t="s">
        <v>70</v>
      </c>
      <c r="AE80" s="2">
        <v>1</v>
      </c>
    </row>
    <row r="81" spans="2:31" ht="12.75" customHeight="1" x14ac:dyDescent="0.25">
      <c r="B81" s="21" t="s">
        <v>195</v>
      </c>
      <c r="C81" s="95">
        <f>Annual_sorted!F272</f>
        <v>11.945238897561008</v>
      </c>
      <c r="D81" s="29">
        <f>IF(C81-Table_146345781324[Burundi]&gt;0, C81-Table_146345781324[Burundi], 0)</f>
        <v>0</v>
      </c>
      <c r="E81" s="29">
        <f>IF(C81-Table_146345781324[DRC]&gt;0, C81-Table_146345781324[DRC], 0)</f>
        <v>0</v>
      </c>
      <c r="F81" s="29">
        <f>IF(C81-Table_146345781324[Egypt]&gt;0, C81-Table_146345781324[Egypt], 0)</f>
        <v>13.652369685628159</v>
      </c>
      <c r="G81" s="29">
        <f>IF(C81-Table_146345781324[Eritrea]&gt;0, C81-Table_146345781324[Eritrea], 0)</f>
        <v>0</v>
      </c>
      <c r="H81" s="29">
        <f>IF(C81-Table_146345781324[Ethiopia]&gt;0, C81-Table_146345781324[Ethiopia], 0)</f>
        <v>0</v>
      </c>
      <c r="I81" s="29">
        <f>IF(C81-Table_146345781324[Kenya]&gt;0, C81-Table_146345781324[Kenya], 0)</f>
        <v>0</v>
      </c>
      <c r="J81" s="29">
        <f>IF(C81-Table_146345781324[Rwanda]&gt;0, C81-Table_146345781324[Rwanda], 0)</f>
        <v>0</v>
      </c>
      <c r="K81" s="29">
        <f>IF(C81-Table_146345781324[Sudan]&gt;0, C81-Table_146345781324[Sudan], 0)</f>
        <v>0</v>
      </c>
      <c r="L81" s="29">
        <f>IF(C81-Table_146345781324[S. Sudan]&gt;0, C81-Table_146345781324[S. Sudan], 0)</f>
        <v>573.78132602347125</v>
      </c>
      <c r="M81" s="29">
        <f>IF(C81-Table_146345781324[Tanzania]&gt;0, C81-Table_146345781324[Tanzania], 0)</f>
        <v>0</v>
      </c>
      <c r="N81" s="29">
        <f>IF(C81-Table_146345781324[Uganda]&gt;0, C81-Table_146345781324[Uganda], 0)</f>
        <v>0</v>
      </c>
      <c r="P81" s="21" t="s">
        <v>2</v>
      </c>
      <c r="Q81" s="97">
        <f t="shared" si="10"/>
        <v>-7.1941181161837833E-3</v>
      </c>
      <c r="R81" s="97">
        <f t="shared" si="9"/>
        <v>-7.1941181161837833E-3</v>
      </c>
      <c r="S81" s="97">
        <f t="shared" si="9"/>
        <v>-7.1941181161837833E-3</v>
      </c>
      <c r="T81" s="97">
        <f t="shared" si="9"/>
        <v>-7.1941181161837833E-3</v>
      </c>
      <c r="U81" s="97">
        <f t="shared" si="9"/>
        <v>-7.1941181161837833E-3</v>
      </c>
      <c r="V81" s="97">
        <f t="shared" si="9"/>
        <v>-7.1941181161837833E-3</v>
      </c>
      <c r="W81" s="97">
        <f t="shared" si="9"/>
        <v>-7.1941181161837833E-3</v>
      </c>
      <c r="X81" s="97">
        <f t="shared" si="9"/>
        <v>-7.1941181161837833E-3</v>
      </c>
      <c r="Y81" s="97">
        <f t="shared" si="9"/>
        <v>0.32899387958788334</v>
      </c>
      <c r="Z81" s="97">
        <f t="shared" si="9"/>
        <v>-7.1941181161837833E-3</v>
      </c>
      <c r="AA81" s="97">
        <f t="shared" si="9"/>
        <v>-7.1941181161837833E-3</v>
      </c>
    </row>
    <row r="82" spans="2:31" ht="12.75" customHeight="1" x14ac:dyDescent="0.25">
      <c r="B82" s="21" t="s">
        <v>2</v>
      </c>
      <c r="C82" s="95">
        <f>Annual_sorted!F273</f>
        <v>-1.70713078806715</v>
      </c>
      <c r="D82" s="29">
        <f>IF(C82-Table_146345781324[Burundi]&gt;0, C82-Table_146345781324[Burundi], 0)</f>
        <v>0</v>
      </c>
      <c r="E82" s="29">
        <f>IF(C82-Table_146345781324[DRC]&gt;0, C82-Table_146345781324[DRC], 0)</f>
        <v>0</v>
      </c>
      <c r="F82" s="29">
        <f>IF(C82-Table_146345781324[Egypt]&gt;0, C82-Table_146345781324[Egypt], 0)</f>
        <v>0</v>
      </c>
      <c r="G82" s="29">
        <f>IF(C82-Table_146345781324[Eritrea]&gt;0, C82-Table_146345781324[Eritrea], 0)</f>
        <v>0</v>
      </c>
      <c r="H82" s="29">
        <f>IF(C82-Table_146345781324[Ethiopia]&gt;0, C82-Table_146345781324[Ethiopia], 0)</f>
        <v>0</v>
      </c>
      <c r="I82" s="29">
        <f>IF(C82-Table_146345781324[Kenya]&gt;0, C82-Table_146345781324[Kenya], 0)</f>
        <v>0</v>
      </c>
      <c r="J82" s="29">
        <f>IF(C82-Table_146345781324[Rwanda]&gt;0, C82-Table_146345781324[Rwanda], 0)</f>
        <v>0</v>
      </c>
      <c r="K82" s="29">
        <f>IF(C82-Table_146345781324[Sudan]&gt;0, C82-Table_146345781324[Sudan], 0)</f>
        <v>0</v>
      </c>
      <c r="L82" s="29">
        <f>IF(C82-Table_146345781324[S. Sudan]&gt;0, C82-Table_146345781324[S. Sudan], 0)</f>
        <v>560.12895633784308</v>
      </c>
      <c r="M82" s="29">
        <f>IF(C82-Table_146345781324[Tanzania]&gt;0, C82-Table_146345781324[Tanzania], 0)</f>
        <v>0</v>
      </c>
      <c r="N82" s="29">
        <f>IF(C82-Table_146345781324[Uganda]&gt;0, C82-Table_146345781324[Uganda], 0)</f>
        <v>0</v>
      </c>
      <c r="P82" s="21" t="s">
        <v>3</v>
      </c>
      <c r="Q82" s="97">
        <f t="shared" si="10"/>
        <v>-7.1941181161837833E-3</v>
      </c>
      <c r="R82" s="97">
        <f t="shared" si="9"/>
        <v>4.0926342241860598E-3</v>
      </c>
      <c r="S82" s="97">
        <f t="shared" si="9"/>
        <v>1.2286752340369841E-2</v>
      </c>
      <c r="T82" s="97">
        <f t="shared" si="9"/>
        <v>-7.1941181161837833E-3</v>
      </c>
      <c r="U82" s="97">
        <f t="shared" si="9"/>
        <v>-7.1941181161837833E-3</v>
      </c>
      <c r="V82" s="97">
        <f t="shared" si="9"/>
        <v>-7.1941181161837833E-3</v>
      </c>
      <c r="W82" s="97">
        <f t="shared" si="9"/>
        <v>-7.1941181161837833E-3</v>
      </c>
      <c r="X82" s="97">
        <f t="shared" si="9"/>
        <v>-7.1941181161837833E-3</v>
      </c>
      <c r="Y82" s="97">
        <f t="shared" si="9"/>
        <v>0.34847475004443701</v>
      </c>
      <c r="Z82" s="97">
        <f t="shared" si="9"/>
        <v>-7.1941181161837833E-3</v>
      </c>
      <c r="AA82" s="97">
        <f t="shared" si="9"/>
        <v>-7.1941181161837833E-3</v>
      </c>
    </row>
    <row r="83" spans="2:31" ht="12.75" customHeight="1" x14ac:dyDescent="0.25">
      <c r="B83" s="21" t="s">
        <v>3</v>
      </c>
      <c r="C83" s="95">
        <f>Annual_sorted!F274</f>
        <v>30.750302885657646</v>
      </c>
      <c r="D83" s="29">
        <f>IF(C83-Table_146345781324[Burundi]&gt;0, C83-Table_146345781324[Burundi], 0)</f>
        <v>0</v>
      </c>
      <c r="E83" s="29">
        <f>IF(C83-Table_146345781324[DRC]&gt;0, C83-Table_146345781324[DRC], 0)</f>
        <v>18.805063988096638</v>
      </c>
      <c r="F83" s="29">
        <f>IF(C83-Table_146345781324[Egypt]&gt;0, C83-Table_146345781324[Egypt], 0)</f>
        <v>32.457433673724793</v>
      </c>
      <c r="G83" s="29">
        <f>IF(C83-Table_146345781324[Eritrea]&gt;0, C83-Table_146345781324[Eritrea], 0)</f>
        <v>0</v>
      </c>
      <c r="H83" s="29">
        <f>IF(C83-Table_146345781324[Ethiopia]&gt;0, C83-Table_146345781324[Ethiopia], 0)</f>
        <v>0</v>
      </c>
      <c r="I83" s="29">
        <f>IF(C83-Table_146345781324[Kenya]&gt;0, C83-Table_146345781324[Kenya], 0)</f>
        <v>0</v>
      </c>
      <c r="J83" s="29">
        <f>IF(C83-Table_146345781324[Rwanda]&gt;0, C83-Table_146345781324[Rwanda], 0)</f>
        <v>0</v>
      </c>
      <c r="K83" s="29">
        <f>IF(C83-Table_146345781324[Sudan]&gt;0, C83-Table_146345781324[Sudan], 0)</f>
        <v>0</v>
      </c>
      <c r="L83" s="29">
        <f>IF(C83-Table_146345781324[S. Sudan]&gt;0, C83-Table_146345781324[S. Sudan], 0)</f>
        <v>592.58639001156791</v>
      </c>
      <c r="M83" s="29">
        <f>IF(C83-Table_146345781324[Tanzania]&gt;0, C83-Table_146345781324[Tanzania], 0)</f>
        <v>0</v>
      </c>
      <c r="N83" s="29">
        <f>IF(C83-Table_146345781324[Uganda]&gt;0, C83-Table_146345781324[Uganda], 0)</f>
        <v>0</v>
      </c>
      <c r="P83" s="21" t="s">
        <v>4</v>
      </c>
      <c r="Q83" s="97">
        <f t="shared" si="10"/>
        <v>0.58306665010001268</v>
      </c>
      <c r="R83" s="97">
        <f t="shared" si="9"/>
        <v>0.61148166129006443</v>
      </c>
      <c r="S83" s="97">
        <f t="shared" si="9"/>
        <v>0.61967577940624818</v>
      </c>
      <c r="T83" s="97">
        <f t="shared" si="9"/>
        <v>0.60019490894969452</v>
      </c>
      <c r="U83" s="97">
        <f t="shared" si="9"/>
        <v>-7.1941181161837833E-3</v>
      </c>
      <c r="V83" s="97">
        <f t="shared" si="9"/>
        <v>0.45946340045750228</v>
      </c>
      <c r="W83" s="97">
        <f t="shared" si="9"/>
        <v>0.55800476011827838</v>
      </c>
      <c r="X83" s="97">
        <f t="shared" si="9"/>
        <v>-7.1941181161837833E-3</v>
      </c>
      <c r="Y83" s="97">
        <f t="shared" si="9"/>
        <v>0.95586377711031534</v>
      </c>
      <c r="Z83" s="97">
        <f t="shared" si="9"/>
        <v>0.44437063329915105</v>
      </c>
      <c r="AA83" s="97">
        <f t="shared" si="9"/>
        <v>0.39716755326108477</v>
      </c>
    </row>
    <row r="84" spans="2:31" ht="12.75" customHeight="1" x14ac:dyDescent="0.25">
      <c r="B84" s="21" t="s">
        <v>4</v>
      </c>
      <c r="C84" s="95">
        <f>Annual_sorted!F275</f>
        <v>1042.7322419938678</v>
      </c>
      <c r="D84" s="29">
        <f>IF(C84-Table_146345781324[Burundi]&gt;0, C84-Table_146345781324[Burundi], 0)</f>
        <v>983.4442345533854</v>
      </c>
      <c r="E84" s="29">
        <f>IF(C84-Table_146345781324[DRC]&gt;0, C84-Table_146345781324[DRC], 0)</f>
        <v>1030.7870030963068</v>
      </c>
      <c r="F84" s="29">
        <f>IF(C84-Table_146345781324[Egypt]&gt;0, C84-Table_146345781324[Egypt], 0)</f>
        <v>1044.4393727819349</v>
      </c>
      <c r="G84" s="29">
        <f>IF(C84-Table_146345781324[Eritrea]&gt;0, C84-Table_146345781324[Eritrea], 0)</f>
        <v>1011.9819391082101</v>
      </c>
      <c r="H84" s="29">
        <f>IF(C84-Table_146345781324[Ethiopia]&gt;0, C84-Table_146345781324[Ethiopia], 0)</f>
        <v>0</v>
      </c>
      <c r="I84" s="29">
        <f>IF(C84-Table_146345781324[Kenya]&gt;0, C84-Table_146345781324[Kenya], 0)</f>
        <v>777.50660532496499</v>
      </c>
      <c r="J84" s="29">
        <f>IF(C84-Table_146345781324[Rwanda]&gt;0, C84-Table_146345781324[Rwanda], 0)</f>
        <v>941.68816242947901</v>
      </c>
      <c r="K84" s="29">
        <f>IF(C84-Table_146345781324[Sudan]&gt;0, C84-Table_146345781324[Sudan], 0)</f>
        <v>0</v>
      </c>
      <c r="L84" s="29">
        <f>IF(C84-Table_146345781324[S. Sudan]&gt;0, C84-Table_146345781324[S. Sudan], 0)</f>
        <v>1604.5683291197779</v>
      </c>
      <c r="M84" s="29">
        <f>IF(C84-Table_146345781324[Tanzania]&gt;0, C84-Table_146345781324[Tanzania], 0)</f>
        <v>752.36027061226969</v>
      </c>
      <c r="N84" s="29">
        <f>IF(C84-Table_146345781324[Uganda]&gt;0, C84-Table_146345781324[Uganda], 0)</f>
        <v>673.71435779497847</v>
      </c>
      <c r="P84" s="21" t="s">
        <v>5</v>
      </c>
      <c r="Q84" s="97">
        <f t="shared" si="10"/>
        <v>0.11640913152632666</v>
      </c>
      <c r="R84" s="97">
        <f t="shared" si="9"/>
        <v>0.14482414271637842</v>
      </c>
      <c r="S84" s="97">
        <f t="shared" si="9"/>
        <v>0.15301826083256223</v>
      </c>
      <c r="T84" s="97">
        <f t="shared" si="9"/>
        <v>0.13353739037600862</v>
      </c>
      <c r="U84" s="97">
        <f t="shared" si="9"/>
        <v>-7.1941181161837833E-3</v>
      </c>
      <c r="V84" s="97">
        <f t="shared" si="9"/>
        <v>-7.1941181161837833E-3</v>
      </c>
      <c r="W84" s="97">
        <f t="shared" si="9"/>
        <v>9.1347241544592298E-2</v>
      </c>
      <c r="X84" s="97">
        <f t="shared" si="9"/>
        <v>-7.1941181161837833E-3</v>
      </c>
      <c r="Y84" s="97">
        <f t="shared" si="9"/>
        <v>0.48920625853662936</v>
      </c>
      <c r="Z84" s="97">
        <f t="shared" si="9"/>
        <v>-7.1941181161837833E-3</v>
      </c>
      <c r="AA84" s="97">
        <f t="shared" si="9"/>
        <v>-7.1941181161837833E-3</v>
      </c>
    </row>
    <row r="85" spans="2:31" ht="12.75" customHeight="1" x14ac:dyDescent="0.25">
      <c r="B85" s="21" t="s">
        <v>5</v>
      </c>
      <c r="C85" s="95">
        <f>Annual_sorted!F276</f>
        <v>265.22563666890284</v>
      </c>
      <c r="D85" s="29">
        <f>IF(C85-Table_146345781324[Burundi]&gt;0, C85-Table_146345781324[Burundi], 0)</f>
        <v>205.93762922842046</v>
      </c>
      <c r="E85" s="29">
        <f>IF(C85-Table_146345781324[DRC]&gt;0, C85-Table_146345781324[DRC], 0)</f>
        <v>253.28039777134182</v>
      </c>
      <c r="F85" s="29">
        <f>IF(C85-Table_146345781324[Egypt]&gt;0, C85-Table_146345781324[Egypt], 0)</f>
        <v>266.93276745697</v>
      </c>
      <c r="G85" s="29">
        <f>IF(C85-Table_146345781324[Eritrea]&gt;0, C85-Table_146345781324[Eritrea], 0)</f>
        <v>234.47533378324519</v>
      </c>
      <c r="H85" s="29">
        <f>IF(C85-Table_146345781324[Ethiopia]&gt;0, C85-Table_146345781324[Ethiopia], 0)</f>
        <v>0</v>
      </c>
      <c r="I85" s="29">
        <f>IF(C85-Table_146345781324[Kenya]&gt;0, C85-Table_146345781324[Kenya], 0)</f>
        <v>0</v>
      </c>
      <c r="J85" s="29">
        <f>IF(C85-Table_146345781324[Rwanda]&gt;0, C85-Table_146345781324[Rwanda], 0)</f>
        <v>164.18155710451407</v>
      </c>
      <c r="K85" s="29">
        <f>IF(C85-Table_146345781324[Sudan]&gt;0, C85-Table_146345781324[Sudan], 0)</f>
        <v>0</v>
      </c>
      <c r="L85" s="29">
        <f>IF(C85-Table_146345781324[S. Sudan]&gt;0, C85-Table_146345781324[S. Sudan], 0)</f>
        <v>827.06172379481313</v>
      </c>
      <c r="M85" s="29">
        <f>IF(C85-Table_146345781324[Tanzania]&gt;0, C85-Table_146345781324[Tanzania], 0)</f>
        <v>0</v>
      </c>
      <c r="N85" s="29">
        <f>IF(C85-Table_146345781324[Uganda]&gt;0, C85-Table_146345781324[Uganda], 0)</f>
        <v>0</v>
      </c>
      <c r="P85" s="21" t="s">
        <v>6</v>
      </c>
      <c r="Q85" s="97">
        <f t="shared" si="10"/>
        <v>1.7867771865550549E-2</v>
      </c>
      <c r="R85" s="97">
        <f t="shared" si="9"/>
        <v>4.6282783055602322E-2</v>
      </c>
      <c r="S85" s="97">
        <f t="shared" si="9"/>
        <v>5.4476901171786114E-2</v>
      </c>
      <c r="T85" s="97">
        <f t="shared" si="9"/>
        <v>3.4996030715232482E-2</v>
      </c>
      <c r="U85" s="97">
        <f t="shared" si="9"/>
        <v>-7.1941181161837833E-3</v>
      </c>
      <c r="V85" s="97">
        <f t="shared" si="9"/>
        <v>-7.1941181161837833E-3</v>
      </c>
      <c r="W85" s="97">
        <f t="shared" si="9"/>
        <v>-7.1941181161837833E-3</v>
      </c>
      <c r="X85" s="97">
        <f t="shared" si="9"/>
        <v>-7.1941181161837833E-3</v>
      </c>
      <c r="Y85" s="97">
        <f t="shared" si="9"/>
        <v>0.39066489887585332</v>
      </c>
      <c r="Z85" s="97">
        <f t="shared" si="9"/>
        <v>-7.1941181161837833E-3</v>
      </c>
      <c r="AA85" s="97">
        <f t="shared" si="9"/>
        <v>-7.1941181161837833E-3</v>
      </c>
    </row>
    <row r="86" spans="2:31" ht="12.75" customHeight="1" x14ac:dyDescent="0.25">
      <c r="B86" s="21" t="s">
        <v>6</v>
      </c>
      <c r="C86" s="95">
        <f>Annual_sorted!F277</f>
        <v>101.04407956438875</v>
      </c>
      <c r="D86" s="29">
        <f>IF(C86-Table_146345781324[Burundi]&gt;0, C86-Table_146345781324[Burundi], 0)</f>
        <v>41.756072123906371</v>
      </c>
      <c r="E86" s="29">
        <f>IF(C86-Table_146345781324[DRC]&gt;0, C86-Table_146345781324[DRC], 0)</f>
        <v>89.098840666827741</v>
      </c>
      <c r="F86" s="29">
        <f>IF(C86-Table_146345781324[Egypt]&gt;0, C86-Table_146345781324[Egypt], 0)</f>
        <v>102.7512103524559</v>
      </c>
      <c r="G86" s="29">
        <f>IF(C86-Table_146345781324[Eritrea]&gt;0, C86-Table_146345781324[Eritrea], 0)</f>
        <v>70.293776678731106</v>
      </c>
      <c r="H86" s="29">
        <f>IF(C86-Table_146345781324[Ethiopia]&gt;0, C86-Table_146345781324[Ethiopia], 0)</f>
        <v>0</v>
      </c>
      <c r="I86" s="29">
        <f>IF(C86-Table_146345781324[Kenya]&gt;0, C86-Table_146345781324[Kenya], 0)</f>
        <v>0</v>
      </c>
      <c r="J86" s="29">
        <f>IF(C86-Table_146345781324[Rwanda]&gt;0, C86-Table_146345781324[Rwanda], 0)</f>
        <v>0</v>
      </c>
      <c r="K86" s="29">
        <f>IF(C86-Table_146345781324[Sudan]&gt;0, C86-Table_146345781324[Sudan], 0)</f>
        <v>0</v>
      </c>
      <c r="L86" s="29">
        <f>IF(C86-Table_146345781324[S. Sudan]&gt;0, C86-Table_146345781324[S. Sudan], 0)</f>
        <v>662.88016669029901</v>
      </c>
      <c r="M86" s="29">
        <f>IF(C86-Table_146345781324[Tanzania]&gt;0, C86-Table_146345781324[Tanzania], 0)</f>
        <v>0</v>
      </c>
      <c r="N86" s="29">
        <f>IF(C86-Table_146345781324[Uganda]&gt;0, C86-Table_146345781324[Uganda], 0)</f>
        <v>0</v>
      </c>
      <c r="P86" s="21" t="s">
        <v>7</v>
      </c>
      <c r="Q86" s="97">
        <f t="shared" si="10"/>
        <v>0.62720287298969724</v>
      </c>
      <c r="R86" s="97">
        <f t="shared" si="9"/>
        <v>0.65561788417974898</v>
      </c>
      <c r="S86" s="97">
        <f t="shared" si="9"/>
        <v>0.66381200229593273</v>
      </c>
      <c r="T86" s="97">
        <f t="shared" si="9"/>
        <v>0.64433113183937907</v>
      </c>
      <c r="U86" s="97">
        <f t="shared" si="9"/>
        <v>3.694210477350076E-2</v>
      </c>
      <c r="V86" s="97">
        <f t="shared" si="9"/>
        <v>0.50359962334718678</v>
      </c>
      <c r="W86" s="97">
        <f t="shared" si="9"/>
        <v>0.60214098300796282</v>
      </c>
      <c r="X86" s="97">
        <f t="shared" si="9"/>
        <v>-7.1941181161837833E-3</v>
      </c>
      <c r="Y86" s="97">
        <f t="shared" si="9"/>
        <v>1</v>
      </c>
      <c r="Z86" s="97">
        <f t="shared" si="9"/>
        <v>0.48850685618883566</v>
      </c>
      <c r="AA86" s="97">
        <f t="shared" si="9"/>
        <v>0.44130377615076927</v>
      </c>
    </row>
    <row r="87" spans="2:31" ht="12.75" customHeight="1" x14ac:dyDescent="0.25">
      <c r="B87" s="21" t="s">
        <v>7</v>
      </c>
      <c r="C87" s="95">
        <f>Annual_sorted!F278</f>
        <v>1116.2684081649611</v>
      </c>
      <c r="D87" s="29">
        <f>IF(C87-Table_146345781324[Burundi]&gt;0, C87-Table_146345781324[Burundi], 0)</f>
        <v>1056.9804007244786</v>
      </c>
      <c r="E87" s="29">
        <f>IF(C87-Table_146345781324[DRC]&gt;0, C87-Table_146345781324[DRC], 0)</f>
        <v>1104.3231692674001</v>
      </c>
      <c r="F87" s="29">
        <f>IF(C87-Table_146345781324[Egypt]&gt;0, C87-Table_146345781324[Egypt], 0)</f>
        <v>1117.9755389530283</v>
      </c>
      <c r="G87" s="29">
        <f>IF(C87-Table_146345781324[Eritrea]&gt;0, C87-Table_146345781324[Eritrea], 0)</f>
        <v>1085.5181052793034</v>
      </c>
      <c r="H87" s="29">
        <f>IF(C87-Table_146345781324[Ethiopia]&gt;0, C87-Table_146345781324[Ethiopia], 0)</f>
        <v>73.536166171093328</v>
      </c>
      <c r="I87" s="29">
        <f>IF(C87-Table_146345781324[Kenya]&gt;0, C87-Table_146345781324[Kenya], 0)</f>
        <v>851.04277149605832</v>
      </c>
      <c r="J87" s="29">
        <f>IF(C87-Table_146345781324[Rwanda]&gt;0, C87-Table_146345781324[Rwanda], 0)</f>
        <v>1015.2243286005723</v>
      </c>
      <c r="K87" s="29">
        <f>IF(C87-Table_146345781324[Sudan]&gt;0, C87-Table_146345781324[Sudan], 0)</f>
        <v>0</v>
      </c>
      <c r="L87" s="29">
        <f>IF(C87-Table_146345781324[S. Sudan]&gt;0, C87-Table_146345781324[S. Sudan], 0)</f>
        <v>1678.1044952908715</v>
      </c>
      <c r="M87" s="29">
        <f>IF(C87-Table_146345781324[Tanzania]&gt;0, C87-Table_146345781324[Tanzania], 0)</f>
        <v>825.89643678336301</v>
      </c>
      <c r="N87" s="29">
        <f>IF(C87-Table_146345781324[Uganda]&gt;0, C87-Table_146345781324[Uganda], 0)</f>
        <v>747.2505239660718</v>
      </c>
      <c r="P87" s="21" t="s">
        <v>8</v>
      </c>
      <c r="Q87" s="97">
        <f t="shared" si="10"/>
        <v>-7.1941181161837833E-3</v>
      </c>
      <c r="R87" s="97">
        <f t="shared" si="9"/>
        <v>-7.1941181161837833E-3</v>
      </c>
      <c r="S87" s="97">
        <f t="shared" si="9"/>
        <v>-7.1941181161837833E-3</v>
      </c>
      <c r="T87" s="97">
        <f t="shared" si="9"/>
        <v>-7.1941181161837833E-3</v>
      </c>
      <c r="U87" s="97">
        <f t="shared" si="9"/>
        <v>-7.1941181161837833E-3</v>
      </c>
      <c r="V87" s="97">
        <f t="shared" si="9"/>
        <v>-7.1941181161837833E-3</v>
      </c>
      <c r="W87" s="97">
        <f t="shared" si="9"/>
        <v>-7.1941181161837833E-3</v>
      </c>
      <c r="X87" s="97">
        <f t="shared" si="9"/>
        <v>-7.1941181161837833E-3</v>
      </c>
      <c r="Y87" s="97">
        <f t="shared" si="9"/>
        <v>-7.1941181161837833E-3</v>
      </c>
      <c r="Z87" s="97">
        <f t="shared" si="9"/>
        <v>-7.1941181161837833E-3</v>
      </c>
      <c r="AA87" s="97">
        <f t="shared" si="9"/>
        <v>-7.1941181161837833E-3</v>
      </c>
    </row>
    <row r="88" spans="2:31" ht="12.75" customHeight="1" x14ac:dyDescent="0.25">
      <c r="B88" s="21" t="s">
        <v>8</v>
      </c>
      <c r="C88" s="95">
        <f>Annual_sorted!F279</f>
        <v>-561.83608712591024</v>
      </c>
      <c r="D88" s="29">
        <f>IF(C88-Table_146345781324[Burundi]&gt;0, C88-Table_146345781324[Burundi], 0)</f>
        <v>0</v>
      </c>
      <c r="E88" s="29">
        <f>IF(C88-Table_146345781324[DRC]&gt;0, C88-Table_146345781324[DRC], 0)</f>
        <v>0</v>
      </c>
      <c r="F88" s="29">
        <f>IF(C88-Table_146345781324[Egypt]&gt;0, C88-Table_146345781324[Egypt], 0)</f>
        <v>0</v>
      </c>
      <c r="G88" s="29">
        <f>IF(C88-Table_146345781324[Eritrea]&gt;0, C88-Table_146345781324[Eritrea], 0)</f>
        <v>0</v>
      </c>
      <c r="H88" s="29">
        <f>IF(C88-Table_146345781324[Ethiopia]&gt;0, C88-Table_146345781324[Ethiopia], 0)</f>
        <v>0</v>
      </c>
      <c r="I88" s="29">
        <f>IF(C88-Table_146345781324[Kenya]&gt;0, C88-Table_146345781324[Kenya], 0)</f>
        <v>0</v>
      </c>
      <c r="J88" s="29">
        <f>IF(C88-Table_146345781324[Rwanda]&gt;0, C88-Table_146345781324[Rwanda], 0)</f>
        <v>0</v>
      </c>
      <c r="K88" s="29">
        <f>IF(C88-Table_146345781324[Sudan]&gt;0, C88-Table_146345781324[Sudan], 0)</f>
        <v>0</v>
      </c>
      <c r="L88" s="29">
        <f>IF(C88-Table_146345781324[S. Sudan]&gt;0, C88-Table_146345781324[S. Sudan], 0)</f>
        <v>0</v>
      </c>
      <c r="M88" s="29">
        <f>IF(C88-Table_146345781324[Tanzania]&gt;0, C88-Table_146345781324[Tanzania], 0)</f>
        <v>0</v>
      </c>
      <c r="N88" s="29">
        <f>IF(C88-Table_146345781324[Uganda]&gt;0, C88-Table_146345781324[Uganda], 0)</f>
        <v>0</v>
      </c>
      <c r="P88" s="21" t="s">
        <v>9</v>
      </c>
      <c r="Q88" s="97">
        <f t="shared" si="10"/>
        <v>0.13150189868467782</v>
      </c>
      <c r="R88" s="97">
        <f t="shared" si="9"/>
        <v>0.15991690987472962</v>
      </c>
      <c r="S88" s="97">
        <f t="shared" si="9"/>
        <v>0.16811102799091338</v>
      </c>
      <c r="T88" s="97">
        <f t="shared" si="9"/>
        <v>0.14863015753435976</v>
      </c>
      <c r="U88" s="97">
        <f t="shared" si="9"/>
        <v>-7.1941181161837833E-3</v>
      </c>
      <c r="V88" s="97">
        <f t="shared" si="9"/>
        <v>7.8986490421673848E-3</v>
      </c>
      <c r="W88" s="97">
        <f t="shared" si="9"/>
        <v>0.10644000870294348</v>
      </c>
      <c r="X88" s="97">
        <f t="shared" si="9"/>
        <v>-7.1941181161837833E-3</v>
      </c>
      <c r="Y88" s="97">
        <f t="shared" si="9"/>
        <v>0.50429902569498053</v>
      </c>
      <c r="Z88" s="97">
        <f t="shared" si="9"/>
        <v>-7.1941181161837833E-3</v>
      </c>
      <c r="AA88" s="97">
        <f t="shared" si="9"/>
        <v>-7.1941181161837833E-3</v>
      </c>
      <c r="AB88" s="186">
        <f>SUM(Q79:AA89)</f>
        <v>16.372800319344126</v>
      </c>
    </row>
    <row r="89" spans="2:31" ht="12.75" customHeight="1" thickBot="1" x14ac:dyDescent="0.3">
      <c r="B89" s="21" t="s">
        <v>9</v>
      </c>
      <c r="C89" s="95">
        <f>Annual_sorted!F280</f>
        <v>290.37197138159814</v>
      </c>
      <c r="D89" s="29">
        <f>IF(C89-Table_146345781324[Burundi]&gt;0, C89-Table_146345781324[Burundi], 0)</f>
        <v>231.08396394111577</v>
      </c>
      <c r="E89" s="29">
        <f>IF(C89-Table_146345781324[DRC]&gt;0, C89-Table_146345781324[DRC], 0)</f>
        <v>278.42673248403713</v>
      </c>
      <c r="F89" s="29">
        <f>IF(C89-Table_146345781324[Egypt]&gt;0, C89-Table_146345781324[Egypt], 0)</f>
        <v>292.0791021696653</v>
      </c>
      <c r="G89" s="29">
        <f>IF(C89-Table_146345781324[Eritrea]&gt;0, C89-Table_146345781324[Eritrea], 0)</f>
        <v>259.62166849594053</v>
      </c>
      <c r="H89" s="29">
        <f>IF(C89-Table_146345781324[Ethiopia]&gt;0, C89-Table_146345781324[Ethiopia], 0)</f>
        <v>0</v>
      </c>
      <c r="I89" s="29">
        <f>IF(C89-Table_146345781324[Kenya]&gt;0, C89-Table_146345781324[Kenya], 0)</f>
        <v>25.146334712695307</v>
      </c>
      <c r="J89" s="29">
        <f>IF(C89-Table_146345781324[Rwanda]&gt;0, C89-Table_146345781324[Rwanda], 0)</f>
        <v>189.32789181720938</v>
      </c>
      <c r="K89" s="29">
        <f>IF(C89-Table_146345781324[Sudan]&gt;0, C89-Table_146345781324[Sudan], 0)</f>
        <v>0</v>
      </c>
      <c r="L89" s="29">
        <f>IF(C89-Table_146345781324[S. Sudan]&gt;0, C89-Table_146345781324[S. Sudan], 0)</f>
        <v>852.20805850750844</v>
      </c>
      <c r="M89" s="29">
        <f>IF(C89-Table_146345781324[Tanzania]&gt;0, C89-Table_146345781324[Tanzania], 0)</f>
        <v>0</v>
      </c>
      <c r="N89" s="29">
        <f>IF(C89-Table_146345781324[Uganda]&gt;0, C89-Table_146345781324[Uganda], 0)</f>
        <v>0</v>
      </c>
      <c r="P89" s="22" t="s">
        <v>10</v>
      </c>
      <c r="Q89" s="98">
        <f t="shared" si="10"/>
        <v>0.17870497872274416</v>
      </c>
      <c r="R89" s="98">
        <f t="shared" si="9"/>
        <v>0.20711998991279593</v>
      </c>
      <c r="S89" s="98">
        <f t="shared" si="9"/>
        <v>0.21531410802897971</v>
      </c>
      <c r="T89" s="98">
        <f t="shared" si="9"/>
        <v>0.1958332375724261</v>
      </c>
      <c r="U89" s="98">
        <f t="shared" si="9"/>
        <v>-7.1941181161837833E-3</v>
      </c>
      <c r="V89" s="98">
        <f t="shared" si="9"/>
        <v>5.5101729080233711E-2</v>
      </c>
      <c r="W89" s="98">
        <f t="shared" si="9"/>
        <v>0.15364308874100979</v>
      </c>
      <c r="X89" s="98">
        <f t="shared" si="9"/>
        <v>-7.1941181161837833E-3</v>
      </c>
      <c r="Y89" s="98">
        <f t="shared" si="9"/>
        <v>0.55150210573304692</v>
      </c>
      <c r="Z89" s="98">
        <f t="shared" si="9"/>
        <v>4.0008961921882545E-2</v>
      </c>
      <c r="AA89" s="98">
        <f t="shared" si="9"/>
        <v>-7.1941181161837833E-3</v>
      </c>
    </row>
    <row r="90" spans="2:31" ht="12.75" customHeight="1" thickBot="1" x14ac:dyDescent="0.3">
      <c r="B90" s="22" t="s">
        <v>10</v>
      </c>
      <c r="C90" s="96">
        <f>Annual_sorted!F281</f>
        <v>369.01788419888936</v>
      </c>
      <c r="D90" s="32">
        <f>IF(C90-Table_146345781324[Burundi]&gt;0, C90-Table_146345781324[Burundi], 0)</f>
        <v>309.72987675840699</v>
      </c>
      <c r="E90" s="32">
        <f>IF(C90-Table_146345781324[DRC]&gt;0, C90-Table_146345781324[DRC], 0)</f>
        <v>357.07264530132835</v>
      </c>
      <c r="F90" s="32">
        <f>IF(C90-Table_146345781324[Egypt]&gt;0, C90-Table_146345781324[Egypt], 0)</f>
        <v>370.72501498695652</v>
      </c>
      <c r="G90" s="32">
        <f>IF(C90-Table_146345781324[Eritrea]&gt;0, C90-Table_146345781324[Eritrea], 0)</f>
        <v>338.26758131323174</v>
      </c>
      <c r="H90" s="32">
        <f>IF(C90-Table_146345781324[Ethiopia]&gt;0, C90-Table_146345781324[Ethiopia], 0)</f>
        <v>0</v>
      </c>
      <c r="I90" s="32">
        <f>IF(C90-Table_146345781324[Kenya]&gt;0, C90-Table_146345781324[Kenya], 0)</f>
        <v>103.79224752998653</v>
      </c>
      <c r="J90" s="32">
        <f>IF(C90-Table_146345781324[Rwanda]&gt;0, C90-Table_146345781324[Rwanda], 0)</f>
        <v>267.9738046345006</v>
      </c>
      <c r="K90" s="32">
        <f>IF(C90-Table_146345781324[Sudan]&gt;0, C90-Table_146345781324[Sudan], 0)</f>
        <v>0</v>
      </c>
      <c r="L90" s="32">
        <f>IF(C90-Table_146345781324[S. Sudan]&gt;0, C90-Table_146345781324[S. Sudan], 0)</f>
        <v>930.85397132479966</v>
      </c>
      <c r="M90" s="32">
        <f>IF(C90-Table_146345781324[Tanzania]&gt;0, C90-Table_146345781324[Tanzania], 0)</f>
        <v>78.645912817291219</v>
      </c>
      <c r="N90" s="32">
        <f>IF(C90-Table_146345781324[Uganda]&gt;0, C90-Table_146345781324[Uganda], 0)</f>
        <v>0</v>
      </c>
    </row>
    <row r="91" spans="2:31" ht="12.75" customHeight="1" x14ac:dyDescent="0.25"/>
    <row r="92" spans="2:31" ht="12.75" customHeight="1" x14ac:dyDescent="0.25"/>
    <row r="93" spans="2:31" ht="12.75" customHeight="1" x14ac:dyDescent="0.25">
      <c r="B93" s="5"/>
      <c r="C93" s="5"/>
      <c r="D93" s="5"/>
      <c r="E93" s="5"/>
      <c r="F93" s="5"/>
      <c r="G93" s="5"/>
      <c r="H93" s="5"/>
      <c r="I93" s="5"/>
      <c r="J93" s="5"/>
      <c r="K93" s="5"/>
      <c r="L93" s="5"/>
      <c r="M93" s="5"/>
      <c r="N93" s="5"/>
      <c r="O93" s="5"/>
      <c r="P93" s="5"/>
      <c r="Q93" s="5"/>
      <c r="R93" s="5"/>
      <c r="S93" s="5"/>
      <c r="T93" s="5"/>
      <c r="U93" s="5"/>
      <c r="V93" s="5"/>
      <c r="W93" s="5"/>
      <c r="X93" s="5"/>
      <c r="Y93" s="5"/>
      <c r="Z93" s="5"/>
      <c r="AA93" s="5"/>
    </row>
    <row r="94" spans="2:31" ht="12.75" customHeight="1" x14ac:dyDescent="0.25">
      <c r="B94" s="5"/>
      <c r="C94" s="5"/>
      <c r="D94" s="5"/>
      <c r="E94" s="5"/>
      <c r="F94" s="5"/>
      <c r="G94" s="5"/>
      <c r="H94" s="5"/>
      <c r="I94" s="5"/>
      <c r="J94" s="5"/>
      <c r="K94" s="5"/>
      <c r="L94" s="5"/>
      <c r="M94" s="5"/>
      <c r="N94" s="5"/>
      <c r="O94" s="5"/>
      <c r="P94" s="5"/>
      <c r="Q94" s="5"/>
      <c r="R94" s="5"/>
      <c r="S94" s="5"/>
      <c r="T94" s="5"/>
      <c r="U94" s="5"/>
      <c r="V94" s="5"/>
      <c r="W94" s="5"/>
      <c r="X94" s="5"/>
      <c r="Y94" s="5"/>
      <c r="Z94" s="5"/>
      <c r="AA94" s="5"/>
    </row>
    <row r="95" spans="2:31" ht="12.75" customHeight="1" thickBot="1" x14ac:dyDescent="0.3">
      <c r="B95" s="253" t="s">
        <v>85</v>
      </c>
      <c r="C95" s="253"/>
      <c r="D95" s="253"/>
      <c r="E95" s="253"/>
      <c r="F95" s="253"/>
      <c r="G95" s="253"/>
      <c r="H95" s="253"/>
      <c r="I95" s="253"/>
      <c r="J95" s="253"/>
      <c r="K95" s="253"/>
      <c r="L95" s="253"/>
      <c r="M95" s="253"/>
      <c r="N95" s="253"/>
      <c r="O95" s="5"/>
      <c r="P95" s="253" t="s">
        <v>87</v>
      </c>
      <c r="Q95" s="253"/>
      <c r="R95" s="253"/>
      <c r="S95" s="253"/>
      <c r="T95" s="253"/>
      <c r="U95" s="253"/>
      <c r="V95" s="253"/>
      <c r="W95" s="253"/>
      <c r="X95" s="253"/>
      <c r="Y95" s="253"/>
      <c r="Z95" s="253"/>
      <c r="AA95" s="253"/>
      <c r="AB95" s="10"/>
      <c r="AC95" s="3" t="s">
        <v>22</v>
      </c>
      <c r="AD95" s="13" t="s">
        <v>23</v>
      </c>
      <c r="AE95" s="74">
        <f t="array" ref="AE95">MIN(IF(D98:N108&gt;0,D98:N108))</f>
        <v>0.76227327635254483</v>
      </c>
    </row>
    <row r="96" spans="2:31" ht="12.75" customHeight="1" thickBot="1" x14ac:dyDescent="0.3">
      <c r="B96" s="75" t="s">
        <v>13</v>
      </c>
      <c r="C96" s="66" t="s">
        <v>14</v>
      </c>
      <c r="D96" s="67" t="s">
        <v>1</v>
      </c>
      <c r="E96" s="67" t="s">
        <v>195</v>
      </c>
      <c r="F96" s="67" t="s">
        <v>2</v>
      </c>
      <c r="G96" s="67" t="s">
        <v>3</v>
      </c>
      <c r="H96" s="67" t="s">
        <v>4</v>
      </c>
      <c r="I96" s="67" t="s">
        <v>5</v>
      </c>
      <c r="J96" s="67" t="s">
        <v>6</v>
      </c>
      <c r="K96" s="67" t="s">
        <v>7</v>
      </c>
      <c r="L96" s="67" t="s">
        <v>295</v>
      </c>
      <c r="M96" s="67" t="s">
        <v>9</v>
      </c>
      <c r="N96" s="67" t="s">
        <v>10</v>
      </c>
      <c r="P96" s="76" t="s">
        <v>19</v>
      </c>
      <c r="Q96" s="77" t="s">
        <v>1</v>
      </c>
      <c r="R96" s="77" t="s">
        <v>195</v>
      </c>
      <c r="S96" s="77" t="s">
        <v>2</v>
      </c>
      <c r="T96" s="77" t="s">
        <v>3</v>
      </c>
      <c r="U96" s="77" t="s">
        <v>4</v>
      </c>
      <c r="V96" s="77" t="s">
        <v>5</v>
      </c>
      <c r="W96" s="77" t="s">
        <v>6</v>
      </c>
      <c r="X96" s="77" t="s">
        <v>7</v>
      </c>
      <c r="Y96" s="77" t="s">
        <v>295</v>
      </c>
      <c r="Z96" s="77" t="s">
        <v>9</v>
      </c>
      <c r="AA96" s="77" t="s">
        <v>10</v>
      </c>
      <c r="AB96" s="254" t="s">
        <v>26</v>
      </c>
      <c r="AC96" s="254"/>
      <c r="AD96" s="13" t="s">
        <v>24</v>
      </c>
      <c r="AE96" s="20">
        <f>MAX(D98:N108)</f>
        <v>950.28541119412716</v>
      </c>
    </row>
    <row r="97" spans="2:31" ht="12.75" customHeight="1" x14ac:dyDescent="0.25">
      <c r="B97" s="93"/>
      <c r="C97" s="94" t="s">
        <v>262</v>
      </c>
      <c r="D97" s="95">
        <f>C98</f>
        <v>-15.347682874548187</v>
      </c>
      <c r="E97" s="95">
        <f>C99</f>
        <v>-24.481560927329603</v>
      </c>
      <c r="F97" s="95">
        <f>C100</f>
        <v>325.26027466784319</v>
      </c>
      <c r="G97" s="95">
        <f>C101</f>
        <v>-13.291352164105518</v>
      </c>
      <c r="H97" s="95">
        <f>C102</f>
        <v>-436.44263482842689</v>
      </c>
      <c r="I97" s="95">
        <f>C103</f>
        <v>-76.978140189127984</v>
      </c>
      <c r="J97" s="95">
        <f>C104</f>
        <v>-23.719287650977058</v>
      </c>
      <c r="K97" s="95">
        <f>C105</f>
        <v>-73.398485624841101</v>
      </c>
      <c r="L97" s="95">
        <f>C106</f>
        <v>-625.02513652628397</v>
      </c>
      <c r="M97" s="95">
        <f>C107</f>
        <v>-136.10771858202483</v>
      </c>
      <c r="N97" s="95">
        <f>C108</f>
        <v>-290.01371376101326</v>
      </c>
      <c r="P97" s="21" t="s">
        <v>1</v>
      </c>
      <c r="Q97" s="97">
        <f>$AE$97+(D98-$AE$95)*($AE$98-$AE$97)/($AE$96-$AE$95)</f>
        <v>1.9800690192118685E-4</v>
      </c>
      <c r="R97" s="97">
        <f t="shared" ref="R97:AA107" si="11">$AE$97+(E98-$AE$95)*($AE$98-$AE$97)/($AE$96-$AE$95)</f>
        <v>9.8078245149373806E-3</v>
      </c>
      <c r="S97" s="97">
        <f t="shared" si="11"/>
        <v>1.9800690192118685E-4</v>
      </c>
      <c r="T97" s="97">
        <f t="shared" si="11"/>
        <v>1.9800690192118685E-4</v>
      </c>
      <c r="U97" s="97">
        <f t="shared" si="11"/>
        <v>0.44323498009714801</v>
      </c>
      <c r="V97" s="97">
        <f t="shared" si="11"/>
        <v>6.5039846345961008E-2</v>
      </c>
      <c r="W97" s="97">
        <f t="shared" si="11"/>
        <v>9.0058314168585674E-3</v>
      </c>
      <c r="X97" s="97">
        <f t="shared" si="11"/>
        <v>6.1273666495341848E-2</v>
      </c>
      <c r="Y97" s="97">
        <f t="shared" si="11"/>
        <v>0.64164396211447039</v>
      </c>
      <c r="Z97" s="97">
        <f t="shared" si="11"/>
        <v>0.12725049341248804</v>
      </c>
      <c r="AA97" s="97">
        <f t="shared" si="11"/>
        <v>0.28917607799695111</v>
      </c>
      <c r="AD97" s="3" t="s">
        <v>25</v>
      </c>
      <c r="AE97" s="2">
        <v>1E-3</v>
      </c>
    </row>
    <row r="98" spans="2:31" ht="12.75" customHeight="1" x14ac:dyDescent="0.25">
      <c r="B98" s="21" t="s">
        <v>1</v>
      </c>
      <c r="C98" s="95">
        <f>Annual_sorted!G271</f>
        <v>-15.347682874548187</v>
      </c>
      <c r="D98" s="29">
        <f>IF(C98-Table_14634578111623[Burundi]&gt;0, C98-Table_14634578111623[Burundi], 0)</f>
        <v>0</v>
      </c>
      <c r="E98" s="29">
        <f>IF(C98-Table_14634578111623[DRC]&gt;0, C98-Table_14634578111623[DRC], 0)</f>
        <v>9.1338780527814158</v>
      </c>
      <c r="F98" s="29">
        <f>IF(C98-Table_14634578111623[Egypt]&gt;0, C98-Table_14634578111623[Egypt], 0)</f>
        <v>0</v>
      </c>
      <c r="G98" s="29">
        <f>IF(C98-Table_14634578111623[Eritrea]&gt;0, C98-Table_14634578111623[Eritrea], 0)</f>
        <v>0</v>
      </c>
      <c r="H98" s="29">
        <f>IF(C98-Table_14634578111623[Ethiopia]&gt;0, C98-Table_14634578111623[Ethiopia], 0)</f>
        <v>421.09495195387871</v>
      </c>
      <c r="I98" s="29">
        <f>IF(C98-Table_14634578111623[Kenya]&gt;0, C98-Table_14634578111623[Kenya], 0)</f>
        <v>61.6304573145798</v>
      </c>
      <c r="J98" s="29">
        <f>IF(C98-Table_14634578111623[Rwanda]&gt;0, C98-Table_14634578111623[Rwanda], 0)</f>
        <v>8.371604776428871</v>
      </c>
      <c r="K98" s="29">
        <f>IF(C98-Table_14634578111623[Sudan]&gt;0, C98-Table_14634578111623[Sudan], 0)</f>
        <v>58.050802750292917</v>
      </c>
      <c r="L98" s="29">
        <f>IF(C98-Table_14634578111623[S. Sudan]&gt;0, C98-Table_14634578111623[S. Sudan], 0)</f>
        <v>609.67745365173573</v>
      </c>
      <c r="M98" s="29">
        <f>IF(C98-Table_14634578111623[Tanzania]&gt;0, C98-Table_14634578111623[Tanzania], 0)</f>
        <v>120.76003570747665</v>
      </c>
      <c r="N98" s="29">
        <f>IF(C98-Table_14634578111623[Uganda]&gt;0, C98-Table_14634578111623[Uganda], 0)</f>
        <v>274.66603088646508</v>
      </c>
      <c r="P98" s="21" t="s">
        <v>195</v>
      </c>
      <c r="Q98" s="97">
        <f t="shared" ref="Q98:Q107" si="12">$AE$97+(D99-$AE$95)*($AE$98-$AE$97)/($AE$96-$AE$95)</f>
        <v>1.9800690192118685E-4</v>
      </c>
      <c r="R98" s="97">
        <f t="shared" si="11"/>
        <v>1.9800690192118685E-4</v>
      </c>
      <c r="S98" s="97">
        <f t="shared" si="11"/>
        <v>1.9800690192118685E-4</v>
      </c>
      <c r="T98" s="97">
        <f t="shared" si="11"/>
        <v>1.9800690192118685E-4</v>
      </c>
      <c r="U98" s="97">
        <f t="shared" si="11"/>
        <v>0.43362516248413191</v>
      </c>
      <c r="V98" s="97">
        <f t="shared" si="11"/>
        <v>5.5430028732944808E-2</v>
      </c>
      <c r="W98" s="97">
        <f t="shared" si="11"/>
        <v>1.9800690192118685E-4</v>
      </c>
      <c r="X98" s="97">
        <f t="shared" si="11"/>
        <v>5.1663848882325655E-2</v>
      </c>
      <c r="Y98" s="97">
        <f t="shared" si="11"/>
        <v>0.63203414450145412</v>
      </c>
      <c r="Z98" s="97">
        <f t="shared" si="11"/>
        <v>0.11764067579947182</v>
      </c>
      <c r="AA98" s="97">
        <f t="shared" si="11"/>
        <v>0.27956626038393501</v>
      </c>
      <c r="AD98" s="3" t="s">
        <v>70</v>
      </c>
      <c r="AE98" s="2">
        <v>1</v>
      </c>
    </row>
    <row r="99" spans="2:31" ht="12.75" customHeight="1" x14ac:dyDescent="0.25">
      <c r="B99" s="21" t="s">
        <v>195</v>
      </c>
      <c r="C99" s="95">
        <f>Annual_sorted!G272</f>
        <v>-24.481560927329603</v>
      </c>
      <c r="D99" s="29">
        <f>IF(C99-Table_14634578111623[Burundi]&gt;0, C99-Table_14634578111623[Burundi], 0)</f>
        <v>0</v>
      </c>
      <c r="E99" s="29">
        <f>IF(C99-Table_14634578111623[DRC]&gt;0, C99-Table_14634578111623[DRC], 0)</f>
        <v>0</v>
      </c>
      <c r="F99" s="29">
        <f>IF(C99-Table_14634578111623[Egypt]&gt;0, C99-Table_14634578111623[Egypt], 0)</f>
        <v>0</v>
      </c>
      <c r="G99" s="29">
        <f>IF(C99-Table_14634578111623[Eritrea]&gt;0, C99-Table_14634578111623[Eritrea], 0)</f>
        <v>0</v>
      </c>
      <c r="H99" s="29">
        <f>IF(C99-Table_14634578111623[Ethiopia]&gt;0, C99-Table_14634578111623[Ethiopia], 0)</f>
        <v>411.96107390109728</v>
      </c>
      <c r="I99" s="29">
        <f>IF(C99-Table_14634578111623[Kenya]&gt;0, C99-Table_14634578111623[Kenya], 0)</f>
        <v>52.496579261798381</v>
      </c>
      <c r="J99" s="29">
        <f>IF(C99-Table_14634578111623[Rwanda]&gt;0, C99-Table_14634578111623[Rwanda], 0)</f>
        <v>0</v>
      </c>
      <c r="K99" s="29">
        <f>IF(C99-Table_14634578111623[Sudan]&gt;0, C99-Table_14634578111623[Sudan], 0)</f>
        <v>48.916924697511497</v>
      </c>
      <c r="L99" s="29">
        <f>IF(C99-Table_14634578111623[S. Sudan]&gt;0, C99-Table_14634578111623[S. Sudan], 0)</f>
        <v>600.54357559895436</v>
      </c>
      <c r="M99" s="29">
        <f>IF(C99-Table_14634578111623[Tanzania]&gt;0, C99-Table_14634578111623[Tanzania], 0)</f>
        <v>111.62615765469522</v>
      </c>
      <c r="N99" s="29">
        <f>IF(C99-Table_14634578111623[Uganda]&gt;0, C99-Table_14634578111623[Uganda], 0)</f>
        <v>265.53215283368365</v>
      </c>
      <c r="P99" s="21" t="s">
        <v>2</v>
      </c>
      <c r="Q99" s="97">
        <f t="shared" si="12"/>
        <v>0.35855404478745073</v>
      </c>
      <c r="R99" s="97">
        <f t="shared" si="11"/>
        <v>0.368163862400467</v>
      </c>
      <c r="S99" s="97">
        <f t="shared" si="11"/>
        <v>1.9800690192118685E-4</v>
      </c>
      <c r="T99" s="97">
        <f t="shared" si="11"/>
        <v>0.35639056472288172</v>
      </c>
      <c r="U99" s="97">
        <f t="shared" si="11"/>
        <v>0.80159101798267762</v>
      </c>
      <c r="V99" s="97">
        <f t="shared" si="11"/>
        <v>0.4233958842314906</v>
      </c>
      <c r="W99" s="97">
        <f t="shared" si="11"/>
        <v>0.36736186930238812</v>
      </c>
      <c r="X99" s="97">
        <f t="shared" si="11"/>
        <v>0.41962970438087144</v>
      </c>
      <c r="Y99" s="97">
        <f t="shared" si="11"/>
        <v>1</v>
      </c>
      <c r="Z99" s="97">
        <f t="shared" si="11"/>
        <v>0.48560653129801767</v>
      </c>
      <c r="AA99" s="97">
        <f t="shared" si="11"/>
        <v>0.64753211588248072</v>
      </c>
    </row>
    <row r="100" spans="2:31" ht="12.75" customHeight="1" x14ac:dyDescent="0.25">
      <c r="B100" s="21" t="s">
        <v>2</v>
      </c>
      <c r="C100" s="95">
        <f>Annual_sorted!G273</f>
        <v>325.26027466784319</v>
      </c>
      <c r="D100" s="29">
        <f>IF(C100-Table_14634578111623[Burundi]&gt;0, C100-Table_14634578111623[Burundi], 0)</f>
        <v>340.60795754239138</v>
      </c>
      <c r="E100" s="29">
        <f>IF(C100-Table_14634578111623[DRC]&gt;0, C100-Table_14634578111623[DRC], 0)</f>
        <v>349.7418355951728</v>
      </c>
      <c r="F100" s="29">
        <f>IF(C100-Table_14634578111623[Egypt]&gt;0, C100-Table_14634578111623[Egypt], 0)</f>
        <v>0</v>
      </c>
      <c r="G100" s="29">
        <f>IF(C100-Table_14634578111623[Eritrea]&gt;0, C100-Table_14634578111623[Eritrea], 0)</f>
        <v>338.55162683194874</v>
      </c>
      <c r="H100" s="29">
        <f>IF(C100-Table_14634578111623[Ethiopia]&gt;0, C100-Table_14634578111623[Ethiopia], 0)</f>
        <v>761.70290949627008</v>
      </c>
      <c r="I100" s="29">
        <f>IF(C100-Table_14634578111623[Kenya]&gt;0, C100-Table_14634578111623[Kenya], 0)</f>
        <v>402.23841485697119</v>
      </c>
      <c r="J100" s="29">
        <f>IF(C100-Table_14634578111623[Rwanda]&gt;0, C100-Table_14634578111623[Rwanda], 0)</f>
        <v>348.97956231882023</v>
      </c>
      <c r="K100" s="29">
        <f>IF(C100-Table_14634578111623[Sudan]&gt;0, C100-Table_14634578111623[Sudan], 0)</f>
        <v>398.65876029268429</v>
      </c>
      <c r="L100" s="29">
        <f>IF(C100-Table_14634578111623[S. Sudan]&gt;0, C100-Table_14634578111623[S. Sudan], 0)</f>
        <v>950.28541119412716</v>
      </c>
      <c r="M100" s="29">
        <f>IF(C100-Table_14634578111623[Tanzania]&gt;0, C100-Table_14634578111623[Tanzania], 0)</f>
        <v>461.36799324986805</v>
      </c>
      <c r="N100" s="29">
        <f>IF(C100-Table_14634578111623[Uganda]&gt;0, C100-Table_14634578111623[Uganda], 0)</f>
        <v>615.27398842885646</v>
      </c>
      <c r="P100" s="21" t="s">
        <v>3</v>
      </c>
      <c r="Q100" s="97">
        <f t="shared" si="12"/>
        <v>2.3614869664903134E-3</v>
      </c>
      <c r="R100" s="97">
        <f t="shared" si="11"/>
        <v>1.1971304579506504E-2</v>
      </c>
      <c r="S100" s="97">
        <f t="shared" si="11"/>
        <v>1.9800690192118685E-4</v>
      </c>
      <c r="T100" s="97">
        <f t="shared" si="11"/>
        <v>1.9800690192118685E-4</v>
      </c>
      <c r="U100" s="97">
        <f t="shared" si="11"/>
        <v>0.44539846016171714</v>
      </c>
      <c r="V100" s="97">
        <f t="shared" si="11"/>
        <v>6.7203326410530131E-2</v>
      </c>
      <c r="W100" s="97">
        <f t="shared" si="11"/>
        <v>1.1169311481427694E-2</v>
      </c>
      <c r="X100" s="97">
        <f t="shared" si="11"/>
        <v>6.3437146559910965E-2</v>
      </c>
      <c r="Y100" s="97">
        <f t="shared" si="11"/>
        <v>0.64380744217903951</v>
      </c>
      <c r="Z100" s="97">
        <f t="shared" si="11"/>
        <v>0.12941397347705716</v>
      </c>
      <c r="AA100" s="97">
        <f t="shared" si="11"/>
        <v>0.29133955806152023</v>
      </c>
    </row>
    <row r="101" spans="2:31" ht="12.75" customHeight="1" x14ac:dyDescent="0.25">
      <c r="B101" s="21" t="s">
        <v>3</v>
      </c>
      <c r="C101" s="95">
        <f>Annual_sorted!G274</f>
        <v>-13.291352164105518</v>
      </c>
      <c r="D101" s="29">
        <f>IF(C101-Table_14634578111623[Burundi]&gt;0, C101-Table_14634578111623[Burundi], 0)</f>
        <v>2.0563307104426691</v>
      </c>
      <c r="E101" s="29">
        <f>IF(C101-Table_14634578111623[DRC]&gt;0, C101-Table_14634578111623[DRC], 0)</f>
        <v>11.190208763224085</v>
      </c>
      <c r="F101" s="29">
        <f>IF(C101-Table_14634578111623[Egypt]&gt;0, C101-Table_14634578111623[Egypt], 0)</f>
        <v>0</v>
      </c>
      <c r="G101" s="29">
        <f>IF(C101-Table_14634578111623[Eritrea]&gt;0, C101-Table_14634578111623[Eritrea], 0)</f>
        <v>0</v>
      </c>
      <c r="H101" s="29">
        <f>IF(C101-Table_14634578111623[Ethiopia]&gt;0, C101-Table_14634578111623[Ethiopia], 0)</f>
        <v>423.15128266432134</v>
      </c>
      <c r="I101" s="29">
        <f>IF(C101-Table_14634578111623[Kenya]&gt;0, C101-Table_14634578111623[Kenya], 0)</f>
        <v>63.686788025022466</v>
      </c>
      <c r="J101" s="29">
        <f>IF(C101-Table_14634578111623[Rwanda]&gt;0, C101-Table_14634578111623[Rwanda], 0)</f>
        <v>10.42793548687154</v>
      </c>
      <c r="K101" s="29">
        <f>IF(C101-Table_14634578111623[Sudan]&gt;0, C101-Table_14634578111623[Sudan], 0)</f>
        <v>60.107133460735582</v>
      </c>
      <c r="L101" s="29">
        <f>IF(C101-Table_14634578111623[S. Sudan]&gt;0, C101-Table_14634578111623[S. Sudan], 0)</f>
        <v>611.73378436217843</v>
      </c>
      <c r="M101" s="29">
        <f>IF(C101-Table_14634578111623[Tanzania]&gt;0, C101-Table_14634578111623[Tanzania], 0)</f>
        <v>122.81636641791931</v>
      </c>
      <c r="N101" s="29">
        <f>IF(C101-Table_14634578111623[Uganda]&gt;0, C101-Table_14634578111623[Uganda], 0)</f>
        <v>276.72236159690772</v>
      </c>
      <c r="P101" s="21" t="s">
        <v>4</v>
      </c>
      <c r="Q101" s="97">
        <f t="shared" si="12"/>
        <v>1.9800690192118685E-4</v>
      </c>
      <c r="R101" s="97">
        <f t="shared" si="11"/>
        <v>1.9800690192118685E-4</v>
      </c>
      <c r="S101" s="97">
        <f t="shared" si="11"/>
        <v>1.9800690192118685E-4</v>
      </c>
      <c r="T101" s="97">
        <f t="shared" si="11"/>
        <v>1.9800690192118685E-4</v>
      </c>
      <c r="U101" s="97">
        <f t="shared" si="11"/>
        <v>1.9800690192118685E-4</v>
      </c>
      <c r="V101" s="97">
        <f t="shared" si="11"/>
        <v>1.9800690192118685E-4</v>
      </c>
      <c r="W101" s="97">
        <f t="shared" si="11"/>
        <v>1.9800690192118685E-4</v>
      </c>
      <c r="X101" s="97">
        <f t="shared" si="11"/>
        <v>1.9800690192118685E-4</v>
      </c>
      <c r="Y101" s="97">
        <f t="shared" si="11"/>
        <v>0.1986069889192435</v>
      </c>
      <c r="Z101" s="97">
        <f t="shared" si="11"/>
        <v>1.9800690192118685E-4</v>
      </c>
      <c r="AA101" s="97">
        <f t="shared" si="11"/>
        <v>1.9800690192118685E-4</v>
      </c>
    </row>
    <row r="102" spans="2:31" ht="12.75" customHeight="1" x14ac:dyDescent="0.25">
      <c r="B102" s="21" t="s">
        <v>4</v>
      </c>
      <c r="C102" s="95">
        <f>Annual_sorted!G275</f>
        <v>-436.44263482842689</v>
      </c>
      <c r="D102" s="29">
        <f>IF(C102-Table_14634578111623[Burundi]&gt;0, C102-Table_14634578111623[Burundi], 0)</f>
        <v>0</v>
      </c>
      <c r="E102" s="29">
        <f>IF(C102-Table_14634578111623[DRC]&gt;0, C102-Table_14634578111623[DRC], 0)</f>
        <v>0</v>
      </c>
      <c r="F102" s="29">
        <f>IF(C102-Table_14634578111623[Egypt]&gt;0, C102-Table_14634578111623[Egypt], 0)</f>
        <v>0</v>
      </c>
      <c r="G102" s="29">
        <f>IF(C102-Table_14634578111623[Eritrea]&gt;0, C102-Table_14634578111623[Eritrea], 0)</f>
        <v>0</v>
      </c>
      <c r="H102" s="29">
        <f>IF(C102-Table_14634578111623[Ethiopia]&gt;0, C102-Table_14634578111623[Ethiopia], 0)</f>
        <v>0</v>
      </c>
      <c r="I102" s="29">
        <f>IF(C102-Table_14634578111623[Kenya]&gt;0, C102-Table_14634578111623[Kenya], 0)</f>
        <v>0</v>
      </c>
      <c r="J102" s="29">
        <f>IF(C102-Table_14634578111623[Rwanda]&gt;0, C102-Table_14634578111623[Rwanda], 0)</f>
        <v>0</v>
      </c>
      <c r="K102" s="29">
        <f>IF(C102-Table_14634578111623[Sudan]&gt;0, C102-Table_14634578111623[Sudan], 0)</f>
        <v>0</v>
      </c>
      <c r="L102" s="29">
        <f>IF(C102-Table_14634578111623[S. Sudan]&gt;0, C102-Table_14634578111623[S. Sudan], 0)</f>
        <v>188.58250169785708</v>
      </c>
      <c r="M102" s="29">
        <f>IF(C102-Table_14634578111623[Tanzania]&gt;0, C102-Table_14634578111623[Tanzania], 0)</f>
        <v>0</v>
      </c>
      <c r="N102" s="29">
        <f>IF(C102-Table_14634578111623[Uganda]&gt;0, C102-Table_14634578111623[Uganda], 0)</f>
        <v>0</v>
      </c>
      <c r="P102" s="21" t="s">
        <v>5</v>
      </c>
      <c r="Q102" s="97">
        <f t="shared" si="12"/>
        <v>1.9800690192118685E-4</v>
      </c>
      <c r="R102" s="97">
        <f t="shared" si="11"/>
        <v>1.9800690192118685E-4</v>
      </c>
      <c r="S102" s="97">
        <f t="shared" si="11"/>
        <v>1.9800690192118685E-4</v>
      </c>
      <c r="T102" s="97">
        <f t="shared" si="11"/>
        <v>1.9800690192118685E-4</v>
      </c>
      <c r="U102" s="97">
        <f t="shared" si="11"/>
        <v>0.37839314065310825</v>
      </c>
      <c r="V102" s="97">
        <f t="shared" si="11"/>
        <v>1.9800690192118685E-4</v>
      </c>
      <c r="W102" s="97">
        <f t="shared" si="11"/>
        <v>1.9800690192118685E-4</v>
      </c>
      <c r="X102" s="97">
        <f t="shared" si="11"/>
        <v>1.9800690192118685E-4</v>
      </c>
      <c r="Y102" s="97">
        <f t="shared" si="11"/>
        <v>0.57680212267043063</v>
      </c>
      <c r="Z102" s="97">
        <f t="shared" si="11"/>
        <v>6.2408653968448219E-2</v>
      </c>
      <c r="AA102" s="97">
        <f t="shared" si="11"/>
        <v>0.22433423855291132</v>
      </c>
    </row>
    <row r="103" spans="2:31" ht="12.75" customHeight="1" x14ac:dyDescent="0.25">
      <c r="B103" s="21" t="s">
        <v>5</v>
      </c>
      <c r="C103" s="95">
        <f>Annual_sorted!G276</f>
        <v>-76.978140189127984</v>
      </c>
      <c r="D103" s="29">
        <f>IF(C103-Table_14634578111623[Burundi]&gt;0, C103-Table_14634578111623[Burundi], 0)</f>
        <v>0</v>
      </c>
      <c r="E103" s="29">
        <f>IF(C103-Table_14634578111623[DRC]&gt;0, C103-Table_14634578111623[DRC], 0)</f>
        <v>0</v>
      </c>
      <c r="F103" s="29">
        <f>IF(C103-Table_14634578111623[Egypt]&gt;0, C103-Table_14634578111623[Egypt], 0)</f>
        <v>0</v>
      </c>
      <c r="G103" s="29">
        <f>IF(C103-Table_14634578111623[Eritrea]&gt;0, C103-Table_14634578111623[Eritrea], 0)</f>
        <v>0</v>
      </c>
      <c r="H103" s="29">
        <f>IF(C103-Table_14634578111623[Ethiopia]&gt;0, C103-Table_14634578111623[Ethiopia], 0)</f>
        <v>359.46449463929889</v>
      </c>
      <c r="I103" s="29">
        <f>IF(C103-Table_14634578111623[Kenya]&gt;0, C103-Table_14634578111623[Kenya], 0)</f>
        <v>0</v>
      </c>
      <c r="J103" s="29">
        <f>IF(C103-Table_14634578111623[Rwanda]&gt;0, C103-Table_14634578111623[Rwanda], 0)</f>
        <v>0</v>
      </c>
      <c r="K103" s="29">
        <f>IF(C103-Table_14634578111623[Sudan]&gt;0, C103-Table_14634578111623[Sudan], 0)</f>
        <v>0</v>
      </c>
      <c r="L103" s="29">
        <f>IF(C103-Table_14634578111623[S. Sudan]&gt;0, C103-Table_14634578111623[S. Sudan], 0)</f>
        <v>548.04699633715597</v>
      </c>
      <c r="M103" s="29">
        <f>IF(C103-Table_14634578111623[Tanzania]&gt;0, C103-Table_14634578111623[Tanzania], 0)</f>
        <v>59.129578392896846</v>
      </c>
      <c r="N103" s="29">
        <f>IF(C103-Table_14634578111623[Uganda]&gt;0, C103-Table_14634578111623[Uganda], 0)</f>
        <v>213.03557357188527</v>
      </c>
      <c r="P103" s="21" t="s">
        <v>6</v>
      </c>
      <c r="Q103" s="97">
        <f t="shared" si="12"/>
        <v>1.9800690192118685E-4</v>
      </c>
      <c r="R103" s="97">
        <f t="shared" si="11"/>
        <v>1E-3</v>
      </c>
      <c r="S103" s="97">
        <f t="shared" si="11"/>
        <v>1.9800690192118685E-4</v>
      </c>
      <c r="T103" s="97">
        <f t="shared" si="11"/>
        <v>1.9800690192118685E-4</v>
      </c>
      <c r="U103" s="97">
        <f t="shared" si="11"/>
        <v>0.43442715558221062</v>
      </c>
      <c r="V103" s="97">
        <f t="shared" si="11"/>
        <v>5.6232021831023625E-2</v>
      </c>
      <c r="W103" s="97">
        <f t="shared" si="11"/>
        <v>1.9800690192118685E-4</v>
      </c>
      <c r="X103" s="97">
        <f t="shared" si="11"/>
        <v>5.2465841980404472E-2</v>
      </c>
      <c r="Y103" s="97">
        <f t="shared" si="11"/>
        <v>0.63283613759953294</v>
      </c>
      <c r="Z103" s="97">
        <f t="shared" si="11"/>
        <v>0.11844266889755065</v>
      </c>
      <c r="AA103" s="97">
        <f t="shared" si="11"/>
        <v>0.28036825348201377</v>
      </c>
    </row>
    <row r="104" spans="2:31" ht="12.75" customHeight="1" x14ac:dyDescent="0.25">
      <c r="B104" s="21" t="s">
        <v>6</v>
      </c>
      <c r="C104" s="95">
        <f>Annual_sorted!G277</f>
        <v>-23.719287650977058</v>
      </c>
      <c r="D104" s="29">
        <f>IF(C104-Table_14634578111623[Burundi]&gt;0, C104-Table_14634578111623[Burundi], 0)</f>
        <v>0</v>
      </c>
      <c r="E104" s="29">
        <f>IF(C104-Table_14634578111623[DRC]&gt;0, C104-Table_14634578111623[DRC], 0)</f>
        <v>0.76227327635254483</v>
      </c>
      <c r="F104" s="29">
        <f>IF(C104-Table_14634578111623[Egypt]&gt;0, C104-Table_14634578111623[Egypt], 0)</f>
        <v>0</v>
      </c>
      <c r="G104" s="29">
        <f>IF(C104-Table_14634578111623[Eritrea]&gt;0, C104-Table_14634578111623[Eritrea], 0)</f>
        <v>0</v>
      </c>
      <c r="H104" s="29">
        <f>IF(C104-Table_14634578111623[Ethiopia]&gt;0, C104-Table_14634578111623[Ethiopia], 0)</f>
        <v>412.72334717744985</v>
      </c>
      <c r="I104" s="29">
        <f>IF(C104-Table_14634578111623[Kenya]&gt;0, C104-Table_14634578111623[Kenya], 0)</f>
        <v>53.258852538150926</v>
      </c>
      <c r="J104" s="29">
        <f>IF(C104-Table_14634578111623[Rwanda]&gt;0, C104-Table_14634578111623[Rwanda], 0)</f>
        <v>0</v>
      </c>
      <c r="K104" s="29">
        <f>IF(C104-Table_14634578111623[Sudan]&gt;0, C104-Table_14634578111623[Sudan], 0)</f>
        <v>49.679197973864042</v>
      </c>
      <c r="L104" s="29">
        <f>IF(C104-Table_14634578111623[S. Sudan]&gt;0, C104-Table_14634578111623[S. Sudan], 0)</f>
        <v>601.30584887530688</v>
      </c>
      <c r="M104" s="29">
        <f>IF(C104-Table_14634578111623[Tanzania]&gt;0, C104-Table_14634578111623[Tanzania], 0)</f>
        <v>112.38843093104776</v>
      </c>
      <c r="N104" s="29">
        <f>IF(C104-Table_14634578111623[Uganda]&gt;0, C104-Table_14634578111623[Uganda], 0)</f>
        <v>266.29442611003623</v>
      </c>
      <c r="P104" s="21" t="s">
        <v>7</v>
      </c>
      <c r="Q104" s="97">
        <f t="shared" si="12"/>
        <v>1.9800690192118685E-4</v>
      </c>
      <c r="R104" s="97">
        <f t="shared" si="11"/>
        <v>1.9800690192118685E-4</v>
      </c>
      <c r="S104" s="97">
        <f t="shared" si="11"/>
        <v>1.9800690192118685E-4</v>
      </c>
      <c r="T104" s="97">
        <f t="shared" si="11"/>
        <v>1.9800690192118685E-4</v>
      </c>
      <c r="U104" s="97">
        <f t="shared" si="11"/>
        <v>0.38215932050372742</v>
      </c>
      <c r="V104" s="97">
        <f t="shared" si="11"/>
        <v>3.9641867525403423E-3</v>
      </c>
      <c r="W104" s="97">
        <f t="shared" si="11"/>
        <v>1.9800690192118685E-4</v>
      </c>
      <c r="X104" s="97">
        <f t="shared" si="11"/>
        <v>1.9800690192118685E-4</v>
      </c>
      <c r="Y104" s="97">
        <f t="shared" si="11"/>
        <v>0.58056830252104974</v>
      </c>
      <c r="Z104" s="97">
        <f t="shared" si="11"/>
        <v>6.6174833819067372E-2</v>
      </c>
      <c r="AA104" s="97">
        <f t="shared" si="11"/>
        <v>0.22810041840353049</v>
      </c>
    </row>
    <row r="105" spans="2:31" ht="12.75" customHeight="1" x14ac:dyDescent="0.25">
      <c r="B105" s="21" t="s">
        <v>7</v>
      </c>
      <c r="C105" s="95">
        <f>Annual_sorted!G278</f>
        <v>-73.398485624841101</v>
      </c>
      <c r="D105" s="29">
        <f>IF(C105-Table_14634578111623[Burundi]&gt;0, C105-Table_14634578111623[Burundi], 0)</f>
        <v>0</v>
      </c>
      <c r="E105" s="29">
        <f>IF(C105-Table_14634578111623[DRC]&gt;0, C105-Table_14634578111623[DRC], 0)</f>
        <v>0</v>
      </c>
      <c r="F105" s="29">
        <f>IF(C105-Table_14634578111623[Egypt]&gt;0, C105-Table_14634578111623[Egypt], 0)</f>
        <v>0</v>
      </c>
      <c r="G105" s="29">
        <f>IF(C105-Table_14634578111623[Eritrea]&gt;0, C105-Table_14634578111623[Eritrea], 0)</f>
        <v>0</v>
      </c>
      <c r="H105" s="29">
        <f>IF(C105-Table_14634578111623[Ethiopia]&gt;0, C105-Table_14634578111623[Ethiopia], 0)</f>
        <v>363.04414920358579</v>
      </c>
      <c r="I105" s="29">
        <f>IF(C105-Table_14634578111623[Kenya]&gt;0, C105-Table_14634578111623[Kenya], 0)</f>
        <v>3.5796545642868836</v>
      </c>
      <c r="J105" s="29">
        <f>IF(C105-Table_14634578111623[Rwanda]&gt;0, C105-Table_14634578111623[Rwanda], 0)</f>
        <v>0</v>
      </c>
      <c r="K105" s="29">
        <f>IF(C105-Table_14634578111623[Sudan]&gt;0, C105-Table_14634578111623[Sudan], 0)</f>
        <v>0</v>
      </c>
      <c r="L105" s="29">
        <f>IF(C105-Table_14634578111623[S. Sudan]&gt;0, C105-Table_14634578111623[S. Sudan], 0)</f>
        <v>551.62665090144287</v>
      </c>
      <c r="M105" s="29">
        <f>IF(C105-Table_14634578111623[Tanzania]&gt;0, C105-Table_14634578111623[Tanzania], 0)</f>
        <v>62.70923295718373</v>
      </c>
      <c r="N105" s="29">
        <f>IF(C105-Table_14634578111623[Uganda]&gt;0, C105-Table_14634578111623[Uganda], 0)</f>
        <v>216.61522813617216</v>
      </c>
      <c r="P105" s="21" t="s">
        <v>8</v>
      </c>
      <c r="Q105" s="97">
        <f t="shared" si="12"/>
        <v>1.9800690192118685E-4</v>
      </c>
      <c r="R105" s="97">
        <f t="shared" si="11"/>
        <v>1.9800690192118685E-4</v>
      </c>
      <c r="S105" s="97">
        <f t="shared" si="11"/>
        <v>1.9800690192118685E-4</v>
      </c>
      <c r="T105" s="97">
        <f t="shared" si="11"/>
        <v>1.9800690192118685E-4</v>
      </c>
      <c r="U105" s="97">
        <f t="shared" si="11"/>
        <v>1.9800690192118685E-4</v>
      </c>
      <c r="V105" s="97">
        <f t="shared" si="11"/>
        <v>1.9800690192118685E-4</v>
      </c>
      <c r="W105" s="97">
        <f t="shared" si="11"/>
        <v>1.9800690192118685E-4</v>
      </c>
      <c r="X105" s="97">
        <f t="shared" si="11"/>
        <v>1.9800690192118685E-4</v>
      </c>
      <c r="Y105" s="97">
        <f t="shared" si="11"/>
        <v>1.9800690192118685E-4</v>
      </c>
      <c r="Z105" s="97">
        <f t="shared" si="11"/>
        <v>1.9800690192118685E-4</v>
      </c>
      <c r="AA105" s="97">
        <f t="shared" si="11"/>
        <v>1.9800690192118685E-4</v>
      </c>
    </row>
    <row r="106" spans="2:31" ht="12.75" customHeight="1" x14ac:dyDescent="0.25">
      <c r="B106" s="21" t="s">
        <v>8</v>
      </c>
      <c r="C106" s="95">
        <f>Annual_sorted!G279</f>
        <v>-625.02513652628397</v>
      </c>
      <c r="D106" s="29">
        <f>IF(C106-Table_14634578111623[Burundi]&gt;0, C106-Table_14634578111623[Burundi], 0)</f>
        <v>0</v>
      </c>
      <c r="E106" s="29">
        <f>IF(C106-Table_14634578111623[DRC]&gt;0, C106-Table_14634578111623[DRC], 0)</f>
        <v>0</v>
      </c>
      <c r="F106" s="29">
        <f>IF(C106-Table_14634578111623[Egypt]&gt;0, C106-Table_14634578111623[Egypt], 0)</f>
        <v>0</v>
      </c>
      <c r="G106" s="29">
        <f>IF(C106-Table_14634578111623[Eritrea]&gt;0, C106-Table_14634578111623[Eritrea], 0)</f>
        <v>0</v>
      </c>
      <c r="H106" s="29">
        <f>IF(C106-Table_14634578111623[Ethiopia]&gt;0, C106-Table_14634578111623[Ethiopia], 0)</f>
        <v>0</v>
      </c>
      <c r="I106" s="29">
        <f>IF(C106-Table_14634578111623[Kenya]&gt;0, C106-Table_14634578111623[Kenya], 0)</f>
        <v>0</v>
      </c>
      <c r="J106" s="29">
        <f>IF(C106-Table_14634578111623[Rwanda]&gt;0, C106-Table_14634578111623[Rwanda], 0)</f>
        <v>0</v>
      </c>
      <c r="K106" s="29">
        <f>IF(C106-Table_14634578111623[Sudan]&gt;0, C106-Table_14634578111623[Sudan], 0)</f>
        <v>0</v>
      </c>
      <c r="L106" s="29">
        <f>IF(C106-Table_14634578111623[S. Sudan]&gt;0, C106-Table_14634578111623[S. Sudan], 0)</f>
        <v>0</v>
      </c>
      <c r="M106" s="29">
        <f>IF(C106-Table_14634578111623[Tanzania]&gt;0, C106-Table_14634578111623[Tanzania], 0)</f>
        <v>0</v>
      </c>
      <c r="N106" s="29">
        <f>IF(C106-Table_14634578111623[Uganda]&gt;0, C106-Table_14634578111623[Uganda], 0)</f>
        <v>0</v>
      </c>
      <c r="P106" s="21" t="s">
        <v>9</v>
      </c>
      <c r="Q106" s="97">
        <f t="shared" si="12"/>
        <v>1.9800690192118685E-4</v>
      </c>
      <c r="R106" s="97">
        <f t="shared" si="11"/>
        <v>1.9800690192118685E-4</v>
      </c>
      <c r="S106" s="97">
        <f t="shared" si="11"/>
        <v>1.9800690192118685E-4</v>
      </c>
      <c r="T106" s="97">
        <f t="shared" si="11"/>
        <v>1.9800690192118685E-4</v>
      </c>
      <c r="U106" s="97">
        <f t="shared" si="11"/>
        <v>0.31618249358658118</v>
      </c>
      <c r="V106" s="97">
        <f t="shared" si="11"/>
        <v>1.9800690192118685E-4</v>
      </c>
      <c r="W106" s="97">
        <f t="shared" si="11"/>
        <v>1.9800690192118685E-4</v>
      </c>
      <c r="X106" s="97">
        <f t="shared" si="11"/>
        <v>1.9800690192118685E-4</v>
      </c>
      <c r="Y106" s="97">
        <f t="shared" si="11"/>
        <v>0.5145914756039035</v>
      </c>
      <c r="Z106" s="97">
        <f t="shared" si="11"/>
        <v>1.9800690192118685E-4</v>
      </c>
      <c r="AA106" s="97">
        <f t="shared" si="11"/>
        <v>0.16212359148638428</v>
      </c>
    </row>
    <row r="107" spans="2:31" ht="12.75" customHeight="1" thickBot="1" x14ac:dyDescent="0.3">
      <c r="B107" s="21" t="s">
        <v>9</v>
      </c>
      <c r="C107" s="95">
        <f>Annual_sorted!G280</f>
        <v>-136.10771858202483</v>
      </c>
      <c r="D107" s="29">
        <f>IF(C107-Table_14634578111623[Burundi]&gt;0, C107-Table_14634578111623[Burundi], 0)</f>
        <v>0</v>
      </c>
      <c r="E107" s="29">
        <f>IF(C107-Table_14634578111623[DRC]&gt;0, C107-Table_14634578111623[DRC], 0)</f>
        <v>0</v>
      </c>
      <c r="F107" s="29">
        <f>IF(C107-Table_14634578111623[Egypt]&gt;0, C107-Table_14634578111623[Egypt], 0)</f>
        <v>0</v>
      </c>
      <c r="G107" s="29">
        <f>IF(C107-Table_14634578111623[Eritrea]&gt;0, C107-Table_14634578111623[Eritrea], 0)</f>
        <v>0</v>
      </c>
      <c r="H107" s="29">
        <f>IF(C107-Table_14634578111623[Ethiopia]&gt;0, C107-Table_14634578111623[Ethiopia], 0)</f>
        <v>300.33491624640203</v>
      </c>
      <c r="I107" s="29">
        <f>IF(C107-Table_14634578111623[Kenya]&gt;0, C107-Table_14634578111623[Kenya], 0)</f>
        <v>0</v>
      </c>
      <c r="J107" s="29">
        <f>IF(C107-Table_14634578111623[Rwanda]&gt;0, C107-Table_14634578111623[Rwanda], 0)</f>
        <v>0</v>
      </c>
      <c r="K107" s="29">
        <f>IF(C107-Table_14634578111623[Sudan]&gt;0, C107-Table_14634578111623[Sudan], 0)</f>
        <v>0</v>
      </c>
      <c r="L107" s="29">
        <f>IF(C107-Table_14634578111623[S. Sudan]&gt;0, C107-Table_14634578111623[S. Sudan], 0)</f>
        <v>488.91741794425911</v>
      </c>
      <c r="M107" s="29">
        <f>IF(C107-Table_14634578111623[Tanzania]&gt;0, C107-Table_14634578111623[Tanzania], 0)</f>
        <v>0</v>
      </c>
      <c r="N107" s="29">
        <f>IF(C107-Table_14634578111623[Uganda]&gt;0, C107-Table_14634578111623[Uganda], 0)</f>
        <v>153.90599517898843</v>
      </c>
      <c r="P107" s="22" t="s">
        <v>10</v>
      </c>
      <c r="Q107" s="98">
        <f t="shared" si="12"/>
        <v>1.9800690192118685E-4</v>
      </c>
      <c r="R107" s="98">
        <f t="shared" si="11"/>
        <v>1.9800690192118685E-4</v>
      </c>
      <c r="S107" s="98">
        <f t="shared" si="11"/>
        <v>1.9800690192118685E-4</v>
      </c>
      <c r="T107" s="98">
        <f t="shared" si="11"/>
        <v>1.9800690192118685E-4</v>
      </c>
      <c r="U107" s="98">
        <f t="shared" si="11"/>
        <v>0.15425690900211808</v>
      </c>
      <c r="V107" s="98">
        <f t="shared" si="11"/>
        <v>1.9800690192118685E-4</v>
      </c>
      <c r="W107" s="98">
        <f t="shared" si="11"/>
        <v>1.9800690192118685E-4</v>
      </c>
      <c r="X107" s="98">
        <f t="shared" si="11"/>
        <v>1.9800690192118685E-4</v>
      </c>
      <c r="Y107" s="98">
        <f t="shared" si="11"/>
        <v>0.35266589101944046</v>
      </c>
      <c r="Z107" s="98">
        <f t="shared" si="11"/>
        <v>1.9800690192118685E-4</v>
      </c>
      <c r="AA107" s="98">
        <f t="shared" si="11"/>
        <v>1.9800690192118685E-4</v>
      </c>
      <c r="AB107" s="186">
        <f>SUM(Q97:AA107)</f>
        <v>15.900893510406405</v>
      </c>
    </row>
    <row r="108" spans="2:31" ht="12.75" customHeight="1" thickBot="1" x14ac:dyDescent="0.3">
      <c r="B108" s="22" t="s">
        <v>10</v>
      </c>
      <c r="C108" s="96">
        <f>Annual_sorted!G281</f>
        <v>-290.01371376101326</v>
      </c>
      <c r="D108" s="32">
        <f>IF(C108-Table_14634578111623[Burundi]&gt;0, C108-Table_14634578111623[Burundi], 0)</f>
        <v>0</v>
      </c>
      <c r="E108" s="32">
        <f>IF(C108-Table_14634578111623[DRC]&gt;0, C108-Table_14634578111623[DRC], 0)</f>
        <v>0</v>
      </c>
      <c r="F108" s="32">
        <f>IF(C108-Table_14634578111623[Egypt]&gt;0, C108-Table_14634578111623[Egypt], 0)</f>
        <v>0</v>
      </c>
      <c r="G108" s="32">
        <f>IF(C108-Table_14634578111623[Eritrea]&gt;0, C108-Table_14634578111623[Eritrea], 0)</f>
        <v>0</v>
      </c>
      <c r="H108" s="32">
        <f>IF(C108-Table_14634578111623[Ethiopia]&gt;0, C108-Table_14634578111623[Ethiopia], 0)</f>
        <v>146.42892106741363</v>
      </c>
      <c r="I108" s="32">
        <f>IF(C108-Table_14634578111623[Kenya]&gt;0, C108-Table_14634578111623[Kenya], 0)</f>
        <v>0</v>
      </c>
      <c r="J108" s="32">
        <f>IF(C108-Table_14634578111623[Rwanda]&gt;0, C108-Table_14634578111623[Rwanda], 0)</f>
        <v>0</v>
      </c>
      <c r="K108" s="32">
        <f>IF(C108-Table_14634578111623[Sudan]&gt;0, C108-Table_14634578111623[Sudan], 0)</f>
        <v>0</v>
      </c>
      <c r="L108" s="32">
        <f>IF(C108-Table_14634578111623[S. Sudan]&gt;0, C108-Table_14634578111623[S. Sudan], 0)</f>
        <v>335.01142276527071</v>
      </c>
      <c r="M108" s="32">
        <f>IF(C108-Table_14634578111623[Tanzania]&gt;0, C108-Table_14634578111623[Tanzania], 0)</f>
        <v>0</v>
      </c>
      <c r="N108" s="32">
        <f>IF(C108-Table_14634578111623[Uganda]&gt;0, C108-Table_14634578111623[Uganda], 0)</f>
        <v>0</v>
      </c>
      <c r="Y108" s="186">
        <f>SUM(Y97:Y107)</f>
        <v>5.7737544740304854</v>
      </c>
    </row>
    <row r="109" spans="2:31" ht="12.75" customHeight="1" x14ac:dyDescent="0.25"/>
    <row r="110" spans="2:31" ht="12.75" customHeight="1" x14ac:dyDescent="0.25"/>
    <row r="111" spans="2:31" ht="12.75" customHeight="1" x14ac:dyDescent="0.25">
      <c r="B111" s="5"/>
      <c r="C111" s="5"/>
      <c r="D111" s="5"/>
      <c r="E111" s="5"/>
      <c r="F111" s="5"/>
      <c r="G111" s="5"/>
      <c r="H111" s="5"/>
      <c r="I111" s="5"/>
      <c r="J111" s="5"/>
      <c r="K111" s="5"/>
      <c r="L111" s="5"/>
      <c r="M111" s="5"/>
      <c r="N111" s="5"/>
    </row>
    <row r="112" spans="2:31" ht="12.75" customHeight="1" x14ac:dyDescent="0.25">
      <c r="B112" s="5"/>
      <c r="C112" s="5"/>
      <c r="D112" s="5"/>
      <c r="E112" s="5"/>
      <c r="F112" s="5"/>
      <c r="G112" s="5"/>
      <c r="H112" s="5"/>
      <c r="I112" s="5"/>
      <c r="J112" s="5"/>
      <c r="K112" s="5"/>
      <c r="L112" s="5"/>
      <c r="M112" s="5"/>
      <c r="N112" s="5"/>
      <c r="P112" s="5"/>
      <c r="Q112" s="5"/>
      <c r="R112" s="5"/>
      <c r="S112" s="5"/>
      <c r="T112" s="5"/>
      <c r="U112" s="5"/>
      <c r="V112" s="5"/>
      <c r="W112" s="5"/>
      <c r="X112" s="5"/>
      <c r="Y112" s="5"/>
      <c r="Z112" s="5"/>
      <c r="AA112" s="5"/>
    </row>
    <row r="113" spans="2:31" ht="12.75" customHeight="1" thickBot="1" x14ac:dyDescent="0.3">
      <c r="B113" s="253" t="s">
        <v>86</v>
      </c>
      <c r="C113" s="253"/>
      <c r="D113" s="253"/>
      <c r="E113" s="253"/>
      <c r="F113" s="253"/>
      <c r="G113" s="253"/>
      <c r="H113" s="253"/>
      <c r="I113" s="253"/>
      <c r="J113" s="253"/>
      <c r="K113" s="253"/>
      <c r="L113" s="253"/>
      <c r="M113" s="253"/>
      <c r="N113" s="253"/>
      <c r="P113" s="253" t="s">
        <v>88</v>
      </c>
      <c r="Q113" s="253"/>
      <c r="R113" s="253"/>
      <c r="S113" s="253"/>
      <c r="T113" s="253"/>
      <c r="U113" s="253"/>
      <c r="V113" s="253"/>
      <c r="W113" s="253"/>
      <c r="X113" s="253"/>
      <c r="Y113" s="253"/>
      <c r="Z113" s="253"/>
      <c r="AA113" s="253"/>
      <c r="AB113" s="10"/>
      <c r="AC113" s="3" t="s">
        <v>22</v>
      </c>
      <c r="AD113" s="13" t="s">
        <v>23</v>
      </c>
      <c r="AE113" s="74">
        <f t="array" ref="AE113">MIN(IF(D116:N126&gt;0,D116:N126))</f>
        <v>0.56904968520351829</v>
      </c>
    </row>
    <row r="114" spans="2:31" ht="12.75" customHeight="1" thickBot="1" x14ac:dyDescent="0.3">
      <c r="B114" s="75" t="s">
        <v>13</v>
      </c>
      <c r="C114" s="66" t="s">
        <v>14</v>
      </c>
      <c r="D114" s="67" t="s">
        <v>1</v>
      </c>
      <c r="E114" s="67" t="s">
        <v>195</v>
      </c>
      <c r="F114" s="67" t="s">
        <v>2</v>
      </c>
      <c r="G114" s="67" t="s">
        <v>3</v>
      </c>
      <c r="H114" s="67" t="s">
        <v>4</v>
      </c>
      <c r="I114" s="67" t="s">
        <v>5</v>
      </c>
      <c r="J114" s="67" t="s">
        <v>6</v>
      </c>
      <c r="K114" s="67" t="s">
        <v>7</v>
      </c>
      <c r="L114" s="67" t="s">
        <v>295</v>
      </c>
      <c r="M114" s="67" t="s">
        <v>9</v>
      </c>
      <c r="N114" s="67" t="s">
        <v>10</v>
      </c>
      <c r="P114" s="76" t="s">
        <v>19</v>
      </c>
      <c r="Q114" s="77" t="s">
        <v>1</v>
      </c>
      <c r="R114" s="77" t="s">
        <v>195</v>
      </c>
      <c r="S114" s="77" t="s">
        <v>2</v>
      </c>
      <c r="T114" s="77" t="s">
        <v>3</v>
      </c>
      <c r="U114" s="77" t="s">
        <v>4</v>
      </c>
      <c r="V114" s="77" t="s">
        <v>5</v>
      </c>
      <c r="W114" s="77" t="s">
        <v>6</v>
      </c>
      <c r="X114" s="77" t="s">
        <v>7</v>
      </c>
      <c r="Y114" s="77" t="s">
        <v>295</v>
      </c>
      <c r="Z114" s="77" t="s">
        <v>9</v>
      </c>
      <c r="AA114" s="77" t="s">
        <v>10</v>
      </c>
      <c r="AB114" s="254" t="s">
        <v>26</v>
      </c>
      <c r="AC114" s="254"/>
      <c r="AD114" s="13" t="s">
        <v>24</v>
      </c>
      <c r="AE114" s="20">
        <f>MAX(D116:N126)</f>
        <v>422.01837372182968</v>
      </c>
    </row>
    <row r="115" spans="2:31" ht="12.75" customHeight="1" x14ac:dyDescent="0.25">
      <c r="B115" s="93"/>
      <c r="C115" s="94" t="s">
        <v>263</v>
      </c>
      <c r="D115" s="95">
        <f>C116</f>
        <v>-1.0599872252519187</v>
      </c>
      <c r="E115" s="95">
        <f>C117</f>
        <v>2.1129824106342903</v>
      </c>
      <c r="F115" s="95">
        <f>C118</f>
        <v>327.32968091907202</v>
      </c>
      <c r="G115" s="95">
        <f>C119</f>
        <v>-1.825831744805549</v>
      </c>
      <c r="H115" s="95">
        <f>C120</f>
        <v>-94.688692802757629</v>
      </c>
      <c r="I115" s="95">
        <f>C121</f>
        <v>-15.906446615781023</v>
      </c>
      <c r="J115" s="95">
        <f>C122</f>
        <v>-2.3948814300090673</v>
      </c>
      <c r="K115" s="95">
        <f>C123</f>
        <v>299.65584925157799</v>
      </c>
      <c r="L115" s="95">
        <f>C124</f>
        <v>10.468507913800099</v>
      </c>
      <c r="M115" s="95">
        <f>C125</f>
        <v>-20.847826476817467</v>
      </c>
      <c r="N115" s="95">
        <f>C126</f>
        <v>17.538306754422301</v>
      </c>
      <c r="P115" s="21" t="s">
        <v>1</v>
      </c>
      <c r="Q115" s="97">
        <f>$AE$115+(D116-$AE$113)*($AE$116-$AE$115)/($AE$114-$AE$113)</f>
        <v>-3.4887067814803473E-4</v>
      </c>
      <c r="R115" s="97">
        <f t="shared" ref="R115:AA125" si="13">$AE$115+(E116-$AE$113)*($AE$116-$AE$115)/($AE$114-$AE$113)</f>
        <v>-3.4887067814803473E-4</v>
      </c>
      <c r="S115" s="97">
        <f t="shared" si="13"/>
        <v>-3.4887067814803473E-4</v>
      </c>
      <c r="T115" s="97">
        <f t="shared" si="13"/>
        <v>1.4664808514408163E-3</v>
      </c>
      <c r="U115" s="97">
        <f t="shared" si="13"/>
        <v>0.22158784042166504</v>
      </c>
      <c r="V115" s="97">
        <f t="shared" si="13"/>
        <v>3.4843054151821873E-2</v>
      </c>
      <c r="W115" s="97">
        <f t="shared" si="13"/>
        <v>2.8153515295888513E-3</v>
      </c>
      <c r="X115" s="97">
        <f t="shared" si="13"/>
        <v>-3.4887067814803473E-4</v>
      </c>
      <c r="Y115" s="97">
        <f t="shared" si="13"/>
        <v>-3.4887067814803473E-4</v>
      </c>
      <c r="Z115" s="97">
        <f t="shared" si="13"/>
        <v>4.6556060199368421E-2</v>
      </c>
      <c r="AA115" s="97">
        <f t="shared" si="13"/>
        <v>-3.4887067814803473E-4</v>
      </c>
      <c r="AD115" s="3" t="s">
        <v>25</v>
      </c>
      <c r="AE115" s="2">
        <v>1E-3</v>
      </c>
    </row>
    <row r="116" spans="2:31" ht="12.75" customHeight="1" x14ac:dyDescent="0.25">
      <c r="B116" s="21" t="s">
        <v>1</v>
      </c>
      <c r="C116" s="95">
        <f>Annual_sorted!H271</f>
        <v>-1.0599872252519187</v>
      </c>
      <c r="D116" s="29">
        <f>IF(C116-Table_146345781121722[Burundi]&gt;0, C116-Table_146345781121722[Burundi], 0)</f>
        <v>0</v>
      </c>
      <c r="E116" s="29">
        <f>IF(C116-Table_146345781121722[DRC]&gt;0, C116-Table_146345781121722[DRC], 0)</f>
        <v>0</v>
      </c>
      <c r="F116" s="29">
        <f>IF(C116-Table_146345781121722[Egypt]&gt;0, C116-Table_146345781121722[Egypt], 0)</f>
        <v>0</v>
      </c>
      <c r="G116" s="29">
        <f>IF(C116-Table_146345781121722[Eritrea]&gt;0, C116-Table_146345781121722[Eritrea], 0)</f>
        <v>0.76584451955363031</v>
      </c>
      <c r="H116" s="29">
        <f>IF(C116-Table_146345781121722[Ethiopia]&gt;0, C116-Table_146345781121722[Ethiopia], 0)</f>
        <v>93.628705577505713</v>
      </c>
      <c r="I116" s="29">
        <f>IF(C116-Table_146345781121722[Kenya]&gt;0, C116-Table_146345781121722[Kenya], 0)</f>
        <v>14.846459390529105</v>
      </c>
      <c r="J116" s="29">
        <f>IF(C116-Table_146345781121722[Rwanda]&gt;0, C116-Table_146345781121722[Rwanda], 0)</f>
        <v>1.3348942047571486</v>
      </c>
      <c r="K116" s="29">
        <f>IF(C116-Table_146345781121722[Sudan]&gt;0, C116-Table_146345781121722[Sudan], 0)</f>
        <v>0</v>
      </c>
      <c r="L116" s="29">
        <f>IF(C116-Table_146345781121722[S. Sudan]&gt;0, C116-Table_146345781121722[S. Sudan], 0)</f>
        <v>0</v>
      </c>
      <c r="M116" s="29">
        <f>IF(C116-Table_146345781121722[Tanzania]&gt;0, C116-Table_146345781121722[Tanzania], 0)</f>
        <v>19.787839251565547</v>
      </c>
      <c r="N116" s="29">
        <f>IF(C116-Table_146345781121722[Uganda]&gt;0, C116-Table_146345781121722[Uganda], 0)</f>
        <v>0</v>
      </c>
      <c r="P116" s="21" t="s">
        <v>195</v>
      </c>
      <c r="Q116" s="97">
        <f t="shared" ref="Q116:Q125" si="14">$AE$115+(D117-$AE$113)*($AE$116-$AE$115)/($AE$114-$AE$113)</f>
        <v>7.1723103641896917E-3</v>
      </c>
      <c r="R116" s="97">
        <f t="shared" si="13"/>
        <v>-3.4887067814803473E-4</v>
      </c>
      <c r="S116" s="97">
        <f t="shared" si="13"/>
        <v>-3.4887067814803473E-4</v>
      </c>
      <c r="T116" s="97">
        <f t="shared" si="13"/>
        <v>8.9876618937785452E-3</v>
      </c>
      <c r="U116" s="97">
        <f t="shared" si="13"/>
        <v>0.22910902146400275</v>
      </c>
      <c r="V116" s="97">
        <f t="shared" si="13"/>
        <v>4.2364235194159598E-2</v>
      </c>
      <c r="W116" s="97">
        <f t="shared" si="13"/>
        <v>1.0336532571926581E-2</v>
      </c>
      <c r="X116" s="97">
        <f t="shared" si="13"/>
        <v>-3.4887067814803473E-4</v>
      </c>
      <c r="Y116" s="97">
        <f t="shared" si="13"/>
        <v>-3.4887067814803473E-4</v>
      </c>
      <c r="Z116" s="97">
        <f t="shared" si="13"/>
        <v>5.407724124170616E-2</v>
      </c>
      <c r="AA116" s="97">
        <f t="shared" si="13"/>
        <v>-3.4887067814803473E-4</v>
      </c>
      <c r="AD116" s="3" t="s">
        <v>70</v>
      </c>
      <c r="AE116" s="2">
        <v>1</v>
      </c>
    </row>
    <row r="117" spans="2:31" ht="12.75" customHeight="1" x14ac:dyDescent="0.25">
      <c r="B117" s="21" t="s">
        <v>195</v>
      </c>
      <c r="C117" s="95">
        <f>Annual_sorted!H272</f>
        <v>2.1129824106342903</v>
      </c>
      <c r="D117" s="29">
        <f>IF(C117-Table_146345781121722[Burundi]&gt;0, C117-Table_146345781121722[Burundi], 0)</f>
        <v>3.1729696358862087</v>
      </c>
      <c r="E117" s="29">
        <f>IF(C117-Table_146345781121722[DRC]&gt;0, C117-Table_146345781121722[DRC], 0)</f>
        <v>0</v>
      </c>
      <c r="F117" s="29">
        <f>IF(C117-Table_146345781121722[Egypt]&gt;0, C117-Table_146345781121722[Egypt], 0)</f>
        <v>0</v>
      </c>
      <c r="G117" s="29">
        <f>IF(C117-Table_146345781121722[Eritrea]&gt;0, C117-Table_146345781121722[Eritrea], 0)</f>
        <v>3.9388141554398395</v>
      </c>
      <c r="H117" s="29">
        <f>IF(C117-Table_146345781121722[Ethiopia]&gt;0, C117-Table_146345781121722[Ethiopia], 0)</f>
        <v>96.801675213391917</v>
      </c>
      <c r="I117" s="29">
        <f>IF(C117-Table_146345781121722[Kenya]&gt;0, C117-Table_146345781121722[Kenya], 0)</f>
        <v>18.019429026415313</v>
      </c>
      <c r="J117" s="29">
        <f>IF(C117-Table_146345781121722[Rwanda]&gt;0, C117-Table_146345781121722[Rwanda], 0)</f>
        <v>4.507863840643358</v>
      </c>
      <c r="K117" s="29">
        <f>IF(C117-Table_146345781121722[Sudan]&gt;0, C117-Table_146345781121722[Sudan], 0)</f>
        <v>0</v>
      </c>
      <c r="L117" s="29">
        <f>IF(C117-Table_146345781121722[S. Sudan]&gt;0, C117-Table_146345781121722[S. Sudan], 0)</f>
        <v>0</v>
      </c>
      <c r="M117" s="29">
        <f>IF(C117-Table_146345781121722[Tanzania]&gt;0, C117-Table_146345781121722[Tanzania], 0)</f>
        <v>22.960808887451758</v>
      </c>
      <c r="N117" s="29">
        <f>IF(C117-Table_146345781121722[Uganda]&gt;0, C117-Table_146345781121722[Uganda], 0)</f>
        <v>0</v>
      </c>
      <c r="P117" s="21" t="s">
        <v>2</v>
      </c>
      <c r="Q117" s="97">
        <f t="shared" si="14"/>
        <v>0.77806328890018694</v>
      </c>
      <c r="R117" s="97">
        <f t="shared" si="13"/>
        <v>0.77054210785784905</v>
      </c>
      <c r="S117" s="97">
        <f t="shared" si="13"/>
        <v>-3.4887067814803473E-4</v>
      </c>
      <c r="T117" s="97">
        <f t="shared" si="13"/>
        <v>0.77987864042977573</v>
      </c>
      <c r="U117" s="97">
        <f t="shared" si="13"/>
        <v>1</v>
      </c>
      <c r="V117" s="97">
        <f t="shared" si="13"/>
        <v>0.81325521373015686</v>
      </c>
      <c r="W117" s="97">
        <f t="shared" si="13"/>
        <v>0.78122751110792377</v>
      </c>
      <c r="X117" s="97">
        <f t="shared" si="13"/>
        <v>6.5248951548810719E-2</v>
      </c>
      <c r="Y117" s="97">
        <f t="shared" si="13"/>
        <v>0.75073623915289123</v>
      </c>
      <c r="Z117" s="97">
        <f t="shared" si="13"/>
        <v>0.82496821977770329</v>
      </c>
      <c r="AA117" s="97">
        <f t="shared" si="13"/>
        <v>0.73397804631932584</v>
      </c>
    </row>
    <row r="118" spans="2:31" ht="12.75" customHeight="1" x14ac:dyDescent="0.25">
      <c r="B118" s="21" t="s">
        <v>2</v>
      </c>
      <c r="C118" s="95">
        <f>Annual_sorted!H273</f>
        <v>327.32968091907202</v>
      </c>
      <c r="D118" s="29">
        <f>IF(C118-Table_146345781121722[Burundi]&gt;0, C118-Table_146345781121722[Burundi], 0)</f>
        <v>328.38966814432393</v>
      </c>
      <c r="E118" s="29">
        <f>IF(C118-Table_146345781121722[DRC]&gt;0, C118-Table_146345781121722[DRC], 0)</f>
        <v>325.21669850843773</v>
      </c>
      <c r="F118" s="29">
        <f>IF(C118-Table_146345781121722[Egypt]&gt;0, C118-Table_146345781121722[Egypt], 0)</f>
        <v>0</v>
      </c>
      <c r="G118" s="29">
        <f>IF(C118-Table_146345781121722[Eritrea]&gt;0, C118-Table_146345781121722[Eritrea], 0)</f>
        <v>329.15551266387757</v>
      </c>
      <c r="H118" s="29">
        <f>IF(C118-Table_146345781121722[Ethiopia]&gt;0, C118-Table_146345781121722[Ethiopia], 0)</f>
        <v>422.01837372182968</v>
      </c>
      <c r="I118" s="29">
        <f>IF(C118-Table_146345781121722[Kenya]&gt;0, C118-Table_146345781121722[Kenya], 0)</f>
        <v>343.23612753485304</v>
      </c>
      <c r="J118" s="29">
        <f>IF(C118-Table_146345781121722[Rwanda]&gt;0, C118-Table_146345781121722[Rwanda], 0)</f>
        <v>329.72456234908111</v>
      </c>
      <c r="K118" s="29">
        <f>IF(C118-Table_146345781121722[Sudan]&gt;0, C118-Table_146345781121722[Sudan], 0)</f>
        <v>27.673831667494028</v>
      </c>
      <c r="L118" s="29">
        <f>IF(C118-Table_146345781121722[S. Sudan]&gt;0, C118-Table_146345781121722[S. Sudan], 0)</f>
        <v>316.86117300527189</v>
      </c>
      <c r="M118" s="29">
        <f>IF(C118-Table_146345781121722[Tanzania]&gt;0, C118-Table_146345781121722[Tanzania], 0)</f>
        <v>348.17750739588951</v>
      </c>
      <c r="N118" s="29">
        <f>IF(C118-Table_146345781121722[Uganda]&gt;0, C118-Table_146345781121722[Uganda], 0)</f>
        <v>309.79137416464971</v>
      </c>
      <c r="P118" s="21" t="s">
        <v>3</v>
      </c>
      <c r="Q118" s="97">
        <f t="shared" si="14"/>
        <v>-3.4887067814803473E-4</v>
      </c>
      <c r="R118" s="97">
        <f t="shared" si="13"/>
        <v>-3.4887067814803473E-4</v>
      </c>
      <c r="S118" s="97">
        <f t="shared" si="13"/>
        <v>-3.4887067814803473E-4</v>
      </c>
      <c r="T118" s="97">
        <f t="shared" si="13"/>
        <v>-3.4887067814803473E-4</v>
      </c>
      <c r="U118" s="97">
        <f t="shared" si="13"/>
        <v>0.21977248889207615</v>
      </c>
      <c r="V118" s="97">
        <f t="shared" si="13"/>
        <v>3.3027702622233021E-2</v>
      </c>
      <c r="W118" s="97">
        <f t="shared" si="13"/>
        <v>1E-3</v>
      </c>
      <c r="X118" s="97">
        <f t="shared" si="13"/>
        <v>-3.4887067814803473E-4</v>
      </c>
      <c r="Y118" s="97">
        <f t="shared" si="13"/>
        <v>-3.4887067814803473E-4</v>
      </c>
      <c r="Z118" s="97">
        <f t="shared" si="13"/>
        <v>4.4740708669779576E-2</v>
      </c>
      <c r="AA118" s="97">
        <f t="shared" si="13"/>
        <v>-3.4887067814803473E-4</v>
      </c>
    </row>
    <row r="119" spans="2:31" ht="12.75" customHeight="1" x14ac:dyDescent="0.25">
      <c r="B119" s="21" t="s">
        <v>3</v>
      </c>
      <c r="C119" s="95">
        <f>Annual_sorted!H274</f>
        <v>-1.825831744805549</v>
      </c>
      <c r="D119" s="29">
        <f>IF(C119-Table_146345781121722[Burundi]&gt;0, C119-Table_146345781121722[Burundi], 0)</f>
        <v>0</v>
      </c>
      <c r="E119" s="29">
        <f>IF(C119-Table_146345781121722[DRC]&gt;0, C119-Table_146345781121722[DRC], 0)</f>
        <v>0</v>
      </c>
      <c r="F119" s="29">
        <f>IF(C119-Table_146345781121722[Egypt]&gt;0, C119-Table_146345781121722[Egypt], 0)</f>
        <v>0</v>
      </c>
      <c r="G119" s="29">
        <f>IF(C119-Table_146345781121722[Eritrea]&gt;0, C119-Table_146345781121722[Eritrea], 0)</f>
        <v>0</v>
      </c>
      <c r="H119" s="29">
        <f>IF(C119-Table_146345781121722[Ethiopia]&gt;0, C119-Table_146345781121722[Ethiopia], 0)</f>
        <v>92.862861057952074</v>
      </c>
      <c r="I119" s="29">
        <f>IF(C119-Table_146345781121722[Kenya]&gt;0, C119-Table_146345781121722[Kenya], 0)</f>
        <v>14.080614870975474</v>
      </c>
      <c r="J119" s="29">
        <f>IF(C119-Table_146345781121722[Rwanda]&gt;0, C119-Table_146345781121722[Rwanda], 0)</f>
        <v>0.56904968520351829</v>
      </c>
      <c r="K119" s="29">
        <f>IF(C119-Table_146345781121722[Sudan]&gt;0, C119-Table_146345781121722[Sudan], 0)</f>
        <v>0</v>
      </c>
      <c r="L119" s="29">
        <f>IF(C119-Table_146345781121722[S. Sudan]&gt;0, C119-Table_146345781121722[S. Sudan], 0)</f>
        <v>0</v>
      </c>
      <c r="M119" s="29">
        <f>IF(C119-Table_146345781121722[Tanzania]&gt;0, C119-Table_146345781121722[Tanzania], 0)</f>
        <v>19.021994732011919</v>
      </c>
      <c r="N119" s="29">
        <f>IF(C119-Table_146345781121722[Uganda]&gt;0, C119-Table_146345781121722[Uganda], 0)</f>
        <v>0</v>
      </c>
      <c r="P119" s="21" t="s">
        <v>4</v>
      </c>
      <c r="Q119" s="97">
        <f t="shared" si="14"/>
        <v>-3.4887067814803473E-4</v>
      </c>
      <c r="R119" s="97">
        <f t="shared" si="13"/>
        <v>-3.4887067814803473E-4</v>
      </c>
      <c r="S119" s="97">
        <f t="shared" si="13"/>
        <v>-3.4887067814803473E-4</v>
      </c>
      <c r="T119" s="97">
        <f t="shared" si="13"/>
        <v>-3.4887067814803473E-4</v>
      </c>
      <c r="U119" s="97">
        <f t="shared" si="13"/>
        <v>-3.4887067814803473E-4</v>
      </c>
      <c r="V119" s="97">
        <f t="shared" si="13"/>
        <v>-3.4887067814803473E-4</v>
      </c>
      <c r="W119" s="97">
        <f t="shared" si="13"/>
        <v>-3.4887067814803473E-4</v>
      </c>
      <c r="X119" s="97">
        <f t="shared" si="13"/>
        <v>-3.4887067814803473E-4</v>
      </c>
      <c r="Y119" s="97">
        <f t="shared" si="13"/>
        <v>-3.4887067814803473E-4</v>
      </c>
      <c r="Z119" s="97">
        <f t="shared" si="13"/>
        <v>-3.4887067814803473E-4</v>
      </c>
      <c r="AA119" s="97">
        <f t="shared" si="13"/>
        <v>-3.4887067814803473E-4</v>
      </c>
    </row>
    <row r="120" spans="2:31" ht="12.75" customHeight="1" x14ac:dyDescent="0.25">
      <c r="B120" s="21" t="s">
        <v>4</v>
      </c>
      <c r="C120" s="95">
        <f>Annual_sorted!H275</f>
        <v>-94.688692802757629</v>
      </c>
      <c r="D120" s="29">
        <f>IF(C120-Table_146345781121722[Burundi]&gt;0, C120-Table_146345781121722[Burundi], 0)</f>
        <v>0</v>
      </c>
      <c r="E120" s="29">
        <f>IF(C120-Table_146345781121722[DRC]&gt;0, C120-Table_146345781121722[DRC], 0)</f>
        <v>0</v>
      </c>
      <c r="F120" s="29">
        <f>IF(C120-Table_146345781121722[Egypt]&gt;0, C120-Table_146345781121722[Egypt], 0)</f>
        <v>0</v>
      </c>
      <c r="G120" s="29">
        <f>IF(C120-Table_146345781121722[Eritrea]&gt;0, C120-Table_146345781121722[Eritrea], 0)</f>
        <v>0</v>
      </c>
      <c r="H120" s="29">
        <f>IF(C120-Table_146345781121722[Ethiopia]&gt;0, C120-Table_146345781121722[Ethiopia], 0)</f>
        <v>0</v>
      </c>
      <c r="I120" s="29">
        <f>IF(C120-Table_146345781121722[Kenya]&gt;0, C120-Table_146345781121722[Kenya], 0)</f>
        <v>0</v>
      </c>
      <c r="J120" s="29">
        <f>IF(C120-Table_146345781121722[Rwanda]&gt;0, C120-Table_146345781121722[Rwanda], 0)</f>
        <v>0</v>
      </c>
      <c r="K120" s="29">
        <f>IF(C120-Table_146345781121722[Sudan]&gt;0, C120-Table_146345781121722[Sudan], 0)</f>
        <v>0</v>
      </c>
      <c r="L120" s="29">
        <f>IF(C120-Table_146345781121722[S. Sudan]&gt;0, C120-Table_146345781121722[S. Sudan], 0)</f>
        <v>0</v>
      </c>
      <c r="M120" s="29">
        <f>IF(C120-Table_146345781121722[Tanzania]&gt;0, C120-Table_146345781121722[Tanzania], 0)</f>
        <v>0</v>
      </c>
      <c r="N120" s="29">
        <f>IF(C120-Table_146345781121722[Uganda]&gt;0, C120-Table_146345781121722[Uganda], 0)</f>
        <v>0</v>
      </c>
      <c r="P120" s="21" t="s">
        <v>5</v>
      </c>
      <c r="Q120" s="97">
        <f t="shared" si="14"/>
        <v>-3.4887067814803473E-4</v>
      </c>
      <c r="R120" s="97">
        <f t="shared" si="13"/>
        <v>-3.4887067814803473E-4</v>
      </c>
      <c r="S120" s="97">
        <f t="shared" si="13"/>
        <v>-3.4887067814803473E-4</v>
      </c>
      <c r="T120" s="97">
        <f t="shared" si="13"/>
        <v>-3.4887067814803473E-4</v>
      </c>
      <c r="U120" s="97">
        <f t="shared" si="13"/>
        <v>0.18639591559169513</v>
      </c>
      <c r="V120" s="97">
        <f t="shared" si="13"/>
        <v>-3.4887067814803473E-4</v>
      </c>
      <c r="W120" s="97">
        <f t="shared" si="13"/>
        <v>-3.4887067814803473E-4</v>
      </c>
      <c r="X120" s="97">
        <f t="shared" si="13"/>
        <v>-3.4887067814803473E-4</v>
      </c>
      <c r="Y120" s="97">
        <f t="shared" si="13"/>
        <v>-3.4887067814803473E-4</v>
      </c>
      <c r="Z120" s="97">
        <f t="shared" si="13"/>
        <v>1.1364135369398516E-2</v>
      </c>
      <c r="AA120" s="97">
        <f t="shared" si="13"/>
        <v>-3.4887067814803473E-4</v>
      </c>
    </row>
    <row r="121" spans="2:31" ht="12.75" customHeight="1" x14ac:dyDescent="0.25">
      <c r="B121" s="21" t="s">
        <v>5</v>
      </c>
      <c r="C121" s="95">
        <f>Annual_sorted!H276</f>
        <v>-15.906446615781023</v>
      </c>
      <c r="D121" s="29">
        <f>IF(C121-Table_146345781121722[Burundi]&gt;0, C121-Table_146345781121722[Burundi], 0)</f>
        <v>0</v>
      </c>
      <c r="E121" s="29">
        <f>IF(C121-Table_146345781121722[DRC]&gt;0, C121-Table_146345781121722[DRC], 0)</f>
        <v>0</v>
      </c>
      <c r="F121" s="29">
        <f>IF(C121-Table_146345781121722[Egypt]&gt;0, C121-Table_146345781121722[Egypt], 0)</f>
        <v>0</v>
      </c>
      <c r="G121" s="29">
        <f>IF(C121-Table_146345781121722[Eritrea]&gt;0, C121-Table_146345781121722[Eritrea], 0)</f>
        <v>0</v>
      </c>
      <c r="H121" s="29">
        <f>IF(C121-Table_146345781121722[Ethiopia]&gt;0, C121-Table_146345781121722[Ethiopia], 0)</f>
        <v>78.782246186976607</v>
      </c>
      <c r="I121" s="29">
        <f>IF(C121-Table_146345781121722[Kenya]&gt;0, C121-Table_146345781121722[Kenya], 0)</f>
        <v>0</v>
      </c>
      <c r="J121" s="29">
        <f>IF(C121-Table_146345781121722[Rwanda]&gt;0, C121-Table_146345781121722[Rwanda], 0)</f>
        <v>0</v>
      </c>
      <c r="K121" s="29">
        <f>IF(C121-Table_146345781121722[Sudan]&gt;0, C121-Table_146345781121722[Sudan], 0)</f>
        <v>0</v>
      </c>
      <c r="L121" s="29">
        <f>IF(C121-Table_146345781121722[S. Sudan]&gt;0, C121-Table_146345781121722[S. Sudan], 0)</f>
        <v>0</v>
      </c>
      <c r="M121" s="29">
        <f>IF(C121-Table_146345781121722[Tanzania]&gt;0, C121-Table_146345781121722[Tanzania], 0)</f>
        <v>4.9413798610364434</v>
      </c>
      <c r="N121" s="29">
        <f>IF(C121-Table_146345781121722[Uganda]&gt;0, C121-Table_146345781121722[Uganda], 0)</f>
        <v>0</v>
      </c>
      <c r="P121" s="21" t="s">
        <v>6</v>
      </c>
      <c r="Q121" s="97">
        <f t="shared" si="14"/>
        <v>-3.4887067814803473E-4</v>
      </c>
      <c r="R121" s="97">
        <f t="shared" si="13"/>
        <v>-3.4887067814803473E-4</v>
      </c>
      <c r="S121" s="97">
        <f t="shared" si="13"/>
        <v>-3.4887067814803473E-4</v>
      </c>
      <c r="T121" s="97">
        <f t="shared" si="13"/>
        <v>-3.4887067814803473E-4</v>
      </c>
      <c r="U121" s="97">
        <f t="shared" si="13"/>
        <v>0.21842361821392817</v>
      </c>
      <c r="V121" s="97">
        <f t="shared" si="13"/>
        <v>3.1678831944084981E-2</v>
      </c>
      <c r="W121" s="97">
        <f t="shared" si="13"/>
        <v>-3.4887067814803473E-4</v>
      </c>
      <c r="X121" s="97">
        <f t="shared" si="13"/>
        <v>-3.4887067814803473E-4</v>
      </c>
      <c r="Y121" s="97">
        <f t="shared" si="13"/>
        <v>-3.4887067814803473E-4</v>
      </c>
      <c r="Z121" s="97">
        <f t="shared" si="13"/>
        <v>4.3391837991631529E-2</v>
      </c>
      <c r="AA121" s="97">
        <f t="shared" si="13"/>
        <v>-3.4887067814803473E-4</v>
      </c>
    </row>
    <row r="122" spans="2:31" ht="12.75" customHeight="1" x14ac:dyDescent="0.25">
      <c r="B122" s="21" t="s">
        <v>6</v>
      </c>
      <c r="C122" s="95">
        <f>Annual_sorted!H277</f>
        <v>-2.3948814300090673</v>
      </c>
      <c r="D122" s="29">
        <f>IF(C122-Table_146345781121722[Burundi]&gt;0, C122-Table_146345781121722[Burundi], 0)</f>
        <v>0</v>
      </c>
      <c r="E122" s="29">
        <f>IF(C122-Table_146345781121722[DRC]&gt;0, C122-Table_146345781121722[DRC], 0)</f>
        <v>0</v>
      </c>
      <c r="F122" s="29">
        <f>IF(C122-Table_146345781121722[Egypt]&gt;0, C122-Table_146345781121722[Egypt], 0)</f>
        <v>0</v>
      </c>
      <c r="G122" s="29">
        <f>IF(C122-Table_146345781121722[Eritrea]&gt;0, C122-Table_146345781121722[Eritrea], 0)</f>
        <v>0</v>
      </c>
      <c r="H122" s="29">
        <f>IF(C122-Table_146345781121722[Ethiopia]&gt;0, C122-Table_146345781121722[Ethiopia], 0)</f>
        <v>92.293811372748564</v>
      </c>
      <c r="I122" s="29">
        <f>IF(C122-Table_146345781121722[Kenya]&gt;0, C122-Table_146345781121722[Kenya], 0)</f>
        <v>13.511565185771957</v>
      </c>
      <c r="J122" s="29">
        <f>IF(C122-Table_146345781121722[Rwanda]&gt;0, C122-Table_146345781121722[Rwanda], 0)</f>
        <v>0</v>
      </c>
      <c r="K122" s="29">
        <f>IF(C122-Table_146345781121722[Sudan]&gt;0, C122-Table_146345781121722[Sudan], 0)</f>
        <v>0</v>
      </c>
      <c r="L122" s="29">
        <f>IF(C122-Table_146345781121722[S. Sudan]&gt;0, C122-Table_146345781121722[S. Sudan], 0)</f>
        <v>0</v>
      </c>
      <c r="M122" s="29">
        <f>IF(C122-Table_146345781121722[Tanzania]&gt;0, C122-Table_146345781121722[Tanzania], 0)</f>
        <v>18.452945046808399</v>
      </c>
      <c r="N122" s="29">
        <f>IF(C122-Table_146345781121722[Uganda]&gt;0, C122-Table_146345781121722[Uganda], 0)</f>
        <v>0</v>
      </c>
      <c r="P122" s="21" t="s">
        <v>7</v>
      </c>
      <c r="Q122" s="97">
        <f t="shared" si="14"/>
        <v>0.71246546667322808</v>
      </c>
      <c r="R122" s="97">
        <f t="shared" si="13"/>
        <v>0.7049442856308904</v>
      </c>
      <c r="S122" s="97">
        <f t="shared" si="13"/>
        <v>-3.4887067814803473E-4</v>
      </c>
      <c r="T122" s="97">
        <f t="shared" si="13"/>
        <v>0.71428081820281697</v>
      </c>
      <c r="U122" s="97">
        <f t="shared" si="13"/>
        <v>0.93440217777304124</v>
      </c>
      <c r="V122" s="97">
        <f t="shared" si="13"/>
        <v>0.74765739150319799</v>
      </c>
      <c r="W122" s="97">
        <f t="shared" si="13"/>
        <v>0.71562968888096501</v>
      </c>
      <c r="X122" s="97">
        <f t="shared" si="13"/>
        <v>-3.4887067814803473E-4</v>
      </c>
      <c r="Y122" s="97">
        <f>$AE$115+(L123-$AE$113)*($AE$116-$AE$115)/($AE$114-$AE$113)</f>
        <v>0.68513841692593247</v>
      </c>
      <c r="Z122" s="97">
        <f t="shared" si="13"/>
        <v>0.75937039755074465</v>
      </c>
      <c r="AA122" s="97">
        <f t="shared" si="13"/>
        <v>0.66838022409236708</v>
      </c>
    </row>
    <row r="123" spans="2:31" ht="12.75" customHeight="1" x14ac:dyDescent="0.25">
      <c r="B123" s="21" t="s">
        <v>7</v>
      </c>
      <c r="C123" s="95">
        <f>Annual_sorted!H278</f>
        <v>299.65584925157799</v>
      </c>
      <c r="D123" s="29">
        <f>IF(C123-Table_146345781121722[Burundi]&gt;0, C123-Table_146345781121722[Burundi], 0)</f>
        <v>300.71583647682991</v>
      </c>
      <c r="E123" s="29">
        <f>IF(C123-Table_146345781121722[DRC]&gt;0, C123-Table_146345781121722[DRC], 0)</f>
        <v>297.5428668409437</v>
      </c>
      <c r="F123" s="29">
        <f>IF(C123-Table_146345781121722[Egypt]&gt;0, C123-Table_146345781121722[Egypt], 0)</f>
        <v>0</v>
      </c>
      <c r="G123" s="29">
        <f>IF(C123-Table_146345781121722[Eritrea]&gt;0, C123-Table_146345781121722[Eritrea], 0)</f>
        <v>301.48168099638355</v>
      </c>
      <c r="H123" s="29">
        <f>IF(C123-Table_146345781121722[Ethiopia]&gt;0, C123-Table_146345781121722[Ethiopia], 0)</f>
        <v>394.34454205433565</v>
      </c>
      <c r="I123" s="29">
        <f>IF(C123-Table_146345781121722[Kenya]&gt;0, C123-Table_146345781121722[Kenya], 0)</f>
        <v>315.56229586735901</v>
      </c>
      <c r="J123" s="29">
        <f>IF(C123-Table_146345781121722[Rwanda]&gt;0, C123-Table_146345781121722[Rwanda], 0)</f>
        <v>302.05073068158708</v>
      </c>
      <c r="K123" s="29">
        <f>IF(C123-Table_146345781121722[Sudan]&gt;0, C123-Table_146345781121722[Sudan], 0)</f>
        <v>0</v>
      </c>
      <c r="L123" s="29">
        <f>IF(C123-Table_146345781121722[S. Sudan]&gt;0, C123-Table_146345781121722[S. Sudan], 0)</f>
        <v>289.18734133777787</v>
      </c>
      <c r="M123" s="29">
        <f>IF(C123-Table_146345781121722[Tanzania]&gt;0, C123-Table_146345781121722[Tanzania], 0)</f>
        <v>320.50367572839548</v>
      </c>
      <c r="N123" s="29">
        <f>IF(C123-Table_146345781121722[Uganda]&gt;0, C123-Table_146345781121722[Uganda], 0)</f>
        <v>282.11754249715568</v>
      </c>
      <c r="P123" s="21" t="s">
        <v>8</v>
      </c>
      <c r="Q123" s="97">
        <f t="shared" si="14"/>
        <v>2.6978179069147519E-2</v>
      </c>
      <c r="R123" s="97">
        <f t="shared" si="13"/>
        <v>1.945699802680979E-2</v>
      </c>
      <c r="S123" s="97">
        <f t="shared" si="13"/>
        <v>-3.4887067814803473E-4</v>
      </c>
      <c r="T123" s="97">
        <f t="shared" si="13"/>
        <v>2.8793530598736371E-2</v>
      </c>
      <c r="U123" s="97">
        <f t="shared" si="13"/>
        <v>0.2489148901689606</v>
      </c>
      <c r="V123" s="97">
        <f t="shared" si="13"/>
        <v>6.2170103899117431E-2</v>
      </c>
      <c r="W123" s="97">
        <f t="shared" si="13"/>
        <v>3.0142401276884407E-2</v>
      </c>
      <c r="X123" s="97">
        <f t="shared" si="13"/>
        <v>-3.4887067814803473E-4</v>
      </c>
      <c r="Y123" s="97">
        <f t="shared" si="13"/>
        <v>-3.4887067814803473E-4</v>
      </c>
      <c r="Z123" s="97">
        <f t="shared" si="13"/>
        <v>7.3883109946663986E-2</v>
      </c>
      <c r="AA123" s="97">
        <f t="shared" si="13"/>
        <v>-3.4887067814803473E-4</v>
      </c>
    </row>
    <row r="124" spans="2:31" ht="12.75" customHeight="1" x14ac:dyDescent="0.25">
      <c r="B124" s="21" t="s">
        <v>8</v>
      </c>
      <c r="C124" s="95">
        <f>Annual_sorted!H279</f>
        <v>10.468507913800099</v>
      </c>
      <c r="D124" s="29">
        <f>IF(C124-Table_146345781121722[Burundi]&gt;0, C124-Table_146345781121722[Burundi], 0)</f>
        <v>11.528495139052017</v>
      </c>
      <c r="E124" s="29">
        <f>IF(C124-Table_146345781121722[DRC]&gt;0, C124-Table_146345781121722[DRC], 0)</f>
        <v>8.3555255031658096</v>
      </c>
      <c r="F124" s="29">
        <f>IF(C124-Table_146345781121722[Egypt]&gt;0, C124-Table_146345781121722[Egypt], 0)</f>
        <v>0</v>
      </c>
      <c r="G124" s="29">
        <f>IF(C124-Table_146345781121722[Eritrea]&gt;0, C124-Table_146345781121722[Eritrea], 0)</f>
        <v>12.294339658605649</v>
      </c>
      <c r="H124" s="29">
        <f>IF(C124-Table_146345781121722[Ethiopia]&gt;0, C124-Table_146345781121722[Ethiopia], 0)</f>
        <v>105.15720071655772</v>
      </c>
      <c r="I124" s="29">
        <f>IF(C124-Table_146345781121722[Kenya]&gt;0, C124-Table_146345781121722[Kenya], 0)</f>
        <v>26.374954529581125</v>
      </c>
      <c r="J124" s="29">
        <f>IF(C124-Table_146345781121722[Rwanda]&gt;0, C124-Table_146345781121722[Rwanda], 0)</f>
        <v>12.863389343809168</v>
      </c>
      <c r="K124" s="29">
        <f>IF(C124-Table_146345781121722[Sudan]&gt;0, C124-Table_146345781121722[Sudan], 0)</f>
        <v>0</v>
      </c>
      <c r="L124" s="29">
        <f>IF(C124-Table_146345781121722[S. Sudan]&gt;0, C124-Table_146345781121722[S. Sudan], 0)</f>
        <v>0</v>
      </c>
      <c r="M124" s="29">
        <f>IF(C124-Table_146345781121722[Tanzania]&gt;0, C124-Table_146345781121722[Tanzania], 0)</f>
        <v>31.316334390617566</v>
      </c>
      <c r="N124" s="29">
        <f>IF(C124-Table_146345781121722[Uganda]&gt;0, C124-Table_146345781121722[Uganda], 0)</f>
        <v>0</v>
      </c>
      <c r="P124" s="21" t="s">
        <v>9</v>
      </c>
      <c r="Q124" s="97">
        <f t="shared" si="14"/>
        <v>-3.4887067814803473E-4</v>
      </c>
      <c r="R124" s="97">
        <f t="shared" si="13"/>
        <v>-3.4887067814803473E-4</v>
      </c>
      <c r="S124" s="97">
        <f t="shared" si="13"/>
        <v>-3.4887067814803473E-4</v>
      </c>
      <c r="T124" s="97">
        <f t="shared" si="13"/>
        <v>-3.4887067814803473E-4</v>
      </c>
      <c r="U124" s="97">
        <f t="shared" si="13"/>
        <v>0.17468290954414858</v>
      </c>
      <c r="V124" s="97">
        <f t="shared" si="13"/>
        <v>-3.4887067814803473E-4</v>
      </c>
      <c r="W124" s="97">
        <f t="shared" si="13"/>
        <v>-3.4887067814803473E-4</v>
      </c>
      <c r="X124" s="97">
        <f t="shared" si="13"/>
        <v>-3.4887067814803473E-4</v>
      </c>
      <c r="Y124" s="97">
        <f t="shared" si="13"/>
        <v>-3.4887067814803473E-4</v>
      </c>
      <c r="Z124" s="97">
        <f t="shared" si="13"/>
        <v>-3.4887067814803473E-4</v>
      </c>
      <c r="AA124" s="97">
        <f t="shared" si="13"/>
        <v>-3.4887067814803473E-4</v>
      </c>
    </row>
    <row r="125" spans="2:31" ht="12.75" customHeight="1" thickBot="1" x14ac:dyDescent="0.3">
      <c r="B125" s="21" t="s">
        <v>9</v>
      </c>
      <c r="C125" s="95">
        <f>Annual_sorted!H280</f>
        <v>-20.847826476817467</v>
      </c>
      <c r="D125" s="29">
        <f>IF(C125-Table_146345781121722[Burundi]&gt;0, C125-Table_146345781121722[Burundi], 0)</f>
        <v>0</v>
      </c>
      <c r="E125" s="29">
        <f>IF(C125-Table_146345781121722[DRC]&gt;0, C125-Table_146345781121722[DRC], 0)</f>
        <v>0</v>
      </c>
      <c r="F125" s="29">
        <f>IF(C125-Table_146345781121722[Egypt]&gt;0, C125-Table_146345781121722[Egypt], 0)</f>
        <v>0</v>
      </c>
      <c r="G125" s="29">
        <f>IF(C125-Table_146345781121722[Eritrea]&gt;0, C125-Table_146345781121722[Eritrea], 0)</f>
        <v>0</v>
      </c>
      <c r="H125" s="29">
        <f>IF(C125-Table_146345781121722[Ethiopia]&gt;0, C125-Table_146345781121722[Ethiopia], 0)</f>
        <v>73.840866325940169</v>
      </c>
      <c r="I125" s="29">
        <f>IF(C125-Table_146345781121722[Kenya]&gt;0, C125-Table_146345781121722[Kenya], 0)</f>
        <v>0</v>
      </c>
      <c r="J125" s="29">
        <f>IF(C125-Table_146345781121722[Rwanda]&gt;0, C125-Table_146345781121722[Rwanda], 0)</f>
        <v>0</v>
      </c>
      <c r="K125" s="29">
        <f>IF(C125-Table_146345781121722[Sudan]&gt;0, C125-Table_146345781121722[Sudan], 0)</f>
        <v>0</v>
      </c>
      <c r="L125" s="29">
        <f>IF(C125-Table_146345781121722[S. Sudan]&gt;0, C125-Table_146345781121722[S. Sudan], 0)</f>
        <v>0</v>
      </c>
      <c r="M125" s="29">
        <f>IF(C125-Table_146345781121722[Tanzania]&gt;0, C125-Table_146345781121722[Tanzania], 0)</f>
        <v>0</v>
      </c>
      <c r="N125" s="29">
        <f>IF(C125-Table_146345781121722[Uganda]&gt;0, C125-Table_146345781121722[Uganda], 0)</f>
        <v>0</v>
      </c>
      <c r="P125" s="22" t="s">
        <v>10</v>
      </c>
      <c r="Q125" s="98">
        <f t="shared" si="14"/>
        <v>4.3736371902712949E-2</v>
      </c>
      <c r="R125" s="98">
        <f t="shared" si="13"/>
        <v>3.6215190860375217E-2</v>
      </c>
      <c r="S125" s="98">
        <f t="shared" si="13"/>
        <v>-3.4887067814803473E-4</v>
      </c>
      <c r="T125" s="98">
        <f t="shared" si="13"/>
        <v>4.5551723432301794E-2</v>
      </c>
      <c r="U125" s="98">
        <f t="shared" si="13"/>
        <v>0.26567308300252601</v>
      </c>
      <c r="V125" s="98">
        <f t="shared" si="13"/>
        <v>7.892829673268284E-2</v>
      </c>
      <c r="W125" s="98">
        <f t="shared" si="13"/>
        <v>4.6900594110449834E-2</v>
      </c>
      <c r="X125" s="98">
        <f t="shared" si="13"/>
        <v>-3.4887067814803473E-4</v>
      </c>
      <c r="Y125" s="98">
        <f t="shared" si="13"/>
        <v>1.6409322155417388E-2</v>
      </c>
      <c r="Z125" s="98">
        <f t="shared" si="13"/>
        <v>9.0641302780229388E-2</v>
      </c>
      <c r="AA125" s="98">
        <f t="shared" si="13"/>
        <v>-3.4887067814803473E-4</v>
      </c>
    </row>
    <row r="126" spans="2:31" ht="12.75" customHeight="1" thickBot="1" x14ac:dyDescent="0.3">
      <c r="B126" s="22" t="s">
        <v>10</v>
      </c>
      <c r="C126" s="96">
        <f>Annual_sorted!H281</f>
        <v>17.538306754422301</v>
      </c>
      <c r="D126" s="32">
        <f>IF(C126-Table_146345781121722[Burundi]&gt;0, C126-Table_146345781121722[Burundi], 0)</f>
        <v>18.598293979674221</v>
      </c>
      <c r="E126" s="32">
        <f>IF(C126-Table_146345781121722[DRC]&gt;0, C126-Table_146345781121722[DRC], 0)</f>
        <v>15.425324343788011</v>
      </c>
      <c r="F126" s="32">
        <f>IF(C126-Table_146345781121722[Egypt]&gt;0, C126-Table_146345781121722[Egypt], 0)</f>
        <v>0</v>
      </c>
      <c r="G126" s="32">
        <f>IF(C126-Table_146345781121722[Eritrea]&gt;0, C126-Table_146345781121722[Eritrea], 0)</f>
        <v>19.364138499227849</v>
      </c>
      <c r="H126" s="32">
        <f>IF(C126-Table_146345781121722[Ethiopia]&gt;0, C126-Table_146345781121722[Ethiopia], 0)</f>
        <v>112.22699955717994</v>
      </c>
      <c r="I126" s="32">
        <f>IF(C126-Table_146345781121722[Kenya]&gt;0, C126-Table_146345781121722[Kenya], 0)</f>
        <v>33.444753370203323</v>
      </c>
      <c r="J126" s="32">
        <f>IF(C126-Table_146345781121722[Rwanda]&gt;0, C126-Table_146345781121722[Rwanda], 0)</f>
        <v>19.933188184431369</v>
      </c>
      <c r="K126" s="32">
        <f>IF(C126-Table_146345781121722[Sudan]&gt;0, C126-Table_146345781121722[Sudan], 0)</f>
        <v>0</v>
      </c>
      <c r="L126" s="32">
        <f>IF(C126-Table_146345781121722[S. Sudan]&gt;0, C126-Table_146345781121722[S. Sudan], 0)</f>
        <v>7.0697988406222017</v>
      </c>
      <c r="M126" s="32">
        <f>IF(C126-Table_146345781121722[Tanzania]&gt;0, C126-Table_146345781121722[Tanzania], 0)</f>
        <v>38.386133231239768</v>
      </c>
      <c r="N126" s="32">
        <f>IF(C126-Table_146345781121722[Uganda]&gt;0, C126-Table_146345781121722[Uganda], 0)</f>
        <v>0</v>
      </c>
      <c r="Z126" s="186"/>
    </row>
    <row r="127" spans="2:31" ht="12.75" customHeight="1" x14ac:dyDescent="0.25"/>
    <row r="128" spans="2:31" ht="12.75" customHeight="1" x14ac:dyDescent="0.25"/>
    <row r="129" spans="2:31" ht="12.75" customHeight="1" x14ac:dyDescent="0.25">
      <c r="P129" s="5"/>
      <c r="Q129" s="5"/>
      <c r="R129" s="5"/>
      <c r="S129" s="5"/>
      <c r="T129" s="5"/>
      <c r="U129" s="5"/>
      <c r="V129" s="5"/>
      <c r="W129" s="5"/>
      <c r="X129" s="5"/>
      <c r="Y129" s="5"/>
      <c r="Z129" s="5"/>
      <c r="AA129" s="5"/>
    </row>
    <row r="130" spans="2:31" ht="12.75" customHeight="1" x14ac:dyDescent="0.25">
      <c r="B130" s="5"/>
      <c r="C130" s="5"/>
      <c r="D130" s="5"/>
      <c r="E130" s="5"/>
      <c r="F130" s="5"/>
      <c r="G130" s="5"/>
      <c r="H130" s="5"/>
      <c r="I130" s="5"/>
      <c r="J130" s="5"/>
      <c r="K130" s="5"/>
      <c r="L130" s="5"/>
      <c r="M130" s="5"/>
      <c r="N130" s="5"/>
      <c r="P130" s="5"/>
      <c r="Q130" s="5"/>
      <c r="R130" s="5"/>
      <c r="S130" s="5"/>
      <c r="T130" s="5"/>
      <c r="U130" s="5"/>
      <c r="V130" s="5"/>
      <c r="W130" s="5"/>
      <c r="X130" s="5"/>
      <c r="Y130" s="5"/>
      <c r="Z130" s="5"/>
      <c r="AA130" s="5"/>
    </row>
    <row r="131" spans="2:31" ht="12.75" customHeight="1" thickBot="1" x14ac:dyDescent="0.3">
      <c r="B131" s="253" t="s">
        <v>89</v>
      </c>
      <c r="C131" s="253"/>
      <c r="D131" s="253"/>
      <c r="E131" s="253"/>
      <c r="F131" s="253"/>
      <c r="G131" s="253"/>
      <c r="H131" s="253"/>
      <c r="I131" s="253"/>
      <c r="J131" s="253"/>
      <c r="K131" s="253"/>
      <c r="L131" s="253"/>
      <c r="M131" s="253"/>
      <c r="N131" s="253"/>
      <c r="P131" s="253" t="s">
        <v>90</v>
      </c>
      <c r="Q131" s="253"/>
      <c r="R131" s="253"/>
      <c r="S131" s="253"/>
      <c r="T131" s="253"/>
      <c r="U131" s="253"/>
      <c r="V131" s="253"/>
      <c r="W131" s="253"/>
      <c r="X131" s="253"/>
      <c r="Y131" s="253"/>
      <c r="Z131" s="253"/>
      <c r="AA131" s="253"/>
      <c r="AB131" s="10"/>
      <c r="AC131" s="3" t="s">
        <v>22</v>
      </c>
      <c r="AD131" s="13" t="s">
        <v>23</v>
      </c>
      <c r="AE131" s="74">
        <f t="array" ref="AE131">MIN(IF(D134:N144&gt;0,D134:N144))</f>
        <v>0.76584451955363031</v>
      </c>
    </row>
    <row r="132" spans="2:31" ht="12.75" customHeight="1" thickBot="1" x14ac:dyDescent="0.3">
      <c r="B132" s="75" t="s">
        <v>13</v>
      </c>
      <c r="C132" s="66" t="s">
        <v>14</v>
      </c>
      <c r="D132" s="67" t="s">
        <v>1</v>
      </c>
      <c r="E132" s="67" t="s">
        <v>195</v>
      </c>
      <c r="F132" s="67" t="s">
        <v>2</v>
      </c>
      <c r="G132" s="67" t="s">
        <v>3</v>
      </c>
      <c r="H132" s="67" t="s">
        <v>4</v>
      </c>
      <c r="I132" s="67" t="s">
        <v>5</v>
      </c>
      <c r="J132" s="67" t="s">
        <v>6</v>
      </c>
      <c r="K132" s="67" t="s">
        <v>7</v>
      </c>
      <c r="L132" s="67" t="s">
        <v>295</v>
      </c>
      <c r="M132" s="67" t="s">
        <v>9</v>
      </c>
      <c r="N132" s="67" t="s">
        <v>10</v>
      </c>
      <c r="P132" s="76" t="s">
        <v>19</v>
      </c>
      <c r="Q132" s="77" t="s">
        <v>1</v>
      </c>
      <c r="R132" s="77" t="s">
        <v>195</v>
      </c>
      <c r="S132" s="77" t="s">
        <v>2</v>
      </c>
      <c r="T132" s="77" t="s">
        <v>3</v>
      </c>
      <c r="U132" s="77" t="s">
        <v>4</v>
      </c>
      <c r="V132" s="77" t="s">
        <v>5</v>
      </c>
      <c r="W132" s="77" t="s">
        <v>6</v>
      </c>
      <c r="X132" s="77" t="s">
        <v>7</v>
      </c>
      <c r="Y132" s="77" t="s">
        <v>295</v>
      </c>
      <c r="Z132" s="77" t="s">
        <v>9</v>
      </c>
      <c r="AA132" s="77" t="s">
        <v>10</v>
      </c>
      <c r="AB132" s="254" t="s">
        <v>26</v>
      </c>
      <c r="AC132" s="254"/>
      <c r="AD132" s="13" t="s">
        <v>24</v>
      </c>
      <c r="AE132" s="20">
        <f>MAX(D134:N144)</f>
        <v>365.51837372182968</v>
      </c>
    </row>
    <row r="133" spans="2:31" ht="12.75" customHeight="1" x14ac:dyDescent="0.25">
      <c r="B133" s="93"/>
      <c r="C133" s="94" t="s">
        <v>264</v>
      </c>
      <c r="D133" s="95">
        <f>C134</f>
        <v>-1.0599872252519187</v>
      </c>
      <c r="E133" s="95">
        <f>C135</f>
        <v>2.1129824106342903</v>
      </c>
      <c r="F133" s="95">
        <f>C136</f>
        <v>270.82968091907202</v>
      </c>
      <c r="G133" s="95">
        <f>C137</f>
        <v>-1.825831744805549</v>
      </c>
      <c r="H133" s="95">
        <f>C138</f>
        <v>-94.688692802757629</v>
      </c>
      <c r="I133" s="95">
        <f>C139</f>
        <v>-15.906446615781023</v>
      </c>
      <c r="J133" s="95">
        <f>C140</f>
        <v>-6.1948814300090671</v>
      </c>
      <c r="K133" s="95">
        <f>C141</f>
        <v>265.85584925157798</v>
      </c>
      <c r="L133" s="95">
        <f>C142</f>
        <v>-13.031492086199901</v>
      </c>
      <c r="M133" s="95">
        <f>C143</f>
        <v>-20.847826476817467</v>
      </c>
      <c r="N133" s="95">
        <f>C144</f>
        <v>-3.5616932455777004</v>
      </c>
      <c r="P133" s="21" t="s">
        <v>1</v>
      </c>
      <c r="Q133" s="97">
        <f>$AE$133+(D134-$AE$131)*($AE$134-$AE$133)/($AE$132-$AE$131)</f>
        <v>-1.0975280876251224E-3</v>
      </c>
      <c r="R133" s="97">
        <f t="shared" ref="R133:AA143" si="15">$AE$133+(E134-$AE$131)*($AE$134-$AE$133)/($AE$132-$AE$131)</f>
        <v>-1.0975280876251224E-3</v>
      </c>
      <c r="S133" s="97">
        <f t="shared" si="15"/>
        <v>-1.0975280876251224E-3</v>
      </c>
      <c r="T133" s="97">
        <f t="shared" si="15"/>
        <v>1E-3</v>
      </c>
      <c r="U133" s="97">
        <f t="shared" si="15"/>
        <v>0.25533681954114124</v>
      </c>
      <c r="V133" s="97">
        <f t="shared" si="15"/>
        <v>3.9564596897705973E-2</v>
      </c>
      <c r="W133" s="97">
        <f t="shared" si="15"/>
        <v>1.2966142208976569E-2</v>
      </c>
      <c r="X133" s="97">
        <f t="shared" si="15"/>
        <v>-1.0975280876251224E-3</v>
      </c>
      <c r="Y133" s="97">
        <f t="shared" si="15"/>
        <v>3.169054711021619E-2</v>
      </c>
      <c r="Z133" s="97">
        <f t="shared" si="15"/>
        <v>5.3098261741570202E-2</v>
      </c>
      <c r="AA133" s="97">
        <f t="shared" si="15"/>
        <v>5.754252542303025E-3</v>
      </c>
      <c r="AD133" s="3" t="s">
        <v>25</v>
      </c>
      <c r="AE133" s="2">
        <v>1E-3</v>
      </c>
    </row>
    <row r="134" spans="2:31" ht="12.75" customHeight="1" x14ac:dyDescent="0.25">
      <c r="B134" s="21" t="s">
        <v>1</v>
      </c>
      <c r="C134" s="95">
        <f>Annual_sorted!I271</f>
        <v>-1.0599872252519187</v>
      </c>
      <c r="D134" s="29">
        <f>IF(C134-Table_1463457811291821[Burundi]&gt;0, C134-Table_1463457811291821[Burundi], 0)</f>
        <v>0</v>
      </c>
      <c r="E134" s="29">
        <f>IF(C134-Table_1463457811291821[DRC]&gt;0, C134-Table_1463457811291821[DRC], 0)</f>
        <v>0</v>
      </c>
      <c r="F134" s="29">
        <f>IF(C134-Table_1463457811291821[Egypt]&gt;0, C134-Table_1463457811291821[Egypt], 0)</f>
        <v>0</v>
      </c>
      <c r="G134" s="29">
        <f>IF(C134-Table_1463457811291821[Eritrea]&gt;0, C134-Table_1463457811291821[Eritrea], 0)</f>
        <v>0.76584451955363031</v>
      </c>
      <c r="H134" s="29">
        <f>IF(C134-Table_1463457811291821[Ethiopia]&gt;0, C134-Table_1463457811291821[Ethiopia], 0)</f>
        <v>93.628705577505713</v>
      </c>
      <c r="I134" s="29">
        <f>IF(C134-Table_1463457811291821[Kenya]&gt;0, C134-Table_1463457811291821[Kenya], 0)</f>
        <v>14.846459390529105</v>
      </c>
      <c r="J134" s="29">
        <f>IF(C134-Table_1463457811291821[Rwanda]&gt;0, C134-Table_1463457811291821[Rwanda], 0)</f>
        <v>5.1348942047571482</v>
      </c>
      <c r="K134" s="29">
        <f>IF(C134-Table_1463457811291821[Sudan]&gt;0, C134-Table_1463457811291821[Sudan], 0)</f>
        <v>0</v>
      </c>
      <c r="L134" s="29">
        <f>IF(C134-Table_1463457811291821[S. Sudan]&gt;0, C134-Table_1463457811291821[S. Sudan], 0)</f>
        <v>11.971504860947983</v>
      </c>
      <c r="M134" s="29">
        <f>IF(C134-Table_1463457811291821[Tanzania]&gt;0, C134-Table_1463457811291821[Tanzania], 0)</f>
        <v>19.787839251565547</v>
      </c>
      <c r="N134" s="29">
        <f>IF(C134-Table_1463457811291821[Uganda]&gt;0, C134-Table_1463457811291821[Uganda], 0)</f>
        <v>2.5017060203257815</v>
      </c>
      <c r="P134" s="21" t="s">
        <v>195</v>
      </c>
      <c r="Q134" s="97">
        <f t="shared" ref="Q134:Q143" si="16">$AE$133+(D135-$AE$131)*($AE$134-$AE$133)/($AE$132-$AE$131)</f>
        <v>7.5927383601024816E-3</v>
      </c>
      <c r="R134" s="97">
        <f t="shared" si="15"/>
        <v>-1.0975280876251224E-3</v>
      </c>
      <c r="S134" s="97">
        <f t="shared" si="15"/>
        <v>-1.0975280876251224E-3</v>
      </c>
      <c r="T134" s="97">
        <f t="shared" si="15"/>
        <v>9.6902664477276045E-3</v>
      </c>
      <c r="U134" s="97">
        <f t="shared" si="15"/>
        <v>0.26402708598886887</v>
      </c>
      <c r="V134" s="97">
        <f t="shared" si="15"/>
        <v>4.8254863345433566E-2</v>
      </c>
      <c r="W134" s="97">
        <f t="shared" si="15"/>
        <v>2.1656408656704176E-2</v>
      </c>
      <c r="X134" s="97">
        <f t="shared" si="15"/>
        <v>-1.0975280876251224E-3</v>
      </c>
      <c r="Y134" s="97">
        <f t="shared" si="15"/>
        <v>4.038081355794379E-2</v>
      </c>
      <c r="Z134" s="97">
        <f t="shared" si="15"/>
        <v>6.1788528189297809E-2</v>
      </c>
      <c r="AA134" s="97">
        <f t="shared" si="15"/>
        <v>1.444451899003063E-2</v>
      </c>
      <c r="AD134" s="3" t="s">
        <v>70</v>
      </c>
      <c r="AE134" s="2">
        <v>1</v>
      </c>
    </row>
    <row r="135" spans="2:31" ht="12.75" customHeight="1" x14ac:dyDescent="0.25">
      <c r="B135" s="21" t="s">
        <v>195</v>
      </c>
      <c r="C135" s="95">
        <f>Annual_sorted!I272</f>
        <v>2.1129824106342903</v>
      </c>
      <c r="D135" s="29">
        <f>IF(C135-Table_1463457811291821[Burundi]&gt;0, C135-Table_1463457811291821[Burundi], 0)</f>
        <v>3.1729696358862087</v>
      </c>
      <c r="E135" s="29">
        <f>IF(C135-Table_1463457811291821[DRC]&gt;0, C135-Table_1463457811291821[DRC], 0)</f>
        <v>0</v>
      </c>
      <c r="F135" s="29">
        <f>IF(C135-Table_1463457811291821[Egypt]&gt;0, C135-Table_1463457811291821[Egypt], 0)</f>
        <v>0</v>
      </c>
      <c r="G135" s="29">
        <f>IF(C135-Table_1463457811291821[Eritrea]&gt;0, C135-Table_1463457811291821[Eritrea], 0)</f>
        <v>3.9388141554398395</v>
      </c>
      <c r="H135" s="29">
        <f>IF(C135-Table_1463457811291821[Ethiopia]&gt;0, C135-Table_1463457811291821[Ethiopia], 0)</f>
        <v>96.801675213391917</v>
      </c>
      <c r="I135" s="29">
        <f>IF(C135-Table_1463457811291821[Kenya]&gt;0, C135-Table_1463457811291821[Kenya], 0)</f>
        <v>18.019429026415313</v>
      </c>
      <c r="J135" s="29">
        <f>IF(C135-Table_1463457811291821[Rwanda]&gt;0, C135-Table_1463457811291821[Rwanda], 0)</f>
        <v>8.3078638406433569</v>
      </c>
      <c r="K135" s="29">
        <f>IF(C135-Table_1463457811291821[Sudan]&gt;0, C135-Table_1463457811291821[Sudan], 0)</f>
        <v>0</v>
      </c>
      <c r="L135" s="29">
        <f>IF(C135-Table_1463457811291821[S. Sudan]&gt;0, C135-Table_1463457811291821[S. Sudan], 0)</f>
        <v>15.14447449683419</v>
      </c>
      <c r="M135" s="29">
        <f>IF(C135-Table_1463457811291821[Tanzania]&gt;0, C135-Table_1463457811291821[Tanzania], 0)</f>
        <v>22.960808887451758</v>
      </c>
      <c r="N135" s="29">
        <f>IF(C135-Table_1463457811291821[Uganda]&gt;0, C135-Table_1463457811291821[Uganda], 0)</f>
        <v>5.6746756562119902</v>
      </c>
      <c r="P135" s="21" t="s">
        <v>2</v>
      </c>
      <c r="Q135" s="97">
        <f t="shared" si="16"/>
        <v>0.74356565237123362</v>
      </c>
      <c r="R135" s="97">
        <f t="shared" si="15"/>
        <v>0.73487538592350587</v>
      </c>
      <c r="S135" s="97">
        <f t="shared" si="15"/>
        <v>-1.0975280876251224E-3</v>
      </c>
      <c r="T135" s="97">
        <f t="shared" si="15"/>
        <v>0.74566318045885882</v>
      </c>
      <c r="U135" s="97">
        <f t="shared" si="15"/>
        <v>1</v>
      </c>
      <c r="V135" s="97">
        <f t="shared" si="15"/>
        <v>0.78422777735656468</v>
      </c>
      <c r="W135" s="97">
        <f t="shared" si="15"/>
        <v>0.75762932266783523</v>
      </c>
      <c r="X135" s="97">
        <f t="shared" si="15"/>
        <v>1.2525017167081067E-2</v>
      </c>
      <c r="Y135" s="97">
        <f t="shared" si="15"/>
        <v>0.77635372756907473</v>
      </c>
      <c r="Z135" s="97">
        <f t="shared" si="15"/>
        <v>0.79776144220042899</v>
      </c>
      <c r="AA135" s="97">
        <f t="shared" si="15"/>
        <v>0.75041743300116182</v>
      </c>
    </row>
    <row r="136" spans="2:31" ht="12.75" customHeight="1" x14ac:dyDescent="0.25">
      <c r="B136" s="21" t="s">
        <v>2</v>
      </c>
      <c r="C136" s="95">
        <f>Annual_sorted!I273</f>
        <v>270.82968091907202</v>
      </c>
      <c r="D136" s="29">
        <f>IF(C136-Table_1463457811291821[Burundi]&gt;0, C136-Table_1463457811291821[Burundi], 0)</f>
        <v>271.88966814432393</v>
      </c>
      <c r="E136" s="29">
        <f>IF(C136-Table_1463457811291821[DRC]&gt;0, C136-Table_1463457811291821[DRC], 0)</f>
        <v>268.71669850843773</v>
      </c>
      <c r="F136" s="29">
        <f>IF(C136-Table_1463457811291821[Egypt]&gt;0, C136-Table_1463457811291821[Egypt], 0)</f>
        <v>0</v>
      </c>
      <c r="G136" s="29">
        <f>IF(C136-Table_1463457811291821[Eritrea]&gt;0, C136-Table_1463457811291821[Eritrea], 0)</f>
        <v>272.65551266387757</v>
      </c>
      <c r="H136" s="29">
        <f>IF(C136-Table_1463457811291821[Ethiopia]&gt;0, C136-Table_1463457811291821[Ethiopia], 0)</f>
        <v>365.51837372182968</v>
      </c>
      <c r="I136" s="29">
        <f>IF(C136-Table_1463457811291821[Kenya]&gt;0, C136-Table_1463457811291821[Kenya], 0)</f>
        <v>286.73612753485304</v>
      </c>
      <c r="J136" s="29">
        <f>IF(C136-Table_1463457811291821[Rwanda]&gt;0, C136-Table_1463457811291821[Rwanda], 0)</f>
        <v>277.02456234908107</v>
      </c>
      <c r="K136" s="29">
        <f>IF(C136-Table_1463457811291821[Sudan]&gt;0, C136-Table_1463457811291821[Sudan], 0)</f>
        <v>4.9738316674940393</v>
      </c>
      <c r="L136" s="29">
        <f>IF(C136-Table_1463457811291821[S. Sudan]&gt;0, C136-Table_1463457811291821[S. Sudan], 0)</f>
        <v>283.86117300527189</v>
      </c>
      <c r="M136" s="29">
        <f>IF(C136-Table_1463457811291821[Tanzania]&gt;0, C136-Table_1463457811291821[Tanzania], 0)</f>
        <v>291.67750739588951</v>
      </c>
      <c r="N136" s="29">
        <f>IF(C136-Table_1463457811291821[Uganda]&gt;0, C136-Table_1463457811291821[Uganda], 0)</f>
        <v>274.39137416464973</v>
      </c>
      <c r="P136" s="21" t="s">
        <v>3</v>
      </c>
      <c r="Q136" s="97">
        <f t="shared" si="16"/>
        <v>-1.0975280876251224E-3</v>
      </c>
      <c r="R136" s="97">
        <f t="shared" si="15"/>
        <v>-1.0975280876251224E-3</v>
      </c>
      <c r="S136" s="97">
        <f t="shared" si="15"/>
        <v>-1.0975280876251224E-3</v>
      </c>
      <c r="T136" s="97">
        <f t="shared" si="15"/>
        <v>-1.0975280876251224E-3</v>
      </c>
      <c r="U136" s="97">
        <f t="shared" si="15"/>
        <v>0.25323929145351609</v>
      </c>
      <c r="V136" s="97">
        <f t="shared" si="15"/>
        <v>3.7467068810080842E-2</v>
      </c>
      <c r="W136" s="97">
        <f t="shared" si="15"/>
        <v>1.0868614121351448E-2</v>
      </c>
      <c r="X136" s="97">
        <f t="shared" si="15"/>
        <v>-1.0975280876251224E-3</v>
      </c>
      <c r="Y136" s="97">
        <f t="shared" si="15"/>
        <v>2.9593019022591063E-2</v>
      </c>
      <c r="Z136" s="97">
        <f t="shared" si="15"/>
        <v>5.1000733653945078E-2</v>
      </c>
      <c r="AA136" s="97">
        <f t="shared" si="15"/>
        <v>3.6567244546779026E-3</v>
      </c>
    </row>
    <row r="137" spans="2:31" ht="12.75" customHeight="1" x14ac:dyDescent="0.25">
      <c r="B137" s="21" t="s">
        <v>3</v>
      </c>
      <c r="C137" s="95">
        <f>Annual_sorted!I274</f>
        <v>-1.825831744805549</v>
      </c>
      <c r="D137" s="29">
        <f>IF(C137-Table_1463457811291821[Burundi]&gt;0, C137-Table_1463457811291821[Burundi], 0)</f>
        <v>0</v>
      </c>
      <c r="E137" s="29">
        <f>IF(C137-Table_1463457811291821[DRC]&gt;0, C137-Table_1463457811291821[DRC], 0)</f>
        <v>0</v>
      </c>
      <c r="F137" s="29">
        <f>IF(C137-Table_1463457811291821[Egypt]&gt;0, C137-Table_1463457811291821[Egypt], 0)</f>
        <v>0</v>
      </c>
      <c r="G137" s="29">
        <f>IF(C137-Table_1463457811291821[Eritrea]&gt;0, C137-Table_1463457811291821[Eritrea], 0)</f>
        <v>0</v>
      </c>
      <c r="H137" s="29">
        <f>IF(C137-Table_1463457811291821[Ethiopia]&gt;0, C137-Table_1463457811291821[Ethiopia], 0)</f>
        <v>92.862861057952074</v>
      </c>
      <c r="I137" s="29">
        <f>IF(C137-Table_1463457811291821[Kenya]&gt;0, C137-Table_1463457811291821[Kenya], 0)</f>
        <v>14.080614870975474</v>
      </c>
      <c r="J137" s="29">
        <f>IF(C137-Table_1463457811291821[Rwanda]&gt;0, C137-Table_1463457811291821[Rwanda], 0)</f>
        <v>4.3690496852035183</v>
      </c>
      <c r="K137" s="29">
        <f>IF(C137-Table_1463457811291821[Sudan]&gt;0, C137-Table_1463457811291821[Sudan], 0)</f>
        <v>0</v>
      </c>
      <c r="L137" s="29">
        <f>IF(C137-Table_1463457811291821[S. Sudan]&gt;0, C137-Table_1463457811291821[S. Sudan], 0)</f>
        <v>11.205660341394351</v>
      </c>
      <c r="M137" s="29">
        <f>IF(C137-Table_1463457811291821[Tanzania]&gt;0, C137-Table_1463457811291821[Tanzania], 0)</f>
        <v>19.021994732011919</v>
      </c>
      <c r="N137" s="29">
        <f>IF(C137-Table_1463457811291821[Uganda]&gt;0, C137-Table_1463457811291821[Uganda], 0)</f>
        <v>1.7358615007721514</v>
      </c>
      <c r="P137" s="21" t="s">
        <v>4</v>
      </c>
      <c r="Q137" s="97">
        <f t="shared" si="16"/>
        <v>-1.0975280876251224E-3</v>
      </c>
      <c r="R137" s="97">
        <f t="shared" si="15"/>
        <v>-1.0975280876251224E-3</v>
      </c>
      <c r="S137" s="97">
        <f t="shared" si="15"/>
        <v>-1.0975280876251224E-3</v>
      </c>
      <c r="T137" s="97">
        <f t="shared" si="15"/>
        <v>-1.0975280876251224E-3</v>
      </c>
      <c r="U137" s="97">
        <f t="shared" si="15"/>
        <v>-1.0975280876251224E-3</v>
      </c>
      <c r="V137" s="97">
        <f t="shared" si="15"/>
        <v>-1.0975280876251224E-3</v>
      </c>
      <c r="W137" s="97">
        <f t="shared" si="15"/>
        <v>-1.0975280876251224E-3</v>
      </c>
      <c r="X137" s="97">
        <f t="shared" si="15"/>
        <v>-1.0975280876251224E-3</v>
      </c>
      <c r="Y137" s="97">
        <f t="shared" si="15"/>
        <v>-1.0975280876251224E-3</v>
      </c>
      <c r="Z137" s="97">
        <f t="shared" si="15"/>
        <v>-1.0975280876251224E-3</v>
      </c>
      <c r="AA137" s="97">
        <f t="shared" si="15"/>
        <v>-1.0975280876251224E-3</v>
      </c>
    </row>
    <row r="138" spans="2:31" ht="12.75" customHeight="1" x14ac:dyDescent="0.25">
      <c r="B138" s="21" t="s">
        <v>4</v>
      </c>
      <c r="C138" s="95">
        <f>Annual_sorted!I275</f>
        <v>-94.688692802757629</v>
      </c>
      <c r="D138" s="29">
        <f>IF(C138-Table_1463457811291821[Burundi]&gt;0, C138-Table_1463457811291821[Burundi], 0)</f>
        <v>0</v>
      </c>
      <c r="E138" s="29">
        <f>IF(C138-Table_1463457811291821[DRC]&gt;0, C138-Table_1463457811291821[DRC], 0)</f>
        <v>0</v>
      </c>
      <c r="F138" s="29">
        <f>IF(C138-Table_1463457811291821[Egypt]&gt;0, C138-Table_1463457811291821[Egypt], 0)</f>
        <v>0</v>
      </c>
      <c r="G138" s="29">
        <f>IF(C138-Table_1463457811291821[Eritrea]&gt;0, C138-Table_1463457811291821[Eritrea], 0)</f>
        <v>0</v>
      </c>
      <c r="H138" s="29">
        <f>IF(C138-Table_1463457811291821[Ethiopia]&gt;0, C138-Table_1463457811291821[Ethiopia], 0)</f>
        <v>0</v>
      </c>
      <c r="I138" s="29">
        <f>IF(C138-Table_1463457811291821[Kenya]&gt;0, C138-Table_1463457811291821[Kenya], 0)</f>
        <v>0</v>
      </c>
      <c r="J138" s="29">
        <f>IF(C138-Table_1463457811291821[Rwanda]&gt;0, C138-Table_1463457811291821[Rwanda], 0)</f>
        <v>0</v>
      </c>
      <c r="K138" s="29">
        <f>IF(C138-Table_1463457811291821[Sudan]&gt;0, C138-Table_1463457811291821[Sudan], 0)</f>
        <v>0</v>
      </c>
      <c r="L138" s="29">
        <f>IF(C138-Table_1463457811291821[S. Sudan]&gt;0, C138-Table_1463457811291821[S. Sudan], 0)</f>
        <v>0</v>
      </c>
      <c r="M138" s="29">
        <f>IF(C138-Table_1463457811291821[Tanzania]&gt;0, C138-Table_1463457811291821[Tanzania], 0)</f>
        <v>0</v>
      </c>
      <c r="N138" s="29">
        <f>IF(C138-Table_1463457811291821[Uganda]&gt;0, C138-Table_1463457811291821[Uganda], 0)</f>
        <v>0</v>
      </c>
      <c r="P138" s="21" t="s">
        <v>5</v>
      </c>
      <c r="Q138" s="97">
        <f t="shared" si="16"/>
        <v>-1.0975280876251224E-3</v>
      </c>
      <c r="R138" s="97">
        <f t="shared" si="15"/>
        <v>-1.0975280876251224E-3</v>
      </c>
      <c r="S138" s="97">
        <f t="shared" si="15"/>
        <v>-1.0975280876251224E-3</v>
      </c>
      <c r="T138" s="97">
        <f t="shared" si="15"/>
        <v>-1.0975280876251224E-3</v>
      </c>
      <c r="U138" s="97">
        <f t="shared" si="15"/>
        <v>0.21467469455581015</v>
      </c>
      <c r="V138" s="97">
        <f t="shared" si="15"/>
        <v>-1.0975280876251224E-3</v>
      </c>
      <c r="W138" s="97">
        <f t="shared" si="15"/>
        <v>-1.0975280876251224E-3</v>
      </c>
      <c r="X138" s="97">
        <f t="shared" si="15"/>
        <v>-1.0975280876251224E-3</v>
      </c>
      <c r="Y138" s="97">
        <f t="shared" si="15"/>
        <v>-1.0975280876251224E-3</v>
      </c>
      <c r="Z138" s="97">
        <f t="shared" si="15"/>
        <v>1.2436136756239117E-2</v>
      </c>
      <c r="AA138" s="97">
        <f t="shared" si="15"/>
        <v>-1.0975280876251224E-3</v>
      </c>
    </row>
    <row r="139" spans="2:31" ht="12.75" customHeight="1" x14ac:dyDescent="0.25">
      <c r="B139" s="21" t="s">
        <v>5</v>
      </c>
      <c r="C139" s="95">
        <f>Annual_sorted!I276</f>
        <v>-15.906446615781023</v>
      </c>
      <c r="D139" s="29">
        <f>IF(C139-Table_1463457811291821[Burundi]&gt;0, C139-Table_1463457811291821[Burundi], 0)</f>
        <v>0</v>
      </c>
      <c r="E139" s="29">
        <f>IF(C139-Table_1463457811291821[DRC]&gt;0, C139-Table_1463457811291821[DRC], 0)</f>
        <v>0</v>
      </c>
      <c r="F139" s="29">
        <f>IF(C139-Table_1463457811291821[Egypt]&gt;0, C139-Table_1463457811291821[Egypt], 0)</f>
        <v>0</v>
      </c>
      <c r="G139" s="29">
        <f>IF(C139-Table_1463457811291821[Eritrea]&gt;0, C139-Table_1463457811291821[Eritrea], 0)</f>
        <v>0</v>
      </c>
      <c r="H139" s="29">
        <f>IF(C139-Table_1463457811291821[Ethiopia]&gt;0, C139-Table_1463457811291821[Ethiopia], 0)</f>
        <v>78.782246186976607</v>
      </c>
      <c r="I139" s="29">
        <f>IF(C139-Table_1463457811291821[Kenya]&gt;0, C139-Table_1463457811291821[Kenya], 0)</f>
        <v>0</v>
      </c>
      <c r="J139" s="29">
        <f>IF(C139-Table_1463457811291821[Rwanda]&gt;0, C139-Table_1463457811291821[Rwanda], 0)</f>
        <v>0</v>
      </c>
      <c r="K139" s="29">
        <f>IF(C139-Table_1463457811291821[Sudan]&gt;0, C139-Table_1463457811291821[Sudan], 0)</f>
        <v>0</v>
      </c>
      <c r="L139" s="29">
        <f>IF(C139-Table_1463457811291821[S. Sudan]&gt;0, C139-Table_1463457811291821[S. Sudan], 0)</f>
        <v>0</v>
      </c>
      <c r="M139" s="29">
        <f>IF(C139-Table_1463457811291821[Tanzania]&gt;0, C139-Table_1463457811291821[Tanzania], 0)</f>
        <v>4.9413798610364434</v>
      </c>
      <c r="N139" s="29">
        <f>IF(C139-Table_1463457811291821[Uganda]&gt;0, C139-Table_1463457811291821[Uganda], 0)</f>
        <v>0</v>
      </c>
      <c r="P139" s="21" t="s">
        <v>6</v>
      </c>
      <c r="Q139" s="97">
        <f t="shared" si="16"/>
        <v>-1.0975280876251224E-3</v>
      </c>
      <c r="R139" s="97">
        <f t="shared" si="15"/>
        <v>-1.0975280876251224E-3</v>
      </c>
      <c r="S139" s="97">
        <f t="shared" si="15"/>
        <v>-1.0975280876251224E-3</v>
      </c>
      <c r="T139" s="97">
        <f t="shared" si="15"/>
        <v>-1.0975280876251224E-3</v>
      </c>
      <c r="U139" s="97">
        <f t="shared" si="15"/>
        <v>0.24127314924453958</v>
      </c>
      <c r="V139" s="97">
        <f t="shared" si="15"/>
        <v>2.5500926601104271E-2</v>
      </c>
      <c r="W139" s="97">
        <f t="shared" si="15"/>
        <v>-1.0975280876251224E-3</v>
      </c>
      <c r="X139" s="97">
        <f t="shared" si="15"/>
        <v>-1.0975280876251224E-3</v>
      </c>
      <c r="Y139" s="97">
        <f t="shared" si="15"/>
        <v>1.7626876813614495E-2</v>
      </c>
      <c r="Z139" s="97">
        <f t="shared" si="15"/>
        <v>3.9034591444968514E-2</v>
      </c>
      <c r="AA139" s="97">
        <f t="shared" si="15"/>
        <v>-1.0975280876251224E-3</v>
      </c>
    </row>
    <row r="140" spans="2:31" ht="12.75" customHeight="1" x14ac:dyDescent="0.25">
      <c r="B140" s="21" t="s">
        <v>6</v>
      </c>
      <c r="C140" s="95">
        <f>Annual_sorted!I277</f>
        <v>-6.1948814300090671</v>
      </c>
      <c r="D140" s="29">
        <f>IF(C140-Table_1463457811291821[Burundi]&gt;0, C140-Table_1463457811291821[Burundi], 0)</f>
        <v>0</v>
      </c>
      <c r="E140" s="29">
        <f>IF(C140-Table_1463457811291821[DRC]&gt;0, C140-Table_1463457811291821[DRC], 0)</f>
        <v>0</v>
      </c>
      <c r="F140" s="29">
        <f>IF(C140-Table_1463457811291821[Egypt]&gt;0, C140-Table_1463457811291821[Egypt], 0)</f>
        <v>0</v>
      </c>
      <c r="G140" s="29">
        <f>IF(C140-Table_1463457811291821[Eritrea]&gt;0, C140-Table_1463457811291821[Eritrea], 0)</f>
        <v>0</v>
      </c>
      <c r="H140" s="29">
        <f>IF(C140-Table_1463457811291821[Ethiopia]&gt;0, C140-Table_1463457811291821[Ethiopia], 0)</f>
        <v>88.493811372748567</v>
      </c>
      <c r="I140" s="29">
        <f>IF(C140-Table_1463457811291821[Kenya]&gt;0, C140-Table_1463457811291821[Kenya], 0)</f>
        <v>9.7115651857719563</v>
      </c>
      <c r="J140" s="29">
        <f>IF(C140-Table_1463457811291821[Rwanda]&gt;0, C140-Table_1463457811291821[Rwanda], 0)</f>
        <v>0</v>
      </c>
      <c r="K140" s="29">
        <f>IF(C140-Table_1463457811291821[Sudan]&gt;0, C140-Table_1463457811291821[Sudan], 0)</f>
        <v>0</v>
      </c>
      <c r="L140" s="29">
        <f>IF(C140-Table_1463457811291821[S. Sudan]&gt;0, C140-Table_1463457811291821[S. Sudan], 0)</f>
        <v>6.8366106561908335</v>
      </c>
      <c r="M140" s="29">
        <f>IF(C140-Table_1463457811291821[Tanzania]&gt;0, C140-Table_1463457811291821[Tanzania], 0)</f>
        <v>14.6529450468084</v>
      </c>
      <c r="N140" s="29">
        <f>IF(C140-Table_1463457811291821[Uganda]&gt;0, C140-Table_1463457811291821[Uganda], 0)</f>
        <v>0</v>
      </c>
      <c r="P140" s="21" t="s">
        <v>7</v>
      </c>
      <c r="Q140" s="97">
        <f t="shared" si="16"/>
        <v>0.72994310711652743</v>
      </c>
      <c r="R140" s="97">
        <f t="shared" si="15"/>
        <v>0.7212528406687998</v>
      </c>
      <c r="S140" s="97">
        <f t="shared" si="15"/>
        <v>-1.0975280876251224E-3</v>
      </c>
      <c r="T140" s="97">
        <f t="shared" si="15"/>
        <v>0.73204063520415252</v>
      </c>
      <c r="U140" s="97">
        <f t="shared" si="15"/>
        <v>0.98637745474529359</v>
      </c>
      <c r="V140" s="97">
        <f t="shared" si="15"/>
        <v>0.77060523210185849</v>
      </c>
      <c r="W140" s="97">
        <f t="shared" si="15"/>
        <v>0.74400677741312893</v>
      </c>
      <c r="X140" s="97">
        <f t="shared" si="15"/>
        <v>-1.0975280876251224E-3</v>
      </c>
      <c r="Y140" s="97">
        <f t="shared" si="15"/>
        <v>0.76273118231436854</v>
      </c>
      <c r="Z140" s="97">
        <f t="shared" si="15"/>
        <v>0.7841388969457227</v>
      </c>
      <c r="AA140" s="97">
        <f t="shared" si="15"/>
        <v>0.73679488774645563</v>
      </c>
    </row>
    <row r="141" spans="2:31" ht="12.75" customHeight="1" x14ac:dyDescent="0.25">
      <c r="B141" s="21" t="s">
        <v>7</v>
      </c>
      <c r="C141" s="95">
        <f>Annual_sorted!I278</f>
        <v>265.85584925157798</v>
      </c>
      <c r="D141" s="29">
        <f>IF(C141-Table_1463457811291821[Burundi]&gt;0, C141-Table_1463457811291821[Burundi], 0)</f>
        <v>266.9158364768299</v>
      </c>
      <c r="E141" s="29">
        <f>IF(C141-Table_1463457811291821[DRC]&gt;0, C141-Table_1463457811291821[DRC], 0)</f>
        <v>263.74286684094369</v>
      </c>
      <c r="F141" s="29">
        <f>IF(C141-Table_1463457811291821[Egypt]&gt;0, C141-Table_1463457811291821[Egypt], 0)</f>
        <v>0</v>
      </c>
      <c r="G141" s="29">
        <f>IF(C141-Table_1463457811291821[Eritrea]&gt;0, C141-Table_1463457811291821[Eritrea], 0)</f>
        <v>267.68168099638353</v>
      </c>
      <c r="H141" s="29">
        <f>IF(C141-Table_1463457811291821[Ethiopia]&gt;0, C141-Table_1463457811291821[Ethiopia], 0)</f>
        <v>360.54454205433558</v>
      </c>
      <c r="I141" s="29">
        <f>IF(C141-Table_1463457811291821[Kenya]&gt;0, C141-Table_1463457811291821[Kenya], 0)</f>
        <v>281.762295867359</v>
      </c>
      <c r="J141" s="29">
        <f>IF(C141-Table_1463457811291821[Rwanda]&gt;0, C141-Table_1463457811291821[Rwanda], 0)</f>
        <v>272.05073068158703</v>
      </c>
      <c r="K141" s="29">
        <f>IF(C141-Table_1463457811291821[Sudan]&gt;0, C141-Table_1463457811291821[Sudan], 0)</f>
        <v>0</v>
      </c>
      <c r="L141" s="29">
        <f>IF(C141-Table_1463457811291821[S. Sudan]&gt;0, C141-Table_1463457811291821[S. Sudan], 0)</f>
        <v>278.88734133777785</v>
      </c>
      <c r="M141" s="29">
        <f>IF(C141-Table_1463457811291821[Tanzania]&gt;0, C141-Table_1463457811291821[Tanzania], 0)</f>
        <v>286.70367572839547</v>
      </c>
      <c r="N141" s="29">
        <f>IF(C141-Table_1463457811291821[Uganda]&gt;0, C141-Table_1463457811291821[Uganda], 0)</f>
        <v>269.41754249715569</v>
      </c>
      <c r="P141" s="21" t="s">
        <v>8</v>
      </c>
      <c r="Q141" s="97">
        <f t="shared" si="16"/>
        <v>-1.0975280876251224E-3</v>
      </c>
      <c r="R141" s="97">
        <f t="shared" si="15"/>
        <v>-1.0975280876251224E-3</v>
      </c>
      <c r="S141" s="97">
        <f t="shared" si="15"/>
        <v>-1.0975280876251224E-3</v>
      </c>
      <c r="T141" s="97">
        <f t="shared" si="15"/>
        <v>-1.0975280876251224E-3</v>
      </c>
      <c r="U141" s="97">
        <f t="shared" si="15"/>
        <v>0.22254874434329994</v>
      </c>
      <c r="V141" s="97">
        <f t="shared" si="15"/>
        <v>6.7765216998646573E-3</v>
      </c>
      <c r="W141" s="97">
        <f t="shared" si="15"/>
        <v>-1.0975280876251224E-3</v>
      </c>
      <c r="X141" s="97">
        <f t="shared" si="15"/>
        <v>-1.0975280876251224E-3</v>
      </c>
      <c r="Y141" s="97">
        <f t="shared" si="15"/>
        <v>-1.0975280876251224E-3</v>
      </c>
      <c r="Z141" s="97">
        <f t="shared" si="15"/>
        <v>2.0310186543728896E-2</v>
      </c>
      <c r="AA141" s="97">
        <f t="shared" si="15"/>
        <v>-1.0975280876251224E-3</v>
      </c>
    </row>
    <row r="142" spans="2:31" ht="12.75" customHeight="1" x14ac:dyDescent="0.25">
      <c r="B142" s="21" t="s">
        <v>8</v>
      </c>
      <c r="C142" s="95">
        <f>Annual_sorted!I279</f>
        <v>-13.031492086199901</v>
      </c>
      <c r="D142" s="29">
        <f>IF(C142-Table_1463457811291821[Burundi]&gt;0, C142-Table_1463457811291821[Burundi], 0)</f>
        <v>0</v>
      </c>
      <c r="E142" s="29">
        <f>IF(C142-Table_1463457811291821[DRC]&gt;0, C142-Table_1463457811291821[DRC], 0)</f>
        <v>0</v>
      </c>
      <c r="F142" s="29">
        <f>IF(C142-Table_1463457811291821[Egypt]&gt;0, C142-Table_1463457811291821[Egypt], 0)</f>
        <v>0</v>
      </c>
      <c r="G142" s="29">
        <f>IF(C142-Table_1463457811291821[Eritrea]&gt;0, C142-Table_1463457811291821[Eritrea], 0)</f>
        <v>0</v>
      </c>
      <c r="H142" s="29">
        <f>IF(C142-Table_1463457811291821[Ethiopia]&gt;0, C142-Table_1463457811291821[Ethiopia], 0)</f>
        <v>81.657200716557725</v>
      </c>
      <c r="I142" s="29">
        <f>IF(C142-Table_1463457811291821[Kenya]&gt;0, C142-Table_1463457811291821[Kenya], 0)</f>
        <v>2.8749545295811227</v>
      </c>
      <c r="J142" s="29">
        <f>IF(C142-Table_1463457811291821[Rwanda]&gt;0, C142-Table_1463457811291821[Rwanda], 0)</f>
        <v>0</v>
      </c>
      <c r="K142" s="29">
        <f>IF(C142-Table_1463457811291821[Sudan]&gt;0, C142-Table_1463457811291821[Sudan], 0)</f>
        <v>0</v>
      </c>
      <c r="L142" s="29">
        <f>IF(C142-Table_1463457811291821[S. Sudan]&gt;0, C142-Table_1463457811291821[S. Sudan], 0)</f>
        <v>0</v>
      </c>
      <c r="M142" s="29">
        <f>IF(C142-Table_1463457811291821[Tanzania]&gt;0, C142-Table_1463457811291821[Tanzania], 0)</f>
        <v>7.8163343906175662</v>
      </c>
      <c r="N142" s="29">
        <f>IF(C142-Table_1463457811291821[Uganda]&gt;0, C142-Table_1463457811291821[Uganda], 0)</f>
        <v>0</v>
      </c>
      <c r="P142" s="21" t="s">
        <v>9</v>
      </c>
      <c r="Q142" s="97">
        <f t="shared" si="16"/>
        <v>-1.0975280876251224E-3</v>
      </c>
      <c r="R142" s="97">
        <f t="shared" si="15"/>
        <v>-1.0975280876251224E-3</v>
      </c>
      <c r="S142" s="97">
        <f t="shared" si="15"/>
        <v>-1.0975280876251224E-3</v>
      </c>
      <c r="T142" s="97">
        <f t="shared" si="15"/>
        <v>-1.0975280876251224E-3</v>
      </c>
      <c r="U142" s="97">
        <f t="shared" si="15"/>
        <v>0.20114102971194595</v>
      </c>
      <c r="V142" s="97">
        <f t="shared" si="15"/>
        <v>-1.0975280876251224E-3</v>
      </c>
      <c r="W142" s="97">
        <f t="shared" si="15"/>
        <v>-1.0975280876251224E-3</v>
      </c>
      <c r="X142" s="97">
        <f t="shared" si="15"/>
        <v>-1.0975280876251224E-3</v>
      </c>
      <c r="Y142" s="97">
        <f t="shared" si="15"/>
        <v>-1.0975280876251224E-3</v>
      </c>
      <c r="Z142" s="97">
        <f t="shared" si="15"/>
        <v>-1.0975280876251224E-3</v>
      </c>
      <c r="AA142" s="97">
        <f t="shared" si="15"/>
        <v>-1.0975280876251224E-3</v>
      </c>
    </row>
    <row r="143" spans="2:31" ht="12.75" customHeight="1" thickBot="1" x14ac:dyDescent="0.3">
      <c r="B143" s="21" t="s">
        <v>9</v>
      </c>
      <c r="C143" s="95">
        <f>Annual_sorted!I280</f>
        <v>-20.847826476817467</v>
      </c>
      <c r="D143" s="29">
        <f>IF(C143-Table_1463457811291821[Burundi]&gt;0, C143-Table_1463457811291821[Burundi], 0)</f>
        <v>0</v>
      </c>
      <c r="E143" s="29">
        <f>IF(C143-Table_1463457811291821[DRC]&gt;0, C143-Table_1463457811291821[DRC], 0)</f>
        <v>0</v>
      </c>
      <c r="F143" s="29">
        <f>IF(C143-Table_1463457811291821[Egypt]&gt;0, C143-Table_1463457811291821[Egypt], 0)</f>
        <v>0</v>
      </c>
      <c r="G143" s="29">
        <f>IF(C143-Table_1463457811291821[Eritrea]&gt;0, C143-Table_1463457811291821[Eritrea], 0)</f>
        <v>0</v>
      </c>
      <c r="H143" s="29">
        <f>IF(C143-Table_1463457811291821[Ethiopia]&gt;0, C143-Table_1463457811291821[Ethiopia], 0)</f>
        <v>73.840866325940169</v>
      </c>
      <c r="I143" s="29">
        <f>IF(C143-Table_1463457811291821[Kenya]&gt;0, C143-Table_1463457811291821[Kenya], 0)</f>
        <v>0</v>
      </c>
      <c r="J143" s="29">
        <f>IF(C143-Table_1463457811291821[Rwanda]&gt;0, C143-Table_1463457811291821[Rwanda], 0)</f>
        <v>0</v>
      </c>
      <c r="K143" s="29">
        <f>IF(C143-Table_1463457811291821[Sudan]&gt;0, C143-Table_1463457811291821[Sudan], 0)</f>
        <v>0</v>
      </c>
      <c r="L143" s="29">
        <f>IF(C143-Table_1463457811291821[S. Sudan]&gt;0, C143-Table_1463457811291821[S. Sudan], 0)</f>
        <v>0</v>
      </c>
      <c r="M143" s="29">
        <f>IF(C143-Table_1463457811291821[Tanzania]&gt;0, C143-Table_1463457811291821[Tanzania], 0)</f>
        <v>0</v>
      </c>
      <c r="N143" s="29">
        <f>IF(C143-Table_1463457811291821[Uganda]&gt;0, C143-Table_1463457811291821[Uganda], 0)</f>
        <v>0</v>
      </c>
      <c r="P143" s="22" t="s">
        <v>10</v>
      </c>
      <c r="Q143" s="98">
        <f t="shared" si="16"/>
        <v>-1.0975280876251224E-3</v>
      </c>
      <c r="R143" s="98">
        <f t="shared" si="15"/>
        <v>-1.0975280876251224E-3</v>
      </c>
      <c r="S143" s="98">
        <f t="shared" si="15"/>
        <v>-1.0975280876251224E-3</v>
      </c>
      <c r="T143" s="98">
        <f t="shared" si="15"/>
        <v>-1.0975280876251224E-3</v>
      </c>
      <c r="U143" s="98">
        <f t="shared" si="15"/>
        <v>0.2484850389112131</v>
      </c>
      <c r="V143" s="98">
        <f t="shared" si="15"/>
        <v>3.2712816267777819E-2</v>
      </c>
      <c r="W143" s="98">
        <f t="shared" si="15"/>
        <v>6.1143615790484234E-3</v>
      </c>
      <c r="X143" s="98">
        <f t="shared" si="15"/>
        <v>-1.0975280876251224E-3</v>
      </c>
      <c r="Y143" s="98">
        <f t="shared" si="15"/>
        <v>2.4838766480288037E-2</v>
      </c>
      <c r="Z143" s="98">
        <f t="shared" si="15"/>
        <v>4.6246481111642056E-2</v>
      </c>
      <c r="AA143" s="98">
        <f t="shared" si="15"/>
        <v>-1.0975280876251224E-3</v>
      </c>
      <c r="AB143" s="186">
        <f>SUM(Q133:AA143)</f>
        <v>16.611264716348039</v>
      </c>
    </row>
    <row r="144" spans="2:31" ht="12.75" customHeight="1" thickBot="1" x14ac:dyDescent="0.3">
      <c r="B144" s="22" t="s">
        <v>10</v>
      </c>
      <c r="C144" s="96">
        <f>Annual_sorted!I281</f>
        <v>-3.5616932455777004</v>
      </c>
      <c r="D144" s="32">
        <f>IF(C144-Table_1463457811291821[Burundi]&gt;0, C144-Table_1463457811291821[Burundi], 0)</f>
        <v>0</v>
      </c>
      <c r="E144" s="32">
        <f>IF(C144-Table_1463457811291821[DRC]&gt;0, C144-Table_1463457811291821[DRC], 0)</f>
        <v>0</v>
      </c>
      <c r="F144" s="32">
        <f>IF(C144-Table_1463457811291821[Egypt]&gt;0, C144-Table_1463457811291821[Egypt], 0)</f>
        <v>0</v>
      </c>
      <c r="G144" s="32">
        <f>IF(C144-Table_1463457811291821[Eritrea]&gt;0, C144-Table_1463457811291821[Eritrea], 0)</f>
        <v>0</v>
      </c>
      <c r="H144" s="32">
        <f>IF(C144-Table_1463457811291821[Ethiopia]&gt;0, C144-Table_1463457811291821[Ethiopia], 0)</f>
        <v>91.126999557179929</v>
      </c>
      <c r="I144" s="32">
        <f>IF(C144-Table_1463457811291821[Kenya]&gt;0, C144-Table_1463457811291821[Kenya], 0)</f>
        <v>12.344753370203323</v>
      </c>
      <c r="J144" s="32">
        <f>IF(C144-Table_1463457811291821[Rwanda]&gt;0, C144-Table_1463457811291821[Rwanda], 0)</f>
        <v>2.6331881844313667</v>
      </c>
      <c r="K144" s="32">
        <f>IF(C144-Table_1463457811291821[Sudan]&gt;0, C144-Table_1463457811291821[Sudan], 0)</f>
        <v>0</v>
      </c>
      <c r="L144" s="32">
        <f>IF(C144-Table_1463457811291821[S. Sudan]&gt;0, C144-Table_1463457811291821[S. Sudan], 0)</f>
        <v>9.4697988406222002</v>
      </c>
      <c r="M144" s="32">
        <f>IF(C144-Table_1463457811291821[Tanzania]&gt;0, C144-Table_1463457811291821[Tanzania], 0)</f>
        <v>17.286133231239766</v>
      </c>
      <c r="N144" s="32">
        <f>IF(C144-Table_1463457811291821[Uganda]&gt;0, C144-Table_1463457811291821[Uganda], 0)</f>
        <v>0</v>
      </c>
    </row>
    <row r="145" ht="12.75" customHeight="1" x14ac:dyDescent="0.25"/>
    <row r="146" ht="12.75" customHeight="1" x14ac:dyDescent="0.25"/>
    <row r="147" ht="12.75" customHeight="1" x14ac:dyDescent="0.25"/>
    <row r="148" ht="12.75" customHeight="1" x14ac:dyDescent="0.25"/>
    <row r="149" ht="12.75" customHeight="1" x14ac:dyDescent="0.25"/>
    <row r="150" ht="12.75" customHeight="1" x14ac:dyDescent="0.25"/>
    <row r="151" ht="12.75" customHeight="1" x14ac:dyDescent="0.25"/>
    <row r="152" ht="12.75" customHeight="1" x14ac:dyDescent="0.25"/>
    <row r="153" ht="12.75" customHeight="1" x14ac:dyDescent="0.25"/>
    <row r="154" ht="12.75" customHeight="1" x14ac:dyDescent="0.25"/>
    <row r="155" ht="12.75" customHeight="1" x14ac:dyDescent="0.25"/>
    <row r="156" ht="12.75" customHeight="1" x14ac:dyDescent="0.25"/>
    <row r="157" ht="12.75" customHeight="1" x14ac:dyDescent="0.25"/>
    <row r="158" ht="12.75" customHeight="1" x14ac:dyDescent="0.25"/>
    <row r="159" ht="12.75" customHeight="1" x14ac:dyDescent="0.25"/>
    <row r="160" ht="12.75" customHeight="1" x14ac:dyDescent="0.25"/>
    <row r="161" ht="12.75" customHeight="1" x14ac:dyDescent="0.25"/>
    <row r="162" ht="12.75" customHeight="1" x14ac:dyDescent="0.25"/>
    <row r="163" ht="12.75" customHeight="1" x14ac:dyDescent="0.25"/>
    <row r="164" ht="12.75" customHeight="1" x14ac:dyDescent="0.25"/>
    <row r="165" ht="12.75" customHeight="1" x14ac:dyDescent="0.25"/>
    <row r="166" ht="12.75" customHeight="1" x14ac:dyDescent="0.25"/>
    <row r="167" ht="12.75" customHeight="1" x14ac:dyDescent="0.25"/>
    <row r="168" ht="12.75" customHeight="1" x14ac:dyDescent="0.25"/>
    <row r="169" ht="12.75" customHeight="1" x14ac:dyDescent="0.25"/>
    <row r="170" ht="12.75" customHeight="1" x14ac:dyDescent="0.25"/>
    <row r="171" ht="12.75" customHeight="1" x14ac:dyDescent="0.25"/>
    <row r="172" ht="12.75" customHeight="1" x14ac:dyDescent="0.25"/>
    <row r="173" ht="12.75" customHeight="1" x14ac:dyDescent="0.25"/>
    <row r="174" ht="12.75" customHeight="1" x14ac:dyDescent="0.25"/>
    <row r="175" ht="12.75" customHeight="1" x14ac:dyDescent="0.25"/>
    <row r="176" ht="12.75" customHeight="1" x14ac:dyDescent="0.25"/>
    <row r="177" ht="12.75" customHeight="1" x14ac:dyDescent="0.25"/>
    <row r="178" ht="12.75" customHeight="1" x14ac:dyDescent="0.25"/>
    <row r="179" ht="12.75" customHeight="1" x14ac:dyDescent="0.25"/>
    <row r="180" ht="12.75" customHeight="1" x14ac:dyDescent="0.25"/>
    <row r="181" ht="12.75" customHeight="1" x14ac:dyDescent="0.25"/>
    <row r="182" ht="12.75" customHeight="1" x14ac:dyDescent="0.25"/>
    <row r="183" ht="12.75" customHeight="1" x14ac:dyDescent="0.25"/>
    <row r="184" ht="12.75" customHeight="1" x14ac:dyDescent="0.25"/>
    <row r="185" ht="12.75" customHeight="1" x14ac:dyDescent="0.25"/>
    <row r="186" ht="12.75" customHeight="1" x14ac:dyDescent="0.25"/>
    <row r="187" ht="12.75" customHeight="1" x14ac:dyDescent="0.25"/>
    <row r="188" ht="12.75" customHeight="1" x14ac:dyDescent="0.25"/>
    <row r="189" ht="12.75" customHeight="1" x14ac:dyDescent="0.25"/>
    <row r="190" ht="12.75" customHeight="1" x14ac:dyDescent="0.25"/>
    <row r="191" ht="12.75" customHeight="1" x14ac:dyDescent="0.25"/>
    <row r="192" ht="12.75" customHeight="1" x14ac:dyDescent="0.25"/>
    <row r="193" ht="12.75" customHeight="1" x14ac:dyDescent="0.25"/>
    <row r="194" ht="12.75" customHeight="1" x14ac:dyDescent="0.25"/>
    <row r="195" ht="12.75" customHeight="1" x14ac:dyDescent="0.25"/>
    <row r="196" ht="12.75" customHeight="1" x14ac:dyDescent="0.25"/>
    <row r="197" ht="12.75" customHeight="1" x14ac:dyDescent="0.25"/>
    <row r="198" ht="12.75" customHeight="1" x14ac:dyDescent="0.25"/>
    <row r="199" ht="12.75" customHeight="1" x14ac:dyDescent="0.25"/>
    <row r="200" ht="12.75" customHeight="1" x14ac:dyDescent="0.25"/>
    <row r="201" ht="12.75" customHeight="1" x14ac:dyDescent="0.25"/>
    <row r="202" ht="12.75" customHeight="1" x14ac:dyDescent="0.25"/>
    <row r="203" ht="12.75" customHeight="1" x14ac:dyDescent="0.25"/>
    <row r="204" ht="12.75" customHeight="1" x14ac:dyDescent="0.25"/>
    <row r="205" ht="12.75" customHeight="1" x14ac:dyDescent="0.25"/>
    <row r="206" ht="12.75" customHeight="1" x14ac:dyDescent="0.25"/>
    <row r="207" ht="12.75" customHeight="1" x14ac:dyDescent="0.25"/>
    <row r="208" ht="12.75" customHeight="1" x14ac:dyDescent="0.25"/>
    <row r="209" ht="12.75" customHeight="1" x14ac:dyDescent="0.25"/>
    <row r="210" ht="12.75" customHeight="1" x14ac:dyDescent="0.25"/>
    <row r="211" ht="12.75" customHeight="1" x14ac:dyDescent="0.25"/>
    <row r="212" ht="12.75" customHeight="1" x14ac:dyDescent="0.25"/>
    <row r="213" ht="12.75" customHeight="1" x14ac:dyDescent="0.25"/>
    <row r="214" ht="12.75" customHeight="1" x14ac:dyDescent="0.25"/>
    <row r="215" ht="12.75" customHeight="1" x14ac:dyDescent="0.25"/>
    <row r="216" ht="12.75" customHeight="1" x14ac:dyDescent="0.25"/>
    <row r="217" ht="12.75" customHeight="1" x14ac:dyDescent="0.25"/>
    <row r="218" ht="12.75" customHeight="1" x14ac:dyDescent="0.25"/>
    <row r="219" ht="12.75" customHeight="1" x14ac:dyDescent="0.25"/>
    <row r="220" ht="12.75" customHeight="1" x14ac:dyDescent="0.25"/>
    <row r="221" ht="12.75" customHeight="1" x14ac:dyDescent="0.25"/>
    <row r="222" ht="12.75" customHeight="1" x14ac:dyDescent="0.25"/>
    <row r="223" ht="12.75" customHeight="1" x14ac:dyDescent="0.25"/>
    <row r="224" ht="12.75" customHeight="1" x14ac:dyDescent="0.25"/>
    <row r="225" ht="12.75" customHeight="1" x14ac:dyDescent="0.25"/>
    <row r="226" ht="12.75" customHeight="1" x14ac:dyDescent="0.25"/>
    <row r="227" ht="12.75" customHeight="1" x14ac:dyDescent="0.25"/>
    <row r="228" ht="12.75" customHeight="1" x14ac:dyDescent="0.25"/>
    <row r="229" ht="12.75" customHeight="1" x14ac:dyDescent="0.25"/>
    <row r="230" ht="12.75" customHeight="1" x14ac:dyDescent="0.25"/>
    <row r="231" ht="12.75" customHeight="1" x14ac:dyDescent="0.25"/>
    <row r="232" ht="12.75" customHeight="1" x14ac:dyDescent="0.25"/>
    <row r="233" ht="12.75" customHeight="1" x14ac:dyDescent="0.25"/>
    <row r="234" ht="12.75" customHeight="1" x14ac:dyDescent="0.25"/>
    <row r="235" ht="12.75" customHeight="1" x14ac:dyDescent="0.25"/>
    <row r="236" ht="12.75" customHeight="1" x14ac:dyDescent="0.25"/>
    <row r="237" ht="12.75" customHeight="1" x14ac:dyDescent="0.25"/>
    <row r="238" ht="12.75" customHeight="1" x14ac:dyDescent="0.25"/>
    <row r="239" ht="12.75" customHeight="1" x14ac:dyDescent="0.25"/>
    <row r="240" ht="12.75" customHeight="1" x14ac:dyDescent="0.25"/>
    <row r="241" ht="12.75" customHeight="1" x14ac:dyDescent="0.25"/>
    <row r="242" ht="12.75" customHeight="1" x14ac:dyDescent="0.25"/>
    <row r="243" ht="12.75" customHeight="1" x14ac:dyDescent="0.25"/>
    <row r="244" ht="12.75" customHeight="1" x14ac:dyDescent="0.25"/>
    <row r="245" ht="12.75" customHeight="1" x14ac:dyDescent="0.25"/>
    <row r="246" ht="12.75" customHeight="1" x14ac:dyDescent="0.25"/>
    <row r="247" ht="12.75" customHeight="1" x14ac:dyDescent="0.25"/>
    <row r="248" ht="12.75" customHeight="1" x14ac:dyDescent="0.25"/>
    <row r="249" ht="12.75" customHeight="1" x14ac:dyDescent="0.25"/>
    <row r="250" ht="12.75" customHeight="1" x14ac:dyDescent="0.25"/>
    <row r="251" ht="12.75" customHeight="1" x14ac:dyDescent="0.25"/>
    <row r="252" ht="12.75" customHeight="1" x14ac:dyDescent="0.25"/>
    <row r="253" ht="12.75" customHeight="1" x14ac:dyDescent="0.25"/>
    <row r="254" ht="12.75" customHeight="1" x14ac:dyDescent="0.25"/>
    <row r="255" ht="12.75" customHeight="1" x14ac:dyDescent="0.25"/>
    <row r="256" ht="12.75" customHeight="1" x14ac:dyDescent="0.25"/>
    <row r="257" ht="12.75" customHeight="1" x14ac:dyDescent="0.25"/>
    <row r="258" ht="12.75" customHeight="1" x14ac:dyDescent="0.25"/>
    <row r="259" ht="12.75" customHeight="1" x14ac:dyDescent="0.25"/>
    <row r="260" ht="12.75" customHeight="1" x14ac:dyDescent="0.25"/>
    <row r="261" ht="12.75" customHeight="1" x14ac:dyDescent="0.25"/>
    <row r="262" ht="12.75" customHeight="1" x14ac:dyDescent="0.25"/>
    <row r="263" ht="12.75" customHeight="1" x14ac:dyDescent="0.25"/>
    <row r="264" ht="12.75" customHeight="1" x14ac:dyDescent="0.25"/>
    <row r="265" ht="12.75" customHeight="1" x14ac:dyDescent="0.25"/>
    <row r="266" ht="12.75" customHeight="1" x14ac:dyDescent="0.25"/>
    <row r="267" ht="12.75" customHeight="1" x14ac:dyDescent="0.25"/>
    <row r="268" ht="12.75" customHeight="1" x14ac:dyDescent="0.25"/>
    <row r="269" ht="12.75" customHeight="1" x14ac:dyDescent="0.25"/>
    <row r="270" ht="12.75" customHeight="1" x14ac:dyDescent="0.25"/>
    <row r="271" ht="12.75" customHeight="1" x14ac:dyDescent="0.25"/>
    <row r="272" ht="12.75" customHeight="1" x14ac:dyDescent="0.25"/>
    <row r="273" ht="12.75" customHeight="1" x14ac:dyDescent="0.25"/>
    <row r="274" ht="12.75" customHeight="1" x14ac:dyDescent="0.25"/>
    <row r="275" ht="12.75" customHeight="1" x14ac:dyDescent="0.25"/>
    <row r="276" ht="12.75" customHeight="1" x14ac:dyDescent="0.25"/>
    <row r="277" ht="12.75" customHeight="1" x14ac:dyDescent="0.25"/>
    <row r="278" ht="12.75" customHeight="1" x14ac:dyDescent="0.25"/>
    <row r="279" ht="12.75" customHeight="1" x14ac:dyDescent="0.25"/>
    <row r="280" ht="12.75" customHeight="1" x14ac:dyDescent="0.25"/>
    <row r="281" ht="12.75" customHeight="1" x14ac:dyDescent="0.25"/>
    <row r="282" ht="12.75" customHeight="1" x14ac:dyDescent="0.25"/>
    <row r="283" ht="12.75" customHeight="1" x14ac:dyDescent="0.25"/>
    <row r="284" ht="12.75" customHeight="1" x14ac:dyDescent="0.25"/>
    <row r="285" ht="12.75" customHeight="1" x14ac:dyDescent="0.25"/>
    <row r="286" ht="12.75" customHeight="1" x14ac:dyDescent="0.25"/>
    <row r="287" ht="12.75" customHeight="1" x14ac:dyDescent="0.25"/>
    <row r="288" ht="12.75" customHeight="1" x14ac:dyDescent="0.25"/>
    <row r="289" ht="12.75" customHeight="1" x14ac:dyDescent="0.25"/>
    <row r="290" ht="12.75" customHeight="1" x14ac:dyDescent="0.25"/>
    <row r="291" ht="12.75" customHeight="1" x14ac:dyDescent="0.25"/>
    <row r="292" ht="12.75" customHeight="1" x14ac:dyDescent="0.25"/>
    <row r="293" ht="12.75" customHeight="1" x14ac:dyDescent="0.25"/>
    <row r="294" ht="12.75" customHeight="1" x14ac:dyDescent="0.25"/>
    <row r="295" ht="12.75" customHeight="1" x14ac:dyDescent="0.25"/>
    <row r="296" ht="12.75" customHeight="1" x14ac:dyDescent="0.25"/>
    <row r="297" ht="12.75" customHeight="1" x14ac:dyDescent="0.25"/>
    <row r="298" ht="12.75" customHeight="1" x14ac:dyDescent="0.25"/>
    <row r="299" ht="12.75" customHeight="1" x14ac:dyDescent="0.25"/>
    <row r="300" ht="12.75" customHeight="1" x14ac:dyDescent="0.25"/>
    <row r="301" ht="12.75" customHeight="1" x14ac:dyDescent="0.25"/>
    <row r="302" ht="12.75" customHeight="1" x14ac:dyDescent="0.25"/>
    <row r="303" ht="12.75" customHeight="1" x14ac:dyDescent="0.25"/>
    <row r="304" ht="12.75" customHeight="1" x14ac:dyDescent="0.25"/>
    <row r="305" ht="12.75" customHeight="1" x14ac:dyDescent="0.25"/>
    <row r="306" ht="12.75" customHeight="1" x14ac:dyDescent="0.25"/>
    <row r="307" ht="12.75" customHeight="1" x14ac:dyDescent="0.25"/>
    <row r="308" ht="12.75" customHeight="1" x14ac:dyDescent="0.25"/>
    <row r="309" ht="12.75" customHeight="1" x14ac:dyDescent="0.25"/>
    <row r="310" ht="12.75" customHeight="1" x14ac:dyDescent="0.25"/>
    <row r="311" ht="12.75" customHeight="1" x14ac:dyDescent="0.25"/>
    <row r="312" ht="12.75" customHeight="1" x14ac:dyDescent="0.25"/>
    <row r="313" ht="12.75" customHeight="1" x14ac:dyDescent="0.25"/>
    <row r="314" ht="12.75" customHeight="1" x14ac:dyDescent="0.25"/>
    <row r="315" ht="12.75" customHeight="1" x14ac:dyDescent="0.25"/>
    <row r="316" ht="12.75" customHeight="1" x14ac:dyDescent="0.25"/>
    <row r="317" ht="12.75" customHeight="1" x14ac:dyDescent="0.25"/>
    <row r="318" ht="12.75" customHeight="1" x14ac:dyDescent="0.25"/>
    <row r="319" ht="12.75" customHeight="1" x14ac:dyDescent="0.25"/>
    <row r="320" ht="12.75" customHeight="1" x14ac:dyDescent="0.25"/>
    <row r="321" ht="12.75" customHeight="1" x14ac:dyDescent="0.25"/>
    <row r="322" ht="12.75" customHeight="1" x14ac:dyDescent="0.25"/>
    <row r="323" ht="12.75" customHeight="1" x14ac:dyDescent="0.25"/>
    <row r="324" ht="12.75" customHeight="1" x14ac:dyDescent="0.25"/>
    <row r="325" ht="12.75" customHeight="1" x14ac:dyDescent="0.25"/>
    <row r="326" ht="12.75" customHeight="1" x14ac:dyDescent="0.25"/>
    <row r="327" ht="12.75" customHeight="1" x14ac:dyDescent="0.25"/>
    <row r="328" ht="12.75" customHeight="1" x14ac:dyDescent="0.25"/>
    <row r="329" ht="12.75" customHeight="1" x14ac:dyDescent="0.25"/>
    <row r="330" ht="12.75" customHeight="1" x14ac:dyDescent="0.25"/>
    <row r="331" ht="12.75" customHeight="1" x14ac:dyDescent="0.25"/>
    <row r="332" ht="12.75" customHeight="1" x14ac:dyDescent="0.25"/>
    <row r="333" ht="12.75" customHeight="1" x14ac:dyDescent="0.25"/>
    <row r="334" ht="12.75" customHeight="1" x14ac:dyDescent="0.25"/>
    <row r="335" ht="12.75" customHeight="1" x14ac:dyDescent="0.25"/>
    <row r="336" ht="12.75" customHeight="1" x14ac:dyDescent="0.25"/>
    <row r="337" ht="12.75" customHeight="1" x14ac:dyDescent="0.25"/>
    <row r="338" ht="12.75" customHeight="1" x14ac:dyDescent="0.25"/>
    <row r="339" ht="12.75" customHeight="1" x14ac:dyDescent="0.25"/>
    <row r="340" ht="12.75" customHeight="1" x14ac:dyDescent="0.25"/>
    <row r="341" ht="12.75" customHeight="1" x14ac:dyDescent="0.25"/>
    <row r="342" ht="12.75" customHeight="1" x14ac:dyDescent="0.25"/>
    <row r="343" ht="12.75" customHeight="1" x14ac:dyDescent="0.25"/>
    <row r="344" ht="12.75" customHeight="1" x14ac:dyDescent="0.25"/>
    <row r="345" ht="12.75" customHeight="1" x14ac:dyDescent="0.25"/>
    <row r="346" ht="12.75" customHeight="1" x14ac:dyDescent="0.25"/>
    <row r="347" ht="12.75" customHeight="1" x14ac:dyDescent="0.25"/>
    <row r="348" ht="12.75" customHeight="1" x14ac:dyDescent="0.25"/>
    <row r="349" ht="12.75" customHeight="1" x14ac:dyDescent="0.25"/>
    <row r="350" ht="12.75" customHeight="1" x14ac:dyDescent="0.25"/>
    <row r="351" ht="12.75" customHeight="1" x14ac:dyDescent="0.25"/>
    <row r="352" ht="12.75" customHeight="1" x14ac:dyDescent="0.25"/>
    <row r="353" ht="12.75" customHeight="1" x14ac:dyDescent="0.25"/>
    <row r="354" ht="12.75" customHeight="1" x14ac:dyDescent="0.25"/>
    <row r="355" ht="12.75" customHeight="1" x14ac:dyDescent="0.25"/>
    <row r="356" ht="12.75" customHeight="1" x14ac:dyDescent="0.25"/>
    <row r="357" ht="12.75" customHeight="1" x14ac:dyDescent="0.25"/>
    <row r="358" ht="12.75" customHeight="1" x14ac:dyDescent="0.25"/>
    <row r="359" ht="12.75" customHeight="1" x14ac:dyDescent="0.25"/>
    <row r="360" ht="12.75" customHeight="1" x14ac:dyDescent="0.25"/>
    <row r="361" ht="12.75" customHeight="1" x14ac:dyDescent="0.25"/>
    <row r="362" ht="12.75" customHeight="1" x14ac:dyDescent="0.25"/>
    <row r="363" ht="12.75" customHeight="1" x14ac:dyDescent="0.25"/>
    <row r="364" ht="12.75" customHeight="1" x14ac:dyDescent="0.25"/>
    <row r="365" ht="12.75" customHeight="1" x14ac:dyDescent="0.25"/>
    <row r="366" ht="12.75" customHeight="1" x14ac:dyDescent="0.25"/>
    <row r="367" ht="12.75" customHeight="1" x14ac:dyDescent="0.25"/>
    <row r="368" ht="12.75" customHeight="1" x14ac:dyDescent="0.25"/>
    <row r="369" ht="12.75" customHeight="1" x14ac:dyDescent="0.25"/>
    <row r="370" ht="12.75" customHeight="1" x14ac:dyDescent="0.25"/>
    <row r="371" ht="12.75" customHeight="1" x14ac:dyDescent="0.25"/>
    <row r="372" ht="12.75" customHeight="1" x14ac:dyDescent="0.25"/>
    <row r="373" ht="12.75" customHeight="1" x14ac:dyDescent="0.25"/>
    <row r="374" ht="12.75" customHeight="1" x14ac:dyDescent="0.25"/>
    <row r="375" ht="12.75" customHeight="1" x14ac:dyDescent="0.25"/>
    <row r="376" ht="12.75" customHeight="1" x14ac:dyDescent="0.25"/>
    <row r="377" ht="12.75" customHeight="1" x14ac:dyDescent="0.25"/>
    <row r="378" ht="12.75" customHeight="1" x14ac:dyDescent="0.25"/>
    <row r="379" ht="12.75" customHeight="1" x14ac:dyDescent="0.25"/>
    <row r="380" ht="12.75" customHeight="1" x14ac:dyDescent="0.25"/>
    <row r="381" ht="12.75" customHeight="1" x14ac:dyDescent="0.25"/>
    <row r="382" ht="12.75" customHeight="1" x14ac:dyDescent="0.25"/>
    <row r="383" ht="12.75" customHeight="1" x14ac:dyDescent="0.25"/>
    <row r="384" ht="12.75" customHeight="1" x14ac:dyDescent="0.25"/>
    <row r="385" ht="12.75" customHeight="1" x14ac:dyDescent="0.25"/>
    <row r="386" ht="12.75" customHeight="1" x14ac:dyDescent="0.25"/>
    <row r="387" ht="12.75" customHeight="1" x14ac:dyDescent="0.25"/>
    <row r="388" ht="12.75" customHeight="1" x14ac:dyDescent="0.25"/>
    <row r="389" ht="12.75" customHeight="1" x14ac:dyDescent="0.25"/>
    <row r="390" ht="12.75" customHeight="1" x14ac:dyDescent="0.25"/>
    <row r="391" ht="12.75" customHeight="1" x14ac:dyDescent="0.25"/>
    <row r="392" ht="12.75" customHeight="1" x14ac:dyDescent="0.25"/>
    <row r="393" ht="12.75" customHeight="1" x14ac:dyDescent="0.25"/>
    <row r="394" ht="12.75" customHeight="1" x14ac:dyDescent="0.25"/>
    <row r="395" ht="12.75" customHeight="1" x14ac:dyDescent="0.25"/>
    <row r="396" ht="12.75" customHeight="1" x14ac:dyDescent="0.25"/>
    <row r="397" ht="12.75" customHeight="1" x14ac:dyDescent="0.25"/>
    <row r="398" ht="12.75" customHeight="1" x14ac:dyDescent="0.25"/>
    <row r="399" ht="12.75" customHeight="1" x14ac:dyDescent="0.25"/>
    <row r="400" ht="12.75" customHeight="1" x14ac:dyDescent="0.25"/>
    <row r="401" ht="12.75" customHeight="1" x14ac:dyDescent="0.25"/>
    <row r="402" ht="12.75" customHeight="1" x14ac:dyDescent="0.25"/>
    <row r="403" ht="12.75" customHeight="1" x14ac:dyDescent="0.25"/>
    <row r="404" ht="12.75" customHeight="1" x14ac:dyDescent="0.25"/>
    <row r="405" ht="12.75" customHeight="1" x14ac:dyDescent="0.25"/>
    <row r="406" ht="12.75" customHeight="1" x14ac:dyDescent="0.25"/>
    <row r="407" ht="12.75" customHeight="1" x14ac:dyDescent="0.25"/>
    <row r="408" ht="12.75" customHeight="1" x14ac:dyDescent="0.25"/>
    <row r="409" ht="12.75" customHeight="1" x14ac:dyDescent="0.25"/>
    <row r="410" ht="12.75" customHeight="1" x14ac:dyDescent="0.25"/>
    <row r="411" ht="12.75" customHeight="1" x14ac:dyDescent="0.25"/>
    <row r="412" ht="12.75" customHeight="1" x14ac:dyDescent="0.25"/>
    <row r="413" ht="12.75" customHeight="1" x14ac:dyDescent="0.25"/>
    <row r="414" ht="12.75" customHeight="1" x14ac:dyDescent="0.25"/>
    <row r="415" ht="12.75" customHeight="1" x14ac:dyDescent="0.25"/>
    <row r="416" ht="12.75" customHeight="1" x14ac:dyDescent="0.25"/>
    <row r="417" ht="12.75" customHeight="1" x14ac:dyDescent="0.25"/>
    <row r="418" ht="12.75" customHeight="1" x14ac:dyDescent="0.25"/>
    <row r="419" ht="12.75" customHeight="1" x14ac:dyDescent="0.25"/>
    <row r="420" ht="12.75" customHeight="1" x14ac:dyDescent="0.25"/>
    <row r="421" ht="12.75" customHeight="1" x14ac:dyDescent="0.25"/>
    <row r="422" ht="12.75" customHeight="1" x14ac:dyDescent="0.25"/>
    <row r="423" ht="12.75" customHeight="1" x14ac:dyDescent="0.25"/>
    <row r="424" ht="12.75" customHeight="1" x14ac:dyDescent="0.25"/>
    <row r="425" ht="12.75" customHeight="1" x14ac:dyDescent="0.25"/>
    <row r="426" ht="12.75" customHeight="1" x14ac:dyDescent="0.25"/>
    <row r="427" ht="12.75" customHeight="1" x14ac:dyDescent="0.25"/>
    <row r="428" ht="12.75" customHeight="1" x14ac:dyDescent="0.25"/>
    <row r="429" ht="12.75" customHeight="1" x14ac:dyDescent="0.25"/>
    <row r="430" ht="12.75" customHeight="1" x14ac:dyDescent="0.25"/>
    <row r="431" ht="12.75" customHeight="1" x14ac:dyDescent="0.25"/>
    <row r="432" ht="12.75" customHeight="1" x14ac:dyDescent="0.25"/>
    <row r="433" ht="12.75" customHeight="1" x14ac:dyDescent="0.25"/>
    <row r="434" ht="12.75" customHeight="1" x14ac:dyDescent="0.25"/>
    <row r="435" ht="12.75" customHeight="1" x14ac:dyDescent="0.25"/>
    <row r="436" ht="12.75" customHeight="1" x14ac:dyDescent="0.25"/>
    <row r="437" ht="12.75" customHeight="1" x14ac:dyDescent="0.25"/>
    <row r="438" ht="12.75" customHeight="1" x14ac:dyDescent="0.25"/>
    <row r="439" ht="12.75" customHeight="1" x14ac:dyDescent="0.25"/>
    <row r="440" ht="12.75" customHeight="1" x14ac:dyDescent="0.25"/>
    <row r="441" ht="12.75" customHeight="1" x14ac:dyDescent="0.25"/>
    <row r="442" ht="12.75" customHeight="1" x14ac:dyDescent="0.25"/>
    <row r="443" ht="12.75" customHeight="1" x14ac:dyDescent="0.25"/>
    <row r="444" ht="12.75" customHeight="1" x14ac:dyDescent="0.25"/>
    <row r="445" ht="12.75" customHeight="1" x14ac:dyDescent="0.25"/>
    <row r="446" ht="12.75" customHeight="1" x14ac:dyDescent="0.25"/>
    <row r="447" ht="12.75" customHeight="1" x14ac:dyDescent="0.25"/>
    <row r="448" ht="12.75" customHeight="1" x14ac:dyDescent="0.25"/>
    <row r="449" ht="12.75" customHeight="1" x14ac:dyDescent="0.25"/>
    <row r="450" ht="12.75" customHeight="1" x14ac:dyDescent="0.25"/>
    <row r="451" ht="12.75" customHeight="1" x14ac:dyDescent="0.25"/>
    <row r="452" ht="12.75" customHeight="1" x14ac:dyDescent="0.25"/>
    <row r="453" ht="12.75" customHeight="1" x14ac:dyDescent="0.25"/>
    <row r="454" ht="12.75" customHeight="1" x14ac:dyDescent="0.25"/>
    <row r="455" ht="12.75" customHeight="1" x14ac:dyDescent="0.25"/>
    <row r="456" ht="12.75" customHeight="1" x14ac:dyDescent="0.25"/>
    <row r="457" ht="12.75" customHeight="1" x14ac:dyDescent="0.25"/>
    <row r="458" ht="12.75" customHeight="1" x14ac:dyDescent="0.25"/>
    <row r="459" ht="12.75" customHeight="1" x14ac:dyDescent="0.25"/>
    <row r="460" ht="12.75" customHeight="1" x14ac:dyDescent="0.25"/>
    <row r="461" ht="12.75" customHeight="1" x14ac:dyDescent="0.25"/>
    <row r="462" ht="12.75" customHeight="1" x14ac:dyDescent="0.25"/>
    <row r="463" ht="12.75" customHeight="1" x14ac:dyDescent="0.25"/>
    <row r="464" ht="12.75" customHeight="1" x14ac:dyDescent="0.25"/>
    <row r="465" ht="12.75" customHeight="1" x14ac:dyDescent="0.25"/>
    <row r="466" ht="12.75" customHeight="1" x14ac:dyDescent="0.25"/>
    <row r="467" ht="12.75" customHeight="1" x14ac:dyDescent="0.25"/>
    <row r="468" ht="12.75" customHeight="1" x14ac:dyDescent="0.25"/>
    <row r="469" ht="12.75" customHeight="1" x14ac:dyDescent="0.25"/>
    <row r="470" ht="12.75" customHeight="1" x14ac:dyDescent="0.25"/>
    <row r="471" ht="12.75" customHeight="1" x14ac:dyDescent="0.25"/>
    <row r="472" ht="12.75" customHeight="1" x14ac:dyDescent="0.25"/>
    <row r="473" ht="12.75" customHeight="1" x14ac:dyDescent="0.25"/>
    <row r="474" ht="12.75" customHeight="1" x14ac:dyDescent="0.25"/>
    <row r="475" ht="12.75" customHeight="1" x14ac:dyDescent="0.25"/>
    <row r="476" ht="12.75" customHeight="1" x14ac:dyDescent="0.25"/>
    <row r="477" ht="12.75" customHeight="1" x14ac:dyDescent="0.25"/>
    <row r="478" ht="12.75" customHeight="1" x14ac:dyDescent="0.25"/>
    <row r="479" ht="12.75" customHeight="1" x14ac:dyDescent="0.25"/>
    <row r="480" ht="12.75" customHeight="1" x14ac:dyDescent="0.25"/>
    <row r="481" ht="12.75" customHeight="1" x14ac:dyDescent="0.25"/>
    <row r="482" ht="12.75" customHeight="1" x14ac:dyDescent="0.25"/>
    <row r="483" ht="12.75" customHeight="1" x14ac:dyDescent="0.25"/>
    <row r="484" ht="12.75" customHeight="1" x14ac:dyDescent="0.25"/>
    <row r="485" ht="12.75" customHeight="1" x14ac:dyDescent="0.25"/>
    <row r="486" ht="12.75" customHeight="1" x14ac:dyDescent="0.25"/>
    <row r="487" ht="12.75" customHeight="1" x14ac:dyDescent="0.25"/>
    <row r="488" ht="12.75" customHeight="1" x14ac:dyDescent="0.25"/>
    <row r="489" ht="12.75" customHeight="1" x14ac:dyDescent="0.25"/>
    <row r="490" ht="12.75" customHeight="1" x14ac:dyDescent="0.25"/>
    <row r="491" ht="12.75" customHeight="1" x14ac:dyDescent="0.25"/>
    <row r="492" ht="12.75" customHeight="1" x14ac:dyDescent="0.25"/>
    <row r="493" ht="12.75" customHeight="1" x14ac:dyDescent="0.25"/>
    <row r="494" ht="12.75" customHeight="1" x14ac:dyDescent="0.25"/>
    <row r="495" ht="12.75" customHeight="1" x14ac:dyDescent="0.25"/>
    <row r="496" ht="12.75" customHeight="1" x14ac:dyDescent="0.25"/>
    <row r="497" ht="12.75" customHeight="1" x14ac:dyDescent="0.25"/>
    <row r="498" ht="12.75" customHeight="1" x14ac:dyDescent="0.25"/>
    <row r="499" ht="12.75" customHeight="1" x14ac:dyDescent="0.25"/>
    <row r="500" ht="12.75" customHeight="1" x14ac:dyDescent="0.25"/>
    <row r="501" ht="12.75" customHeight="1" x14ac:dyDescent="0.25"/>
    <row r="502" ht="12.75" customHeight="1" x14ac:dyDescent="0.25"/>
    <row r="503" ht="12.75" customHeight="1" x14ac:dyDescent="0.25"/>
    <row r="504" ht="12.75" customHeight="1" x14ac:dyDescent="0.25"/>
    <row r="505" ht="12.75" customHeight="1" x14ac:dyDescent="0.25"/>
    <row r="506" ht="12.75" customHeight="1" x14ac:dyDescent="0.25"/>
    <row r="507" ht="12.75" customHeight="1" x14ac:dyDescent="0.25"/>
    <row r="508" ht="12.75" customHeight="1" x14ac:dyDescent="0.25"/>
    <row r="509" ht="12.75" customHeight="1" x14ac:dyDescent="0.25"/>
    <row r="510" ht="12.75" customHeight="1" x14ac:dyDescent="0.25"/>
    <row r="511" ht="12.75" customHeight="1" x14ac:dyDescent="0.25"/>
    <row r="512" ht="12.75" customHeight="1" x14ac:dyDescent="0.25"/>
    <row r="513" ht="12.75" customHeight="1" x14ac:dyDescent="0.25"/>
    <row r="514" ht="12.75" customHeight="1" x14ac:dyDescent="0.25"/>
    <row r="515" ht="12.75" customHeight="1" x14ac:dyDescent="0.25"/>
    <row r="516" ht="12.75" customHeight="1" x14ac:dyDescent="0.25"/>
    <row r="517" ht="12.75" customHeight="1" x14ac:dyDescent="0.25"/>
    <row r="518" ht="12.75" customHeight="1" x14ac:dyDescent="0.25"/>
    <row r="519" ht="12.75" customHeight="1" x14ac:dyDescent="0.25"/>
    <row r="520" ht="12.75" customHeight="1" x14ac:dyDescent="0.25"/>
    <row r="521" ht="12.75" customHeight="1" x14ac:dyDescent="0.25"/>
    <row r="522" ht="12.75" customHeight="1" x14ac:dyDescent="0.25"/>
    <row r="523" ht="12.75" customHeight="1" x14ac:dyDescent="0.25"/>
    <row r="524" ht="12.75" customHeight="1" x14ac:dyDescent="0.25"/>
    <row r="525" ht="12.75" customHeight="1" x14ac:dyDescent="0.25"/>
    <row r="526" ht="12.75" customHeight="1" x14ac:dyDescent="0.25"/>
    <row r="527" ht="12.75" customHeight="1" x14ac:dyDescent="0.25"/>
    <row r="528" ht="12.75" customHeight="1" x14ac:dyDescent="0.25"/>
    <row r="529" ht="12.75" customHeight="1" x14ac:dyDescent="0.25"/>
    <row r="530" ht="12.75" customHeight="1" x14ac:dyDescent="0.25"/>
    <row r="531" ht="12.75" customHeight="1" x14ac:dyDescent="0.25"/>
    <row r="532" ht="12.75" customHeight="1" x14ac:dyDescent="0.25"/>
    <row r="533" ht="12.75" customHeight="1" x14ac:dyDescent="0.25"/>
    <row r="534" ht="12.75" customHeight="1" x14ac:dyDescent="0.25"/>
    <row r="535" ht="12.75" customHeight="1" x14ac:dyDescent="0.25"/>
    <row r="536" ht="12.75" customHeight="1" x14ac:dyDescent="0.25"/>
    <row r="537" ht="12.75" customHeight="1" x14ac:dyDescent="0.25"/>
    <row r="538" ht="12.75" customHeight="1" x14ac:dyDescent="0.25"/>
    <row r="539" ht="12.75" customHeight="1" x14ac:dyDescent="0.25"/>
    <row r="540" ht="12.75" customHeight="1" x14ac:dyDescent="0.25"/>
    <row r="541" ht="12.75" customHeight="1" x14ac:dyDescent="0.25"/>
    <row r="542" ht="12.75" customHeight="1" x14ac:dyDescent="0.25"/>
    <row r="543" ht="12.75" customHeight="1" x14ac:dyDescent="0.25"/>
    <row r="544" ht="12.75" customHeight="1" x14ac:dyDescent="0.25"/>
    <row r="545" ht="12.75" customHeight="1" x14ac:dyDescent="0.25"/>
    <row r="546" ht="12.75" customHeight="1" x14ac:dyDescent="0.25"/>
    <row r="547" ht="12.75" customHeight="1" x14ac:dyDescent="0.25"/>
    <row r="548" ht="12.75" customHeight="1" x14ac:dyDescent="0.25"/>
    <row r="549" ht="12.75" customHeight="1" x14ac:dyDescent="0.25"/>
    <row r="550" ht="12.75" customHeight="1" x14ac:dyDescent="0.25"/>
    <row r="551" ht="12.75" customHeight="1" x14ac:dyDescent="0.25"/>
    <row r="552" ht="12.75" customHeight="1" x14ac:dyDescent="0.25"/>
    <row r="553" ht="12.75" customHeight="1" x14ac:dyDescent="0.25"/>
    <row r="554" ht="12.75" customHeight="1" x14ac:dyDescent="0.25"/>
    <row r="555" ht="12.75" customHeight="1" x14ac:dyDescent="0.25"/>
    <row r="556" ht="12.75" customHeight="1" x14ac:dyDescent="0.25"/>
    <row r="557" ht="12.75" customHeight="1" x14ac:dyDescent="0.25"/>
    <row r="558" ht="12.75" customHeight="1" x14ac:dyDescent="0.25"/>
    <row r="559" ht="12.75" customHeight="1" x14ac:dyDescent="0.25"/>
    <row r="560" ht="12.75" customHeight="1" x14ac:dyDescent="0.25"/>
    <row r="561" ht="12.75" customHeight="1" x14ac:dyDescent="0.25"/>
    <row r="562" ht="12.75" customHeight="1" x14ac:dyDescent="0.25"/>
    <row r="563" ht="12.75" customHeight="1" x14ac:dyDescent="0.25"/>
    <row r="564" ht="12.75" customHeight="1" x14ac:dyDescent="0.25"/>
    <row r="565" ht="12.75" customHeight="1" x14ac:dyDescent="0.25"/>
    <row r="566" ht="12.75" customHeight="1" x14ac:dyDescent="0.25"/>
    <row r="567" ht="12.75" customHeight="1" x14ac:dyDescent="0.25"/>
    <row r="568" ht="12.75" customHeight="1" x14ac:dyDescent="0.25"/>
    <row r="569" ht="12.75" customHeight="1" x14ac:dyDescent="0.25"/>
    <row r="570" ht="12.75" customHeight="1" x14ac:dyDescent="0.25"/>
    <row r="571" ht="12.75" customHeight="1" x14ac:dyDescent="0.25"/>
    <row r="572" ht="12.75" customHeight="1" x14ac:dyDescent="0.25"/>
    <row r="573" ht="12.75" customHeight="1" x14ac:dyDescent="0.25"/>
    <row r="574" ht="12.75" customHeight="1" x14ac:dyDescent="0.25"/>
    <row r="575" ht="12.75" customHeight="1" x14ac:dyDescent="0.25"/>
    <row r="576" ht="12.75" customHeight="1" x14ac:dyDescent="0.25"/>
    <row r="577" ht="12.75" customHeight="1" x14ac:dyDescent="0.25"/>
    <row r="578" ht="12.75" customHeight="1" x14ac:dyDescent="0.25"/>
    <row r="579" ht="12.75" customHeight="1" x14ac:dyDescent="0.25"/>
    <row r="580" ht="12.75" customHeight="1" x14ac:dyDescent="0.25"/>
    <row r="581" ht="12.75" customHeight="1" x14ac:dyDescent="0.25"/>
    <row r="582" ht="12.75" customHeight="1" x14ac:dyDescent="0.25"/>
    <row r="583" ht="12.75" customHeight="1" x14ac:dyDescent="0.25"/>
    <row r="584" ht="12.75" customHeight="1" x14ac:dyDescent="0.25"/>
    <row r="585" ht="12.75" customHeight="1" x14ac:dyDescent="0.25"/>
    <row r="586" ht="12.75" customHeight="1" x14ac:dyDescent="0.25"/>
    <row r="587" ht="12.75" customHeight="1" x14ac:dyDescent="0.25"/>
    <row r="588" ht="12.75" customHeight="1" x14ac:dyDescent="0.25"/>
    <row r="589" ht="12.75" customHeight="1" x14ac:dyDescent="0.25"/>
    <row r="590" ht="12.75" customHeight="1" x14ac:dyDescent="0.25"/>
    <row r="591" ht="12.75" customHeight="1" x14ac:dyDescent="0.25"/>
    <row r="592" ht="12.75" customHeight="1" x14ac:dyDescent="0.25"/>
    <row r="593" ht="12.75" customHeight="1" x14ac:dyDescent="0.25"/>
    <row r="594" ht="12.75" customHeight="1" x14ac:dyDescent="0.25"/>
    <row r="595" ht="12.75" customHeight="1" x14ac:dyDescent="0.25"/>
    <row r="596" ht="12.75" customHeight="1" x14ac:dyDescent="0.25"/>
    <row r="597" ht="12.75" customHeight="1" x14ac:dyDescent="0.25"/>
    <row r="598" ht="12.75" customHeight="1" x14ac:dyDescent="0.25"/>
    <row r="599" ht="12.75" customHeight="1" x14ac:dyDescent="0.25"/>
    <row r="600" ht="12.75" customHeight="1" x14ac:dyDescent="0.25"/>
    <row r="601" ht="12.75" customHeight="1" x14ac:dyDescent="0.25"/>
    <row r="602" ht="12.75" customHeight="1" x14ac:dyDescent="0.25"/>
    <row r="603" ht="12.75" customHeight="1" x14ac:dyDescent="0.25"/>
    <row r="604" ht="12.75" customHeight="1" x14ac:dyDescent="0.25"/>
    <row r="605" ht="12.75" customHeight="1" x14ac:dyDescent="0.25"/>
    <row r="606" ht="12.75" customHeight="1" x14ac:dyDescent="0.25"/>
    <row r="607" ht="12.75" customHeight="1" x14ac:dyDescent="0.25"/>
    <row r="608" ht="12.75" customHeight="1" x14ac:dyDescent="0.25"/>
    <row r="609" ht="12.75" customHeight="1" x14ac:dyDescent="0.25"/>
    <row r="610" ht="12.75" customHeight="1" x14ac:dyDescent="0.25"/>
    <row r="611" ht="12.75" customHeight="1" x14ac:dyDescent="0.25"/>
    <row r="612" ht="12.75" customHeight="1" x14ac:dyDescent="0.25"/>
    <row r="613" ht="12.75" customHeight="1" x14ac:dyDescent="0.25"/>
    <row r="614" ht="12.75" customHeight="1" x14ac:dyDescent="0.25"/>
    <row r="615" ht="12.75" customHeight="1" x14ac:dyDescent="0.25"/>
    <row r="616" ht="12.75" customHeight="1" x14ac:dyDescent="0.25"/>
    <row r="617" ht="12.75" customHeight="1" x14ac:dyDescent="0.25"/>
    <row r="618" ht="12.75" customHeight="1" x14ac:dyDescent="0.25"/>
    <row r="619" ht="12.75" customHeight="1" x14ac:dyDescent="0.25"/>
    <row r="620" ht="12.75" customHeight="1" x14ac:dyDescent="0.25"/>
    <row r="621" ht="12.75" customHeight="1" x14ac:dyDescent="0.25"/>
    <row r="622" ht="12.75" customHeight="1" x14ac:dyDescent="0.25"/>
    <row r="623" ht="12.75" customHeight="1" x14ac:dyDescent="0.25"/>
    <row r="624" ht="12.75" customHeight="1" x14ac:dyDescent="0.25"/>
    <row r="625" ht="12.75" customHeight="1" x14ac:dyDescent="0.25"/>
    <row r="626" ht="12.75" customHeight="1" x14ac:dyDescent="0.25"/>
    <row r="627" ht="12.75" customHeight="1" x14ac:dyDescent="0.25"/>
    <row r="628" ht="12.75" customHeight="1" x14ac:dyDescent="0.25"/>
    <row r="629" ht="12.75" customHeight="1" x14ac:dyDescent="0.25"/>
    <row r="630" ht="12.75" customHeight="1" x14ac:dyDescent="0.25"/>
    <row r="631" ht="12.75" customHeight="1" x14ac:dyDescent="0.25"/>
    <row r="632" ht="12.75" customHeight="1" x14ac:dyDescent="0.25"/>
    <row r="633" ht="12.75" customHeight="1" x14ac:dyDescent="0.25"/>
    <row r="634" ht="12.75" customHeight="1" x14ac:dyDescent="0.25"/>
    <row r="635" ht="12.75" customHeight="1" x14ac:dyDescent="0.25"/>
    <row r="636" ht="12.75" customHeight="1" x14ac:dyDescent="0.25"/>
    <row r="637" ht="12.75" customHeight="1" x14ac:dyDescent="0.25"/>
    <row r="638" ht="12.75" customHeight="1" x14ac:dyDescent="0.25"/>
    <row r="639" ht="12.75" customHeight="1" x14ac:dyDescent="0.25"/>
    <row r="640" ht="12.75" customHeight="1" x14ac:dyDescent="0.25"/>
    <row r="641" ht="12.75" customHeight="1" x14ac:dyDescent="0.25"/>
    <row r="642" ht="12.75" customHeight="1" x14ac:dyDescent="0.25"/>
    <row r="643" ht="12.75" customHeight="1" x14ac:dyDescent="0.25"/>
    <row r="644" ht="12.75" customHeight="1" x14ac:dyDescent="0.25"/>
    <row r="645" ht="12.75" customHeight="1" x14ac:dyDescent="0.25"/>
    <row r="646" ht="12.75" customHeight="1" x14ac:dyDescent="0.25"/>
    <row r="647" ht="12.75" customHeight="1" x14ac:dyDescent="0.25"/>
    <row r="648" ht="12.75" customHeight="1" x14ac:dyDescent="0.25"/>
    <row r="649" ht="12.75" customHeight="1" x14ac:dyDescent="0.25"/>
    <row r="650" ht="12.75" customHeight="1" x14ac:dyDescent="0.25"/>
    <row r="651" ht="12.75" customHeight="1" x14ac:dyDescent="0.25"/>
    <row r="652" ht="12.75" customHeight="1" x14ac:dyDescent="0.25"/>
    <row r="653" ht="12.75" customHeight="1" x14ac:dyDescent="0.25"/>
    <row r="654" ht="12.75" customHeight="1" x14ac:dyDescent="0.25"/>
    <row r="655" ht="12.75" customHeight="1" x14ac:dyDescent="0.25"/>
    <row r="656" ht="12.75" customHeight="1" x14ac:dyDescent="0.25"/>
    <row r="657" ht="12.75" customHeight="1" x14ac:dyDescent="0.25"/>
    <row r="658" ht="12.75" customHeight="1" x14ac:dyDescent="0.25"/>
    <row r="659" ht="12.75" customHeight="1" x14ac:dyDescent="0.25"/>
    <row r="660" ht="12.75" customHeight="1" x14ac:dyDescent="0.25"/>
    <row r="661" ht="12.75" customHeight="1" x14ac:dyDescent="0.25"/>
    <row r="662" ht="12.75" customHeight="1" x14ac:dyDescent="0.25"/>
    <row r="663" ht="12.75" customHeight="1" x14ac:dyDescent="0.25"/>
    <row r="664" ht="12.75" customHeight="1" x14ac:dyDescent="0.25"/>
    <row r="665" ht="12.75" customHeight="1" x14ac:dyDescent="0.25"/>
    <row r="666" ht="12.75" customHeight="1" x14ac:dyDescent="0.25"/>
    <row r="667" ht="12.75" customHeight="1" x14ac:dyDescent="0.25"/>
    <row r="668" ht="12.75" customHeight="1" x14ac:dyDescent="0.25"/>
    <row r="669" ht="12.75" customHeight="1" x14ac:dyDescent="0.25"/>
    <row r="670" ht="12.75" customHeight="1" x14ac:dyDescent="0.25"/>
    <row r="671" ht="12.75" customHeight="1" x14ac:dyDescent="0.25"/>
    <row r="672" ht="12.75" customHeight="1" x14ac:dyDescent="0.25"/>
    <row r="673" ht="12.75" customHeight="1" x14ac:dyDescent="0.25"/>
    <row r="674" ht="12.75" customHeight="1" x14ac:dyDescent="0.25"/>
    <row r="675" ht="12.75" customHeight="1" x14ac:dyDescent="0.25"/>
    <row r="676" ht="12.75" customHeight="1" x14ac:dyDescent="0.25"/>
    <row r="677" ht="12.75" customHeight="1" x14ac:dyDescent="0.25"/>
    <row r="678" ht="12.75" customHeight="1" x14ac:dyDescent="0.25"/>
    <row r="679" ht="12.75" customHeight="1" x14ac:dyDescent="0.25"/>
    <row r="680" ht="12.75" customHeight="1" x14ac:dyDescent="0.25"/>
    <row r="681" ht="12.75" customHeight="1" x14ac:dyDescent="0.25"/>
    <row r="682" ht="12.75" customHeight="1" x14ac:dyDescent="0.25"/>
    <row r="683" ht="12.75" customHeight="1" x14ac:dyDescent="0.25"/>
    <row r="684" ht="12.75" customHeight="1" x14ac:dyDescent="0.25"/>
    <row r="685" ht="12.75" customHeight="1" x14ac:dyDescent="0.25"/>
    <row r="686" ht="12.75" customHeight="1" x14ac:dyDescent="0.25"/>
    <row r="687" ht="12.75" customHeight="1" x14ac:dyDescent="0.25"/>
    <row r="688" ht="12.75" customHeight="1" x14ac:dyDescent="0.25"/>
    <row r="689" ht="12.75" customHeight="1" x14ac:dyDescent="0.25"/>
    <row r="690" ht="12.75" customHeight="1" x14ac:dyDescent="0.25"/>
    <row r="691" ht="12.75" customHeight="1" x14ac:dyDescent="0.25"/>
    <row r="692" ht="12.75" customHeight="1" x14ac:dyDescent="0.25"/>
    <row r="693" ht="12.75" customHeight="1" x14ac:dyDescent="0.25"/>
    <row r="694" ht="12.75" customHeight="1" x14ac:dyDescent="0.25"/>
    <row r="695" ht="12.75" customHeight="1" x14ac:dyDescent="0.25"/>
    <row r="696" ht="12.75" customHeight="1" x14ac:dyDescent="0.25"/>
    <row r="697" ht="12.75" customHeight="1" x14ac:dyDescent="0.25"/>
    <row r="698" ht="12.75" customHeight="1" x14ac:dyDescent="0.25"/>
    <row r="699" ht="12.75" customHeight="1" x14ac:dyDescent="0.25"/>
    <row r="700" ht="12.75" customHeight="1" x14ac:dyDescent="0.25"/>
    <row r="701" ht="12.75" customHeight="1" x14ac:dyDescent="0.25"/>
    <row r="702" ht="12.75" customHeight="1" x14ac:dyDescent="0.25"/>
    <row r="703" ht="12.75" customHeight="1" x14ac:dyDescent="0.25"/>
    <row r="704" ht="12.75" customHeight="1" x14ac:dyDescent="0.25"/>
    <row r="705" ht="12.75" customHeight="1" x14ac:dyDescent="0.25"/>
    <row r="706" ht="12.75" customHeight="1" x14ac:dyDescent="0.25"/>
    <row r="707" ht="12.75" customHeight="1" x14ac:dyDescent="0.25"/>
    <row r="708" ht="12.75" customHeight="1" x14ac:dyDescent="0.25"/>
    <row r="709" ht="12.75" customHeight="1" x14ac:dyDescent="0.25"/>
    <row r="710" ht="12.75" customHeight="1" x14ac:dyDescent="0.25"/>
    <row r="711" ht="12.75" customHeight="1" x14ac:dyDescent="0.25"/>
    <row r="712" ht="12.75" customHeight="1" x14ac:dyDescent="0.25"/>
    <row r="713" ht="12.75" customHeight="1" x14ac:dyDescent="0.25"/>
    <row r="714" ht="12.75" customHeight="1" x14ac:dyDescent="0.25"/>
    <row r="715" ht="12.75" customHeight="1" x14ac:dyDescent="0.25"/>
    <row r="716" ht="12.75" customHeight="1" x14ac:dyDescent="0.25"/>
    <row r="717" ht="12.75" customHeight="1" x14ac:dyDescent="0.25"/>
    <row r="718" ht="12.75" customHeight="1" x14ac:dyDescent="0.25"/>
    <row r="719" ht="12.75" customHeight="1" x14ac:dyDescent="0.25"/>
    <row r="720" ht="12.75" customHeight="1" x14ac:dyDescent="0.25"/>
    <row r="721" ht="12.75" customHeight="1" x14ac:dyDescent="0.25"/>
    <row r="722" ht="12.75" customHeight="1" x14ac:dyDescent="0.25"/>
    <row r="723" ht="12.75" customHeight="1" x14ac:dyDescent="0.25"/>
    <row r="724" ht="12.75" customHeight="1" x14ac:dyDescent="0.25"/>
    <row r="725" ht="12.75" customHeight="1" x14ac:dyDescent="0.25"/>
    <row r="726" ht="12.75" customHeight="1" x14ac:dyDescent="0.25"/>
    <row r="727" ht="12.75" customHeight="1" x14ac:dyDescent="0.25"/>
    <row r="728" ht="12.75" customHeight="1" x14ac:dyDescent="0.25"/>
    <row r="729" ht="12.75" customHeight="1" x14ac:dyDescent="0.25"/>
    <row r="730" ht="12.75" customHeight="1" x14ac:dyDescent="0.25"/>
    <row r="731" ht="12.75" customHeight="1" x14ac:dyDescent="0.25"/>
    <row r="732" ht="12.75" customHeight="1" x14ac:dyDescent="0.25"/>
    <row r="733" ht="12.75" customHeight="1" x14ac:dyDescent="0.25"/>
    <row r="734" ht="12.75" customHeight="1" x14ac:dyDescent="0.25"/>
    <row r="735" ht="12.75" customHeight="1" x14ac:dyDescent="0.25"/>
    <row r="736" ht="12.75" customHeight="1" x14ac:dyDescent="0.25"/>
    <row r="737" ht="12.75" customHeight="1" x14ac:dyDescent="0.25"/>
    <row r="738" ht="12.75" customHeight="1" x14ac:dyDescent="0.25"/>
    <row r="739" ht="12.75" customHeight="1" x14ac:dyDescent="0.25"/>
    <row r="740" ht="12.75" customHeight="1" x14ac:dyDescent="0.25"/>
    <row r="741" ht="12.75" customHeight="1" x14ac:dyDescent="0.25"/>
    <row r="742" ht="12.75" customHeight="1" x14ac:dyDescent="0.25"/>
    <row r="743" ht="12.75" customHeight="1" x14ac:dyDescent="0.25"/>
    <row r="744" ht="12.75" customHeight="1" x14ac:dyDescent="0.25"/>
    <row r="745" ht="12.75" customHeight="1" x14ac:dyDescent="0.25"/>
    <row r="746" ht="12.75" customHeight="1" x14ac:dyDescent="0.25"/>
    <row r="747" ht="12.75" customHeight="1" x14ac:dyDescent="0.25"/>
    <row r="748" ht="12.75" customHeight="1" x14ac:dyDescent="0.25"/>
    <row r="749" ht="12.75" customHeight="1" x14ac:dyDescent="0.25"/>
    <row r="750" ht="12.75" customHeight="1" x14ac:dyDescent="0.25"/>
    <row r="751" ht="12.75" customHeight="1" x14ac:dyDescent="0.25"/>
    <row r="752" ht="12.75" customHeight="1" x14ac:dyDescent="0.25"/>
    <row r="753" ht="12.75" customHeight="1" x14ac:dyDescent="0.25"/>
    <row r="754" ht="12.75" customHeight="1" x14ac:dyDescent="0.25"/>
    <row r="755" ht="12.75" customHeight="1" x14ac:dyDescent="0.25"/>
    <row r="756" ht="12.75" customHeight="1" x14ac:dyDescent="0.25"/>
    <row r="757" ht="12.75" customHeight="1" x14ac:dyDescent="0.25"/>
    <row r="758" ht="12.75" customHeight="1" x14ac:dyDescent="0.25"/>
    <row r="759" ht="12.75" customHeight="1" x14ac:dyDescent="0.25"/>
    <row r="760" ht="12.75" customHeight="1" x14ac:dyDescent="0.25"/>
    <row r="761" ht="12.75" customHeight="1" x14ac:dyDescent="0.25"/>
    <row r="762" ht="12.75" customHeight="1" x14ac:dyDescent="0.25"/>
    <row r="763" ht="12.75" customHeight="1" x14ac:dyDescent="0.25"/>
    <row r="764" ht="12.75" customHeight="1" x14ac:dyDescent="0.25"/>
    <row r="765" ht="12.75" customHeight="1" x14ac:dyDescent="0.25"/>
    <row r="766" ht="12.75" customHeight="1" x14ac:dyDescent="0.25"/>
    <row r="767" ht="12.75" customHeight="1" x14ac:dyDescent="0.25"/>
    <row r="768" ht="12.75" customHeight="1" x14ac:dyDescent="0.25"/>
    <row r="769" ht="12.75" customHeight="1" x14ac:dyDescent="0.25"/>
    <row r="770" ht="12.75" customHeight="1" x14ac:dyDescent="0.25"/>
    <row r="771" ht="12.75" customHeight="1" x14ac:dyDescent="0.25"/>
    <row r="772" ht="12.75" customHeight="1" x14ac:dyDescent="0.25"/>
    <row r="773" ht="12.75" customHeight="1" x14ac:dyDescent="0.25"/>
    <row r="774" ht="12.75" customHeight="1" x14ac:dyDescent="0.25"/>
    <row r="775" ht="12.75" customHeight="1" x14ac:dyDescent="0.25"/>
    <row r="776" ht="12.75" customHeight="1" x14ac:dyDescent="0.25"/>
    <row r="777" ht="12.75" customHeight="1" x14ac:dyDescent="0.25"/>
    <row r="778" ht="12.75" customHeight="1" x14ac:dyDescent="0.25"/>
    <row r="779" ht="12.75" customHeight="1" x14ac:dyDescent="0.25"/>
    <row r="780" ht="12.75" customHeight="1" x14ac:dyDescent="0.25"/>
    <row r="781" ht="12.75" customHeight="1" x14ac:dyDescent="0.25"/>
    <row r="782" ht="12.75" customHeight="1" x14ac:dyDescent="0.25"/>
    <row r="783" ht="12.75" customHeight="1" x14ac:dyDescent="0.25"/>
    <row r="784" ht="12.75" customHeight="1" x14ac:dyDescent="0.25"/>
    <row r="785" ht="12.75" customHeight="1" x14ac:dyDescent="0.25"/>
    <row r="786" ht="12.75" customHeight="1" x14ac:dyDescent="0.25"/>
    <row r="787" ht="12.75" customHeight="1" x14ac:dyDescent="0.25"/>
    <row r="788" ht="12.75" customHeight="1" x14ac:dyDescent="0.25"/>
    <row r="789" ht="12.75" customHeight="1" x14ac:dyDescent="0.25"/>
    <row r="790" ht="12.75" customHeight="1" x14ac:dyDescent="0.25"/>
    <row r="791" ht="12.75" customHeight="1" x14ac:dyDescent="0.25"/>
    <row r="792" ht="12.75" customHeight="1" x14ac:dyDescent="0.25"/>
    <row r="793" ht="12.75" customHeight="1" x14ac:dyDescent="0.25"/>
    <row r="794" ht="12.75" customHeight="1" x14ac:dyDescent="0.25"/>
    <row r="795" ht="12.75" customHeight="1" x14ac:dyDescent="0.25"/>
    <row r="796" ht="12.75" customHeight="1" x14ac:dyDescent="0.25"/>
    <row r="797" ht="12.75" customHeight="1" x14ac:dyDescent="0.25"/>
    <row r="798" ht="12.75" customHeight="1" x14ac:dyDescent="0.25"/>
    <row r="799" ht="12.75" customHeight="1" x14ac:dyDescent="0.25"/>
    <row r="800" ht="12.75" customHeight="1" x14ac:dyDescent="0.25"/>
    <row r="801" ht="12.75" customHeight="1" x14ac:dyDescent="0.25"/>
    <row r="802" ht="12.75" customHeight="1" x14ac:dyDescent="0.25"/>
    <row r="803" ht="12.75" customHeight="1" x14ac:dyDescent="0.25"/>
    <row r="804" ht="12.75" customHeight="1" x14ac:dyDescent="0.25"/>
    <row r="805" ht="12.75" customHeight="1" x14ac:dyDescent="0.25"/>
    <row r="806" ht="12.75" customHeight="1" x14ac:dyDescent="0.25"/>
    <row r="807" ht="12.75" customHeight="1" x14ac:dyDescent="0.25"/>
    <row r="808" ht="12.75" customHeight="1" x14ac:dyDescent="0.25"/>
    <row r="809" ht="12.75" customHeight="1" x14ac:dyDescent="0.25"/>
    <row r="810" ht="12.75" customHeight="1" x14ac:dyDescent="0.25"/>
    <row r="811" ht="12.75" customHeight="1" x14ac:dyDescent="0.25"/>
    <row r="812" ht="12.75" customHeight="1" x14ac:dyDescent="0.25"/>
    <row r="813" ht="12.75" customHeight="1" x14ac:dyDescent="0.25"/>
    <row r="814" ht="12.75" customHeight="1" x14ac:dyDescent="0.25"/>
    <row r="815" ht="12.75" customHeight="1" x14ac:dyDescent="0.25"/>
    <row r="816" ht="12.75" customHeight="1" x14ac:dyDescent="0.25"/>
    <row r="817" ht="12.75" customHeight="1" x14ac:dyDescent="0.25"/>
    <row r="818" ht="12.75" customHeight="1" x14ac:dyDescent="0.25"/>
    <row r="819" ht="12.75" customHeight="1" x14ac:dyDescent="0.25"/>
    <row r="820" ht="12.75" customHeight="1" x14ac:dyDescent="0.25"/>
    <row r="821" ht="12.75" customHeight="1" x14ac:dyDescent="0.25"/>
    <row r="822" ht="12.75" customHeight="1" x14ac:dyDescent="0.25"/>
    <row r="823" ht="12.75" customHeight="1" x14ac:dyDescent="0.25"/>
    <row r="824" ht="12.75" customHeight="1" x14ac:dyDescent="0.25"/>
    <row r="825" ht="12.75" customHeight="1" x14ac:dyDescent="0.25"/>
    <row r="826" ht="12.75" customHeight="1" x14ac:dyDescent="0.25"/>
    <row r="827" ht="12.75" customHeight="1" x14ac:dyDescent="0.25"/>
    <row r="828" ht="12.75" customHeight="1" x14ac:dyDescent="0.25"/>
    <row r="829" ht="12.75" customHeight="1" x14ac:dyDescent="0.25"/>
    <row r="830" ht="12.75" customHeight="1" x14ac:dyDescent="0.25"/>
    <row r="831" ht="12.75" customHeight="1" x14ac:dyDescent="0.25"/>
    <row r="832" ht="12.75" customHeight="1" x14ac:dyDescent="0.25"/>
    <row r="833" ht="12.75" customHeight="1" x14ac:dyDescent="0.25"/>
    <row r="834" ht="12.75" customHeight="1" x14ac:dyDescent="0.25"/>
    <row r="835" ht="12.75" customHeight="1" x14ac:dyDescent="0.25"/>
    <row r="836" ht="12.75" customHeight="1" x14ac:dyDescent="0.25"/>
    <row r="837" ht="12.75" customHeight="1" x14ac:dyDescent="0.25"/>
    <row r="838" ht="12.75" customHeight="1" x14ac:dyDescent="0.25"/>
    <row r="839" ht="12.75" customHeight="1" x14ac:dyDescent="0.25"/>
    <row r="840" ht="12.75" customHeight="1" x14ac:dyDescent="0.25"/>
    <row r="841" ht="12.75" customHeight="1" x14ac:dyDescent="0.25"/>
    <row r="842" ht="12.75" customHeight="1" x14ac:dyDescent="0.25"/>
    <row r="843" ht="12.75" customHeight="1" x14ac:dyDescent="0.25"/>
    <row r="844" ht="12.75" customHeight="1" x14ac:dyDescent="0.25"/>
    <row r="845" ht="12.75" customHeight="1" x14ac:dyDescent="0.25"/>
    <row r="846" ht="12.75" customHeight="1" x14ac:dyDescent="0.25"/>
    <row r="847" ht="12.75" customHeight="1" x14ac:dyDescent="0.25"/>
    <row r="848" ht="12.75" customHeight="1" x14ac:dyDescent="0.25"/>
    <row r="849" ht="12.75" customHeight="1" x14ac:dyDescent="0.25"/>
    <row r="850" ht="12.75" customHeight="1" x14ac:dyDescent="0.25"/>
    <row r="851" ht="12.75" customHeight="1" x14ac:dyDescent="0.25"/>
    <row r="852" ht="12.75" customHeight="1" x14ac:dyDescent="0.25"/>
    <row r="853" ht="12.75" customHeight="1" x14ac:dyDescent="0.25"/>
    <row r="854" ht="12.75" customHeight="1" x14ac:dyDescent="0.25"/>
    <row r="855" ht="12.75" customHeight="1" x14ac:dyDescent="0.25"/>
    <row r="856" ht="12.75" customHeight="1" x14ac:dyDescent="0.25"/>
    <row r="857" ht="12.75" customHeight="1" x14ac:dyDescent="0.25"/>
    <row r="858" ht="12.75" customHeight="1" x14ac:dyDescent="0.25"/>
    <row r="859" ht="12.75" customHeight="1" x14ac:dyDescent="0.25"/>
    <row r="860" ht="12.75" customHeight="1" x14ac:dyDescent="0.25"/>
    <row r="861" ht="12.75" customHeight="1" x14ac:dyDescent="0.25"/>
    <row r="862" ht="12.75" customHeight="1" x14ac:dyDescent="0.25"/>
    <row r="863" ht="12.75" customHeight="1" x14ac:dyDescent="0.25"/>
    <row r="864" ht="12.75" customHeight="1" x14ac:dyDescent="0.25"/>
    <row r="865" ht="12.75" customHeight="1" x14ac:dyDescent="0.25"/>
    <row r="866" ht="12.75" customHeight="1" x14ac:dyDescent="0.25"/>
    <row r="867" ht="12.75" customHeight="1" x14ac:dyDescent="0.25"/>
    <row r="868" ht="12.75" customHeight="1" x14ac:dyDescent="0.25"/>
    <row r="869" ht="12.75" customHeight="1" x14ac:dyDescent="0.25"/>
    <row r="870" ht="12.75" customHeight="1" x14ac:dyDescent="0.25"/>
    <row r="871" ht="12.75" customHeight="1" x14ac:dyDescent="0.25"/>
    <row r="872" ht="12.75" customHeight="1" x14ac:dyDescent="0.25"/>
    <row r="873" ht="12.75" customHeight="1" x14ac:dyDescent="0.25"/>
    <row r="874" ht="12.75" customHeight="1" x14ac:dyDescent="0.25"/>
    <row r="875" ht="12.75" customHeight="1" x14ac:dyDescent="0.25"/>
    <row r="876" ht="12.75" customHeight="1" x14ac:dyDescent="0.25"/>
    <row r="877" ht="12.75" customHeight="1" x14ac:dyDescent="0.25"/>
    <row r="878" ht="12.75" customHeight="1" x14ac:dyDescent="0.25"/>
    <row r="879" ht="12.75" customHeight="1" x14ac:dyDescent="0.25"/>
    <row r="880" ht="12.75" customHeight="1" x14ac:dyDescent="0.25"/>
    <row r="881" ht="12.75" customHeight="1" x14ac:dyDescent="0.25"/>
    <row r="882" ht="12.75" customHeight="1" x14ac:dyDescent="0.25"/>
    <row r="883" ht="12.75" customHeight="1" x14ac:dyDescent="0.25"/>
    <row r="884" ht="12.75" customHeight="1" x14ac:dyDescent="0.25"/>
    <row r="885" ht="12.75" customHeight="1" x14ac:dyDescent="0.25"/>
    <row r="886" ht="12.75" customHeight="1" x14ac:dyDescent="0.25"/>
    <row r="887" ht="12.75" customHeight="1" x14ac:dyDescent="0.25"/>
    <row r="888" ht="12.75" customHeight="1" x14ac:dyDescent="0.25"/>
    <row r="889" ht="12.75" customHeight="1" x14ac:dyDescent="0.25"/>
    <row r="890" ht="12.75" customHeight="1" x14ac:dyDescent="0.25"/>
    <row r="891" ht="12.75" customHeight="1" x14ac:dyDescent="0.25"/>
    <row r="892" ht="12.75" customHeight="1" x14ac:dyDescent="0.25"/>
    <row r="893" ht="12.75" customHeight="1" x14ac:dyDescent="0.25"/>
    <row r="894" ht="12.75" customHeight="1" x14ac:dyDescent="0.25"/>
    <row r="895" ht="12.75" customHeight="1" x14ac:dyDescent="0.25"/>
    <row r="896" ht="12.75" customHeight="1" x14ac:dyDescent="0.25"/>
    <row r="897" ht="12.75" customHeight="1" x14ac:dyDescent="0.25"/>
    <row r="898" ht="12.75" customHeight="1" x14ac:dyDescent="0.25"/>
    <row r="899" ht="12.75" customHeight="1" x14ac:dyDescent="0.25"/>
    <row r="900" ht="12.75" customHeight="1" x14ac:dyDescent="0.25"/>
    <row r="901" ht="12.75" customHeight="1" x14ac:dyDescent="0.25"/>
    <row r="902" ht="12.75" customHeight="1" x14ac:dyDescent="0.25"/>
    <row r="903" ht="12.75" customHeight="1" x14ac:dyDescent="0.25"/>
    <row r="904" ht="12.75" customHeight="1" x14ac:dyDescent="0.25"/>
    <row r="905" ht="12.75" customHeight="1" x14ac:dyDescent="0.25"/>
    <row r="906" ht="12.75" customHeight="1" x14ac:dyDescent="0.25"/>
    <row r="907" ht="12.75" customHeight="1" x14ac:dyDescent="0.25"/>
    <row r="908" ht="12.75" customHeight="1" x14ac:dyDescent="0.25"/>
    <row r="909" ht="12.75" customHeight="1" x14ac:dyDescent="0.25"/>
    <row r="910" ht="12.75" customHeight="1" x14ac:dyDescent="0.25"/>
    <row r="911" ht="12.75" customHeight="1" x14ac:dyDescent="0.25"/>
    <row r="912" ht="12.75" customHeight="1" x14ac:dyDescent="0.25"/>
    <row r="913" ht="12.75" customHeight="1" x14ac:dyDescent="0.25"/>
    <row r="914" ht="12.75" customHeight="1" x14ac:dyDescent="0.25"/>
    <row r="915" ht="12.75" customHeight="1" x14ac:dyDescent="0.25"/>
    <row r="916" ht="12.75" customHeight="1" x14ac:dyDescent="0.25"/>
  </sheetData>
  <mergeCells count="26">
    <mergeCell ref="AB132:AC132"/>
    <mergeCell ref="AB96:AC96"/>
    <mergeCell ref="B113:N113"/>
    <mergeCell ref="P113:AA113"/>
    <mergeCell ref="AB114:AC114"/>
    <mergeCell ref="B131:N131"/>
    <mergeCell ref="P131:AA131"/>
    <mergeCell ref="B95:N95"/>
    <mergeCell ref="P95:AA95"/>
    <mergeCell ref="AB22:AC22"/>
    <mergeCell ref="B39:N39"/>
    <mergeCell ref="P39:AA39"/>
    <mergeCell ref="AB40:AC40"/>
    <mergeCell ref="B57:N57"/>
    <mergeCell ref="P57:AA57"/>
    <mergeCell ref="AB58:AC58"/>
    <mergeCell ref="A74:F74"/>
    <mergeCell ref="B77:N77"/>
    <mergeCell ref="P77:AA77"/>
    <mergeCell ref="AB78:AC78"/>
    <mergeCell ref="A1:F1"/>
    <mergeCell ref="B3:N3"/>
    <mergeCell ref="P3:AA3"/>
    <mergeCell ref="AB4:AC4"/>
    <mergeCell ref="B21:N21"/>
    <mergeCell ref="P21:AA21"/>
  </mergeCells>
  <conditionalFormatting sqref="Q5:AA15">
    <cfRule type="dataBar" priority="25">
      <dataBar>
        <cfvo type="min"/>
        <cfvo type="max"/>
        <color rgb="FFFFB628"/>
      </dataBar>
      <extLst>
        <ext xmlns:x14="http://schemas.microsoft.com/office/spreadsheetml/2009/9/main" uri="{B025F937-C7B1-47D3-B67F-A62EFF666E3E}">
          <x14:id>{DCA91F63-9BA3-4AD7-B70A-8487D0CD2426}</x14:id>
        </ext>
      </extLst>
    </cfRule>
    <cfRule type="dataBar" priority="26">
      <dataBar>
        <cfvo type="min"/>
        <cfvo type="max"/>
        <color rgb="FFFF555A"/>
      </dataBar>
      <extLst>
        <ext xmlns:x14="http://schemas.microsoft.com/office/spreadsheetml/2009/9/main" uri="{B025F937-C7B1-47D3-B67F-A62EFF666E3E}">
          <x14:id>{0254D24C-C232-4013-B024-A5D16722AD2C}</x14:id>
        </ext>
      </extLst>
    </cfRule>
  </conditionalFormatting>
  <conditionalFormatting sqref="Q23:AA33">
    <cfRule type="dataBar" priority="23">
      <dataBar>
        <cfvo type="min"/>
        <cfvo type="max"/>
        <color rgb="FFFFB628"/>
      </dataBar>
      <extLst>
        <ext xmlns:x14="http://schemas.microsoft.com/office/spreadsheetml/2009/9/main" uri="{B025F937-C7B1-47D3-B67F-A62EFF666E3E}">
          <x14:id>{F142DE53-813E-402F-A520-A96A4D0DEB69}</x14:id>
        </ext>
      </extLst>
    </cfRule>
    <cfRule type="dataBar" priority="24">
      <dataBar>
        <cfvo type="min"/>
        <cfvo type="max"/>
        <color rgb="FFFF555A"/>
      </dataBar>
      <extLst>
        <ext xmlns:x14="http://schemas.microsoft.com/office/spreadsheetml/2009/9/main" uri="{B025F937-C7B1-47D3-B67F-A62EFF666E3E}">
          <x14:id>{73225493-3FA5-41E0-9F71-FF8E3360A646}</x14:id>
        </ext>
      </extLst>
    </cfRule>
  </conditionalFormatting>
  <conditionalFormatting sqref="Q41:AA51">
    <cfRule type="dataBar" priority="21">
      <dataBar>
        <cfvo type="min"/>
        <cfvo type="max"/>
        <color rgb="FFFFB628"/>
      </dataBar>
      <extLst>
        <ext xmlns:x14="http://schemas.microsoft.com/office/spreadsheetml/2009/9/main" uri="{B025F937-C7B1-47D3-B67F-A62EFF666E3E}">
          <x14:id>{A133A21D-A7CD-4F1D-99D7-20771EF2BFAF}</x14:id>
        </ext>
      </extLst>
    </cfRule>
    <cfRule type="dataBar" priority="22">
      <dataBar>
        <cfvo type="min"/>
        <cfvo type="max"/>
        <color rgb="FFFF555A"/>
      </dataBar>
      <extLst>
        <ext xmlns:x14="http://schemas.microsoft.com/office/spreadsheetml/2009/9/main" uri="{B025F937-C7B1-47D3-B67F-A62EFF666E3E}">
          <x14:id>{678DB22A-F262-43C3-9F43-C0BDE4C6B9C0}</x14:id>
        </ext>
      </extLst>
    </cfRule>
  </conditionalFormatting>
  <conditionalFormatting sqref="Q59:AA69">
    <cfRule type="dataBar" priority="19">
      <dataBar>
        <cfvo type="min"/>
        <cfvo type="max"/>
        <color rgb="FFFFB628"/>
      </dataBar>
      <extLst>
        <ext xmlns:x14="http://schemas.microsoft.com/office/spreadsheetml/2009/9/main" uri="{B025F937-C7B1-47D3-B67F-A62EFF666E3E}">
          <x14:id>{3FA18D9F-3AFB-4536-9F59-83B307F85F78}</x14:id>
        </ext>
      </extLst>
    </cfRule>
    <cfRule type="dataBar" priority="20">
      <dataBar>
        <cfvo type="min"/>
        <cfvo type="max"/>
        <color rgb="FFFF555A"/>
      </dataBar>
      <extLst>
        <ext xmlns:x14="http://schemas.microsoft.com/office/spreadsheetml/2009/9/main" uri="{B025F937-C7B1-47D3-B67F-A62EFF666E3E}">
          <x14:id>{68425638-0541-47F1-8C21-0C2CB3CBF871}</x14:id>
        </ext>
      </extLst>
    </cfRule>
  </conditionalFormatting>
  <conditionalFormatting sqref="Q79:AA89">
    <cfRule type="dataBar" priority="17">
      <dataBar>
        <cfvo type="min"/>
        <cfvo type="max"/>
        <color rgb="FFFFB628"/>
      </dataBar>
      <extLst>
        <ext xmlns:x14="http://schemas.microsoft.com/office/spreadsheetml/2009/9/main" uri="{B025F937-C7B1-47D3-B67F-A62EFF666E3E}">
          <x14:id>{4F3EA0E7-8393-463D-9679-7EBE473B3D6E}</x14:id>
        </ext>
      </extLst>
    </cfRule>
    <cfRule type="dataBar" priority="18">
      <dataBar>
        <cfvo type="min"/>
        <cfvo type="max"/>
        <color rgb="FFFF555A"/>
      </dataBar>
      <extLst>
        <ext xmlns:x14="http://schemas.microsoft.com/office/spreadsheetml/2009/9/main" uri="{B025F937-C7B1-47D3-B67F-A62EFF666E3E}">
          <x14:id>{D75BC6C6-155F-4CAC-917C-3FEB450E991D}</x14:id>
        </ext>
      </extLst>
    </cfRule>
  </conditionalFormatting>
  <conditionalFormatting sqref="Q97:AA107">
    <cfRule type="dataBar" priority="15">
      <dataBar>
        <cfvo type="min"/>
        <cfvo type="max"/>
        <color rgb="FFFFB628"/>
      </dataBar>
      <extLst>
        <ext xmlns:x14="http://schemas.microsoft.com/office/spreadsheetml/2009/9/main" uri="{B025F937-C7B1-47D3-B67F-A62EFF666E3E}">
          <x14:id>{3B16AF61-4401-470F-B185-10A474C715FE}</x14:id>
        </ext>
      </extLst>
    </cfRule>
    <cfRule type="dataBar" priority="16">
      <dataBar>
        <cfvo type="min"/>
        <cfvo type="max"/>
        <color rgb="FFFF555A"/>
      </dataBar>
      <extLst>
        <ext xmlns:x14="http://schemas.microsoft.com/office/spreadsheetml/2009/9/main" uri="{B025F937-C7B1-47D3-B67F-A62EFF666E3E}">
          <x14:id>{34B56853-698E-48DB-AC81-51B3791D4746}</x14:id>
        </ext>
      </extLst>
    </cfRule>
  </conditionalFormatting>
  <conditionalFormatting sqref="Q115:AA125">
    <cfRule type="dataBar" priority="13">
      <dataBar>
        <cfvo type="min"/>
        <cfvo type="max"/>
        <color rgb="FFFFB628"/>
      </dataBar>
      <extLst>
        <ext xmlns:x14="http://schemas.microsoft.com/office/spreadsheetml/2009/9/main" uri="{B025F937-C7B1-47D3-B67F-A62EFF666E3E}">
          <x14:id>{A77DE5F7-B133-4FC8-85FB-E01EB59F4D6F}</x14:id>
        </ext>
      </extLst>
    </cfRule>
    <cfRule type="dataBar" priority="14">
      <dataBar>
        <cfvo type="min"/>
        <cfvo type="max"/>
        <color rgb="FFFF555A"/>
      </dataBar>
      <extLst>
        <ext xmlns:x14="http://schemas.microsoft.com/office/spreadsheetml/2009/9/main" uri="{B025F937-C7B1-47D3-B67F-A62EFF666E3E}">
          <x14:id>{2CEAAD24-2128-471C-A788-836BCE851DF3}</x14:id>
        </ext>
      </extLst>
    </cfRule>
  </conditionalFormatting>
  <conditionalFormatting sqref="Q133:AA143">
    <cfRule type="dataBar" priority="11">
      <dataBar>
        <cfvo type="min"/>
        <cfvo type="max"/>
        <color rgb="FFFFB628"/>
      </dataBar>
      <extLst>
        <ext xmlns:x14="http://schemas.microsoft.com/office/spreadsheetml/2009/9/main" uri="{B025F937-C7B1-47D3-B67F-A62EFF666E3E}">
          <x14:id>{EE833511-B467-4DE3-8872-9EA4AF65CA87}</x14:id>
        </ext>
      </extLst>
    </cfRule>
    <cfRule type="dataBar" priority="12">
      <dataBar>
        <cfvo type="min"/>
        <cfvo type="max"/>
        <color rgb="FFFF555A"/>
      </dataBar>
      <extLst>
        <ext xmlns:x14="http://schemas.microsoft.com/office/spreadsheetml/2009/9/main" uri="{B025F937-C7B1-47D3-B67F-A62EFF666E3E}">
          <x14:id>{D3817028-E4F9-4C9B-AAE8-58A79A49BD47}</x14:id>
        </ext>
      </extLst>
    </cfRule>
  </conditionalFormatting>
  <pageMargins left="0.7" right="0.7" top="0.75" bottom="0.75" header="0" footer="0"/>
  <pageSetup paperSize="9" orientation="portrait" r:id="rId1"/>
  <tableParts count="8">
    <tablePart r:id="rId2"/>
    <tablePart r:id="rId3"/>
    <tablePart r:id="rId4"/>
    <tablePart r:id="rId5"/>
    <tablePart r:id="rId6"/>
    <tablePart r:id="rId7"/>
    <tablePart r:id="rId8"/>
    <tablePart r:id="rId9"/>
  </tableParts>
  <extLst>
    <ext xmlns:x14="http://schemas.microsoft.com/office/spreadsheetml/2009/9/main" uri="{78C0D931-6437-407d-A8EE-F0AAD7539E65}">
      <x14:conditionalFormattings>
        <x14:conditionalFormatting xmlns:xm="http://schemas.microsoft.com/office/excel/2006/main">
          <x14:cfRule type="dataBar" id="{DCA91F63-9BA3-4AD7-B70A-8487D0CD2426}">
            <x14:dataBar minLength="0" maxLength="100" gradient="0">
              <x14:cfvo type="autoMin"/>
              <x14:cfvo type="autoMax"/>
              <x14:negativeFillColor rgb="FFFF0000"/>
              <x14:axisColor rgb="FF000000"/>
            </x14:dataBar>
          </x14:cfRule>
          <x14:cfRule type="dataBar" id="{0254D24C-C232-4013-B024-A5D16722AD2C}">
            <x14:dataBar minLength="0" maxLength="100" border="1" negativeBarBorderColorSameAsPositive="0">
              <x14:cfvo type="autoMin"/>
              <x14:cfvo type="autoMax"/>
              <x14:borderColor rgb="FFFF555A"/>
              <x14:negativeFillColor rgb="FFFF0000"/>
              <x14:negativeBorderColor rgb="FFFF0000"/>
              <x14:axisColor rgb="FF000000"/>
            </x14:dataBar>
          </x14:cfRule>
          <xm:sqref>Q5:AA15</xm:sqref>
        </x14:conditionalFormatting>
        <x14:conditionalFormatting xmlns:xm="http://schemas.microsoft.com/office/excel/2006/main">
          <x14:cfRule type="dataBar" id="{F142DE53-813E-402F-A520-A96A4D0DEB69}">
            <x14:dataBar minLength="0" maxLength="100" gradient="0">
              <x14:cfvo type="autoMin"/>
              <x14:cfvo type="autoMax"/>
              <x14:negativeFillColor rgb="FFFF0000"/>
              <x14:axisColor rgb="FF000000"/>
            </x14:dataBar>
          </x14:cfRule>
          <x14:cfRule type="dataBar" id="{73225493-3FA5-41E0-9F71-FF8E3360A646}">
            <x14:dataBar minLength="0" maxLength="100" border="1" negativeBarBorderColorSameAsPositive="0">
              <x14:cfvo type="autoMin"/>
              <x14:cfvo type="autoMax"/>
              <x14:borderColor rgb="FFFF555A"/>
              <x14:negativeFillColor rgb="FFFF0000"/>
              <x14:negativeBorderColor rgb="FFFF0000"/>
              <x14:axisColor rgb="FF000000"/>
            </x14:dataBar>
          </x14:cfRule>
          <xm:sqref>Q23:AA33</xm:sqref>
        </x14:conditionalFormatting>
        <x14:conditionalFormatting xmlns:xm="http://schemas.microsoft.com/office/excel/2006/main">
          <x14:cfRule type="dataBar" id="{A133A21D-A7CD-4F1D-99D7-20771EF2BFAF}">
            <x14:dataBar minLength="0" maxLength="100" gradient="0">
              <x14:cfvo type="autoMin"/>
              <x14:cfvo type="autoMax"/>
              <x14:negativeFillColor rgb="FFFF0000"/>
              <x14:axisColor rgb="FF000000"/>
            </x14:dataBar>
          </x14:cfRule>
          <x14:cfRule type="dataBar" id="{678DB22A-F262-43C3-9F43-C0BDE4C6B9C0}">
            <x14:dataBar minLength="0" maxLength="100" border="1" negativeBarBorderColorSameAsPositive="0">
              <x14:cfvo type="autoMin"/>
              <x14:cfvo type="autoMax"/>
              <x14:borderColor rgb="FFFF555A"/>
              <x14:negativeFillColor rgb="FFFF0000"/>
              <x14:negativeBorderColor rgb="FFFF0000"/>
              <x14:axisColor rgb="FF000000"/>
            </x14:dataBar>
          </x14:cfRule>
          <xm:sqref>Q41:AA51</xm:sqref>
        </x14:conditionalFormatting>
        <x14:conditionalFormatting xmlns:xm="http://schemas.microsoft.com/office/excel/2006/main">
          <x14:cfRule type="dataBar" id="{3FA18D9F-3AFB-4536-9F59-83B307F85F78}">
            <x14:dataBar minLength="0" maxLength="100" gradient="0">
              <x14:cfvo type="autoMin"/>
              <x14:cfvo type="autoMax"/>
              <x14:negativeFillColor rgb="FFFF0000"/>
              <x14:axisColor rgb="FF000000"/>
            </x14:dataBar>
          </x14:cfRule>
          <x14:cfRule type="dataBar" id="{68425638-0541-47F1-8C21-0C2CB3CBF871}">
            <x14:dataBar minLength="0" maxLength="100" border="1" negativeBarBorderColorSameAsPositive="0">
              <x14:cfvo type="autoMin"/>
              <x14:cfvo type="autoMax"/>
              <x14:borderColor rgb="FFFF555A"/>
              <x14:negativeFillColor rgb="FFFF0000"/>
              <x14:negativeBorderColor rgb="FFFF0000"/>
              <x14:axisColor rgb="FF000000"/>
            </x14:dataBar>
          </x14:cfRule>
          <xm:sqref>Q59:AA69</xm:sqref>
        </x14:conditionalFormatting>
        <x14:conditionalFormatting xmlns:xm="http://schemas.microsoft.com/office/excel/2006/main">
          <x14:cfRule type="dataBar" id="{4F3EA0E7-8393-463D-9679-7EBE473B3D6E}">
            <x14:dataBar minLength="0" maxLength="100" gradient="0">
              <x14:cfvo type="autoMin"/>
              <x14:cfvo type="autoMax"/>
              <x14:negativeFillColor rgb="FFFF0000"/>
              <x14:axisColor rgb="FF000000"/>
            </x14:dataBar>
          </x14:cfRule>
          <x14:cfRule type="dataBar" id="{D75BC6C6-155F-4CAC-917C-3FEB450E991D}">
            <x14:dataBar minLength="0" maxLength="100" border="1" negativeBarBorderColorSameAsPositive="0">
              <x14:cfvo type="autoMin"/>
              <x14:cfvo type="autoMax"/>
              <x14:borderColor rgb="FFFF555A"/>
              <x14:negativeFillColor rgb="FFFF0000"/>
              <x14:negativeBorderColor rgb="FFFF0000"/>
              <x14:axisColor rgb="FF000000"/>
            </x14:dataBar>
          </x14:cfRule>
          <xm:sqref>Q79:AA89</xm:sqref>
        </x14:conditionalFormatting>
        <x14:conditionalFormatting xmlns:xm="http://schemas.microsoft.com/office/excel/2006/main">
          <x14:cfRule type="dataBar" id="{3B16AF61-4401-470F-B185-10A474C715FE}">
            <x14:dataBar minLength="0" maxLength="100" gradient="0">
              <x14:cfvo type="autoMin"/>
              <x14:cfvo type="autoMax"/>
              <x14:negativeFillColor rgb="FFFF0000"/>
              <x14:axisColor rgb="FF000000"/>
            </x14:dataBar>
          </x14:cfRule>
          <x14:cfRule type="dataBar" id="{34B56853-698E-48DB-AC81-51B3791D4746}">
            <x14:dataBar minLength="0" maxLength="100" border="1" negativeBarBorderColorSameAsPositive="0">
              <x14:cfvo type="autoMin"/>
              <x14:cfvo type="autoMax"/>
              <x14:borderColor rgb="FFFF555A"/>
              <x14:negativeFillColor rgb="FFFF0000"/>
              <x14:negativeBorderColor rgb="FFFF0000"/>
              <x14:axisColor rgb="FF000000"/>
            </x14:dataBar>
          </x14:cfRule>
          <xm:sqref>Q97:AA107</xm:sqref>
        </x14:conditionalFormatting>
        <x14:conditionalFormatting xmlns:xm="http://schemas.microsoft.com/office/excel/2006/main">
          <x14:cfRule type="dataBar" id="{A77DE5F7-B133-4FC8-85FB-E01EB59F4D6F}">
            <x14:dataBar minLength="0" maxLength="100" gradient="0">
              <x14:cfvo type="autoMin"/>
              <x14:cfvo type="autoMax"/>
              <x14:negativeFillColor rgb="FFFF0000"/>
              <x14:axisColor rgb="FF000000"/>
            </x14:dataBar>
          </x14:cfRule>
          <x14:cfRule type="dataBar" id="{2CEAAD24-2128-471C-A788-836BCE851DF3}">
            <x14:dataBar minLength="0" maxLength="100" border="1" negativeBarBorderColorSameAsPositive="0">
              <x14:cfvo type="autoMin"/>
              <x14:cfvo type="autoMax"/>
              <x14:borderColor rgb="FFFF555A"/>
              <x14:negativeFillColor rgb="FFFF0000"/>
              <x14:negativeBorderColor rgb="FFFF0000"/>
              <x14:axisColor rgb="FF000000"/>
            </x14:dataBar>
          </x14:cfRule>
          <xm:sqref>Q115:AA125</xm:sqref>
        </x14:conditionalFormatting>
        <x14:conditionalFormatting xmlns:xm="http://schemas.microsoft.com/office/excel/2006/main">
          <x14:cfRule type="dataBar" id="{EE833511-B467-4DE3-8872-9EA4AF65CA87}">
            <x14:dataBar minLength="0" maxLength="100" gradient="0">
              <x14:cfvo type="autoMin"/>
              <x14:cfvo type="autoMax"/>
              <x14:negativeFillColor rgb="FFFF0000"/>
              <x14:axisColor rgb="FF000000"/>
            </x14:dataBar>
          </x14:cfRule>
          <x14:cfRule type="dataBar" id="{D3817028-E4F9-4C9B-AAE8-58A79A49BD47}">
            <x14:dataBar minLength="0" maxLength="100" border="1" negativeBarBorderColorSameAsPositive="0">
              <x14:cfvo type="autoMin"/>
              <x14:cfvo type="autoMax"/>
              <x14:borderColor rgb="FFFF555A"/>
              <x14:negativeFillColor rgb="FFFF0000"/>
              <x14:negativeBorderColor rgb="FFFF0000"/>
              <x14:axisColor rgb="FF000000"/>
            </x14:dataBar>
          </x14:cfRule>
          <xm:sqref>Q133:AA143</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A6D239-EDCD-4B64-BE77-CFB5ADDE415D}">
  <dimension ref="A1:AE916"/>
  <sheetViews>
    <sheetView showGridLines="0" zoomScale="65" zoomScaleNormal="40" workbookViewId="0">
      <selection activeCell="E155" sqref="E155"/>
    </sheetView>
  </sheetViews>
  <sheetFormatPr defaultColWidth="12.6640625" defaultRowHeight="15" customHeight="1" x14ac:dyDescent="0.25"/>
  <cols>
    <col min="1" max="1" width="8.6640625" style="2" customWidth="1"/>
    <col min="2" max="2" width="12.6640625" style="2" customWidth="1"/>
    <col min="3" max="3" width="38.44140625" style="2" bestFit="1" customWidth="1"/>
    <col min="4" max="4" width="9.88671875" style="2" bestFit="1" customWidth="1"/>
    <col min="5" max="6" width="8.77734375" style="2" bestFit="1" customWidth="1"/>
    <col min="7" max="7" width="9" style="2" bestFit="1" customWidth="1"/>
    <col min="8" max="8" width="10.5546875" style="2" bestFit="1" customWidth="1"/>
    <col min="9" max="9" width="9" style="2" bestFit="1" customWidth="1"/>
    <col min="10" max="10" width="9.88671875" style="2" bestFit="1" customWidth="1"/>
    <col min="11" max="11" width="11.109375" style="2" customWidth="1"/>
    <col min="12" max="13" width="11.21875" style="2" bestFit="1" customWidth="1"/>
    <col min="14" max="14" width="9.6640625" style="2" bestFit="1" customWidth="1"/>
    <col min="15" max="15" width="8.6640625" style="2" customWidth="1"/>
    <col min="16" max="16" width="14.6640625" style="2" bestFit="1" customWidth="1"/>
    <col min="17" max="17" width="10" style="2" bestFit="1" customWidth="1"/>
    <col min="18" max="18" width="8.6640625" style="2" customWidth="1"/>
    <col min="19" max="19" width="7.33203125" style="2" bestFit="1" customWidth="1"/>
    <col min="20" max="20" width="8.33203125" style="2" bestFit="1" customWidth="1"/>
    <col min="21" max="21" width="10" style="2" bestFit="1" customWidth="1"/>
    <col min="22" max="22" width="8" style="2" customWidth="1"/>
    <col min="23" max="23" width="9.6640625" style="2" bestFit="1" customWidth="1"/>
    <col min="24" max="24" width="10.5546875" style="2" bestFit="1" customWidth="1"/>
    <col min="25" max="25" width="11.21875" style="2" bestFit="1" customWidth="1"/>
    <col min="26" max="26" width="11.109375" style="2" bestFit="1" customWidth="1"/>
    <col min="27" max="27" width="9.5546875" style="2" bestFit="1" customWidth="1"/>
    <col min="28" max="16384" width="12.6640625" style="2"/>
  </cols>
  <sheetData>
    <row r="1" spans="1:31" ht="25.05" customHeight="1" x14ac:dyDescent="0.25">
      <c r="A1" s="252" t="s">
        <v>81</v>
      </c>
      <c r="B1" s="252"/>
      <c r="C1" s="252"/>
      <c r="D1" s="252"/>
      <c r="E1" s="252"/>
      <c r="F1" s="252"/>
    </row>
    <row r="2" spans="1:31" ht="15" customHeight="1" x14ac:dyDescent="0.25">
      <c r="B2" s="5"/>
      <c r="C2" s="5"/>
      <c r="D2" s="5"/>
      <c r="E2" s="5"/>
      <c r="F2" s="5"/>
      <c r="G2" s="5"/>
      <c r="H2" s="5"/>
      <c r="I2" s="5"/>
      <c r="J2" s="5"/>
      <c r="K2" s="5"/>
      <c r="L2" s="5"/>
      <c r="M2" s="5"/>
      <c r="N2" s="5"/>
      <c r="O2" s="5"/>
      <c r="P2" s="5"/>
      <c r="Q2" s="5"/>
      <c r="R2" s="5"/>
      <c r="S2" s="5"/>
      <c r="T2" s="5"/>
      <c r="U2" s="5"/>
      <c r="V2" s="5"/>
      <c r="W2" s="5"/>
      <c r="X2" s="5"/>
      <c r="Y2" s="5"/>
      <c r="Z2" s="5"/>
      <c r="AA2" s="5"/>
    </row>
    <row r="3" spans="1:31" ht="15" customHeight="1" thickBot="1" x14ac:dyDescent="0.3">
      <c r="B3" s="253" t="s">
        <v>71</v>
      </c>
      <c r="C3" s="253"/>
      <c r="D3" s="253"/>
      <c r="E3" s="253"/>
      <c r="F3" s="253"/>
      <c r="G3" s="253"/>
      <c r="H3" s="253"/>
      <c r="I3" s="253"/>
      <c r="J3" s="253"/>
      <c r="K3" s="253"/>
      <c r="L3" s="253"/>
      <c r="M3" s="253"/>
      <c r="N3" s="253"/>
      <c r="P3" s="253" t="s">
        <v>76</v>
      </c>
      <c r="Q3" s="253"/>
      <c r="R3" s="253"/>
      <c r="S3" s="253"/>
      <c r="T3" s="253"/>
      <c r="U3" s="253"/>
      <c r="V3" s="253"/>
      <c r="W3" s="253"/>
      <c r="X3" s="253"/>
      <c r="Y3" s="253"/>
      <c r="Z3" s="253"/>
      <c r="AA3" s="253"/>
      <c r="AB3" s="10"/>
      <c r="AC3" s="3" t="s">
        <v>22</v>
      </c>
      <c r="AD3" s="13" t="s">
        <v>23</v>
      </c>
      <c r="AE3" s="15">
        <f t="array" ref="AE3">MIN(IF(D6:N16&gt;0,D6:N16))</f>
        <v>0.79888227957465219</v>
      </c>
    </row>
    <row r="4" spans="1:31" ht="15" customHeight="1" thickBot="1" x14ac:dyDescent="0.3">
      <c r="B4" s="75" t="s">
        <v>13</v>
      </c>
      <c r="C4" s="66" t="s">
        <v>14</v>
      </c>
      <c r="D4" s="67" t="s">
        <v>1</v>
      </c>
      <c r="E4" s="67" t="s">
        <v>195</v>
      </c>
      <c r="F4" s="67" t="s">
        <v>2</v>
      </c>
      <c r="G4" s="67" t="s">
        <v>3</v>
      </c>
      <c r="H4" s="67" t="s">
        <v>4</v>
      </c>
      <c r="I4" s="67" t="s">
        <v>5</v>
      </c>
      <c r="J4" s="67" t="s">
        <v>6</v>
      </c>
      <c r="K4" s="67" t="s">
        <v>7</v>
      </c>
      <c r="L4" s="67" t="s">
        <v>295</v>
      </c>
      <c r="M4" s="67" t="s">
        <v>9</v>
      </c>
      <c r="N4" s="67" t="s">
        <v>10</v>
      </c>
      <c r="P4" s="76" t="s">
        <v>19</v>
      </c>
      <c r="Q4" s="77" t="s">
        <v>1</v>
      </c>
      <c r="R4" s="77" t="s">
        <v>195</v>
      </c>
      <c r="S4" s="77" t="s">
        <v>2</v>
      </c>
      <c r="T4" s="77" t="s">
        <v>3</v>
      </c>
      <c r="U4" s="77" t="s">
        <v>4</v>
      </c>
      <c r="V4" s="77" t="s">
        <v>5</v>
      </c>
      <c r="W4" s="77" t="s">
        <v>6</v>
      </c>
      <c r="X4" s="77" t="s">
        <v>7</v>
      </c>
      <c r="Y4" s="77" t="s">
        <v>295</v>
      </c>
      <c r="Z4" s="77" t="s">
        <v>9</v>
      </c>
      <c r="AA4" s="77" t="s">
        <v>10</v>
      </c>
      <c r="AB4" s="254" t="s">
        <v>26</v>
      </c>
      <c r="AC4" s="254"/>
      <c r="AD4" s="13" t="s">
        <v>24</v>
      </c>
      <c r="AE4" s="20">
        <f>MAX(D6:N16)</f>
        <v>637.908410955362</v>
      </c>
    </row>
    <row r="5" spans="1:31" ht="15.6" customHeight="1" x14ac:dyDescent="0.25">
      <c r="B5" s="93"/>
      <c r="C5" s="94" t="s">
        <v>69</v>
      </c>
      <c r="D5" s="95">
        <f>C6</f>
        <v>-16.033002756066896</v>
      </c>
      <c r="E5" s="95">
        <f>C7</f>
        <v>-26.199770780721515</v>
      </c>
      <c r="F5" s="95">
        <f>C8</f>
        <v>-1.2119216458305113</v>
      </c>
      <c r="G5" s="95">
        <f>C9</f>
        <v>-12.190526265409455</v>
      </c>
      <c r="H5" s="95">
        <f>C10</f>
        <v>-440.43708020747437</v>
      </c>
      <c r="I5" s="95">
        <f>C11</f>
        <v>-76.691059568587576</v>
      </c>
      <c r="J5" s="95">
        <f>C12</f>
        <v>-25.400888501146863</v>
      </c>
      <c r="K5" s="95">
        <f>C13</f>
        <v>-337.61216314954783</v>
      </c>
      <c r="L5" s="95">
        <f>C14</f>
        <v>-639.12033260119256</v>
      </c>
      <c r="M5" s="95">
        <f>C15</f>
        <v>-157.33429405704999</v>
      </c>
      <c r="N5" s="95">
        <f>C16</f>
        <v>-320.39538524927048</v>
      </c>
      <c r="P5" s="21" t="s">
        <v>1</v>
      </c>
      <c r="Q5" s="97">
        <f t="shared" ref="Q5:AA15" si="0">$AE$5+(D6-$AE$3)*($AE$6-$AE$5)/($AE$4-$AE$3)</f>
        <v>-2.5266278618351441E-4</v>
      </c>
      <c r="R5" s="97">
        <f t="shared" si="0"/>
        <v>1.568902510183183E-2</v>
      </c>
      <c r="S5" s="97">
        <f t="shared" si="0"/>
        <v>-2.5266278618351441E-4</v>
      </c>
      <c r="T5" s="97">
        <f t="shared" si="0"/>
        <v>-2.5266278618351441E-4</v>
      </c>
      <c r="U5" s="97">
        <f t="shared" si="0"/>
        <v>0.66522109689087683</v>
      </c>
      <c r="V5" s="97">
        <f t="shared" si="0"/>
        <v>9.4860337456738608E-2</v>
      </c>
      <c r="W5" s="97">
        <f t="shared" si="0"/>
        <v>1.4436362315648318E-2</v>
      </c>
      <c r="X5" s="97">
        <f t="shared" si="0"/>
        <v>0.50398964842333727</v>
      </c>
      <c r="Y5" s="97">
        <f t="shared" si="0"/>
        <v>0.97676025963714508</v>
      </c>
      <c r="Z5" s="97">
        <f t="shared" si="0"/>
        <v>0.22131048084326241</v>
      </c>
      <c r="AA5" s="97">
        <f t="shared" si="0"/>
        <v>0.47699340939654733</v>
      </c>
      <c r="AD5" s="3" t="s">
        <v>25</v>
      </c>
      <c r="AE5" s="2">
        <v>1E-3</v>
      </c>
    </row>
    <row r="6" spans="1:31" ht="15" customHeight="1" x14ac:dyDescent="0.25">
      <c r="B6" s="21" t="s">
        <v>1</v>
      </c>
      <c r="C6" s="95">
        <f>Annual_sorted!M240</f>
        <v>-16.033002756066896</v>
      </c>
      <c r="D6" s="29">
        <f>IF(C6-Table_146310938[Burundi]&gt;0, C6-Table_146310938[Burundi], 0)</f>
        <v>0</v>
      </c>
      <c r="E6" s="29">
        <f>IF(C6-Table_146310938[DRC]&gt;0, C6-Table_146310938[DRC], 0)</f>
        <v>10.166768024654619</v>
      </c>
      <c r="F6" s="29">
        <f>IF(C6-Table_146310938[Egypt]&gt;0, C6-Table_146310938[Egypt], 0)</f>
        <v>0</v>
      </c>
      <c r="G6" s="29">
        <f>IF(C6-Table_146310938[Eritrea]&gt;0, C6-Table_146310938[Eritrea], 0)</f>
        <v>0</v>
      </c>
      <c r="H6" s="29">
        <f>IF(C6-Table_146310938[Ethiopia]&gt;0, C6-Table_146310938[Ethiopia], 0)</f>
        <v>424.40407745140749</v>
      </c>
      <c r="I6" s="29">
        <f>IF(C6-Table_146310938[Kenya]&gt;0, C6-Table_146310938[Kenya], 0)</f>
        <v>60.658056812520684</v>
      </c>
      <c r="J6" s="29">
        <f>IF(C6-Table_146310938[Rwanda]&gt;0, C6-Table_146310938[Rwanda], 0)</f>
        <v>9.3678857450799669</v>
      </c>
      <c r="K6" s="29">
        <f>IF(C6-Table_146310938[Sudan]&gt;0, C6-Table_146310938[Sudan], 0)</f>
        <v>321.57916039348095</v>
      </c>
      <c r="L6" s="29">
        <f>IF(C6-Table_146310938[S. Sudan]&gt;0, C6-Table_146310938[S. Sudan], 0)</f>
        <v>623.08732984512562</v>
      </c>
      <c r="M6" s="29">
        <f>IF(C6-Table_146310938[Tanzania]&gt;0, C6-Table_146310938[Tanzania], 0)</f>
        <v>141.30129130098308</v>
      </c>
      <c r="N6" s="29">
        <f>IF(C6-Table_146310938[Uganda]&gt;0, C6-Table_146310938[Uganda], 0)</f>
        <v>304.3623824932036</v>
      </c>
      <c r="P6" s="21" t="s">
        <v>195</v>
      </c>
      <c r="Q6" s="97">
        <f t="shared" si="0"/>
        <v>-2.5266278618351441E-4</v>
      </c>
      <c r="R6" s="97">
        <f t="shared" si="0"/>
        <v>-2.5266278618351441E-4</v>
      </c>
      <c r="S6" s="97">
        <f t="shared" si="0"/>
        <v>-2.5266278618351441E-4</v>
      </c>
      <c r="T6" s="97">
        <f t="shared" si="0"/>
        <v>-2.5266278618351441E-4</v>
      </c>
      <c r="U6" s="97">
        <f t="shared" si="0"/>
        <v>0.64927940900286141</v>
      </c>
      <c r="V6" s="97">
        <f t="shared" si="0"/>
        <v>7.8918649568723256E-2</v>
      </c>
      <c r="W6" s="97">
        <f t="shared" si="0"/>
        <v>-2.5266278618351441E-4</v>
      </c>
      <c r="X6" s="97">
        <f t="shared" si="0"/>
        <v>0.48804796053532196</v>
      </c>
      <c r="Y6" s="97">
        <f t="shared" si="0"/>
        <v>0.96081857174912977</v>
      </c>
      <c r="Z6" s="97">
        <f t="shared" si="0"/>
        <v>0.20536879295524713</v>
      </c>
      <c r="AA6" s="97">
        <f t="shared" si="0"/>
        <v>0.46105172150853191</v>
      </c>
      <c r="AD6" s="3" t="s">
        <v>70</v>
      </c>
      <c r="AE6" s="2">
        <v>1</v>
      </c>
    </row>
    <row r="7" spans="1:31" ht="15" customHeight="1" x14ac:dyDescent="0.25">
      <c r="B7" s="21" t="s">
        <v>195</v>
      </c>
      <c r="C7" s="95">
        <f>Annual_sorted!M241</f>
        <v>-26.199770780721515</v>
      </c>
      <c r="D7" s="29">
        <f>IF(C7-Table_146310938[Burundi]&gt;0, C7-Table_146310938[Burundi], 0)</f>
        <v>0</v>
      </c>
      <c r="E7" s="29">
        <f>IF(C7-Table_146310938[DRC]&gt;0, C7-Table_146310938[DRC], 0)</f>
        <v>0</v>
      </c>
      <c r="F7" s="29">
        <f>IF(C7-Table_146310938[Egypt]&gt;0, C7-Table_146310938[Egypt], 0)</f>
        <v>0</v>
      </c>
      <c r="G7" s="29">
        <f>IF(C7-Table_146310938[Eritrea]&gt;0, C7-Table_146310938[Eritrea], 0)</f>
        <v>0</v>
      </c>
      <c r="H7" s="29">
        <f>IF(C7-Table_146310938[Ethiopia]&gt;0, C7-Table_146310938[Ethiopia], 0)</f>
        <v>414.23730942675286</v>
      </c>
      <c r="I7" s="29">
        <f>IF(C7-Table_146310938[Kenya]&gt;0, C7-Table_146310938[Kenya], 0)</f>
        <v>50.491288787866061</v>
      </c>
      <c r="J7" s="29">
        <f>IF(C7-Table_146310938[Rwanda]&gt;0, C7-Table_146310938[Rwanda], 0)</f>
        <v>0</v>
      </c>
      <c r="K7" s="29">
        <f>IF(C7-Table_146310938[Sudan]&gt;0, C7-Table_146310938[Sudan], 0)</f>
        <v>311.41239236882632</v>
      </c>
      <c r="L7" s="29">
        <f>IF(C7-Table_146310938[S. Sudan]&gt;0, C7-Table_146310938[S. Sudan], 0)</f>
        <v>612.92056182047099</v>
      </c>
      <c r="M7" s="29">
        <f>IF(C7-Table_146310938[Tanzania]&gt;0, C7-Table_146310938[Tanzania], 0)</f>
        <v>131.13452327632848</v>
      </c>
      <c r="N7" s="29">
        <f>IF(C7-Table_146310938[Uganda]&gt;0, C7-Table_146310938[Uganda], 0)</f>
        <v>294.19561446854897</v>
      </c>
      <c r="P7" s="21" t="s">
        <v>2</v>
      </c>
      <c r="Q7" s="97">
        <f t="shared" si="0"/>
        <v>2.2987077576671375E-2</v>
      </c>
      <c r="R7" s="97">
        <f t="shared" si="0"/>
        <v>3.8928765464686717E-2</v>
      </c>
      <c r="S7" s="97">
        <f t="shared" si="0"/>
        <v>-2.5266278618351441E-4</v>
      </c>
      <c r="T7" s="97">
        <f t="shared" si="0"/>
        <v>1.6962000503745991E-2</v>
      </c>
      <c r="U7" s="97">
        <f t="shared" si="0"/>
        <v>0.68846083725373164</v>
      </c>
      <c r="V7" s="97">
        <f t="shared" si="0"/>
        <v>0.11810007781959347</v>
      </c>
      <c r="W7" s="97">
        <f t="shared" si="0"/>
        <v>3.7676102678503201E-2</v>
      </c>
      <c r="X7" s="97">
        <f t="shared" si="0"/>
        <v>0.52722938878619219</v>
      </c>
      <c r="Y7" s="97">
        <f t="shared" si="0"/>
        <v>1</v>
      </c>
      <c r="Z7" s="97">
        <f t="shared" si="0"/>
        <v>0.24455022120611736</v>
      </c>
      <c r="AA7" s="97">
        <f t="shared" si="0"/>
        <v>0.50023314975940214</v>
      </c>
    </row>
    <row r="8" spans="1:31" ht="15" customHeight="1" x14ac:dyDescent="0.25">
      <c r="B8" s="21" t="s">
        <v>2</v>
      </c>
      <c r="C8" s="95">
        <f>Annual_sorted!M242</f>
        <v>-1.2119216458305113</v>
      </c>
      <c r="D8" s="29">
        <f>IF(C8-Table_146310938[Burundi]&gt;0, C8-Table_146310938[Burundi], 0)</f>
        <v>14.821081110236385</v>
      </c>
      <c r="E8" s="29">
        <f>IF(C8-Table_146310938[DRC]&gt;0, C8-Table_146310938[DRC], 0)</f>
        <v>24.987849134891004</v>
      </c>
      <c r="F8" s="29">
        <f>IF(C8-Table_146310938[Egypt]&gt;0, C8-Table_146310938[Egypt], 0)</f>
        <v>0</v>
      </c>
      <c r="G8" s="29">
        <f>IF(C8-Table_146310938[Eritrea]&gt;0, C8-Table_146310938[Eritrea], 0)</f>
        <v>10.978604619578944</v>
      </c>
      <c r="H8" s="29">
        <f>IF(C8-Table_146310938[Ethiopia]&gt;0, C8-Table_146310938[Ethiopia], 0)</f>
        <v>439.22515856164387</v>
      </c>
      <c r="I8" s="29">
        <f>IF(C8-Table_146310938[Kenya]&gt;0, C8-Table_146310938[Kenya], 0)</f>
        <v>75.479137922757062</v>
      </c>
      <c r="J8" s="29">
        <f>IF(C8-Table_146310938[Rwanda]&gt;0, C8-Table_146310938[Rwanda], 0)</f>
        <v>24.188966855316352</v>
      </c>
      <c r="K8" s="29">
        <f>IF(C8-Table_146310938[Sudan]&gt;0, C8-Table_146310938[Sudan], 0)</f>
        <v>336.40024150371733</v>
      </c>
      <c r="L8" s="29">
        <f>IF(C8-Table_146310938[S. Sudan]&gt;0, C8-Table_146310938[S. Sudan], 0)</f>
        <v>637.908410955362</v>
      </c>
      <c r="M8" s="29">
        <f>IF(C8-Table_146310938[Tanzania]&gt;0, C8-Table_146310938[Tanzania], 0)</f>
        <v>156.12237241121949</v>
      </c>
      <c r="N8" s="29">
        <f>IF(C8-Table_146310938[Uganda]&gt;0, C8-Table_146310938[Uganda], 0)</f>
        <v>319.18346360343998</v>
      </c>
      <c r="P8" s="21" t="s">
        <v>3</v>
      </c>
      <c r="Q8" s="97">
        <f t="shared" si="0"/>
        <v>5.772414286741869E-3</v>
      </c>
      <c r="R8" s="97">
        <f t="shared" si="0"/>
        <v>2.1714102174757215E-2</v>
      </c>
      <c r="S8" s="97">
        <f t="shared" si="0"/>
        <v>-2.5266278618351441E-4</v>
      </c>
      <c r="T8" s="97">
        <f t="shared" si="0"/>
        <v>-2.5266278618351441E-4</v>
      </c>
      <c r="U8" s="97">
        <f t="shared" si="0"/>
        <v>0.67124617396380215</v>
      </c>
      <c r="V8" s="97">
        <f t="shared" si="0"/>
        <v>0.10088541452966397</v>
      </c>
      <c r="W8" s="97">
        <f t="shared" si="0"/>
        <v>2.0461439388573702E-2</v>
      </c>
      <c r="X8" s="97">
        <f t="shared" si="0"/>
        <v>0.5100147254962627</v>
      </c>
      <c r="Y8" s="97">
        <f t="shared" si="0"/>
        <v>0.98278533671007073</v>
      </c>
      <c r="Z8" s="97">
        <f t="shared" si="0"/>
        <v>0.22733555791618784</v>
      </c>
      <c r="AA8" s="97">
        <f t="shared" si="0"/>
        <v>0.48301848646947265</v>
      </c>
    </row>
    <row r="9" spans="1:31" ht="15" customHeight="1" x14ac:dyDescent="0.25">
      <c r="B9" s="21" t="s">
        <v>3</v>
      </c>
      <c r="C9" s="95">
        <f>Annual_sorted!M243</f>
        <v>-12.190526265409455</v>
      </c>
      <c r="D9" s="29">
        <f>IF(C9-Table_146310938[Burundi]&gt;0, C9-Table_146310938[Burundi], 0)</f>
        <v>3.8424764906574413</v>
      </c>
      <c r="E9" s="29">
        <f>IF(C9-Table_146310938[DRC]&gt;0, C9-Table_146310938[DRC], 0)</f>
        <v>14.00924451531206</v>
      </c>
      <c r="F9" s="29">
        <f>IF(C9-Table_146310938[Egypt]&gt;0, C9-Table_146310938[Egypt], 0)</f>
        <v>0</v>
      </c>
      <c r="G9" s="29">
        <f>IF(C9-Table_146310938[Eritrea]&gt;0, C9-Table_146310938[Eritrea], 0)</f>
        <v>0</v>
      </c>
      <c r="H9" s="29">
        <f>IF(C9-Table_146310938[Ethiopia]&gt;0, C9-Table_146310938[Ethiopia], 0)</f>
        <v>428.24655394206491</v>
      </c>
      <c r="I9" s="29">
        <f>IF(C9-Table_146310938[Kenya]&gt;0, C9-Table_146310938[Kenya], 0)</f>
        <v>64.500533303178116</v>
      </c>
      <c r="J9" s="29">
        <f>IF(C9-Table_146310938[Rwanda]&gt;0, C9-Table_146310938[Rwanda], 0)</f>
        <v>13.210362235737408</v>
      </c>
      <c r="K9" s="29">
        <f>IF(C9-Table_146310938[Sudan]&gt;0, C9-Table_146310938[Sudan], 0)</f>
        <v>325.42163688413837</v>
      </c>
      <c r="L9" s="29">
        <f>IF(C9-Table_146310938[S. Sudan]&gt;0, C9-Table_146310938[S. Sudan], 0)</f>
        <v>626.92980633578316</v>
      </c>
      <c r="M9" s="29">
        <f>IF(C9-Table_146310938[Tanzania]&gt;0, C9-Table_146310938[Tanzania], 0)</f>
        <v>145.14376779164053</v>
      </c>
      <c r="N9" s="29">
        <f>IF(C9-Table_146310938[Uganda]&gt;0, C9-Table_146310938[Uganda], 0)</f>
        <v>308.20485898386102</v>
      </c>
      <c r="P9" s="21" t="s">
        <v>4</v>
      </c>
      <c r="Q9" s="97">
        <f t="shared" si="0"/>
        <v>-2.5266278618351441E-4</v>
      </c>
      <c r="R9" s="97">
        <f t="shared" si="0"/>
        <v>-2.5266278618351441E-4</v>
      </c>
      <c r="S9" s="97">
        <f t="shared" si="0"/>
        <v>-2.5266278618351441E-4</v>
      </c>
      <c r="T9" s="97">
        <f t="shared" si="0"/>
        <v>-2.5266278618351441E-4</v>
      </c>
      <c r="U9" s="97">
        <f t="shared" si="0"/>
        <v>-2.5266278618351441E-4</v>
      </c>
      <c r="V9" s="97">
        <f t="shared" si="0"/>
        <v>-2.5266278618351441E-4</v>
      </c>
      <c r="W9" s="97">
        <f t="shared" si="0"/>
        <v>-2.5266278618351441E-4</v>
      </c>
      <c r="X9" s="97">
        <f t="shared" si="0"/>
        <v>-2.5266278618351441E-4</v>
      </c>
      <c r="Y9" s="97">
        <f t="shared" si="0"/>
        <v>0.31128649996008489</v>
      </c>
      <c r="Z9" s="97">
        <f t="shared" si="0"/>
        <v>-2.5266278618351441E-4</v>
      </c>
      <c r="AA9" s="97">
        <f t="shared" si="0"/>
        <v>-2.5266278618351441E-4</v>
      </c>
    </row>
    <row r="10" spans="1:31" ht="15" customHeight="1" x14ac:dyDescent="0.25">
      <c r="B10" s="21" t="s">
        <v>4</v>
      </c>
      <c r="C10" s="95">
        <f>Annual_sorted!M244</f>
        <v>-440.43708020747437</v>
      </c>
      <c r="D10" s="29">
        <f>IF(C10-Table_146310938[Burundi]&gt;0, C10-Table_146310938[Burundi], 0)</f>
        <v>0</v>
      </c>
      <c r="E10" s="29">
        <f>IF(C10-Table_146310938[DRC]&gt;0, C10-Table_146310938[DRC], 0)</f>
        <v>0</v>
      </c>
      <c r="F10" s="29">
        <f>IF(C10-Table_146310938[Egypt]&gt;0, C10-Table_146310938[Egypt], 0)</f>
        <v>0</v>
      </c>
      <c r="G10" s="29">
        <f>IF(C10-Table_146310938[Eritrea]&gt;0, C10-Table_146310938[Eritrea], 0)</f>
        <v>0</v>
      </c>
      <c r="H10" s="29">
        <f>IF(C10-Table_146310938[Ethiopia]&gt;0, C10-Table_146310938[Ethiopia], 0)</f>
        <v>0</v>
      </c>
      <c r="I10" s="29">
        <f>IF(C10-Table_146310938[Kenya]&gt;0, C10-Table_146310938[Kenya], 0)</f>
        <v>0</v>
      </c>
      <c r="J10" s="29">
        <f>IF(C10-Table_146310938[Rwanda]&gt;0, C10-Table_146310938[Rwanda], 0)</f>
        <v>0</v>
      </c>
      <c r="K10" s="29">
        <f>IF(C10-Table_146310938[Sudan]&gt;0, C10-Table_146310938[Sudan], 0)</f>
        <v>0</v>
      </c>
      <c r="L10" s="29">
        <f>IF(C10-Table_146310938[S. Sudan]&gt;0, C10-Table_146310938[S. Sudan], 0)</f>
        <v>198.68325239371819</v>
      </c>
      <c r="M10" s="29">
        <f>IF(C10-Table_146310938[Tanzania]&gt;0, C10-Table_146310938[Tanzania], 0)</f>
        <v>0</v>
      </c>
      <c r="N10" s="29">
        <f>IF(C10-Table_146310938[Uganda]&gt;0, C10-Table_146310938[Uganda], 0)</f>
        <v>0</v>
      </c>
      <c r="P10" s="21" t="s">
        <v>5</v>
      </c>
      <c r="Q10" s="97">
        <f t="shared" si="0"/>
        <v>-2.5266278618351441E-4</v>
      </c>
      <c r="R10" s="97">
        <f t="shared" si="0"/>
        <v>-2.5266278618351441E-4</v>
      </c>
      <c r="S10" s="97">
        <f t="shared" si="0"/>
        <v>-2.5266278618351441E-4</v>
      </c>
      <c r="T10" s="97">
        <f t="shared" si="0"/>
        <v>-2.5266278618351441E-4</v>
      </c>
      <c r="U10" s="97">
        <f t="shared" si="0"/>
        <v>0.5701080966479547</v>
      </c>
      <c r="V10" s="97">
        <f t="shared" si="0"/>
        <v>-2.5266278618351441E-4</v>
      </c>
      <c r="W10" s="97">
        <f t="shared" si="0"/>
        <v>-2.5266278618351441E-4</v>
      </c>
      <c r="X10" s="97">
        <f t="shared" si="0"/>
        <v>0.40887664818041508</v>
      </c>
      <c r="Y10" s="97">
        <f t="shared" si="0"/>
        <v>0.88164725939422306</v>
      </c>
      <c r="Z10" s="97">
        <f t="shared" si="0"/>
        <v>0.12619748060034033</v>
      </c>
      <c r="AA10" s="97">
        <f t="shared" si="0"/>
        <v>0.38188040915362509</v>
      </c>
    </row>
    <row r="11" spans="1:31" ht="15" customHeight="1" x14ac:dyDescent="0.25">
      <c r="B11" s="21" t="s">
        <v>5</v>
      </c>
      <c r="C11" s="95">
        <f>Annual_sorted!M245</f>
        <v>-76.691059568587576</v>
      </c>
      <c r="D11" s="29">
        <f>IF(C11-Table_146310938[Burundi]&gt;0, C11-Table_146310938[Burundi], 0)</f>
        <v>0</v>
      </c>
      <c r="E11" s="29">
        <f>IF(C11-Table_146310938[DRC]&gt;0, C11-Table_146310938[DRC], 0)</f>
        <v>0</v>
      </c>
      <c r="F11" s="29">
        <f>IF(C11-Table_146310938[Egypt]&gt;0, C11-Table_146310938[Egypt], 0)</f>
        <v>0</v>
      </c>
      <c r="G11" s="29">
        <f>IF(C11-Table_146310938[Eritrea]&gt;0, C11-Table_146310938[Eritrea], 0)</f>
        <v>0</v>
      </c>
      <c r="H11" s="29">
        <f>IF(C11-Table_146310938[Ethiopia]&gt;0, C11-Table_146310938[Ethiopia], 0)</f>
        <v>363.74602063888676</v>
      </c>
      <c r="I11" s="29">
        <f>IF(C11-Table_146310938[Kenya]&gt;0, C11-Table_146310938[Kenya], 0)</f>
        <v>0</v>
      </c>
      <c r="J11" s="29">
        <f>IF(C11-Table_146310938[Rwanda]&gt;0, C11-Table_146310938[Rwanda], 0)</f>
        <v>0</v>
      </c>
      <c r="K11" s="29">
        <f>IF(C11-Table_146310938[Sudan]&gt;0, C11-Table_146310938[Sudan], 0)</f>
        <v>260.92110358096022</v>
      </c>
      <c r="L11" s="29">
        <f>IF(C11-Table_146310938[S. Sudan]&gt;0, C11-Table_146310938[S. Sudan], 0)</f>
        <v>562.42927303260501</v>
      </c>
      <c r="M11" s="29">
        <f>IF(C11-Table_146310938[Tanzania]&gt;0, C11-Table_146310938[Tanzania], 0)</f>
        <v>80.643234488462411</v>
      </c>
      <c r="N11" s="29">
        <f>IF(C11-Table_146310938[Uganda]&gt;0, C11-Table_146310938[Uganda], 0)</f>
        <v>243.7043256806829</v>
      </c>
      <c r="P11" s="21" t="s">
        <v>6</v>
      </c>
      <c r="Q11" s="97">
        <f t="shared" si="0"/>
        <v>-2.5266278618351441E-4</v>
      </c>
      <c r="R11" s="97">
        <f t="shared" si="0"/>
        <v>1E-3</v>
      </c>
      <c r="S11" s="97">
        <f t="shared" si="0"/>
        <v>-2.5266278618351441E-4</v>
      </c>
      <c r="T11" s="97">
        <f t="shared" si="0"/>
        <v>-2.5266278618351441E-4</v>
      </c>
      <c r="U11" s="97">
        <f t="shared" si="0"/>
        <v>0.65053207178904493</v>
      </c>
      <c r="V11" s="97">
        <f t="shared" si="0"/>
        <v>8.0171312354906765E-2</v>
      </c>
      <c r="W11" s="97">
        <f t="shared" si="0"/>
        <v>-2.5266278618351441E-4</v>
      </c>
      <c r="X11" s="97">
        <f t="shared" si="0"/>
        <v>0.48930062332150542</v>
      </c>
      <c r="Y11" s="97">
        <f t="shared" si="0"/>
        <v>0.9620712345353134</v>
      </c>
      <c r="Z11" s="97">
        <f t="shared" si="0"/>
        <v>0.20662145574143065</v>
      </c>
      <c r="AA11" s="97">
        <f t="shared" si="0"/>
        <v>0.46230438429471538</v>
      </c>
    </row>
    <row r="12" spans="1:31" ht="15" customHeight="1" x14ac:dyDescent="0.25">
      <c r="B12" s="21" t="s">
        <v>6</v>
      </c>
      <c r="C12" s="95">
        <f>Annual_sorted!M246</f>
        <v>-25.400888501146863</v>
      </c>
      <c r="D12" s="29">
        <f>IF(C12-Table_146310938[Burundi]&gt;0, C12-Table_146310938[Burundi], 0)</f>
        <v>0</v>
      </c>
      <c r="E12" s="29">
        <f>IF(C12-Table_146310938[DRC]&gt;0, C12-Table_146310938[DRC], 0)</f>
        <v>0.79888227957465219</v>
      </c>
      <c r="F12" s="29">
        <f>IF(C12-Table_146310938[Egypt]&gt;0, C12-Table_146310938[Egypt], 0)</f>
        <v>0</v>
      </c>
      <c r="G12" s="29">
        <f>IF(C12-Table_146310938[Eritrea]&gt;0, C12-Table_146310938[Eritrea], 0)</f>
        <v>0</v>
      </c>
      <c r="H12" s="29">
        <f>IF(C12-Table_146310938[Ethiopia]&gt;0, C12-Table_146310938[Ethiopia], 0)</f>
        <v>415.03619170632749</v>
      </c>
      <c r="I12" s="29">
        <f>IF(C12-Table_146310938[Kenya]&gt;0, C12-Table_146310938[Kenya], 0)</f>
        <v>51.29017106744071</v>
      </c>
      <c r="J12" s="29">
        <f>IF(C12-Table_146310938[Rwanda]&gt;0, C12-Table_146310938[Rwanda], 0)</f>
        <v>0</v>
      </c>
      <c r="K12" s="29">
        <f>IF(C12-Table_146310938[Sudan]&gt;0, C12-Table_146310938[Sudan], 0)</f>
        <v>312.21127464840094</v>
      </c>
      <c r="L12" s="29">
        <f>IF(C12-Table_146310938[S. Sudan]&gt;0, C12-Table_146310938[S. Sudan], 0)</f>
        <v>613.71944410004573</v>
      </c>
      <c r="M12" s="29">
        <f>IF(C12-Table_146310938[Tanzania]&gt;0, C12-Table_146310938[Tanzania], 0)</f>
        <v>131.93340555590314</v>
      </c>
      <c r="N12" s="29">
        <f>IF(C12-Table_146310938[Uganda]&gt;0, C12-Table_146310938[Uganda], 0)</f>
        <v>294.99449674812359</v>
      </c>
      <c r="P12" s="21" t="s">
        <v>7</v>
      </c>
      <c r="Q12" s="97">
        <f t="shared" si="0"/>
        <v>-2.5266278618351441E-4</v>
      </c>
      <c r="R12" s="97">
        <f t="shared" si="0"/>
        <v>-2.5266278618351441E-4</v>
      </c>
      <c r="S12" s="97">
        <f t="shared" si="0"/>
        <v>-2.5266278618351441E-4</v>
      </c>
      <c r="T12" s="97">
        <f t="shared" si="0"/>
        <v>-2.5266278618351441E-4</v>
      </c>
      <c r="U12" s="97">
        <f t="shared" si="0"/>
        <v>0.16097878568135601</v>
      </c>
      <c r="V12" s="97">
        <f t="shared" si="0"/>
        <v>-2.5266278618351441E-4</v>
      </c>
      <c r="W12" s="97">
        <f t="shared" si="0"/>
        <v>-2.5266278618351441E-4</v>
      </c>
      <c r="X12" s="97">
        <f t="shared" si="0"/>
        <v>-2.5266278618351441E-4</v>
      </c>
      <c r="Y12" s="97">
        <f t="shared" si="0"/>
        <v>0.47251794842762446</v>
      </c>
      <c r="Z12" s="97">
        <f t="shared" si="0"/>
        <v>-2.5266278618351441E-4</v>
      </c>
      <c r="AA12" s="97">
        <f t="shared" si="0"/>
        <v>-2.5266278618351441E-4</v>
      </c>
    </row>
    <row r="13" spans="1:31" ht="15" customHeight="1" x14ac:dyDescent="0.25">
      <c r="B13" s="21" t="s">
        <v>7</v>
      </c>
      <c r="C13" s="95">
        <f>Annual_sorted!M247</f>
        <v>-337.61216314954783</v>
      </c>
      <c r="D13" s="29">
        <f>IF(C13-Table_146310938[Burundi]&gt;0, C13-Table_146310938[Burundi], 0)</f>
        <v>0</v>
      </c>
      <c r="E13" s="29">
        <f>IF(C13-Table_146310938[DRC]&gt;0, C13-Table_146310938[DRC], 0)</f>
        <v>0</v>
      </c>
      <c r="F13" s="29">
        <f>IF(C13-Table_146310938[Egypt]&gt;0, C13-Table_146310938[Egypt], 0)</f>
        <v>0</v>
      </c>
      <c r="G13" s="29">
        <f>IF(C13-Table_146310938[Eritrea]&gt;0, C13-Table_146310938[Eritrea], 0)</f>
        <v>0</v>
      </c>
      <c r="H13" s="29">
        <f>IF(C13-Table_146310938[Ethiopia]&gt;0, C13-Table_146310938[Ethiopia], 0)</f>
        <v>102.82491705792654</v>
      </c>
      <c r="I13" s="29">
        <f>IF(C13-Table_146310938[Kenya]&gt;0, C13-Table_146310938[Kenya], 0)</f>
        <v>0</v>
      </c>
      <c r="J13" s="29">
        <f>IF(C13-Table_146310938[Rwanda]&gt;0, C13-Table_146310938[Rwanda], 0)</f>
        <v>0</v>
      </c>
      <c r="K13" s="29">
        <f>IF(C13-Table_146310938[Sudan]&gt;0, C13-Table_146310938[Sudan], 0)</f>
        <v>0</v>
      </c>
      <c r="L13" s="29">
        <f>IF(C13-Table_146310938[S. Sudan]&gt;0, C13-Table_146310938[S. Sudan], 0)</f>
        <v>301.50816945164473</v>
      </c>
      <c r="M13" s="29">
        <f>IF(C13-Table_146310938[Tanzania]&gt;0, C13-Table_146310938[Tanzania], 0)</f>
        <v>0</v>
      </c>
      <c r="N13" s="29">
        <f>IF(C13-Table_146310938[Uganda]&gt;0, C13-Table_146310938[Uganda], 0)</f>
        <v>0</v>
      </c>
      <c r="P13" s="21" t="s">
        <v>8</v>
      </c>
      <c r="Q13" s="97">
        <f t="shared" si="0"/>
        <v>-2.5266278618351441E-4</v>
      </c>
      <c r="R13" s="97">
        <f t="shared" si="0"/>
        <v>-2.5266278618351441E-4</v>
      </c>
      <c r="S13" s="97">
        <f t="shared" si="0"/>
        <v>-2.5266278618351441E-4</v>
      </c>
      <c r="T13" s="97">
        <f t="shared" si="0"/>
        <v>-2.5266278618351441E-4</v>
      </c>
      <c r="U13" s="97">
        <f t="shared" si="0"/>
        <v>-2.5266278618351441E-4</v>
      </c>
      <c r="V13" s="97">
        <f t="shared" si="0"/>
        <v>-2.5266278618351441E-4</v>
      </c>
      <c r="W13" s="97">
        <f t="shared" si="0"/>
        <v>-2.5266278618351441E-4</v>
      </c>
      <c r="X13" s="97">
        <f t="shared" si="0"/>
        <v>-2.5266278618351441E-4</v>
      </c>
      <c r="Y13" s="97">
        <f t="shared" si="0"/>
        <v>-2.5266278618351441E-4</v>
      </c>
      <c r="Z13" s="97">
        <f t="shared" si="0"/>
        <v>-2.5266278618351441E-4</v>
      </c>
      <c r="AA13" s="97">
        <f t="shared" si="0"/>
        <v>-2.5266278618351441E-4</v>
      </c>
    </row>
    <row r="14" spans="1:31" ht="15" customHeight="1" x14ac:dyDescent="0.25">
      <c r="B14" s="21" t="s">
        <v>8</v>
      </c>
      <c r="C14" s="95">
        <f>Annual_sorted!M248</f>
        <v>-639.12033260119256</v>
      </c>
      <c r="D14" s="29">
        <f>IF(C14-Table_146310938[Burundi]&gt;0, C14-Table_146310938[Burundi], 0)</f>
        <v>0</v>
      </c>
      <c r="E14" s="29">
        <f>IF(C14-Table_146310938[DRC]&gt;0, C14-Table_146310938[DRC], 0)</f>
        <v>0</v>
      </c>
      <c r="F14" s="29">
        <f>IF(C14-Table_146310938[Egypt]&gt;0, C14-Table_146310938[Egypt], 0)</f>
        <v>0</v>
      </c>
      <c r="G14" s="29">
        <f>IF(C14-Table_146310938[Eritrea]&gt;0, C14-Table_146310938[Eritrea], 0)</f>
        <v>0</v>
      </c>
      <c r="H14" s="29">
        <f>IF(C14-Table_146310938[Ethiopia]&gt;0, C14-Table_146310938[Ethiopia], 0)</f>
        <v>0</v>
      </c>
      <c r="I14" s="29">
        <f>IF(C14-Table_146310938[Kenya]&gt;0, C14-Table_146310938[Kenya], 0)</f>
        <v>0</v>
      </c>
      <c r="J14" s="29">
        <f>IF(C14-Table_146310938[Rwanda]&gt;0, C14-Table_146310938[Rwanda], 0)</f>
        <v>0</v>
      </c>
      <c r="K14" s="29">
        <f>IF(C14-Table_146310938[Sudan]&gt;0, C14-Table_146310938[Sudan], 0)</f>
        <v>0</v>
      </c>
      <c r="L14" s="29">
        <f>IF(C14-Table_146310938[S. Sudan]&gt;0, C14-Table_146310938[S. Sudan], 0)</f>
        <v>0</v>
      </c>
      <c r="M14" s="29">
        <f>IF(C14-Table_146310938[Tanzania]&gt;0, C14-Table_146310938[Tanzania], 0)</f>
        <v>0</v>
      </c>
      <c r="N14" s="29">
        <f>IF(C14-Table_146310938[Uganda]&gt;0, C14-Table_146310938[Uganda], 0)</f>
        <v>0</v>
      </c>
      <c r="P14" s="21" t="s">
        <v>9</v>
      </c>
      <c r="Q14" s="97">
        <f t="shared" si="0"/>
        <v>-2.5266278618351441E-4</v>
      </c>
      <c r="R14" s="97">
        <f t="shared" si="0"/>
        <v>-2.5266278618351441E-4</v>
      </c>
      <c r="S14" s="97">
        <f t="shared" si="0"/>
        <v>-2.5266278618351441E-4</v>
      </c>
      <c r="T14" s="97">
        <f t="shared" si="0"/>
        <v>-2.5266278618351441E-4</v>
      </c>
      <c r="U14" s="97">
        <f t="shared" si="0"/>
        <v>0.44365795326143082</v>
      </c>
      <c r="V14" s="97">
        <f t="shared" si="0"/>
        <v>-2.5266278618351441E-4</v>
      </c>
      <c r="W14" s="97">
        <f t="shared" si="0"/>
        <v>-2.5266278618351441E-4</v>
      </c>
      <c r="X14" s="97">
        <f t="shared" si="0"/>
        <v>0.28242650479389125</v>
      </c>
      <c r="Y14" s="97">
        <f t="shared" si="0"/>
        <v>0.75519711600769923</v>
      </c>
      <c r="Z14" s="97">
        <f t="shared" si="0"/>
        <v>-2.5266278618351441E-4</v>
      </c>
      <c r="AA14" s="97">
        <f t="shared" si="0"/>
        <v>0.25543026576710126</v>
      </c>
    </row>
    <row r="15" spans="1:31" ht="15" customHeight="1" thickBot="1" x14ac:dyDescent="0.3">
      <c r="B15" s="21" t="s">
        <v>9</v>
      </c>
      <c r="C15" s="95">
        <f>Annual_sorted!M249</f>
        <v>-157.33429405704999</v>
      </c>
      <c r="D15" s="29">
        <f>IF(C15-Table_146310938[Burundi]&gt;0, C15-Table_146310938[Burundi], 0)</f>
        <v>0</v>
      </c>
      <c r="E15" s="29">
        <f>IF(C15-Table_146310938[DRC]&gt;0, C15-Table_146310938[DRC], 0)</f>
        <v>0</v>
      </c>
      <c r="F15" s="29">
        <f>IF(C15-Table_146310938[Egypt]&gt;0, C15-Table_146310938[Egypt], 0)</f>
        <v>0</v>
      </c>
      <c r="G15" s="29">
        <f>IF(C15-Table_146310938[Eritrea]&gt;0, C15-Table_146310938[Eritrea], 0)</f>
        <v>0</v>
      </c>
      <c r="H15" s="29">
        <f>IF(C15-Table_146310938[Ethiopia]&gt;0, C15-Table_146310938[Ethiopia], 0)</f>
        <v>283.10278615042438</v>
      </c>
      <c r="I15" s="29">
        <f>IF(C15-Table_146310938[Kenya]&gt;0, C15-Table_146310938[Kenya], 0)</f>
        <v>0</v>
      </c>
      <c r="J15" s="29">
        <f>IF(C15-Table_146310938[Rwanda]&gt;0, C15-Table_146310938[Rwanda], 0)</f>
        <v>0</v>
      </c>
      <c r="K15" s="29">
        <f>IF(C15-Table_146310938[Sudan]&gt;0, C15-Table_146310938[Sudan], 0)</f>
        <v>180.27786909249784</v>
      </c>
      <c r="L15" s="29">
        <f>IF(C15-Table_146310938[S. Sudan]&gt;0, C15-Table_146310938[S. Sudan], 0)</f>
        <v>481.78603854414257</v>
      </c>
      <c r="M15" s="29">
        <f>IF(C15-Table_146310938[Tanzania]&gt;0, C15-Table_146310938[Tanzania], 0)</f>
        <v>0</v>
      </c>
      <c r="N15" s="29">
        <f>IF(C15-Table_146310938[Uganda]&gt;0, C15-Table_146310938[Uganda], 0)</f>
        <v>163.06109119222049</v>
      </c>
      <c r="P15" s="22" t="s">
        <v>10</v>
      </c>
      <c r="Q15" s="98">
        <f t="shared" si="0"/>
        <v>-2.5266278618351441E-4</v>
      </c>
      <c r="R15" s="98">
        <f t="shared" si="0"/>
        <v>-2.5266278618351441E-4</v>
      </c>
      <c r="S15" s="98">
        <f t="shared" si="0"/>
        <v>-2.5266278618351441E-4</v>
      </c>
      <c r="T15" s="98">
        <f t="shared" si="0"/>
        <v>-2.5266278618351441E-4</v>
      </c>
      <c r="U15" s="98">
        <f t="shared" si="0"/>
        <v>0.187975024708146</v>
      </c>
      <c r="V15" s="98">
        <f t="shared" si="0"/>
        <v>-2.5266278618351441E-4</v>
      </c>
      <c r="W15" s="98">
        <f t="shared" si="0"/>
        <v>-2.5266278618351441E-4</v>
      </c>
      <c r="X15" s="98">
        <f t="shared" si="0"/>
        <v>2.6743576240606488E-2</v>
      </c>
      <c r="Y15" s="98">
        <f t="shared" si="0"/>
        <v>0.49951418745441445</v>
      </c>
      <c r="Z15" s="98">
        <f t="shared" si="0"/>
        <v>-2.5266278618351441E-4</v>
      </c>
      <c r="AA15" s="98">
        <f t="shared" si="0"/>
        <v>-2.5266278618351441E-4</v>
      </c>
    </row>
    <row r="16" spans="1:31" ht="15" customHeight="1" thickBot="1" x14ac:dyDescent="0.3">
      <c r="B16" s="22" t="s">
        <v>10</v>
      </c>
      <c r="C16" s="96">
        <f>Annual_sorted!M250</f>
        <v>-320.39538524927048</v>
      </c>
      <c r="D16" s="32">
        <f>IF(C16-Table_146310938[Burundi]&gt;0, C16-Table_146310938[Burundi], 0)</f>
        <v>0</v>
      </c>
      <c r="E16" s="32">
        <f>IF(C16-Table_146310938[DRC]&gt;0, C16-Table_146310938[DRC], 0)</f>
        <v>0</v>
      </c>
      <c r="F16" s="32">
        <f>IF(C16-Table_146310938[Egypt]&gt;0, C16-Table_146310938[Egypt], 0)</f>
        <v>0</v>
      </c>
      <c r="G16" s="32">
        <f>IF(C16-Table_146310938[Eritrea]&gt;0, C16-Table_146310938[Eritrea], 0)</f>
        <v>0</v>
      </c>
      <c r="H16" s="32">
        <f>IF(C16-Table_146310938[Ethiopia]&gt;0, C16-Table_146310938[Ethiopia], 0)</f>
        <v>120.04169495820389</v>
      </c>
      <c r="I16" s="32">
        <f>IF(C16-Table_146310938[Kenya]&gt;0, C16-Table_146310938[Kenya], 0)</f>
        <v>0</v>
      </c>
      <c r="J16" s="32">
        <f>IF(C16-Table_146310938[Rwanda]&gt;0, C16-Table_146310938[Rwanda], 0)</f>
        <v>0</v>
      </c>
      <c r="K16" s="32">
        <f>IF(C16-Table_146310938[Sudan]&gt;0, C16-Table_146310938[Sudan], 0)</f>
        <v>17.21677790027735</v>
      </c>
      <c r="L16" s="32">
        <f>IF(C16-Table_146310938[S. Sudan]&gt;0, C16-Table_146310938[S. Sudan], 0)</f>
        <v>318.72494735192208</v>
      </c>
      <c r="M16" s="32">
        <f>IF(C16-Table_146310938[Tanzania]&gt;0, C16-Table_146310938[Tanzania], 0)</f>
        <v>0</v>
      </c>
      <c r="N16" s="32">
        <f>IF(C16-Table_146310938[Uganda]&gt;0, C16-Table_146310938[Uganda], 0)</f>
        <v>0</v>
      </c>
      <c r="Q16" s="186">
        <f t="shared" ref="Q16:X16" si="1">SUM(Q5:Q15)</f>
        <v>2.6485526787761612E-2</v>
      </c>
      <c r="R16" s="186">
        <f t="shared" si="1"/>
        <v>7.5563253237991207E-2</v>
      </c>
      <c r="S16" s="186">
        <f t="shared" si="1"/>
        <v>-2.7792906480186585E-3</v>
      </c>
      <c r="T16" s="186">
        <f t="shared" si="1"/>
        <v>1.4435372641910842E-2</v>
      </c>
      <c r="U16" s="186">
        <f t="shared" si="1"/>
        <v>4.6869541236268377</v>
      </c>
      <c r="V16" s="186">
        <f t="shared" si="1"/>
        <v>0.47141981501252495</v>
      </c>
      <c r="W16" s="186">
        <f t="shared" si="1"/>
        <v>7.0552602093257144E-2</v>
      </c>
      <c r="X16" s="186">
        <f t="shared" si="1"/>
        <v>3.2358710874189822</v>
      </c>
      <c r="Y16" s="186">
        <f>SUM(Y5:Y15)</f>
        <v>7.802345751089522</v>
      </c>
      <c r="Z16" s="186">
        <f t="shared" ref="Z16:AA16" si="2">SUM(Z5:Z15)</f>
        <v>1.2301206753316687</v>
      </c>
      <c r="AA16" s="186">
        <f t="shared" si="2"/>
        <v>3.0199011752046618</v>
      </c>
      <c r="AB16" s="186">
        <f>SUM(Q5:AA15)</f>
        <v>20.630870091797064</v>
      </c>
    </row>
    <row r="18" spans="2:31" ht="12.75" customHeight="1" x14ac:dyDescent="0.25">
      <c r="B18" s="5"/>
      <c r="C18" s="5"/>
      <c r="D18" s="5"/>
      <c r="E18" s="5"/>
      <c r="F18" s="5"/>
      <c r="G18" s="5"/>
      <c r="H18" s="5"/>
      <c r="I18" s="5"/>
      <c r="J18" s="5"/>
      <c r="K18" s="5"/>
      <c r="L18" s="5"/>
      <c r="M18" s="5"/>
      <c r="N18" s="5"/>
    </row>
    <row r="19" spans="2:31" ht="12.75" customHeight="1" x14ac:dyDescent="0.25">
      <c r="B19" s="5"/>
      <c r="C19" s="5"/>
      <c r="D19" s="5"/>
      <c r="E19" s="5"/>
      <c r="F19" s="5"/>
      <c r="G19" s="5"/>
      <c r="H19" s="5"/>
      <c r="I19" s="5"/>
      <c r="J19" s="5"/>
      <c r="K19" s="5"/>
      <c r="L19" s="5"/>
      <c r="M19" s="5"/>
      <c r="N19" s="44"/>
      <c r="O19" s="5"/>
      <c r="P19" s="5"/>
      <c r="Q19" s="5"/>
      <c r="R19" s="5"/>
      <c r="S19" s="5"/>
      <c r="T19" s="5"/>
      <c r="U19" s="5"/>
      <c r="V19" s="5"/>
      <c r="W19" s="5"/>
      <c r="X19" s="5"/>
      <c r="Y19" s="5"/>
      <c r="Z19" s="5"/>
      <c r="AA19" s="5"/>
    </row>
    <row r="20" spans="2:31" ht="12.75" customHeight="1" x14ac:dyDescent="0.25">
      <c r="B20" s="5"/>
      <c r="C20" s="5"/>
      <c r="D20" s="5"/>
      <c r="E20" s="5"/>
      <c r="F20" s="5"/>
      <c r="G20" s="5"/>
      <c r="H20" s="5"/>
      <c r="I20" s="5"/>
      <c r="J20" s="5"/>
      <c r="K20" s="5"/>
      <c r="L20" s="5"/>
      <c r="M20" s="5"/>
      <c r="N20" s="44"/>
      <c r="O20" s="5"/>
      <c r="P20" s="5"/>
      <c r="Q20" s="5"/>
      <c r="R20" s="5"/>
      <c r="S20" s="5"/>
      <c r="T20" s="5"/>
      <c r="U20" s="5"/>
      <c r="V20" s="5"/>
      <c r="W20" s="5"/>
      <c r="X20" s="5"/>
      <c r="Y20" s="5"/>
      <c r="Z20" s="5"/>
      <c r="AA20" s="5"/>
    </row>
    <row r="21" spans="2:31" ht="12.75" customHeight="1" thickBot="1" x14ac:dyDescent="0.3">
      <c r="B21" s="253" t="s">
        <v>102</v>
      </c>
      <c r="C21" s="253"/>
      <c r="D21" s="253"/>
      <c r="E21" s="253"/>
      <c r="F21" s="253"/>
      <c r="G21" s="253"/>
      <c r="H21" s="253"/>
      <c r="I21" s="253"/>
      <c r="J21" s="253"/>
      <c r="K21" s="253"/>
      <c r="L21" s="253"/>
      <c r="M21" s="253"/>
      <c r="N21" s="253"/>
      <c r="P21" s="253" t="s">
        <v>103</v>
      </c>
      <c r="Q21" s="253"/>
      <c r="R21" s="253"/>
      <c r="S21" s="253"/>
      <c r="T21" s="253"/>
      <c r="U21" s="253"/>
      <c r="V21" s="253"/>
      <c r="W21" s="253"/>
      <c r="X21" s="253"/>
      <c r="Y21" s="253"/>
      <c r="Z21" s="253"/>
      <c r="AA21" s="253"/>
      <c r="AB21" s="10"/>
      <c r="AC21" s="3" t="s">
        <v>22</v>
      </c>
      <c r="AD21" s="13" t="s">
        <v>23</v>
      </c>
      <c r="AE21" s="74">
        <f t="array" ref="AE21">MIN(IF(D24:N34&gt;0,D24:N34))</f>
        <v>2.383797488777267</v>
      </c>
    </row>
    <row r="22" spans="2:31" ht="12.75" customHeight="1" thickBot="1" x14ac:dyDescent="0.3">
      <c r="B22" s="75" t="s">
        <v>13</v>
      </c>
      <c r="C22" s="66" t="s">
        <v>14</v>
      </c>
      <c r="D22" s="67" t="s">
        <v>1</v>
      </c>
      <c r="E22" s="67" t="s">
        <v>195</v>
      </c>
      <c r="F22" s="67" t="s">
        <v>2</v>
      </c>
      <c r="G22" s="67" t="s">
        <v>3</v>
      </c>
      <c r="H22" s="67" t="s">
        <v>4</v>
      </c>
      <c r="I22" s="67" t="s">
        <v>5</v>
      </c>
      <c r="J22" s="67" t="s">
        <v>6</v>
      </c>
      <c r="K22" s="67" t="s">
        <v>7</v>
      </c>
      <c r="L22" s="67" t="s">
        <v>295</v>
      </c>
      <c r="M22" s="67" t="s">
        <v>9</v>
      </c>
      <c r="N22" s="67" t="s">
        <v>10</v>
      </c>
      <c r="P22" s="76" t="s">
        <v>19</v>
      </c>
      <c r="Q22" s="77" t="s">
        <v>1</v>
      </c>
      <c r="R22" s="77" t="s">
        <v>195</v>
      </c>
      <c r="S22" s="77" t="s">
        <v>2</v>
      </c>
      <c r="T22" s="77" t="s">
        <v>3</v>
      </c>
      <c r="U22" s="77" t="s">
        <v>4</v>
      </c>
      <c r="V22" s="77" t="s">
        <v>5</v>
      </c>
      <c r="W22" s="77" t="s">
        <v>6</v>
      </c>
      <c r="X22" s="77" t="s">
        <v>7</v>
      </c>
      <c r="Y22" s="77" t="s">
        <v>295</v>
      </c>
      <c r="Z22" s="77" t="s">
        <v>9</v>
      </c>
      <c r="AA22" s="77" t="s">
        <v>10</v>
      </c>
      <c r="AB22" s="254" t="s">
        <v>26</v>
      </c>
      <c r="AC22" s="254"/>
      <c r="AD22" s="13" t="s">
        <v>24</v>
      </c>
      <c r="AE22" s="20">
        <f>MAX(D24:N34)</f>
        <v>746.08578860580383</v>
      </c>
    </row>
    <row r="23" spans="2:31" ht="13.2" x14ac:dyDescent="0.25">
      <c r="B23" s="93"/>
      <c r="C23" s="94" t="s">
        <v>258</v>
      </c>
      <c r="D23" s="95">
        <f>C24</f>
        <v>-14.793140162370829</v>
      </c>
      <c r="E23" s="95">
        <f>C25</f>
        <v>-26.433220353043655</v>
      </c>
      <c r="F23" s="95">
        <f>C26</f>
        <v>-56.100125682053587</v>
      </c>
      <c r="G23" s="95">
        <f>C27</f>
        <v>-12.409342673593562</v>
      </c>
      <c r="H23" s="95">
        <f>C28</f>
        <v>-376.9281343664826</v>
      </c>
      <c r="I23" s="95">
        <f>C29</f>
        <v>-60.790138836339175</v>
      </c>
      <c r="J23" s="95">
        <f>C30</f>
        <v>-21.610869551245454</v>
      </c>
      <c r="K23" s="95">
        <f>C31</f>
        <v>-400.13009027505217</v>
      </c>
      <c r="L23" s="95">
        <f>C32</f>
        <v>-758.49513127939736</v>
      </c>
      <c r="M23" s="95">
        <f>C33</f>
        <v>-122.08651509545909</v>
      </c>
      <c r="N23" s="95">
        <f>C34</f>
        <v>-302.25901940267983</v>
      </c>
      <c r="P23" s="21" t="s">
        <v>1</v>
      </c>
      <c r="Q23" s="97">
        <f>AE23+(D24-AE21)*(AE24-AE23)/(AE22-AE21)</f>
        <v>-2.202107456659691E-3</v>
      </c>
      <c r="R23" s="97">
        <f t="shared" ref="R23:AA33" si="3">$AE$23+(E24-$AE$21)*($AE$24-$AE$23)/($AE$22-$AE$21)</f>
        <v>1.3433779295527772E-2</v>
      </c>
      <c r="S23" s="97">
        <f t="shared" si="3"/>
        <v>5.3284739461933052E-2</v>
      </c>
      <c r="T23" s="97">
        <f t="shared" si="3"/>
        <v>-2.202107456659691E-3</v>
      </c>
      <c r="U23" s="97">
        <f t="shared" si="3"/>
        <v>0.4842465823828439</v>
      </c>
      <c r="V23" s="97">
        <f t="shared" si="3"/>
        <v>5.9584740264800401E-2</v>
      </c>
      <c r="W23" s="97">
        <f t="shared" si="3"/>
        <v>6.9560119794008311E-3</v>
      </c>
      <c r="X23" s="97">
        <f t="shared" si="3"/>
        <v>0.51541330538414576</v>
      </c>
      <c r="Y23" s="97">
        <f t="shared" si="3"/>
        <v>0.99679789254334028</v>
      </c>
      <c r="Z23" s="97">
        <f t="shared" si="3"/>
        <v>0.14192293569021111</v>
      </c>
      <c r="AA23" s="97">
        <f t="shared" si="3"/>
        <v>0.38394505470130641</v>
      </c>
      <c r="AD23" s="3" t="s">
        <v>25</v>
      </c>
      <c r="AE23" s="2">
        <v>1E-3</v>
      </c>
    </row>
    <row r="24" spans="2:31" ht="12.75" customHeight="1" x14ac:dyDescent="0.25">
      <c r="B24" s="21" t="s">
        <v>1</v>
      </c>
      <c r="C24" s="95">
        <f>Annual_sorted!N240</f>
        <v>-14.793140162370829</v>
      </c>
      <c r="D24" s="29">
        <f>IF(C24-Table_14634121139[Burundi]&gt;0, C24-Table_14634121139[Burundi], 0)</f>
        <v>0</v>
      </c>
      <c r="E24" s="29">
        <f>IF(C24-Table_14634121139[DRC]&gt;0, C24-Table_14634121139[DRC], 0)</f>
        <v>11.640080190672826</v>
      </c>
      <c r="F24" s="29">
        <f>IF(C24-Table_14634121139[Egypt]&gt;0, C24-Table_14634121139[Egypt], 0)</f>
        <v>41.306985519682755</v>
      </c>
      <c r="G24" s="29">
        <f>IF(C24-Table_14634121139[Eritrea]&gt;0, C24-Table_14634121139[Eritrea], 0)</f>
        <v>0</v>
      </c>
      <c r="H24" s="29">
        <f>IF(C24-Table_14634121139[Ethiopia]&gt;0, C24-Table_14634121139[Ethiopia], 0)</f>
        <v>362.13499420411176</v>
      </c>
      <c r="I24" s="29">
        <f>IF(C24-Table_14634121139[Kenya]&gt;0, C24-Table_14634121139[Kenya], 0)</f>
        <v>45.996998673968349</v>
      </c>
      <c r="J24" s="29">
        <f>IF(C24-Table_14634121139[Rwanda]&gt;0, C24-Table_14634121139[Rwanda], 0)</f>
        <v>6.8177293888746249</v>
      </c>
      <c r="K24" s="29">
        <f>IF(C24-Table_14634121139[Sudan]&gt;0, C24-Table_14634121139[Sudan], 0)</f>
        <v>385.33695011268134</v>
      </c>
      <c r="L24" s="29">
        <f>IF(C24-Table_14634121139[S. Sudan]&gt;0, C24-Table_14634121139[S. Sudan], 0)</f>
        <v>743.70199111702652</v>
      </c>
      <c r="M24" s="29">
        <f>IF(C24-Table_14634121139[Tanzania]&gt;0, C24-Table_14634121139[Tanzania], 0)</f>
        <v>107.29337493308826</v>
      </c>
      <c r="N24" s="29">
        <f>IF(C24-Table_14634121139[Uganda]&gt;0, C24-Table_14634121139[Uganda], 0)</f>
        <v>287.46587924030899</v>
      </c>
      <c r="P24" s="21" t="s">
        <v>195</v>
      </c>
      <c r="Q24" s="97">
        <f t="shared" ref="Q24:Q33" si="4">$AE$23+(D25-$AE$21)*($AE$24-$AE$23)/($AE$22-$AE$21)</f>
        <v>-2.202107456659691E-3</v>
      </c>
      <c r="R24" s="97">
        <f t="shared" si="3"/>
        <v>-2.202107456659691E-3</v>
      </c>
      <c r="S24" s="97">
        <f t="shared" si="3"/>
        <v>3.7648852709745599E-2</v>
      </c>
      <c r="T24" s="97">
        <f t="shared" si="3"/>
        <v>-2.202107456659691E-3</v>
      </c>
      <c r="U24" s="97">
        <f t="shared" si="3"/>
        <v>0.46861069563065638</v>
      </c>
      <c r="V24" s="97">
        <f t="shared" si="3"/>
        <v>4.394885351261292E-2</v>
      </c>
      <c r="W24" s="97">
        <f t="shared" si="3"/>
        <v>-2.202107456659691E-3</v>
      </c>
      <c r="X24" s="97">
        <f t="shared" si="3"/>
        <v>0.49977741863195824</v>
      </c>
      <c r="Y24" s="97">
        <f t="shared" si="3"/>
        <v>0.98116200579115276</v>
      </c>
      <c r="Z24" s="97">
        <f t="shared" si="3"/>
        <v>0.12628704893802364</v>
      </c>
      <c r="AA24" s="97">
        <f t="shared" si="3"/>
        <v>0.36830916794911894</v>
      </c>
      <c r="AD24" s="3" t="s">
        <v>70</v>
      </c>
      <c r="AE24" s="2">
        <v>1</v>
      </c>
    </row>
    <row r="25" spans="2:31" ht="12.75" customHeight="1" x14ac:dyDescent="0.25">
      <c r="B25" s="21" t="s">
        <v>195</v>
      </c>
      <c r="C25" s="95">
        <f>Annual_sorted!N241</f>
        <v>-26.433220353043655</v>
      </c>
      <c r="D25" s="29">
        <f>IF(C25-Table_14634121139[Burundi]&gt;0, C25-Table_14634121139[Burundi], 0)</f>
        <v>0</v>
      </c>
      <c r="E25" s="29">
        <f>IF(C25-Table_14634121139[DRC]&gt;0, C25-Table_14634121139[DRC], 0)</f>
        <v>0</v>
      </c>
      <c r="F25" s="29">
        <f>IF(C25-Table_14634121139[Egypt]&gt;0, C25-Table_14634121139[Egypt], 0)</f>
        <v>29.666905329009932</v>
      </c>
      <c r="G25" s="29">
        <f>IF(C25-Table_14634121139[Eritrea]&gt;0, C25-Table_14634121139[Eritrea], 0)</f>
        <v>0</v>
      </c>
      <c r="H25" s="29">
        <f>IF(C25-Table_14634121139[Ethiopia]&gt;0, C25-Table_14634121139[Ethiopia], 0)</f>
        <v>350.49491401343892</v>
      </c>
      <c r="I25" s="29">
        <f>IF(C25-Table_14634121139[Kenya]&gt;0, C25-Table_14634121139[Kenya], 0)</f>
        <v>34.356918483295516</v>
      </c>
      <c r="J25" s="29">
        <f>IF(C25-Table_14634121139[Rwanda]&gt;0, C25-Table_14634121139[Rwanda], 0)</f>
        <v>0</v>
      </c>
      <c r="K25" s="29">
        <f>IF(C25-Table_14634121139[Sudan]&gt;0, C25-Table_14634121139[Sudan], 0)</f>
        <v>373.69686992200849</v>
      </c>
      <c r="L25" s="29">
        <f>IF(C25-Table_14634121139[S. Sudan]&gt;0, C25-Table_14634121139[S. Sudan], 0)</f>
        <v>732.06191092635368</v>
      </c>
      <c r="M25" s="29">
        <f>IF(C25-Table_14634121139[Tanzania]&gt;0, C25-Table_14634121139[Tanzania], 0)</f>
        <v>95.65329474241544</v>
      </c>
      <c r="N25" s="29">
        <f>IF(C25-Table_14634121139[Uganda]&gt;0, C25-Table_14634121139[Uganda], 0)</f>
        <v>275.82579904963615</v>
      </c>
      <c r="P25" s="21" t="s">
        <v>2</v>
      </c>
      <c r="Q25" s="97">
        <f t="shared" si="4"/>
        <v>-2.202107456659691E-3</v>
      </c>
      <c r="R25" s="97">
        <f t="shared" si="3"/>
        <v>-2.202107456659691E-3</v>
      </c>
      <c r="S25" s="97">
        <f t="shared" si="3"/>
        <v>-2.202107456659691E-3</v>
      </c>
      <c r="T25" s="97">
        <f t="shared" si="3"/>
        <v>-2.202107456659691E-3</v>
      </c>
      <c r="U25" s="97">
        <f t="shared" si="3"/>
        <v>0.42875973546425111</v>
      </c>
      <c r="V25" s="97">
        <f t="shared" si="3"/>
        <v>4.0978933462076424E-3</v>
      </c>
      <c r="W25" s="97">
        <f t="shared" si="3"/>
        <v>-2.202107456659691E-3</v>
      </c>
      <c r="X25" s="97">
        <f t="shared" si="3"/>
        <v>0.45992645846555297</v>
      </c>
      <c r="Y25" s="97">
        <f t="shared" si="3"/>
        <v>0.94131104562474754</v>
      </c>
      <c r="Z25" s="97">
        <f t="shared" si="3"/>
        <v>8.6436088771618361E-2</v>
      </c>
      <c r="AA25" s="97">
        <f t="shared" si="3"/>
        <v>0.32845820778271362</v>
      </c>
    </row>
    <row r="26" spans="2:31" ht="12.75" customHeight="1" x14ac:dyDescent="0.25">
      <c r="B26" s="21" t="s">
        <v>2</v>
      </c>
      <c r="C26" s="95">
        <f>Annual_sorted!N242</f>
        <v>-56.100125682053587</v>
      </c>
      <c r="D26" s="29">
        <f>IF(C26-Table_14634121139[Burundi]&gt;0, C26-Table_14634121139[Burundi], 0)</f>
        <v>0</v>
      </c>
      <c r="E26" s="29">
        <f>IF(C26-Table_14634121139[DRC]&gt;0, C26-Table_14634121139[DRC], 0)</f>
        <v>0</v>
      </c>
      <c r="F26" s="29">
        <f>IF(C26-Table_14634121139[Egypt]&gt;0, C26-Table_14634121139[Egypt], 0)</f>
        <v>0</v>
      </c>
      <c r="G26" s="29">
        <f>IF(C26-Table_14634121139[Eritrea]&gt;0, C26-Table_14634121139[Eritrea], 0)</f>
        <v>0</v>
      </c>
      <c r="H26" s="29">
        <f>IF(C26-Table_14634121139[Ethiopia]&gt;0, C26-Table_14634121139[Ethiopia], 0)</f>
        <v>320.82800868442899</v>
      </c>
      <c r="I26" s="29">
        <f>IF(C26-Table_14634121139[Kenya]&gt;0, C26-Table_14634121139[Kenya], 0)</f>
        <v>4.6900131542855874</v>
      </c>
      <c r="J26" s="29">
        <f>IF(C26-Table_14634121139[Rwanda]&gt;0, C26-Table_14634121139[Rwanda], 0)</f>
        <v>0</v>
      </c>
      <c r="K26" s="29">
        <f>IF(C26-Table_14634121139[Sudan]&gt;0, C26-Table_14634121139[Sudan], 0)</f>
        <v>344.02996459299857</v>
      </c>
      <c r="L26" s="29">
        <f>IF(C26-Table_14634121139[S. Sudan]&gt;0, C26-Table_14634121139[S. Sudan], 0)</f>
        <v>702.39500559734381</v>
      </c>
      <c r="M26" s="29">
        <f>IF(C26-Table_14634121139[Tanzania]&gt;0, C26-Table_14634121139[Tanzania], 0)</f>
        <v>65.986389413405504</v>
      </c>
      <c r="N26" s="29">
        <f>IF(C26-Table_14634121139[Uganda]&gt;0, C26-Table_14634121139[Uganda], 0)</f>
        <v>246.15889372062622</v>
      </c>
      <c r="P26" s="21" t="s">
        <v>3</v>
      </c>
      <c r="Q26" s="97">
        <f t="shared" si="4"/>
        <v>1E-3</v>
      </c>
      <c r="R26" s="97">
        <f t="shared" si="3"/>
        <v>1.6635886752187464E-2</v>
      </c>
      <c r="S26" s="97">
        <f t="shared" si="3"/>
        <v>5.6486846918592744E-2</v>
      </c>
      <c r="T26" s="97">
        <f t="shared" si="3"/>
        <v>-2.202107456659691E-3</v>
      </c>
      <c r="U26" s="97">
        <f t="shared" si="3"/>
        <v>0.48744868983950357</v>
      </c>
      <c r="V26" s="97">
        <f t="shared" si="3"/>
        <v>6.2786847721460079E-2</v>
      </c>
      <c r="W26" s="97">
        <f t="shared" si="3"/>
        <v>1.0158119436060521E-2</v>
      </c>
      <c r="X26" s="97">
        <f t="shared" si="3"/>
        <v>0.51861541284080537</v>
      </c>
      <c r="Y26" s="97">
        <f>$AE$23+(L27-$AE$21)*($AE$24-$AE$23)/($AE$22-$AE$21)</f>
        <v>1</v>
      </c>
      <c r="Z26" s="97">
        <f t="shared" si="3"/>
        <v>0.1451250431468708</v>
      </c>
      <c r="AA26" s="97">
        <f t="shared" si="3"/>
        <v>0.38714716215796607</v>
      </c>
    </row>
    <row r="27" spans="2:31" ht="12.75" customHeight="1" x14ac:dyDescent="0.25">
      <c r="B27" s="21" t="s">
        <v>3</v>
      </c>
      <c r="C27" s="95">
        <f>Annual_sorted!N243</f>
        <v>-12.409342673593562</v>
      </c>
      <c r="D27" s="29">
        <f>IF(C27-Table_14634121139[Burundi]&gt;0, C27-Table_14634121139[Burundi], 0)</f>
        <v>2.383797488777267</v>
      </c>
      <c r="E27" s="29">
        <f>IF(C27-Table_14634121139[DRC]&gt;0, C27-Table_14634121139[DRC], 0)</f>
        <v>14.023877679450093</v>
      </c>
      <c r="F27" s="29">
        <f>IF(C27-Table_14634121139[Egypt]&gt;0, C27-Table_14634121139[Egypt], 0)</f>
        <v>43.690783008460023</v>
      </c>
      <c r="G27" s="29">
        <f>IF(C27-Table_14634121139[Eritrea]&gt;0, C27-Table_14634121139[Eritrea], 0)</f>
        <v>0</v>
      </c>
      <c r="H27" s="29">
        <f>IF(C27-Table_14634121139[Ethiopia]&gt;0, C27-Table_14634121139[Ethiopia], 0)</f>
        <v>364.51879169288901</v>
      </c>
      <c r="I27" s="29">
        <f>IF(C27-Table_14634121139[Kenya]&gt;0, C27-Table_14634121139[Kenya], 0)</f>
        <v>48.380796162745611</v>
      </c>
      <c r="J27" s="29">
        <f>IF(C27-Table_14634121139[Rwanda]&gt;0, C27-Table_14634121139[Rwanda], 0)</f>
        <v>9.2015268776518919</v>
      </c>
      <c r="K27" s="29">
        <f>IF(C27-Table_14634121139[Sudan]&gt;0, C27-Table_14634121139[Sudan], 0)</f>
        <v>387.72074760145858</v>
      </c>
      <c r="L27" s="29">
        <f>IF(C27-Table_14634121139[S. Sudan]&gt;0, C27-Table_14634121139[S. Sudan], 0)</f>
        <v>746.08578860580383</v>
      </c>
      <c r="M27" s="29">
        <f>IF(C27-Table_14634121139[Tanzania]&gt;0, C27-Table_14634121139[Tanzania], 0)</f>
        <v>109.67717242186554</v>
      </c>
      <c r="N27" s="29">
        <f>IF(C27-Table_14634121139[Uganda]&gt;0, C27-Table_14634121139[Uganda], 0)</f>
        <v>289.84967672908624</v>
      </c>
      <c r="P27" s="21" t="s">
        <v>4</v>
      </c>
      <c r="Q27" s="97">
        <f t="shared" si="4"/>
        <v>-2.202107456659691E-3</v>
      </c>
      <c r="R27" s="97">
        <f t="shared" si="3"/>
        <v>-2.202107456659691E-3</v>
      </c>
      <c r="S27" s="97">
        <f t="shared" si="3"/>
        <v>-2.202107456659691E-3</v>
      </c>
      <c r="T27" s="97">
        <f t="shared" si="3"/>
        <v>-2.202107456659691E-3</v>
      </c>
      <c r="U27" s="97">
        <f t="shared" si="3"/>
        <v>-2.202107456659691E-3</v>
      </c>
      <c r="V27" s="97">
        <f t="shared" si="3"/>
        <v>-2.202107456659691E-3</v>
      </c>
      <c r="W27" s="97">
        <f t="shared" si="3"/>
        <v>-2.202107456659691E-3</v>
      </c>
      <c r="X27" s="97">
        <f t="shared" si="3"/>
        <v>2.8964615544642143E-2</v>
      </c>
      <c r="Y27" s="97">
        <f t="shared" si="3"/>
        <v>0.51034920270383677</v>
      </c>
      <c r="Z27" s="97">
        <f t="shared" si="3"/>
        <v>-2.202107456659691E-3</v>
      </c>
      <c r="AA27" s="97">
        <f t="shared" si="3"/>
        <v>-2.202107456659691E-3</v>
      </c>
    </row>
    <row r="28" spans="2:31" ht="12.75" customHeight="1" x14ac:dyDescent="0.25">
      <c r="B28" s="21" t="s">
        <v>4</v>
      </c>
      <c r="C28" s="95">
        <f>Annual_sorted!N244</f>
        <v>-376.9281343664826</v>
      </c>
      <c r="D28" s="29">
        <f>IF(C28-Table_14634121139[Burundi]&gt;0, C28-Table_14634121139[Burundi], 0)</f>
        <v>0</v>
      </c>
      <c r="E28" s="29">
        <f>IF(C28-Table_14634121139[DRC]&gt;0, C28-Table_14634121139[DRC], 0)</f>
        <v>0</v>
      </c>
      <c r="F28" s="29">
        <f>IF(C28-Table_14634121139[Egypt]&gt;0, C28-Table_14634121139[Egypt], 0)</f>
        <v>0</v>
      </c>
      <c r="G28" s="29">
        <f>IF(C28-Table_14634121139[Eritrea]&gt;0, C28-Table_14634121139[Eritrea], 0)</f>
        <v>0</v>
      </c>
      <c r="H28" s="29">
        <f>IF(C28-Table_14634121139[Ethiopia]&gt;0, C28-Table_14634121139[Ethiopia], 0)</f>
        <v>0</v>
      </c>
      <c r="I28" s="29">
        <f>IF(C28-Table_14634121139[Kenya]&gt;0, C28-Table_14634121139[Kenya], 0)</f>
        <v>0</v>
      </c>
      <c r="J28" s="29">
        <f>IF(C28-Table_14634121139[Rwanda]&gt;0, C28-Table_14634121139[Rwanda], 0)</f>
        <v>0</v>
      </c>
      <c r="K28" s="29">
        <f>IF(C28-Table_14634121139[Sudan]&gt;0, C28-Table_14634121139[Sudan], 0)</f>
        <v>23.201955908569573</v>
      </c>
      <c r="L28" s="29">
        <f>IF(C28-Table_14634121139[S. Sudan]&gt;0, C28-Table_14634121139[S. Sudan], 0)</f>
        <v>381.56699691291476</v>
      </c>
      <c r="M28" s="29">
        <f>IF(C28-Table_14634121139[Tanzania]&gt;0, C28-Table_14634121139[Tanzania], 0)</f>
        <v>0</v>
      </c>
      <c r="N28" s="29">
        <f>IF(C28-Table_14634121139[Uganda]&gt;0, C28-Table_14634121139[Uganda], 0)</f>
        <v>0</v>
      </c>
      <c r="P28" s="21" t="s">
        <v>5</v>
      </c>
      <c r="Q28" s="97">
        <f t="shared" si="4"/>
        <v>-2.202107456659691E-3</v>
      </c>
      <c r="R28" s="97">
        <f t="shared" si="3"/>
        <v>-2.202107456659691E-3</v>
      </c>
      <c r="S28" s="97">
        <f t="shared" si="3"/>
        <v>-2.202107456659691E-3</v>
      </c>
      <c r="T28" s="97">
        <f t="shared" si="3"/>
        <v>-2.202107456659691E-3</v>
      </c>
      <c r="U28" s="97">
        <f t="shared" si="3"/>
        <v>0.42245973466138381</v>
      </c>
      <c r="V28" s="97">
        <f t="shared" si="3"/>
        <v>-2.202107456659691E-3</v>
      </c>
      <c r="W28" s="97">
        <f t="shared" si="3"/>
        <v>-2.202107456659691E-3</v>
      </c>
      <c r="X28" s="97">
        <f t="shared" si="3"/>
        <v>0.45362645766268567</v>
      </c>
      <c r="Y28" s="97">
        <f t="shared" si="3"/>
        <v>0.93501104482188002</v>
      </c>
      <c r="Z28" s="97">
        <f t="shared" si="3"/>
        <v>8.0136087968751032E-2</v>
      </c>
      <c r="AA28" s="97">
        <f t="shared" si="3"/>
        <v>0.32215820697984632</v>
      </c>
    </row>
    <row r="29" spans="2:31" ht="12.75" customHeight="1" x14ac:dyDescent="0.25">
      <c r="B29" s="21" t="s">
        <v>5</v>
      </c>
      <c r="C29" s="95">
        <f>Annual_sorted!N245</f>
        <v>-60.790138836339175</v>
      </c>
      <c r="D29" s="29">
        <f>IF(C29-Table_14634121139[Burundi]&gt;0, C29-Table_14634121139[Burundi], 0)</f>
        <v>0</v>
      </c>
      <c r="E29" s="29">
        <f>IF(C29-Table_14634121139[DRC]&gt;0, C29-Table_14634121139[DRC], 0)</f>
        <v>0</v>
      </c>
      <c r="F29" s="29">
        <f>IF(C29-Table_14634121139[Egypt]&gt;0, C29-Table_14634121139[Egypt], 0)</f>
        <v>0</v>
      </c>
      <c r="G29" s="29">
        <f>IF(C29-Table_14634121139[Eritrea]&gt;0, C29-Table_14634121139[Eritrea], 0)</f>
        <v>0</v>
      </c>
      <c r="H29" s="29">
        <f>IF(C29-Table_14634121139[Ethiopia]&gt;0, C29-Table_14634121139[Ethiopia], 0)</f>
        <v>316.13799553014343</v>
      </c>
      <c r="I29" s="29">
        <f>IF(C29-Table_14634121139[Kenya]&gt;0, C29-Table_14634121139[Kenya], 0)</f>
        <v>0</v>
      </c>
      <c r="J29" s="29">
        <f>IF(C29-Table_14634121139[Rwanda]&gt;0, C29-Table_14634121139[Rwanda], 0)</f>
        <v>0</v>
      </c>
      <c r="K29" s="29">
        <f>IF(C29-Table_14634121139[Sudan]&gt;0, C29-Table_14634121139[Sudan], 0)</f>
        <v>339.339951438713</v>
      </c>
      <c r="L29" s="29">
        <f>IF(C29-Table_14634121139[S. Sudan]&gt;0, C29-Table_14634121139[S. Sudan], 0)</f>
        <v>697.70499244305813</v>
      </c>
      <c r="M29" s="29">
        <f>IF(C29-Table_14634121139[Tanzania]&gt;0, C29-Table_14634121139[Tanzania], 0)</f>
        <v>61.296376259119917</v>
      </c>
      <c r="N29" s="29">
        <f>IF(C29-Table_14634121139[Uganda]&gt;0, C29-Table_14634121139[Uganda], 0)</f>
        <v>241.46888056634066</v>
      </c>
      <c r="P29" s="21" t="s">
        <v>6</v>
      </c>
      <c r="Q29" s="97">
        <f t="shared" si="4"/>
        <v>-2.202107456659691E-3</v>
      </c>
      <c r="R29" s="97">
        <f t="shared" si="3"/>
        <v>4.2756598594672502E-3</v>
      </c>
      <c r="S29" s="97">
        <f t="shared" si="3"/>
        <v>4.4126620025872532E-2</v>
      </c>
      <c r="T29" s="97">
        <f t="shared" si="3"/>
        <v>-2.202107456659691E-3</v>
      </c>
      <c r="U29" s="97">
        <f t="shared" si="3"/>
        <v>0.47508846294678336</v>
      </c>
      <c r="V29" s="97">
        <f t="shared" si="3"/>
        <v>5.0426620828739874E-2</v>
      </c>
      <c r="W29" s="97">
        <f t="shared" si="3"/>
        <v>-2.202107456659691E-3</v>
      </c>
      <c r="X29" s="97">
        <f t="shared" si="3"/>
        <v>0.50625518594808516</v>
      </c>
      <c r="Y29" s="97">
        <f t="shared" si="3"/>
        <v>0.98763977310727968</v>
      </c>
      <c r="Z29" s="97">
        <f t="shared" si="3"/>
        <v>0.1327648162541506</v>
      </c>
      <c r="AA29" s="97">
        <f t="shared" si="3"/>
        <v>0.37478693526524587</v>
      </c>
    </row>
    <row r="30" spans="2:31" ht="12.75" customHeight="1" x14ac:dyDescent="0.25">
      <c r="B30" s="21" t="s">
        <v>6</v>
      </c>
      <c r="C30" s="95">
        <f>Annual_sorted!N246</f>
        <v>-21.610869551245454</v>
      </c>
      <c r="D30" s="29">
        <f>IF(C30-Table_14634121139[Burundi]&gt;0, C30-Table_14634121139[Burundi], 0)</f>
        <v>0</v>
      </c>
      <c r="E30" s="29">
        <f>IF(C30-Table_14634121139[DRC]&gt;0, C30-Table_14634121139[DRC], 0)</f>
        <v>4.8223508017982013</v>
      </c>
      <c r="F30" s="29">
        <f>IF(C30-Table_14634121139[Egypt]&gt;0, C30-Table_14634121139[Egypt], 0)</f>
        <v>34.48925613080813</v>
      </c>
      <c r="G30" s="29">
        <f>IF(C30-Table_14634121139[Eritrea]&gt;0, C30-Table_14634121139[Eritrea], 0)</f>
        <v>0</v>
      </c>
      <c r="H30" s="29">
        <f>IF(C30-Table_14634121139[Ethiopia]&gt;0, C30-Table_14634121139[Ethiopia], 0)</f>
        <v>355.31726481523714</v>
      </c>
      <c r="I30" s="29">
        <f>IF(C30-Table_14634121139[Kenya]&gt;0, C30-Table_14634121139[Kenya], 0)</f>
        <v>39.179269285093724</v>
      </c>
      <c r="J30" s="29">
        <f>IF(C30-Table_14634121139[Rwanda]&gt;0, C30-Table_14634121139[Rwanda], 0)</f>
        <v>0</v>
      </c>
      <c r="K30" s="29">
        <f>IF(C30-Table_14634121139[Sudan]&gt;0, C30-Table_14634121139[Sudan], 0)</f>
        <v>378.51922072380671</v>
      </c>
      <c r="L30" s="29">
        <f>IF(C30-Table_14634121139[S. Sudan]&gt;0, C30-Table_14634121139[S. Sudan], 0)</f>
        <v>736.88426172815196</v>
      </c>
      <c r="M30" s="29">
        <f>IF(C30-Table_14634121139[Tanzania]&gt;0, C30-Table_14634121139[Tanzania], 0)</f>
        <v>100.47564554421363</v>
      </c>
      <c r="N30" s="29">
        <f>IF(C30-Table_14634121139[Uganda]&gt;0, C30-Table_14634121139[Uganda], 0)</f>
        <v>280.64814985143437</v>
      </c>
      <c r="P30" s="21" t="s">
        <v>7</v>
      </c>
      <c r="Q30" s="97">
        <f t="shared" si="4"/>
        <v>-2.202107456659691E-3</v>
      </c>
      <c r="R30" s="97">
        <f t="shared" si="3"/>
        <v>-2.202107456659691E-3</v>
      </c>
      <c r="S30" s="97">
        <f t="shared" si="3"/>
        <v>-2.202107456659691E-3</v>
      </c>
      <c r="T30" s="97">
        <f t="shared" si="3"/>
        <v>-2.202107456659691E-3</v>
      </c>
      <c r="U30" s="97">
        <f t="shared" si="3"/>
        <v>-2.202107456659691E-3</v>
      </c>
      <c r="V30" s="97">
        <f t="shared" si="3"/>
        <v>-2.202107456659691E-3</v>
      </c>
      <c r="W30" s="97">
        <f t="shared" si="3"/>
        <v>-2.202107456659691E-3</v>
      </c>
      <c r="X30" s="97">
        <f t="shared" si="3"/>
        <v>-2.202107456659691E-3</v>
      </c>
      <c r="Y30" s="97">
        <f t="shared" si="3"/>
        <v>0.47918247970253497</v>
      </c>
      <c r="Z30" s="97">
        <f t="shared" si="3"/>
        <v>-2.202107456659691E-3</v>
      </c>
      <c r="AA30" s="97">
        <f t="shared" si="3"/>
        <v>-2.202107456659691E-3</v>
      </c>
    </row>
    <row r="31" spans="2:31" ht="12.75" customHeight="1" x14ac:dyDescent="0.25">
      <c r="B31" s="21" t="s">
        <v>7</v>
      </c>
      <c r="C31" s="95">
        <f>Annual_sorted!N247</f>
        <v>-400.13009027505217</v>
      </c>
      <c r="D31" s="29">
        <f>IF(C31-Table_14634121139[Burundi]&gt;0, C31-Table_14634121139[Burundi], 0)</f>
        <v>0</v>
      </c>
      <c r="E31" s="29">
        <f>IF(C31-Table_14634121139[DRC]&gt;0, C31-Table_14634121139[DRC], 0)</f>
        <v>0</v>
      </c>
      <c r="F31" s="29">
        <f>IF(C31-Table_14634121139[Egypt]&gt;0, C31-Table_14634121139[Egypt], 0)</f>
        <v>0</v>
      </c>
      <c r="G31" s="29">
        <f>IF(C31-Table_14634121139[Eritrea]&gt;0, C31-Table_14634121139[Eritrea], 0)</f>
        <v>0</v>
      </c>
      <c r="H31" s="29">
        <f>IF(C31-Table_14634121139[Ethiopia]&gt;0, C31-Table_14634121139[Ethiopia], 0)</f>
        <v>0</v>
      </c>
      <c r="I31" s="29">
        <f>IF(C31-Table_14634121139[Kenya]&gt;0, C31-Table_14634121139[Kenya], 0)</f>
        <v>0</v>
      </c>
      <c r="J31" s="29">
        <f>IF(C31-Table_14634121139[Rwanda]&gt;0, C31-Table_14634121139[Rwanda], 0)</f>
        <v>0</v>
      </c>
      <c r="K31" s="29">
        <f>IF(C31-Table_14634121139[Sudan]&gt;0, C31-Table_14634121139[Sudan], 0)</f>
        <v>0</v>
      </c>
      <c r="L31" s="29">
        <f>IF(C31-Table_14634121139[S. Sudan]&gt;0, C31-Table_14634121139[S. Sudan], 0)</f>
        <v>358.36504100434519</v>
      </c>
      <c r="M31" s="29">
        <f>IF(C31-Table_14634121139[Tanzania]&gt;0, C31-Table_14634121139[Tanzania], 0)</f>
        <v>0</v>
      </c>
      <c r="N31" s="29">
        <f>IF(C31-Table_14634121139[Uganda]&gt;0, C31-Table_14634121139[Uganda], 0)</f>
        <v>0</v>
      </c>
      <c r="P31" s="21" t="s">
        <v>8</v>
      </c>
      <c r="Q31" s="97">
        <f t="shared" si="4"/>
        <v>-2.202107456659691E-3</v>
      </c>
      <c r="R31" s="97">
        <f t="shared" si="3"/>
        <v>-2.202107456659691E-3</v>
      </c>
      <c r="S31" s="97">
        <f t="shared" si="3"/>
        <v>-2.202107456659691E-3</v>
      </c>
      <c r="T31" s="97">
        <f t="shared" si="3"/>
        <v>-2.202107456659691E-3</v>
      </c>
      <c r="U31" s="97">
        <f t="shared" si="3"/>
        <v>-2.202107456659691E-3</v>
      </c>
      <c r="V31" s="97">
        <f t="shared" si="3"/>
        <v>-2.202107456659691E-3</v>
      </c>
      <c r="W31" s="97">
        <f t="shared" si="3"/>
        <v>-2.202107456659691E-3</v>
      </c>
      <c r="X31" s="97">
        <f t="shared" si="3"/>
        <v>-2.202107456659691E-3</v>
      </c>
      <c r="Y31" s="97">
        <f t="shared" si="3"/>
        <v>-2.202107456659691E-3</v>
      </c>
      <c r="Z31" s="97">
        <f t="shared" si="3"/>
        <v>-2.202107456659691E-3</v>
      </c>
      <c r="AA31" s="97">
        <f t="shared" si="3"/>
        <v>-2.202107456659691E-3</v>
      </c>
    </row>
    <row r="32" spans="2:31" ht="12.75" customHeight="1" x14ac:dyDescent="0.25">
      <c r="B32" s="21" t="s">
        <v>8</v>
      </c>
      <c r="C32" s="95">
        <f>Annual_sorted!N248</f>
        <v>-758.49513127939736</v>
      </c>
      <c r="D32" s="29">
        <f>IF(C32-Table_14634121139[Burundi]&gt;0, C32-Table_14634121139[Burundi], 0)</f>
        <v>0</v>
      </c>
      <c r="E32" s="29">
        <f>IF(C32-Table_14634121139[DRC]&gt;0, C32-Table_14634121139[DRC], 0)</f>
        <v>0</v>
      </c>
      <c r="F32" s="29">
        <f>IF(C32-Table_14634121139[Egypt]&gt;0, C32-Table_14634121139[Egypt], 0)</f>
        <v>0</v>
      </c>
      <c r="G32" s="29">
        <f>IF(C32-Table_14634121139[Eritrea]&gt;0, C32-Table_14634121139[Eritrea], 0)</f>
        <v>0</v>
      </c>
      <c r="H32" s="29">
        <f>IF(C32-Table_14634121139[Ethiopia]&gt;0, C32-Table_14634121139[Ethiopia], 0)</f>
        <v>0</v>
      </c>
      <c r="I32" s="29">
        <f>IF(C32-Table_14634121139[Kenya]&gt;0, C32-Table_14634121139[Kenya], 0)</f>
        <v>0</v>
      </c>
      <c r="J32" s="29">
        <f>IF(C32-Table_14634121139[Rwanda]&gt;0, C32-Table_14634121139[Rwanda], 0)</f>
        <v>0</v>
      </c>
      <c r="K32" s="29">
        <f>IF(C32-Table_14634121139[Sudan]&gt;0, C32-Table_14634121139[Sudan], 0)</f>
        <v>0</v>
      </c>
      <c r="L32" s="29">
        <f>IF(C32-Table_14634121139[S. Sudan]&gt;0, C32-Table_14634121139[S. Sudan], 0)</f>
        <v>0</v>
      </c>
      <c r="M32" s="29">
        <f>IF(C32-Table_14634121139[Tanzania]&gt;0, C32-Table_14634121139[Tanzania], 0)</f>
        <v>0</v>
      </c>
      <c r="N32" s="29">
        <f>IF(C32-Table_14634121139[Uganda]&gt;0, C32-Table_14634121139[Uganda], 0)</f>
        <v>0</v>
      </c>
      <c r="P32" s="21" t="s">
        <v>9</v>
      </c>
      <c r="Q32" s="97">
        <f t="shared" si="4"/>
        <v>-2.202107456659691E-3</v>
      </c>
      <c r="R32" s="97">
        <f t="shared" si="3"/>
        <v>-2.202107456659691E-3</v>
      </c>
      <c r="S32" s="97">
        <f t="shared" si="3"/>
        <v>-2.202107456659691E-3</v>
      </c>
      <c r="T32" s="97">
        <f t="shared" si="3"/>
        <v>-2.202107456659691E-3</v>
      </c>
      <c r="U32" s="97">
        <f t="shared" si="3"/>
        <v>0.34012153923597299</v>
      </c>
      <c r="V32" s="97">
        <f t="shared" si="3"/>
        <v>-2.202107456659691E-3</v>
      </c>
      <c r="W32" s="97">
        <f t="shared" si="3"/>
        <v>-2.202107456659691E-3</v>
      </c>
      <c r="X32" s="97">
        <f t="shared" si="3"/>
        <v>0.3712882622372749</v>
      </c>
      <c r="Y32" s="97">
        <f t="shared" si="3"/>
        <v>0.85267284939646959</v>
      </c>
      <c r="Z32" s="97">
        <f t="shared" si="3"/>
        <v>-2.202107456659691E-3</v>
      </c>
      <c r="AA32" s="97">
        <f t="shared" si="3"/>
        <v>0.23982001155443558</v>
      </c>
    </row>
    <row r="33" spans="2:31" ht="12.75" customHeight="1" thickBot="1" x14ac:dyDescent="0.3">
      <c r="B33" s="21" t="s">
        <v>9</v>
      </c>
      <c r="C33" s="95">
        <f>Annual_sorted!N249</f>
        <v>-122.08651509545909</v>
      </c>
      <c r="D33" s="29">
        <f>IF(C33-Table_14634121139[Burundi]&gt;0, C33-Table_14634121139[Burundi], 0)</f>
        <v>0</v>
      </c>
      <c r="E33" s="29">
        <f>IF(C33-Table_14634121139[DRC]&gt;0, C33-Table_14634121139[DRC], 0)</f>
        <v>0</v>
      </c>
      <c r="F33" s="29">
        <f>IF(C33-Table_14634121139[Egypt]&gt;0, C33-Table_14634121139[Egypt], 0)</f>
        <v>0</v>
      </c>
      <c r="G33" s="29">
        <f>IF(C33-Table_14634121139[Eritrea]&gt;0, C33-Table_14634121139[Eritrea], 0)</f>
        <v>0</v>
      </c>
      <c r="H33" s="29">
        <f>IF(C33-Table_14634121139[Ethiopia]&gt;0, C33-Table_14634121139[Ethiopia], 0)</f>
        <v>254.84161927102349</v>
      </c>
      <c r="I33" s="29">
        <f>IF(C33-Table_14634121139[Kenya]&gt;0, C33-Table_14634121139[Kenya], 0)</f>
        <v>0</v>
      </c>
      <c r="J33" s="29">
        <f>IF(C33-Table_14634121139[Rwanda]&gt;0, C33-Table_14634121139[Rwanda], 0)</f>
        <v>0</v>
      </c>
      <c r="K33" s="29">
        <f>IF(C33-Table_14634121139[Sudan]&gt;0, C33-Table_14634121139[Sudan], 0)</f>
        <v>278.04357517959306</v>
      </c>
      <c r="L33" s="29">
        <f>IF(C33-Table_14634121139[S. Sudan]&gt;0, C33-Table_14634121139[S. Sudan], 0)</f>
        <v>636.40861618393831</v>
      </c>
      <c r="M33" s="29">
        <f>IF(C33-Table_14634121139[Tanzania]&gt;0, C33-Table_14634121139[Tanzania], 0)</f>
        <v>0</v>
      </c>
      <c r="N33" s="29">
        <f>IF(C33-Table_14634121139[Uganda]&gt;0, C33-Table_14634121139[Uganda], 0)</f>
        <v>180.17250430722072</v>
      </c>
      <c r="P33" s="22" t="s">
        <v>10</v>
      </c>
      <c r="Q33" s="98">
        <f t="shared" si="4"/>
        <v>-2.202107456659691E-3</v>
      </c>
      <c r="R33" s="98">
        <f t="shared" si="3"/>
        <v>-2.202107456659691E-3</v>
      </c>
      <c r="S33" s="98">
        <f t="shared" si="3"/>
        <v>-2.202107456659691E-3</v>
      </c>
      <c r="T33" s="98">
        <f t="shared" si="3"/>
        <v>-2.202107456659691E-3</v>
      </c>
      <c r="U33" s="98">
        <f t="shared" si="3"/>
        <v>9.809942022487779E-2</v>
      </c>
      <c r="V33" s="98">
        <f t="shared" si="3"/>
        <v>-2.202107456659691E-3</v>
      </c>
      <c r="W33" s="98">
        <f t="shared" si="3"/>
        <v>-2.202107456659691E-3</v>
      </c>
      <c r="X33" s="98">
        <f t="shared" si="3"/>
        <v>0.1292661432261796</v>
      </c>
      <c r="Y33" s="98">
        <f t="shared" si="3"/>
        <v>0.61065073038537432</v>
      </c>
      <c r="Z33" s="98">
        <f t="shared" si="3"/>
        <v>-2.202107456659691E-3</v>
      </c>
      <c r="AA33" s="98">
        <f t="shared" si="3"/>
        <v>-2.202107456659691E-3</v>
      </c>
      <c r="AB33" s="186">
        <f>SUM(Q23:AA33)</f>
        <v>18.419554291537548</v>
      </c>
    </row>
    <row r="34" spans="2:31" ht="12.75" customHeight="1" thickBot="1" x14ac:dyDescent="0.3">
      <c r="B34" s="22" t="s">
        <v>10</v>
      </c>
      <c r="C34" s="96">
        <f>Annual_sorted!N250</f>
        <v>-302.25901940267983</v>
      </c>
      <c r="D34" s="32">
        <f>IF(C34-Table_14634121139[Burundi]&gt;0, C34-Table_14634121139[Burundi], 0)</f>
        <v>0</v>
      </c>
      <c r="E34" s="32">
        <f>IF(C34-Table_14634121139[DRC]&gt;0, C34-Table_14634121139[DRC], 0)</f>
        <v>0</v>
      </c>
      <c r="F34" s="32">
        <f>IF(C34-Table_14634121139[Egypt]&gt;0, C34-Table_14634121139[Egypt], 0)</f>
        <v>0</v>
      </c>
      <c r="G34" s="32">
        <f>IF(C34-Table_14634121139[Eritrea]&gt;0, C34-Table_14634121139[Eritrea], 0)</f>
        <v>0</v>
      </c>
      <c r="H34" s="32">
        <f>IF(C34-Table_14634121139[Ethiopia]&gt;0, C34-Table_14634121139[Ethiopia], 0)</f>
        <v>74.66911496380277</v>
      </c>
      <c r="I34" s="32">
        <f>IF(C34-Table_14634121139[Kenya]&gt;0, C34-Table_14634121139[Kenya], 0)</f>
        <v>0</v>
      </c>
      <c r="J34" s="32">
        <f>IF(C34-Table_14634121139[Rwanda]&gt;0, C34-Table_14634121139[Rwanda], 0)</f>
        <v>0</v>
      </c>
      <c r="K34" s="32">
        <f>IF(C34-Table_14634121139[Sudan]&gt;0, C34-Table_14634121139[Sudan], 0)</f>
        <v>97.871070872372343</v>
      </c>
      <c r="L34" s="32">
        <f>IF(C34-Table_14634121139[S. Sudan]&gt;0, C34-Table_14634121139[S. Sudan], 0)</f>
        <v>456.23611187671753</v>
      </c>
      <c r="M34" s="32">
        <f>IF(C34-Table_14634121139[Tanzania]&gt;0, C34-Table_14634121139[Tanzania], 0)</f>
        <v>0</v>
      </c>
      <c r="N34" s="32">
        <f>IF(C34-Table_14634121139[Uganda]&gt;0, C34-Table_14634121139[Uganda], 0)</f>
        <v>0</v>
      </c>
    </row>
    <row r="35" spans="2:31" ht="12.75" customHeight="1" x14ac:dyDescent="0.25">
      <c r="C35" s="19"/>
    </row>
    <row r="36" spans="2:31" ht="12.75" customHeight="1" x14ac:dyDescent="0.25"/>
    <row r="37" spans="2:31" ht="12.75" customHeight="1" x14ac:dyDescent="0.25">
      <c r="B37" s="5"/>
      <c r="C37" s="5"/>
      <c r="D37" s="5"/>
      <c r="E37" s="5"/>
      <c r="F37" s="5"/>
      <c r="G37" s="5"/>
      <c r="H37" s="5"/>
      <c r="I37" s="5"/>
      <c r="J37" s="5"/>
      <c r="K37" s="5"/>
      <c r="L37" s="5"/>
      <c r="M37" s="5"/>
      <c r="N37" s="5"/>
      <c r="O37" s="5"/>
      <c r="P37" s="5"/>
      <c r="Q37" s="5"/>
      <c r="R37" s="5"/>
      <c r="S37" s="5"/>
      <c r="T37" s="5"/>
      <c r="U37" s="5"/>
      <c r="V37" s="5"/>
      <c r="W37" s="5"/>
      <c r="X37" s="5"/>
      <c r="Y37" s="5"/>
      <c r="Z37" s="5"/>
      <c r="AA37" s="5"/>
    </row>
    <row r="38" spans="2:31" ht="12.75" customHeight="1" x14ac:dyDescent="0.25">
      <c r="B38" s="5"/>
      <c r="C38" s="5"/>
      <c r="D38" s="5"/>
      <c r="E38" s="5"/>
      <c r="F38" s="5"/>
      <c r="G38" s="5"/>
      <c r="H38" s="5"/>
      <c r="I38" s="5"/>
      <c r="J38" s="5"/>
      <c r="K38" s="5"/>
      <c r="L38" s="5"/>
      <c r="M38" s="5"/>
      <c r="N38" s="44"/>
      <c r="O38" s="5"/>
      <c r="P38" s="5"/>
      <c r="Q38" s="5"/>
      <c r="R38" s="5"/>
      <c r="S38" s="5"/>
      <c r="T38" s="5"/>
      <c r="U38" s="5"/>
      <c r="V38" s="5"/>
      <c r="W38" s="5"/>
      <c r="X38" s="5"/>
      <c r="Y38" s="5"/>
      <c r="Z38" s="5"/>
      <c r="AA38" s="5"/>
    </row>
    <row r="39" spans="2:31" ht="12.75" customHeight="1" thickBot="1" x14ac:dyDescent="0.3">
      <c r="B39" s="253" t="s">
        <v>77</v>
      </c>
      <c r="C39" s="253"/>
      <c r="D39" s="253"/>
      <c r="E39" s="253"/>
      <c r="F39" s="253"/>
      <c r="G39" s="253"/>
      <c r="H39" s="253"/>
      <c r="I39" s="253"/>
      <c r="J39" s="253"/>
      <c r="K39" s="253"/>
      <c r="L39" s="253"/>
      <c r="M39" s="253"/>
      <c r="N39" s="253"/>
      <c r="O39" s="5"/>
      <c r="P39" s="253" t="s">
        <v>78</v>
      </c>
      <c r="Q39" s="253"/>
      <c r="R39" s="253"/>
      <c r="S39" s="253"/>
      <c r="T39" s="253"/>
      <c r="U39" s="253"/>
      <c r="V39" s="253"/>
      <c r="W39" s="253"/>
      <c r="X39" s="253"/>
      <c r="Y39" s="253"/>
      <c r="Z39" s="253"/>
      <c r="AA39" s="253"/>
      <c r="AB39" s="10"/>
      <c r="AC39" s="3" t="s">
        <v>22</v>
      </c>
      <c r="AD39" s="13" t="s">
        <v>23</v>
      </c>
      <c r="AE39" s="74">
        <f t="array" ref="AE39">MIN(IF(D42:N52&gt;0,D42:N52))</f>
        <v>3.3001726474288853E-2</v>
      </c>
    </row>
    <row r="40" spans="2:31" ht="12.75" customHeight="1" thickBot="1" x14ac:dyDescent="0.3">
      <c r="B40" s="75" t="s">
        <v>13</v>
      </c>
      <c r="C40" s="66" t="s">
        <v>14</v>
      </c>
      <c r="D40" s="67" t="s">
        <v>1</v>
      </c>
      <c r="E40" s="67" t="s">
        <v>195</v>
      </c>
      <c r="F40" s="67" t="s">
        <v>2</v>
      </c>
      <c r="G40" s="67" t="s">
        <v>3</v>
      </c>
      <c r="H40" s="67" t="s">
        <v>4</v>
      </c>
      <c r="I40" s="67" t="s">
        <v>5</v>
      </c>
      <c r="J40" s="67" t="s">
        <v>6</v>
      </c>
      <c r="K40" s="67" t="s">
        <v>7</v>
      </c>
      <c r="L40" s="67" t="s">
        <v>295</v>
      </c>
      <c r="M40" s="67" t="s">
        <v>9</v>
      </c>
      <c r="N40" s="67" t="s">
        <v>10</v>
      </c>
      <c r="P40" s="76" t="s">
        <v>19</v>
      </c>
      <c r="Q40" s="77" t="s">
        <v>1</v>
      </c>
      <c r="R40" s="77" t="s">
        <v>195</v>
      </c>
      <c r="S40" s="77" t="s">
        <v>2</v>
      </c>
      <c r="T40" s="77" t="s">
        <v>3</v>
      </c>
      <c r="U40" s="77" t="s">
        <v>4</v>
      </c>
      <c r="V40" s="77" t="s">
        <v>5</v>
      </c>
      <c r="W40" s="77" t="s">
        <v>6</v>
      </c>
      <c r="X40" s="77" t="s">
        <v>7</v>
      </c>
      <c r="Y40" s="77" t="s">
        <v>295</v>
      </c>
      <c r="Z40" s="77" t="s">
        <v>9</v>
      </c>
      <c r="AA40" s="77" t="s">
        <v>10</v>
      </c>
      <c r="AB40" s="254" t="s">
        <v>26</v>
      </c>
      <c r="AC40" s="254"/>
      <c r="AD40" s="13" t="s">
        <v>24</v>
      </c>
      <c r="AE40" s="20">
        <f>MAX(D42:N52)</f>
        <v>64.831399704303152</v>
      </c>
    </row>
    <row r="41" spans="2:31" ht="12.75" customHeight="1" x14ac:dyDescent="0.25">
      <c r="B41" s="93"/>
      <c r="C41" s="94" t="s">
        <v>259</v>
      </c>
      <c r="D41" s="95">
        <f>C42</f>
        <v>-1.1794089241037777</v>
      </c>
      <c r="E41" s="95">
        <f>C43</f>
        <v>5.4042971101760276E-2</v>
      </c>
      <c r="F41" s="95">
        <f>C44</f>
        <v>1.3063901954918868</v>
      </c>
      <c r="G41" s="95">
        <f>C45</f>
        <v>2.1041244627471423E-2</v>
      </c>
      <c r="H41" s="95">
        <f>C46</f>
        <v>-63.525009508811266</v>
      </c>
      <c r="I41" s="95">
        <f>C47</f>
        <v>-16.52586916166851</v>
      </c>
      <c r="J41" s="95">
        <f>C48</f>
        <v>-3.6758609083892511</v>
      </c>
      <c r="K41" s="95">
        <f>C49</f>
        <v>0.55170747397188058</v>
      </c>
      <c r="L41" s="95">
        <f>C50</f>
        <v>0.18138023515624691</v>
      </c>
      <c r="M41" s="95">
        <f>C51</f>
        <v>-41.325383344716691</v>
      </c>
      <c r="N41" s="95">
        <f>C52</f>
        <v>-23.232310225436326</v>
      </c>
      <c r="P41" s="21" t="s">
        <v>1</v>
      </c>
      <c r="Q41" s="97">
        <f>$AE$41+(D42-$AE$39)*($AE$42-$AE$41)/($AE$40-$AE$39)</f>
        <v>4.9121080494775511E-4</v>
      </c>
      <c r="R41" s="97">
        <f t="shared" ref="R41:AA51" si="5">$AE$41+(E42-$AE$39)*($AE$42-$AE$41)/($AE$40-$AE$39)</f>
        <v>4.9121080494775511E-4</v>
      </c>
      <c r="S41" s="97">
        <f t="shared" si="5"/>
        <v>4.9121080494775511E-4</v>
      </c>
      <c r="T41" s="97">
        <f t="shared" si="5"/>
        <v>4.9121080494775511E-4</v>
      </c>
      <c r="U41" s="97">
        <f t="shared" si="5"/>
        <v>0.96167631611315829</v>
      </c>
      <c r="V41" s="97">
        <f t="shared" si="5"/>
        <v>0.23708832208805064</v>
      </c>
      <c r="W41" s="97">
        <f t="shared" si="5"/>
        <v>3.8979130416085493E-2</v>
      </c>
      <c r="X41" s="97">
        <f t="shared" si="5"/>
        <v>4.9121080494775511E-4</v>
      </c>
      <c r="Y41" s="97">
        <f t="shared" si="5"/>
        <v>4.9121080494775511E-4</v>
      </c>
      <c r="Z41" s="97">
        <f t="shared" si="5"/>
        <v>0.61942361805234192</v>
      </c>
      <c r="AA41" s="97">
        <f t="shared" si="5"/>
        <v>0.34048184464082115</v>
      </c>
      <c r="AD41" s="3" t="s">
        <v>25</v>
      </c>
      <c r="AE41" s="2">
        <v>1E-3</v>
      </c>
    </row>
    <row r="42" spans="2:31" ht="12.75" customHeight="1" x14ac:dyDescent="0.25">
      <c r="B42" s="21" t="s">
        <v>1</v>
      </c>
      <c r="C42" s="95">
        <f>Annual_sorted!O240</f>
        <v>-1.1794089241037777</v>
      </c>
      <c r="D42" s="29">
        <f>IF(C42-Table_146345152041[Burundi]&gt;0, C42-Table_146345152041[Burundi], 0)</f>
        <v>0</v>
      </c>
      <c r="E42" s="29">
        <f>IF(C42-Table_146345152041[DRC]&gt;0, C42-Table_146345152041[DRC], 0)</f>
        <v>0</v>
      </c>
      <c r="F42" s="29">
        <f>IF(C42-Table_146345152041[Egypt]&gt;0, C42-Table_146345152041[Egypt], 0)</f>
        <v>0</v>
      </c>
      <c r="G42" s="29">
        <f>IF(C42-Table_146345152041[Eritrea]&gt;0, C42-Table_146345152041[Eritrea], 0)</f>
        <v>0</v>
      </c>
      <c r="H42" s="29">
        <f>IF(C42-Table_146345152041[Ethiopia]&gt;0, C42-Table_146345152041[Ethiopia], 0)</f>
        <v>62.345600584707491</v>
      </c>
      <c r="I42" s="29">
        <f>IF(C42-Table_146345152041[Kenya]&gt;0, C42-Table_146345152041[Kenya], 0)</f>
        <v>15.346460237564733</v>
      </c>
      <c r="J42" s="29">
        <f>IF(C42-Table_146345152041[Rwanda]&gt;0, C42-Table_146345152041[Rwanda], 0)</f>
        <v>2.4964519842854731</v>
      </c>
      <c r="K42" s="29">
        <f>IF(C42-Table_146345152041[Sudan]&gt;0, C42-Table_146345152041[Sudan], 0)</f>
        <v>0</v>
      </c>
      <c r="L42" s="29">
        <f>IF(C42-Table_146345152041[S. Sudan]&gt;0, C42-Table_146345152041[S. Sudan], 0)</f>
        <v>0</v>
      </c>
      <c r="M42" s="29">
        <f>IF(C42-Table_146345152041[Tanzania]&gt;0, C42-Table_146345152041[Tanzania], 0)</f>
        <v>40.145974420612916</v>
      </c>
      <c r="N42" s="29">
        <f>IF(C42-Table_146345152041[Uganda]&gt;0, C42-Table_146345152041[Uganda], 0)</f>
        <v>22.052901301332547</v>
      </c>
      <c r="P42" s="21" t="s">
        <v>195</v>
      </c>
      <c r="Q42" s="97">
        <f t="shared" ref="Q42:Q51" si="6">$AE$41+(D43-$AE$39)*($AE$42-$AE$41)/($AE$40-$AE$39)</f>
        <v>1.9507397651603177E-2</v>
      </c>
      <c r="R42" s="97">
        <f t="shared" si="5"/>
        <v>4.9121080494775511E-4</v>
      </c>
      <c r="S42" s="97">
        <f t="shared" si="5"/>
        <v>4.9121080494775511E-4</v>
      </c>
      <c r="T42" s="97">
        <f t="shared" si="5"/>
        <v>1E-3</v>
      </c>
      <c r="U42" s="97">
        <f t="shared" si="5"/>
        <v>0.98069250295981369</v>
      </c>
      <c r="V42" s="97">
        <f t="shared" si="5"/>
        <v>0.2561045089347061</v>
      </c>
      <c r="W42" s="97">
        <f t="shared" si="5"/>
        <v>5.7995317262740917E-2</v>
      </c>
      <c r="X42" s="97">
        <f t="shared" si="5"/>
        <v>4.9121080494775511E-4</v>
      </c>
      <c r="Y42" s="97">
        <f t="shared" si="5"/>
        <v>4.9121080494775511E-4</v>
      </c>
      <c r="Z42" s="97">
        <f t="shared" si="5"/>
        <v>0.63843980489899732</v>
      </c>
      <c r="AA42" s="97">
        <f t="shared" si="5"/>
        <v>0.35949803148747661</v>
      </c>
      <c r="AD42" s="3" t="s">
        <v>70</v>
      </c>
      <c r="AE42" s="2">
        <v>1</v>
      </c>
    </row>
    <row r="43" spans="2:31" ht="12.75" customHeight="1" x14ac:dyDescent="0.25">
      <c r="B43" s="21" t="s">
        <v>195</v>
      </c>
      <c r="C43" s="95">
        <f>Annual_sorted!O241</f>
        <v>5.4042971101760276E-2</v>
      </c>
      <c r="D43" s="29">
        <f>IF(C43-Table_146345152041[Burundi]&gt;0, C43-Table_146345152041[Burundi], 0)</f>
        <v>1.233451895205538</v>
      </c>
      <c r="E43" s="29">
        <f>IF(C43-Table_146345152041[DRC]&gt;0, C43-Table_146345152041[DRC], 0)</f>
        <v>0</v>
      </c>
      <c r="F43" s="29">
        <f>IF(C43-Table_146345152041[Egypt]&gt;0, C43-Table_146345152041[Egypt], 0)</f>
        <v>0</v>
      </c>
      <c r="G43" s="29">
        <f>IF(C43-Table_146345152041[Eritrea]&gt;0, C43-Table_146345152041[Eritrea], 0)</f>
        <v>3.3001726474288853E-2</v>
      </c>
      <c r="H43" s="29">
        <f>IF(C43-Table_146345152041[Ethiopia]&gt;0, C43-Table_146345152041[Ethiopia], 0)</f>
        <v>63.579052479913024</v>
      </c>
      <c r="I43" s="29">
        <f>IF(C43-Table_146345152041[Kenya]&gt;0, C43-Table_146345152041[Kenya], 0)</f>
        <v>16.579912132770271</v>
      </c>
      <c r="J43" s="29">
        <f>IF(C43-Table_146345152041[Rwanda]&gt;0, C43-Table_146345152041[Rwanda], 0)</f>
        <v>3.7299038794910113</v>
      </c>
      <c r="K43" s="29">
        <f>IF(C43-Table_146345152041[Sudan]&gt;0, C43-Table_146345152041[Sudan], 0)</f>
        <v>0</v>
      </c>
      <c r="L43" s="29">
        <f>IF(C43-Table_146345152041[S. Sudan]&gt;0, C43-Table_146345152041[S. Sudan], 0)</f>
        <v>0</v>
      </c>
      <c r="M43" s="29">
        <f>IF(C43-Table_146345152041[Tanzania]&gt;0, C43-Table_146345152041[Tanzania], 0)</f>
        <v>41.379426315818449</v>
      </c>
      <c r="N43" s="29">
        <f>IF(C43-Table_146345152041[Uganda]&gt;0, C43-Table_146345152041[Uganda], 0)</f>
        <v>23.286353196538087</v>
      </c>
      <c r="P43" s="21" t="s">
        <v>2</v>
      </c>
      <c r="Q43" s="97">
        <f t="shared" si="6"/>
        <v>3.8814894691789351E-2</v>
      </c>
      <c r="R43" s="97">
        <f t="shared" si="5"/>
        <v>1.9798707845133927E-2</v>
      </c>
      <c r="S43" s="97">
        <f t="shared" si="5"/>
        <v>4.9121080494775511E-4</v>
      </c>
      <c r="T43" s="97">
        <f t="shared" si="5"/>
        <v>2.0307497040186171E-2</v>
      </c>
      <c r="U43" s="97">
        <f t="shared" si="5"/>
        <v>1</v>
      </c>
      <c r="V43" s="97">
        <f t="shared" si="5"/>
        <v>0.27541200597489224</v>
      </c>
      <c r="W43" s="97">
        <f t="shared" si="5"/>
        <v>7.7302814302927084E-2</v>
      </c>
      <c r="X43" s="97">
        <f t="shared" si="5"/>
        <v>1.2126190408246695E-2</v>
      </c>
      <c r="Y43" s="97">
        <f t="shared" si="5"/>
        <v>1.7835543156495208E-2</v>
      </c>
      <c r="Z43" s="97">
        <f t="shared" si="5"/>
        <v>0.65774730193918352</v>
      </c>
      <c r="AA43" s="97">
        <f t="shared" si="5"/>
        <v>0.37880552852766275</v>
      </c>
    </row>
    <row r="44" spans="2:31" ht="12.75" customHeight="1" x14ac:dyDescent="0.25">
      <c r="B44" s="21" t="s">
        <v>2</v>
      </c>
      <c r="C44" s="95">
        <f>Annual_sorted!O242</f>
        <v>1.3063901954918868</v>
      </c>
      <c r="D44" s="29">
        <f>IF(C44-Table_146345152041[Burundi]&gt;0, C44-Table_146345152041[Burundi], 0)</f>
        <v>2.4857991195956646</v>
      </c>
      <c r="E44" s="29">
        <f>IF(C44-Table_146345152041[DRC]&gt;0, C44-Table_146345152041[DRC], 0)</f>
        <v>1.2523472243901266</v>
      </c>
      <c r="F44" s="29">
        <f>IF(C44-Table_146345152041[Egypt]&gt;0, C44-Table_146345152041[Egypt], 0)</f>
        <v>0</v>
      </c>
      <c r="G44" s="29">
        <f>IF(C44-Table_146345152041[Eritrea]&gt;0, C44-Table_146345152041[Eritrea], 0)</f>
        <v>1.2853489508644154</v>
      </c>
      <c r="H44" s="29">
        <f>IF(C44-Table_146345152041[Ethiopia]&gt;0, C44-Table_146345152041[Ethiopia], 0)</f>
        <v>64.831399704303152</v>
      </c>
      <c r="I44" s="29">
        <f>IF(C44-Table_146345152041[Kenya]&gt;0, C44-Table_146345152041[Kenya], 0)</f>
        <v>17.832259357160396</v>
      </c>
      <c r="J44" s="29">
        <f>IF(C44-Table_146345152041[Rwanda]&gt;0, C44-Table_146345152041[Rwanda], 0)</f>
        <v>4.9822511038811381</v>
      </c>
      <c r="K44" s="29">
        <f>IF(C44-Table_146345152041[Sudan]&gt;0, C44-Table_146345152041[Sudan], 0)</f>
        <v>0.75468272152000626</v>
      </c>
      <c r="L44" s="29">
        <f>IF(C44-Table_146345152041[S. Sudan]&gt;0, C44-Table_146345152041[S. Sudan], 0)</f>
        <v>1.1250099603356398</v>
      </c>
      <c r="M44" s="29">
        <f>IF(C44-Table_146345152041[Tanzania]&gt;0, C44-Table_146345152041[Tanzania], 0)</f>
        <v>42.631773540208577</v>
      </c>
      <c r="N44" s="29">
        <f>IF(C44-Table_146345152041[Uganda]&gt;0, C44-Table_146345152041[Uganda], 0)</f>
        <v>24.538700420928212</v>
      </c>
      <c r="P44" s="21" t="s">
        <v>3</v>
      </c>
      <c r="Q44" s="97">
        <f t="shared" si="6"/>
        <v>1.8998608456550933E-2</v>
      </c>
      <c r="R44" s="97">
        <f t="shared" si="5"/>
        <v>4.9121080494775511E-4</v>
      </c>
      <c r="S44" s="97">
        <f t="shared" si="5"/>
        <v>4.9121080494775511E-4</v>
      </c>
      <c r="T44" s="97">
        <f t="shared" si="5"/>
        <v>4.9121080494775511E-4</v>
      </c>
      <c r="U44" s="97">
        <f t="shared" si="5"/>
        <v>0.98018371376476143</v>
      </c>
      <c r="V44" s="97">
        <f t="shared" si="5"/>
        <v>0.25559571973965384</v>
      </c>
      <c r="W44" s="97">
        <f t="shared" si="5"/>
        <v>5.7486528067688669E-2</v>
      </c>
      <c r="X44" s="97">
        <f t="shared" si="5"/>
        <v>4.9121080494775511E-4</v>
      </c>
      <c r="Y44" s="97">
        <f t="shared" si="5"/>
        <v>4.9121080494775511E-4</v>
      </c>
      <c r="Z44" s="97">
        <f t="shared" si="5"/>
        <v>0.63793101570394506</v>
      </c>
      <c r="AA44" s="97">
        <f t="shared" si="5"/>
        <v>0.35898924229242435</v>
      </c>
    </row>
    <row r="45" spans="2:31" ht="12.75" customHeight="1" x14ac:dyDescent="0.25">
      <c r="B45" s="21" t="s">
        <v>3</v>
      </c>
      <c r="C45" s="95">
        <f>Annual_sorted!O243</f>
        <v>2.1041244627471423E-2</v>
      </c>
      <c r="D45" s="29">
        <f>IF(C45-Table_146345152041[Burundi]&gt;0, C45-Table_146345152041[Burundi], 0)</f>
        <v>1.2004501687312492</v>
      </c>
      <c r="E45" s="29">
        <f>IF(C45-Table_146345152041[DRC]&gt;0, C45-Table_146345152041[DRC], 0)</f>
        <v>0</v>
      </c>
      <c r="F45" s="29">
        <f>IF(C45-Table_146345152041[Egypt]&gt;0, C45-Table_146345152041[Egypt], 0)</f>
        <v>0</v>
      </c>
      <c r="G45" s="29">
        <f>IF(C45-Table_146345152041[Eritrea]&gt;0, C45-Table_146345152041[Eritrea], 0)</f>
        <v>0</v>
      </c>
      <c r="H45" s="29">
        <f>IF(C45-Table_146345152041[Ethiopia]&gt;0, C45-Table_146345152041[Ethiopia], 0)</f>
        <v>63.546050753438735</v>
      </c>
      <c r="I45" s="29">
        <f>IF(C45-Table_146345152041[Kenya]&gt;0, C45-Table_146345152041[Kenya], 0)</f>
        <v>16.546910406295982</v>
      </c>
      <c r="J45" s="29">
        <f>IF(C45-Table_146345152041[Rwanda]&gt;0, C45-Table_146345152041[Rwanda], 0)</f>
        <v>3.6969021530167225</v>
      </c>
      <c r="K45" s="29">
        <f>IF(C45-Table_146345152041[Sudan]&gt;0, C45-Table_146345152041[Sudan], 0)</f>
        <v>0</v>
      </c>
      <c r="L45" s="29">
        <f>IF(C45-Table_146345152041[S. Sudan]&gt;0, C45-Table_146345152041[S. Sudan], 0)</f>
        <v>0</v>
      </c>
      <c r="M45" s="29">
        <f>IF(C45-Table_146345152041[Tanzania]&gt;0, C45-Table_146345152041[Tanzania], 0)</f>
        <v>41.34642458934416</v>
      </c>
      <c r="N45" s="29">
        <f>IF(C45-Table_146345152041[Uganda]&gt;0, C45-Table_146345152041[Uganda], 0)</f>
        <v>23.253351470063798</v>
      </c>
      <c r="P45" s="21" t="s">
        <v>4</v>
      </c>
      <c r="Q45" s="97">
        <f t="shared" si="6"/>
        <v>4.9121080494775511E-4</v>
      </c>
      <c r="R45" s="97">
        <f t="shared" si="5"/>
        <v>4.9121080494775511E-4</v>
      </c>
      <c r="S45" s="97">
        <f t="shared" si="5"/>
        <v>4.9121080494775511E-4</v>
      </c>
      <c r="T45" s="97">
        <f t="shared" si="5"/>
        <v>4.9121080494775511E-4</v>
      </c>
      <c r="U45" s="97">
        <f t="shared" si="5"/>
        <v>4.9121080494775511E-4</v>
      </c>
      <c r="V45" s="97">
        <f t="shared" si="5"/>
        <v>4.9121080494775511E-4</v>
      </c>
      <c r="W45" s="97">
        <f t="shared" si="5"/>
        <v>4.9121080494775511E-4</v>
      </c>
      <c r="X45" s="97">
        <f t="shared" si="5"/>
        <v>4.9121080494775511E-4</v>
      </c>
      <c r="Y45" s="97">
        <f t="shared" si="5"/>
        <v>4.9121080494775511E-4</v>
      </c>
      <c r="Z45" s="97">
        <f t="shared" si="5"/>
        <v>4.9121080494775511E-4</v>
      </c>
      <c r="AA45" s="97">
        <f t="shared" si="5"/>
        <v>4.9121080494775511E-4</v>
      </c>
    </row>
    <row r="46" spans="2:31" ht="12.75" customHeight="1" x14ac:dyDescent="0.25">
      <c r="B46" s="21" t="s">
        <v>4</v>
      </c>
      <c r="C46" s="95">
        <f>Annual_sorted!O244</f>
        <v>-63.525009508811266</v>
      </c>
      <c r="D46" s="29">
        <f>IF(C46-Table_146345152041[Burundi]&gt;0, C46-Table_146345152041[Burundi], 0)</f>
        <v>0</v>
      </c>
      <c r="E46" s="29">
        <f>IF(C46-Table_146345152041[DRC]&gt;0, C46-Table_146345152041[DRC], 0)</f>
        <v>0</v>
      </c>
      <c r="F46" s="29">
        <f>IF(C46-Table_146345152041[Egypt]&gt;0, C46-Table_146345152041[Egypt], 0)</f>
        <v>0</v>
      </c>
      <c r="G46" s="29">
        <f>IF(C46-Table_146345152041[Eritrea]&gt;0, C46-Table_146345152041[Eritrea], 0)</f>
        <v>0</v>
      </c>
      <c r="H46" s="29">
        <f>IF(C46-Table_146345152041[Ethiopia]&gt;0, C46-Table_146345152041[Ethiopia], 0)</f>
        <v>0</v>
      </c>
      <c r="I46" s="29">
        <f>IF(C46-Table_146345152041[Kenya]&gt;0, C46-Table_146345152041[Kenya], 0)</f>
        <v>0</v>
      </c>
      <c r="J46" s="29">
        <f>IF(C46-Table_146345152041[Rwanda]&gt;0, C46-Table_146345152041[Rwanda], 0)</f>
        <v>0</v>
      </c>
      <c r="K46" s="29">
        <f>IF(C46-Table_146345152041[Sudan]&gt;0, C46-Table_146345152041[Sudan], 0)</f>
        <v>0</v>
      </c>
      <c r="L46" s="29">
        <f>IF(C46-Table_146345152041[S. Sudan]&gt;0, C46-Table_146345152041[S. Sudan], 0)</f>
        <v>0</v>
      </c>
      <c r="M46" s="29">
        <f>IF(C46-Table_146345152041[Tanzania]&gt;0, C46-Table_146345152041[Tanzania], 0)</f>
        <v>0</v>
      </c>
      <c r="N46" s="29">
        <f>IF(C46-Table_146345152041[Uganda]&gt;0, C46-Table_146345152041[Uganda], 0)</f>
        <v>0</v>
      </c>
      <c r="P46" s="21" t="s">
        <v>5</v>
      </c>
      <c r="Q46" s="97">
        <f t="shared" si="6"/>
        <v>4.9121080494775511E-4</v>
      </c>
      <c r="R46" s="97">
        <f t="shared" si="5"/>
        <v>4.9121080494775511E-4</v>
      </c>
      <c r="S46" s="97">
        <f t="shared" si="5"/>
        <v>4.9121080494775511E-4</v>
      </c>
      <c r="T46" s="97">
        <f t="shared" si="5"/>
        <v>4.9121080494775511E-4</v>
      </c>
      <c r="U46" s="97">
        <f t="shared" si="5"/>
        <v>0.72507920483005539</v>
      </c>
      <c r="V46" s="97">
        <f t="shared" si="5"/>
        <v>4.9121080494775511E-4</v>
      </c>
      <c r="W46" s="97">
        <f t="shared" si="5"/>
        <v>4.9121080494775511E-4</v>
      </c>
      <c r="X46" s="97">
        <f t="shared" si="5"/>
        <v>4.9121080494775511E-4</v>
      </c>
      <c r="Y46" s="97">
        <f t="shared" si="5"/>
        <v>4.9121080494775511E-4</v>
      </c>
      <c r="Z46" s="97">
        <f t="shared" si="5"/>
        <v>0.38282650676923902</v>
      </c>
      <c r="AA46" s="97">
        <f t="shared" si="5"/>
        <v>0.10388473335771825</v>
      </c>
    </row>
    <row r="47" spans="2:31" ht="12.75" customHeight="1" x14ac:dyDescent="0.25">
      <c r="B47" s="21" t="s">
        <v>5</v>
      </c>
      <c r="C47" s="95">
        <f>Annual_sorted!O245</f>
        <v>-16.52586916166851</v>
      </c>
      <c r="D47" s="29">
        <f>IF(C47-Table_146345152041[Burundi]&gt;0, C47-Table_146345152041[Burundi], 0)</f>
        <v>0</v>
      </c>
      <c r="E47" s="29">
        <f>IF(C47-Table_146345152041[DRC]&gt;0, C47-Table_146345152041[DRC], 0)</f>
        <v>0</v>
      </c>
      <c r="F47" s="29">
        <f>IF(C47-Table_146345152041[Egypt]&gt;0, C47-Table_146345152041[Egypt], 0)</f>
        <v>0</v>
      </c>
      <c r="G47" s="29">
        <f>IF(C47-Table_146345152041[Eritrea]&gt;0, C47-Table_146345152041[Eritrea], 0)</f>
        <v>0</v>
      </c>
      <c r="H47" s="29">
        <f>IF(C47-Table_146345152041[Ethiopia]&gt;0, C47-Table_146345152041[Ethiopia], 0)</f>
        <v>46.999140347142756</v>
      </c>
      <c r="I47" s="29">
        <f>IF(C47-Table_146345152041[Kenya]&gt;0, C47-Table_146345152041[Kenya], 0)</f>
        <v>0</v>
      </c>
      <c r="J47" s="29">
        <f>IF(C47-Table_146345152041[Rwanda]&gt;0, C47-Table_146345152041[Rwanda], 0)</f>
        <v>0</v>
      </c>
      <c r="K47" s="29">
        <f>IF(C47-Table_146345152041[Sudan]&gt;0, C47-Table_146345152041[Sudan], 0)</f>
        <v>0</v>
      </c>
      <c r="L47" s="29">
        <f>IF(C47-Table_146345152041[S. Sudan]&gt;0, C47-Table_146345152041[S. Sudan], 0)</f>
        <v>0</v>
      </c>
      <c r="M47" s="29">
        <f>IF(C47-Table_146345152041[Tanzania]&gt;0, C47-Table_146345152041[Tanzania], 0)</f>
        <v>24.799514183048181</v>
      </c>
      <c r="N47" s="29">
        <f>IF(C47-Table_146345152041[Uganda]&gt;0, C47-Table_146345152041[Uganda], 0)</f>
        <v>6.7064410637678158</v>
      </c>
      <c r="P47" s="21" t="s">
        <v>6</v>
      </c>
      <c r="Q47" s="97">
        <f t="shared" si="6"/>
        <v>4.9121080494775511E-4</v>
      </c>
      <c r="R47" s="97">
        <f t="shared" si="5"/>
        <v>4.9121080494775511E-4</v>
      </c>
      <c r="S47" s="97">
        <f t="shared" si="5"/>
        <v>4.9121080494775511E-4</v>
      </c>
      <c r="T47" s="97">
        <f t="shared" si="5"/>
        <v>4.9121080494775511E-4</v>
      </c>
      <c r="U47" s="97">
        <f t="shared" si="5"/>
        <v>0.92318839650202056</v>
      </c>
      <c r="V47" s="97">
        <f t="shared" si="5"/>
        <v>0.19860040247691291</v>
      </c>
      <c r="W47" s="97">
        <f t="shared" si="5"/>
        <v>4.9121080494775511E-4</v>
      </c>
      <c r="X47" s="97">
        <f t="shared" si="5"/>
        <v>4.9121080494775511E-4</v>
      </c>
      <c r="Y47" s="97">
        <f t="shared" si="5"/>
        <v>4.9121080494775511E-4</v>
      </c>
      <c r="Z47" s="97">
        <f t="shared" si="5"/>
        <v>0.58093569844120407</v>
      </c>
      <c r="AA47" s="97">
        <f t="shared" si="5"/>
        <v>0.30199392502968342</v>
      </c>
    </row>
    <row r="48" spans="2:31" ht="12.75" customHeight="1" x14ac:dyDescent="0.25">
      <c r="B48" s="21" t="s">
        <v>6</v>
      </c>
      <c r="C48" s="95">
        <f>Annual_sorted!O246</f>
        <v>-3.6758609083892511</v>
      </c>
      <c r="D48" s="29">
        <f>IF(C48-Table_146345152041[Burundi]&gt;0, C48-Table_146345152041[Burundi], 0)</f>
        <v>0</v>
      </c>
      <c r="E48" s="29">
        <f>IF(C48-Table_146345152041[DRC]&gt;0, C48-Table_146345152041[DRC], 0)</f>
        <v>0</v>
      </c>
      <c r="F48" s="29">
        <f>IF(C48-Table_146345152041[Egypt]&gt;0, C48-Table_146345152041[Egypt], 0)</f>
        <v>0</v>
      </c>
      <c r="G48" s="29">
        <f>IF(C48-Table_146345152041[Eritrea]&gt;0, C48-Table_146345152041[Eritrea], 0)</f>
        <v>0</v>
      </c>
      <c r="H48" s="29">
        <f>IF(C48-Table_146345152041[Ethiopia]&gt;0, C48-Table_146345152041[Ethiopia], 0)</f>
        <v>59.849148600422012</v>
      </c>
      <c r="I48" s="29">
        <f>IF(C48-Table_146345152041[Kenya]&gt;0, C48-Table_146345152041[Kenya], 0)</f>
        <v>12.85000825327926</v>
      </c>
      <c r="J48" s="29">
        <f>IF(C48-Table_146345152041[Rwanda]&gt;0, C48-Table_146345152041[Rwanda], 0)</f>
        <v>0</v>
      </c>
      <c r="K48" s="29">
        <f>IF(C48-Table_146345152041[Sudan]&gt;0, C48-Table_146345152041[Sudan], 0)</f>
        <v>0</v>
      </c>
      <c r="L48" s="29">
        <f>IF(C48-Table_146345152041[S. Sudan]&gt;0, C48-Table_146345152041[S. Sudan], 0)</f>
        <v>0</v>
      </c>
      <c r="M48" s="29">
        <f>IF(C48-Table_146345152041[Tanzania]&gt;0, C48-Table_146345152041[Tanzania], 0)</f>
        <v>37.649522436327437</v>
      </c>
      <c r="N48" s="29">
        <f>IF(C48-Table_146345152041[Uganda]&gt;0, C48-Table_146345152041[Uganda], 0)</f>
        <v>19.556449317047075</v>
      </c>
      <c r="P48" s="21" t="s">
        <v>7</v>
      </c>
      <c r="Q48" s="97">
        <f t="shared" si="6"/>
        <v>2.7179915088490405E-2</v>
      </c>
      <c r="R48" s="97">
        <f t="shared" si="5"/>
        <v>8.1637282418349846E-3</v>
      </c>
      <c r="S48" s="97">
        <f t="shared" si="5"/>
        <v>4.9121080494775511E-4</v>
      </c>
      <c r="T48" s="97">
        <f t="shared" si="5"/>
        <v>8.6725174368872289E-3</v>
      </c>
      <c r="U48" s="97">
        <f t="shared" si="5"/>
        <v>0.98836502039670093</v>
      </c>
      <c r="V48" s="97">
        <f t="shared" si="5"/>
        <v>0.26377702637159328</v>
      </c>
      <c r="W48" s="97">
        <f t="shared" si="5"/>
        <v>6.5667834699628141E-2</v>
      </c>
      <c r="X48" s="97">
        <f t="shared" si="5"/>
        <v>4.9121080494775511E-4</v>
      </c>
      <c r="Y48" s="97">
        <f t="shared" si="5"/>
        <v>6.2005635531962667E-3</v>
      </c>
      <c r="Z48" s="97">
        <f t="shared" si="5"/>
        <v>0.64611232233588456</v>
      </c>
      <c r="AA48" s="97">
        <f t="shared" si="5"/>
        <v>0.36717054892436379</v>
      </c>
    </row>
    <row r="49" spans="2:31" ht="12.75" customHeight="1" x14ac:dyDescent="0.25">
      <c r="B49" s="21" t="s">
        <v>7</v>
      </c>
      <c r="C49" s="95">
        <f>Annual_sorted!O247</f>
        <v>0.55170747397188058</v>
      </c>
      <c r="D49" s="29">
        <f>IF(C49-Table_146345152041[Burundi]&gt;0, C49-Table_146345152041[Burundi], 0)</f>
        <v>1.7311163980756583</v>
      </c>
      <c r="E49" s="29">
        <f>IF(C49-Table_146345152041[DRC]&gt;0, C49-Table_146345152041[DRC], 0)</f>
        <v>0.49766450287012032</v>
      </c>
      <c r="F49" s="29">
        <f>IF(C49-Table_146345152041[Egypt]&gt;0, C49-Table_146345152041[Egypt], 0)</f>
        <v>0</v>
      </c>
      <c r="G49" s="29">
        <f>IF(C49-Table_146345152041[Eritrea]&gt;0, C49-Table_146345152041[Eritrea], 0)</f>
        <v>0.5306662293444091</v>
      </c>
      <c r="H49" s="29">
        <f>IF(C49-Table_146345152041[Ethiopia]&gt;0, C49-Table_146345152041[Ethiopia], 0)</f>
        <v>64.07671698278314</v>
      </c>
      <c r="I49" s="29">
        <f>IF(C49-Table_146345152041[Kenya]&gt;0, C49-Table_146345152041[Kenya], 0)</f>
        <v>17.077576635640391</v>
      </c>
      <c r="J49" s="29">
        <f>IF(C49-Table_146345152041[Rwanda]&gt;0, C49-Table_146345152041[Rwanda], 0)</f>
        <v>4.2275683823611319</v>
      </c>
      <c r="K49" s="29">
        <f>IF(C49-Table_146345152041[Sudan]&gt;0, C49-Table_146345152041[Sudan], 0)</f>
        <v>0</v>
      </c>
      <c r="L49" s="29">
        <f>IF(C49-Table_146345152041[S. Sudan]&gt;0, C49-Table_146345152041[S. Sudan], 0)</f>
        <v>0.37032723881563367</v>
      </c>
      <c r="M49" s="29">
        <f>IF(C49-Table_146345152041[Tanzania]&gt;0, C49-Table_146345152041[Tanzania], 0)</f>
        <v>41.877090818688572</v>
      </c>
      <c r="N49" s="29">
        <f>IF(C49-Table_146345152041[Uganda]&gt;0, C49-Table_146345152041[Uganda], 0)</f>
        <v>23.784017699408206</v>
      </c>
      <c r="P49" s="21" t="s">
        <v>8</v>
      </c>
      <c r="Q49" s="97">
        <f t="shared" si="6"/>
        <v>2.1470562340241896E-2</v>
      </c>
      <c r="R49" s="97">
        <f t="shared" si="5"/>
        <v>2.4543754935864729E-3</v>
      </c>
      <c r="S49" s="97">
        <f t="shared" si="5"/>
        <v>4.9121080494775511E-4</v>
      </c>
      <c r="T49" s="97">
        <f t="shared" si="5"/>
        <v>2.9631646886387184E-3</v>
      </c>
      <c r="U49" s="97">
        <f t="shared" si="5"/>
        <v>0.98265566764845247</v>
      </c>
      <c r="V49" s="97">
        <f t="shared" si="5"/>
        <v>0.25806767362334476</v>
      </c>
      <c r="W49" s="97">
        <f t="shared" si="5"/>
        <v>5.9958481951379629E-2</v>
      </c>
      <c r="X49" s="97">
        <f t="shared" si="5"/>
        <v>4.9121080494775511E-4</v>
      </c>
      <c r="Y49" s="97">
        <f t="shared" si="5"/>
        <v>4.9121080494775511E-4</v>
      </c>
      <c r="Z49" s="97">
        <f t="shared" si="5"/>
        <v>0.6404029695876361</v>
      </c>
      <c r="AA49" s="97">
        <f t="shared" si="5"/>
        <v>0.36146119617611533</v>
      </c>
    </row>
    <row r="50" spans="2:31" ht="12.75" customHeight="1" x14ac:dyDescent="0.25">
      <c r="B50" s="21" t="s">
        <v>8</v>
      </c>
      <c r="C50" s="95">
        <f>Annual_sorted!O248</f>
        <v>0.18138023515624691</v>
      </c>
      <c r="D50" s="29">
        <f>IF(C50-Table_146345152041[Burundi]&gt;0, C50-Table_146345152041[Burundi], 0)</f>
        <v>1.3607891592600247</v>
      </c>
      <c r="E50" s="29">
        <f>IF(C50-Table_146345152041[DRC]&gt;0, C50-Table_146345152041[DRC], 0)</f>
        <v>0.12733726405448664</v>
      </c>
      <c r="F50" s="29">
        <f>IF(C50-Table_146345152041[Egypt]&gt;0, C50-Table_146345152041[Egypt], 0)</f>
        <v>0</v>
      </c>
      <c r="G50" s="29">
        <f>IF(C50-Table_146345152041[Eritrea]&gt;0, C50-Table_146345152041[Eritrea], 0)</f>
        <v>0.16033899052877548</v>
      </c>
      <c r="H50" s="29">
        <f>IF(C50-Table_146345152041[Ethiopia]&gt;0, C50-Table_146345152041[Ethiopia], 0)</f>
        <v>63.706389743967513</v>
      </c>
      <c r="I50" s="29">
        <f>IF(C50-Table_146345152041[Kenya]&gt;0, C50-Table_146345152041[Kenya], 0)</f>
        <v>16.707249396824757</v>
      </c>
      <c r="J50" s="29">
        <f>IF(C50-Table_146345152041[Rwanda]&gt;0, C50-Table_146345152041[Rwanda], 0)</f>
        <v>3.8572411435454979</v>
      </c>
      <c r="K50" s="29">
        <f>IF(C50-Table_146345152041[Sudan]&gt;0, C50-Table_146345152041[Sudan], 0)</f>
        <v>0</v>
      </c>
      <c r="L50" s="29">
        <f>IF(C50-Table_146345152041[S. Sudan]&gt;0, C50-Table_146345152041[S. Sudan], 0)</f>
        <v>0</v>
      </c>
      <c r="M50" s="29">
        <f>IF(C50-Table_146345152041[Tanzania]&gt;0, C50-Table_146345152041[Tanzania], 0)</f>
        <v>41.506763579872938</v>
      </c>
      <c r="N50" s="29">
        <f>IF(C50-Table_146345152041[Uganda]&gt;0, C50-Table_146345152041[Uganda], 0)</f>
        <v>23.413690460592573</v>
      </c>
      <c r="P50" s="21" t="s">
        <v>9</v>
      </c>
      <c r="Q50" s="97">
        <f t="shared" si="6"/>
        <v>4.9121080494775511E-4</v>
      </c>
      <c r="R50" s="97">
        <f t="shared" si="5"/>
        <v>4.9121080494775511E-4</v>
      </c>
      <c r="S50" s="97">
        <f t="shared" si="5"/>
        <v>4.9121080494775511E-4</v>
      </c>
      <c r="T50" s="97">
        <f t="shared" si="5"/>
        <v>4.9121080494775511E-4</v>
      </c>
      <c r="U50" s="97">
        <f t="shared" si="5"/>
        <v>0.34274390886576417</v>
      </c>
      <c r="V50" s="97">
        <f t="shared" si="5"/>
        <v>4.9121080494775511E-4</v>
      </c>
      <c r="W50" s="97">
        <f t="shared" si="5"/>
        <v>4.9121080494775511E-4</v>
      </c>
      <c r="X50" s="97">
        <f t="shared" si="5"/>
        <v>4.9121080494775511E-4</v>
      </c>
      <c r="Y50" s="97">
        <f t="shared" si="5"/>
        <v>4.9121080494775511E-4</v>
      </c>
      <c r="Z50" s="97">
        <f t="shared" si="5"/>
        <v>4.9121080494775511E-4</v>
      </c>
      <c r="AA50" s="97">
        <f t="shared" si="5"/>
        <v>4.9121080494775511E-4</v>
      </c>
    </row>
    <row r="51" spans="2:31" ht="12.75" customHeight="1" thickBot="1" x14ac:dyDescent="0.3">
      <c r="B51" s="21" t="s">
        <v>9</v>
      </c>
      <c r="C51" s="95">
        <f>Annual_sorted!O249</f>
        <v>-41.325383344716691</v>
      </c>
      <c r="D51" s="29">
        <f>IF(C51-Table_146345152041[Burundi]&gt;0, C51-Table_146345152041[Burundi], 0)</f>
        <v>0</v>
      </c>
      <c r="E51" s="29">
        <f>IF(C51-Table_146345152041[DRC]&gt;0, C51-Table_146345152041[DRC], 0)</f>
        <v>0</v>
      </c>
      <c r="F51" s="29">
        <f>IF(C51-Table_146345152041[Egypt]&gt;0, C51-Table_146345152041[Egypt], 0)</f>
        <v>0</v>
      </c>
      <c r="G51" s="29">
        <f>IF(C51-Table_146345152041[Eritrea]&gt;0, C51-Table_146345152041[Eritrea], 0)</f>
        <v>0</v>
      </c>
      <c r="H51" s="29">
        <f>IF(C51-Table_146345152041[Ethiopia]&gt;0, C51-Table_146345152041[Ethiopia], 0)</f>
        <v>22.199626164094575</v>
      </c>
      <c r="I51" s="29">
        <f>IF(C51-Table_146345152041[Kenya]&gt;0, C51-Table_146345152041[Kenya], 0)</f>
        <v>0</v>
      </c>
      <c r="J51" s="29">
        <f>IF(C51-Table_146345152041[Rwanda]&gt;0, C51-Table_146345152041[Rwanda], 0)</f>
        <v>0</v>
      </c>
      <c r="K51" s="29">
        <f>IF(C51-Table_146345152041[Sudan]&gt;0, C51-Table_146345152041[Sudan], 0)</f>
        <v>0</v>
      </c>
      <c r="L51" s="29">
        <f>IF(C51-Table_146345152041[S. Sudan]&gt;0, C51-Table_146345152041[S. Sudan], 0)</f>
        <v>0</v>
      </c>
      <c r="M51" s="29">
        <f>IF(C51-Table_146345152041[Tanzania]&gt;0, C51-Table_146345152041[Tanzania], 0)</f>
        <v>0</v>
      </c>
      <c r="N51" s="29">
        <f>IF(C51-Table_146345152041[Uganda]&gt;0, C51-Table_146345152041[Uganda], 0)</f>
        <v>0</v>
      </c>
      <c r="P51" s="22" t="s">
        <v>10</v>
      </c>
      <c r="Q51" s="98">
        <f t="shared" si="6"/>
        <v>4.9121080494775511E-4</v>
      </c>
      <c r="R51" s="98">
        <f t="shared" si="5"/>
        <v>4.9121080494775511E-4</v>
      </c>
      <c r="S51" s="98">
        <f t="shared" si="5"/>
        <v>4.9121080494775511E-4</v>
      </c>
      <c r="T51" s="98">
        <f t="shared" si="5"/>
        <v>4.9121080494775511E-4</v>
      </c>
      <c r="U51" s="98">
        <f t="shared" si="5"/>
        <v>0.62168568227728505</v>
      </c>
      <c r="V51" s="98">
        <f t="shared" si="5"/>
        <v>4.9121080494775511E-4</v>
      </c>
      <c r="W51" s="98">
        <f t="shared" si="5"/>
        <v>4.9121080494775511E-4</v>
      </c>
      <c r="X51" s="98">
        <f t="shared" si="5"/>
        <v>4.9121080494775511E-4</v>
      </c>
      <c r="Y51" s="98">
        <f t="shared" si="5"/>
        <v>4.9121080494775511E-4</v>
      </c>
      <c r="Z51" s="98">
        <f t="shared" si="5"/>
        <v>0.27943298421646851</v>
      </c>
      <c r="AA51" s="98">
        <f t="shared" si="5"/>
        <v>4.9121080494775511E-4</v>
      </c>
      <c r="AB51" s="186">
        <f>SUM(Q41:AA51)</f>
        <v>18.521757030868223</v>
      </c>
    </row>
    <row r="52" spans="2:31" ht="12.75" customHeight="1" thickBot="1" x14ac:dyDescent="0.3">
      <c r="B52" s="22" t="s">
        <v>10</v>
      </c>
      <c r="C52" s="96">
        <f>Annual_sorted!O250</f>
        <v>-23.232310225436326</v>
      </c>
      <c r="D52" s="32">
        <f>IF(C52-Table_146345152041[Burundi]&gt;0, C52-Table_146345152041[Burundi], 0)</f>
        <v>0</v>
      </c>
      <c r="E52" s="32">
        <f>IF(C52-Table_146345152041[DRC]&gt;0, C52-Table_146345152041[DRC], 0)</f>
        <v>0</v>
      </c>
      <c r="F52" s="32">
        <f>IF(C52-Table_146345152041[Egypt]&gt;0, C52-Table_146345152041[Egypt], 0)</f>
        <v>0</v>
      </c>
      <c r="G52" s="32">
        <f>IF(C52-Table_146345152041[Eritrea]&gt;0, C52-Table_146345152041[Eritrea], 0)</f>
        <v>0</v>
      </c>
      <c r="H52" s="32">
        <f>IF(C52-Table_146345152041[Ethiopia]&gt;0, C52-Table_146345152041[Ethiopia], 0)</f>
        <v>40.292699283374944</v>
      </c>
      <c r="I52" s="32">
        <f>IF(C52-Table_146345152041[Kenya]&gt;0, C52-Table_146345152041[Kenya], 0)</f>
        <v>0</v>
      </c>
      <c r="J52" s="32">
        <f>IF(C52-Table_146345152041[Rwanda]&gt;0, C52-Table_146345152041[Rwanda], 0)</f>
        <v>0</v>
      </c>
      <c r="K52" s="32">
        <f>IF(C52-Table_146345152041[Sudan]&gt;0, C52-Table_146345152041[Sudan], 0)</f>
        <v>0</v>
      </c>
      <c r="L52" s="32">
        <f>IF(C52-Table_146345152041[S. Sudan]&gt;0, C52-Table_146345152041[S. Sudan], 0)</f>
        <v>0</v>
      </c>
      <c r="M52" s="32">
        <f>IF(C52-Table_146345152041[Tanzania]&gt;0, C52-Table_146345152041[Tanzania], 0)</f>
        <v>18.093073119280366</v>
      </c>
      <c r="N52" s="32">
        <f>IF(C52-Table_146345152041[Uganda]&gt;0, C52-Table_146345152041[Uganda], 0)</f>
        <v>0</v>
      </c>
    </row>
    <row r="53" spans="2:31" ht="12.75" customHeight="1" x14ac:dyDescent="0.25"/>
    <row r="54" spans="2:31" ht="12.75" customHeight="1" x14ac:dyDescent="0.25"/>
    <row r="55" spans="2:31" ht="12.75" customHeight="1" x14ac:dyDescent="0.25"/>
    <row r="56" spans="2:31" ht="12.75" customHeight="1" x14ac:dyDescent="0.25">
      <c r="B56" s="5"/>
      <c r="C56" s="5"/>
      <c r="D56" s="5"/>
      <c r="E56" s="5"/>
      <c r="F56" s="5"/>
      <c r="G56" s="5"/>
      <c r="H56" s="5"/>
      <c r="I56" s="5"/>
      <c r="J56" s="5"/>
      <c r="K56" s="5"/>
      <c r="L56" s="5"/>
      <c r="M56" s="5"/>
      <c r="N56" s="44"/>
      <c r="O56" s="5"/>
      <c r="P56" s="5"/>
      <c r="Q56" s="5"/>
      <c r="R56" s="5"/>
      <c r="S56" s="5"/>
      <c r="T56" s="5"/>
      <c r="U56" s="5"/>
      <c r="V56" s="5"/>
      <c r="W56" s="5"/>
      <c r="X56" s="5"/>
      <c r="Y56" s="5"/>
      <c r="Z56" s="5"/>
      <c r="AA56" s="5"/>
    </row>
    <row r="57" spans="2:31" ht="12.75" customHeight="1" thickBot="1" x14ac:dyDescent="0.3">
      <c r="B57" s="253" t="s">
        <v>79</v>
      </c>
      <c r="C57" s="253"/>
      <c r="D57" s="253"/>
      <c r="E57" s="253"/>
      <c r="F57" s="253"/>
      <c r="G57" s="253"/>
      <c r="H57" s="253"/>
      <c r="I57" s="253"/>
      <c r="J57" s="253"/>
      <c r="K57" s="253"/>
      <c r="L57" s="253"/>
      <c r="M57" s="253"/>
      <c r="N57" s="253"/>
      <c r="O57" s="5"/>
      <c r="P57" s="253" t="s">
        <v>80</v>
      </c>
      <c r="Q57" s="253"/>
      <c r="R57" s="253"/>
      <c r="S57" s="253"/>
      <c r="T57" s="253"/>
      <c r="U57" s="253"/>
      <c r="V57" s="253"/>
      <c r="W57" s="253"/>
      <c r="X57" s="253"/>
      <c r="Y57" s="253"/>
      <c r="Z57" s="253"/>
      <c r="AA57" s="253"/>
      <c r="AB57" s="10"/>
      <c r="AC57" s="3" t="s">
        <v>22</v>
      </c>
      <c r="AD57" s="13" t="s">
        <v>23</v>
      </c>
      <c r="AE57" s="74">
        <f t="array" ref="AE57">MIN(IF(D60:N70&gt;0,D60:N70))</f>
        <v>3.3001726474288853E-2</v>
      </c>
    </row>
    <row r="58" spans="2:31" ht="12.75" customHeight="1" thickBot="1" x14ac:dyDescent="0.3">
      <c r="B58" s="75" t="s">
        <v>13</v>
      </c>
      <c r="C58" s="66" t="s">
        <v>14</v>
      </c>
      <c r="D58" s="67" t="s">
        <v>1</v>
      </c>
      <c r="E58" s="67" t="s">
        <v>195</v>
      </c>
      <c r="F58" s="67" t="s">
        <v>2</v>
      </c>
      <c r="G58" s="67" t="s">
        <v>3</v>
      </c>
      <c r="H58" s="67" t="s">
        <v>4</v>
      </c>
      <c r="I58" s="67" t="s">
        <v>5</v>
      </c>
      <c r="J58" s="67" t="s">
        <v>6</v>
      </c>
      <c r="K58" s="67" t="s">
        <v>7</v>
      </c>
      <c r="L58" s="67" t="s">
        <v>295</v>
      </c>
      <c r="M58" s="67" t="s">
        <v>9</v>
      </c>
      <c r="N58" s="67" t="s">
        <v>10</v>
      </c>
      <c r="P58" s="128" t="s">
        <v>19</v>
      </c>
      <c r="Q58" s="123" t="s">
        <v>1</v>
      </c>
      <c r="R58" s="123" t="s">
        <v>195</v>
      </c>
      <c r="S58" s="123" t="s">
        <v>2</v>
      </c>
      <c r="T58" s="123" t="s">
        <v>3</v>
      </c>
      <c r="U58" s="123" t="s">
        <v>4</v>
      </c>
      <c r="V58" s="123" t="s">
        <v>5</v>
      </c>
      <c r="W58" s="123" t="s">
        <v>6</v>
      </c>
      <c r="X58" s="123" t="s">
        <v>7</v>
      </c>
      <c r="Y58" s="123" t="s">
        <v>295</v>
      </c>
      <c r="Z58" s="123" t="s">
        <v>9</v>
      </c>
      <c r="AA58" s="123" t="s">
        <v>10</v>
      </c>
      <c r="AB58" s="254" t="s">
        <v>26</v>
      </c>
      <c r="AC58" s="254"/>
      <c r="AD58" s="13" t="s">
        <v>24</v>
      </c>
      <c r="AE58" s="20">
        <f>MAX(D60:N70)</f>
        <v>63.579052479913024</v>
      </c>
    </row>
    <row r="59" spans="2:31" ht="12.75" customHeight="1" x14ac:dyDescent="0.25">
      <c r="B59" s="93"/>
      <c r="C59" s="94" t="s">
        <v>260</v>
      </c>
      <c r="D59" s="95">
        <f>C60</f>
        <v>-1.1794089241037777</v>
      </c>
      <c r="E59" s="95">
        <f>C61</f>
        <v>5.4042971101760276E-2</v>
      </c>
      <c r="F59" s="95">
        <f>C62</f>
        <v>-55.193609804508114</v>
      </c>
      <c r="G59" s="95">
        <f>C63</f>
        <v>2.1041244627471423E-2</v>
      </c>
      <c r="H59" s="95">
        <f>C64</f>
        <v>-63.525009508811266</v>
      </c>
      <c r="I59" s="95">
        <f>C65</f>
        <v>-16.52586916166851</v>
      </c>
      <c r="J59" s="95">
        <f>C66</f>
        <v>-7.4758609083892509</v>
      </c>
      <c r="K59" s="95">
        <f>C67</f>
        <v>-33.248292526028116</v>
      </c>
      <c r="L59" s="95">
        <f>C68</f>
        <v>-23.318619764843753</v>
      </c>
      <c r="M59" s="95">
        <f>C69</f>
        <v>-41.325383344716691</v>
      </c>
      <c r="N59" s="95">
        <f>C70</f>
        <v>-44.332310225436331</v>
      </c>
      <c r="P59" s="21" t="s">
        <v>1</v>
      </c>
      <c r="Q59" s="97">
        <f>$AE$59+(D60-$AE$57)*($AE$60-$AE$59)/($AE$58-$AE$57)</f>
        <v>4.811837343640039E-4</v>
      </c>
      <c r="R59" s="97">
        <f t="shared" ref="R59:AA69" si="7">$AE$59+(E60-$AE$57)*($AE$60-$AE$59)/($AE$58-$AE$57)</f>
        <v>4.811837343640039E-4</v>
      </c>
      <c r="S59" s="97">
        <f t="shared" si="7"/>
        <v>0.84963209145782981</v>
      </c>
      <c r="T59" s="97">
        <f t="shared" si="7"/>
        <v>4.811837343640039E-4</v>
      </c>
      <c r="U59" s="97">
        <f t="shared" si="7"/>
        <v>0.98060904763237944</v>
      </c>
      <c r="V59" s="97">
        <f t="shared" si="7"/>
        <v>0.24174108258807112</v>
      </c>
      <c r="W59" s="97">
        <f t="shared" si="7"/>
        <v>9.9466965820291686E-2</v>
      </c>
      <c r="X59" s="97">
        <f t="shared" si="7"/>
        <v>0.50463233614234859</v>
      </c>
      <c r="Y59" s="97">
        <f t="shared" si="7"/>
        <v>0.34852911696808092</v>
      </c>
      <c r="Z59" s="97">
        <f t="shared" si="7"/>
        <v>0.63161133219637544</v>
      </c>
      <c r="AA59" s="97">
        <f t="shared" si="7"/>
        <v>0.67888287650515156</v>
      </c>
      <c r="AD59" s="3" t="s">
        <v>25</v>
      </c>
      <c r="AE59" s="2">
        <v>1E-3</v>
      </c>
    </row>
    <row r="60" spans="2:31" ht="12.75" customHeight="1" x14ac:dyDescent="0.25">
      <c r="B60" s="21" t="s">
        <v>1</v>
      </c>
      <c r="C60" s="95">
        <f>Annual_sorted!P240</f>
        <v>-1.1794089241037777</v>
      </c>
      <c r="D60" s="29">
        <f>IF(C60-Table_1463457141940[Burundi]&gt;0, C60-Table_1463457141940[Burundi], 0)</f>
        <v>0</v>
      </c>
      <c r="E60" s="29">
        <f>IF(C60-Table_1463457141940[DRC]&gt;0, C60-Table_1463457141940[DRC], 0)</f>
        <v>0</v>
      </c>
      <c r="F60" s="29">
        <f>IF(C60-Table_1463457141940[Egypt]&gt;0, C60-Table_1463457141940[Egypt], 0)</f>
        <v>54.014200880404339</v>
      </c>
      <c r="G60" s="29">
        <f>IF(C60-Table_1463457141940[Eritrea]&gt;0, C60-Table_1463457141940[Eritrea], 0)</f>
        <v>0</v>
      </c>
      <c r="H60" s="29">
        <f>IF(C60-Table_1463457141940[Ethiopia]&gt;0, C60-Table_1463457141940[Ethiopia], 0)</f>
        <v>62.345600584707491</v>
      </c>
      <c r="I60" s="29">
        <f>IF(C60-Table_1463457141940[Kenya]&gt;0, C60-Table_1463457141940[Kenya], 0)</f>
        <v>15.346460237564733</v>
      </c>
      <c r="J60" s="29">
        <f>IF(C60-Table_1463457141940[Rwanda]&gt;0, C60-Table_1463457141940[Rwanda], 0)</f>
        <v>6.2964519842854729</v>
      </c>
      <c r="K60" s="29">
        <f>IF(C60-Table_1463457141940[Sudan]&gt;0, C60-Table_1463457141940[Sudan], 0)</f>
        <v>32.068883601924341</v>
      </c>
      <c r="L60" s="29">
        <f>IF(C60-Table_1463457141940[S. Sudan]&gt;0, C60-Table_1463457141940[S. Sudan], 0)</f>
        <v>22.139210840739974</v>
      </c>
      <c r="M60" s="29">
        <f>IF(C60-Table_1463457141940[Tanzania]&gt;0, C60-Table_1463457141940[Tanzania], 0)</f>
        <v>40.145974420612916</v>
      </c>
      <c r="N60" s="29">
        <f>IF(C60-Table_1463457141940[Uganda]&gt;0, C60-Table_1463457141940[Uganda], 0)</f>
        <v>43.152901301332555</v>
      </c>
      <c r="P60" s="21" t="s">
        <v>195</v>
      </c>
      <c r="Q60" s="97">
        <f t="shared" ref="Q60:Q69" si="8">$AE$59+(D61-$AE$57)*($AE$60-$AE$59)/($AE$58-$AE$57)</f>
        <v>1.9872136101984617E-2</v>
      </c>
      <c r="R60" s="97">
        <f t="shared" si="7"/>
        <v>4.811837343640039E-4</v>
      </c>
      <c r="S60" s="97">
        <f t="shared" si="7"/>
        <v>0.86902304382545048</v>
      </c>
      <c r="T60" s="97">
        <f t="shared" si="7"/>
        <v>1E-3</v>
      </c>
      <c r="U60" s="97">
        <f t="shared" si="7"/>
        <v>1</v>
      </c>
      <c r="V60" s="97">
        <f t="shared" si="7"/>
        <v>0.26113203495569176</v>
      </c>
      <c r="W60" s="97">
        <f t="shared" si="7"/>
        <v>0.1188579181879123</v>
      </c>
      <c r="X60" s="97">
        <f t="shared" si="7"/>
        <v>0.52402328850996915</v>
      </c>
      <c r="Y60" s="97">
        <f t="shared" si="7"/>
        <v>0.36792006933570159</v>
      </c>
      <c r="Z60" s="97">
        <f t="shared" si="7"/>
        <v>0.651002284563996</v>
      </c>
      <c r="AA60" s="97">
        <f t="shared" si="7"/>
        <v>0.69827382887277212</v>
      </c>
      <c r="AD60" s="3" t="s">
        <v>70</v>
      </c>
      <c r="AE60" s="2">
        <v>1</v>
      </c>
    </row>
    <row r="61" spans="2:31" ht="12.75" customHeight="1" x14ac:dyDescent="0.25">
      <c r="B61" s="21" t="s">
        <v>195</v>
      </c>
      <c r="C61" s="95">
        <f>Annual_sorted!P241</f>
        <v>5.4042971101760276E-2</v>
      </c>
      <c r="D61" s="29">
        <f>IF(C61-Table_1463457141940[Burundi]&gt;0, C61-Table_1463457141940[Burundi], 0)</f>
        <v>1.233451895205538</v>
      </c>
      <c r="E61" s="29">
        <f>IF(C61-Table_1463457141940[DRC]&gt;0, C61-Table_1463457141940[DRC], 0)</f>
        <v>0</v>
      </c>
      <c r="F61" s="29">
        <f>IF(C61-Table_1463457141940[Egypt]&gt;0, C61-Table_1463457141940[Egypt], 0)</f>
        <v>55.247652775609872</v>
      </c>
      <c r="G61" s="29">
        <f>IF(C61-Table_1463457141940[Eritrea]&gt;0, C61-Table_1463457141940[Eritrea], 0)</f>
        <v>3.3001726474288853E-2</v>
      </c>
      <c r="H61" s="29">
        <f>IF(C61-Table_1463457141940[Ethiopia]&gt;0, C61-Table_1463457141940[Ethiopia], 0)</f>
        <v>63.579052479913024</v>
      </c>
      <c r="I61" s="29">
        <f>IF(C61-Table_1463457141940[Kenya]&gt;0, C61-Table_1463457141940[Kenya], 0)</f>
        <v>16.579912132770271</v>
      </c>
      <c r="J61" s="29">
        <f>IF(C61-Table_1463457141940[Rwanda]&gt;0, C61-Table_1463457141940[Rwanda], 0)</f>
        <v>7.5299038794910116</v>
      </c>
      <c r="K61" s="29">
        <f>IF(C61-Table_1463457141940[Sudan]&gt;0, C61-Table_1463457141940[Sudan], 0)</f>
        <v>33.302335497129874</v>
      </c>
      <c r="L61" s="29">
        <f>IF(C61-Table_1463457141940[S. Sudan]&gt;0, C61-Table_1463457141940[S. Sudan], 0)</f>
        <v>23.372662735945514</v>
      </c>
      <c r="M61" s="29">
        <f>IF(C61-Table_1463457141940[Tanzania]&gt;0, C61-Table_1463457141940[Tanzania], 0)</f>
        <v>41.379426315818449</v>
      </c>
      <c r="N61" s="29">
        <f>IF(C61-Table_1463457141940[Uganda]&gt;0, C61-Table_1463457141940[Uganda], 0)</f>
        <v>44.386353196538089</v>
      </c>
      <c r="P61" s="21" t="s">
        <v>2</v>
      </c>
      <c r="Q61" s="97">
        <f t="shared" si="8"/>
        <v>4.811837343640039E-4</v>
      </c>
      <c r="R61" s="97">
        <f t="shared" si="7"/>
        <v>4.811837343640039E-4</v>
      </c>
      <c r="S61" s="97">
        <f t="shared" si="7"/>
        <v>4.811837343640039E-4</v>
      </c>
      <c r="T61" s="97">
        <f t="shared" si="7"/>
        <v>4.811837343640039E-4</v>
      </c>
      <c r="U61" s="97">
        <f t="shared" si="7"/>
        <v>0.13145813990891358</v>
      </c>
      <c r="V61" s="97">
        <f t="shared" si="7"/>
        <v>4.811837343640039E-4</v>
      </c>
      <c r="W61" s="97">
        <f t="shared" si="7"/>
        <v>4.811837343640039E-4</v>
      </c>
      <c r="X61" s="97">
        <f t="shared" si="7"/>
        <v>4.811837343640039E-4</v>
      </c>
      <c r="Y61" s="97">
        <f t="shared" si="7"/>
        <v>4.811837343640039E-4</v>
      </c>
      <c r="Z61" s="97">
        <f t="shared" si="7"/>
        <v>4.811837343640039E-4</v>
      </c>
      <c r="AA61" s="97">
        <f t="shared" si="7"/>
        <v>4.811837343640039E-4</v>
      </c>
    </row>
    <row r="62" spans="2:31" ht="12.75" customHeight="1" x14ac:dyDescent="0.25">
      <c r="B62" s="21" t="s">
        <v>2</v>
      </c>
      <c r="C62" s="95">
        <f>Annual_sorted!P242</f>
        <v>-55.193609804508114</v>
      </c>
      <c r="D62" s="29">
        <f>IF(C62-Table_1463457141940[Burundi]&gt;0, C62-Table_1463457141940[Burundi], 0)</f>
        <v>0</v>
      </c>
      <c r="E62" s="29">
        <f>IF(C62-Table_1463457141940[DRC]&gt;0, C62-Table_1463457141940[DRC], 0)</f>
        <v>0</v>
      </c>
      <c r="F62" s="29">
        <f>IF(C62-Table_1463457141940[Egypt]&gt;0, C62-Table_1463457141940[Egypt], 0)</f>
        <v>0</v>
      </c>
      <c r="G62" s="29">
        <f>IF(C62-Table_1463457141940[Eritrea]&gt;0, C62-Table_1463457141940[Eritrea], 0)</f>
        <v>0</v>
      </c>
      <c r="H62" s="29">
        <f>IF(C62-Table_1463457141940[Ethiopia]&gt;0, C62-Table_1463457141940[Ethiopia], 0)</f>
        <v>8.331399704303152</v>
      </c>
      <c r="I62" s="29">
        <f>IF(C62-Table_1463457141940[Kenya]&gt;0, C62-Table_1463457141940[Kenya], 0)</f>
        <v>0</v>
      </c>
      <c r="J62" s="29">
        <f>IF(C62-Table_1463457141940[Rwanda]&gt;0, C62-Table_1463457141940[Rwanda], 0)</f>
        <v>0</v>
      </c>
      <c r="K62" s="29">
        <f>IF(C62-Table_1463457141940[Sudan]&gt;0, C62-Table_1463457141940[Sudan], 0)</f>
        <v>0</v>
      </c>
      <c r="L62" s="29">
        <f>IF(C62-Table_1463457141940[S. Sudan]&gt;0, C62-Table_1463457141940[S. Sudan], 0)</f>
        <v>0</v>
      </c>
      <c r="M62" s="29">
        <f>IF(C62-Table_1463457141940[Tanzania]&gt;0, C62-Table_1463457141940[Tanzania], 0)</f>
        <v>0</v>
      </c>
      <c r="N62" s="29">
        <f>IF(C62-Table_1463457141940[Uganda]&gt;0, C62-Table_1463457141940[Uganda], 0)</f>
        <v>0</v>
      </c>
      <c r="P62" s="21" t="s">
        <v>3</v>
      </c>
      <c r="Q62" s="97">
        <f t="shared" si="8"/>
        <v>1.9353319836348623E-2</v>
      </c>
      <c r="R62" s="97">
        <f t="shared" si="7"/>
        <v>4.811837343640039E-4</v>
      </c>
      <c r="S62" s="97">
        <f t="shared" si="7"/>
        <v>0.86850422755981438</v>
      </c>
      <c r="T62" s="97">
        <f t="shared" si="7"/>
        <v>4.811837343640039E-4</v>
      </c>
      <c r="U62" s="97">
        <f t="shared" si="7"/>
        <v>0.99948118373436401</v>
      </c>
      <c r="V62" s="97">
        <f t="shared" si="7"/>
        <v>0.26061321869005571</v>
      </c>
      <c r="W62" s="97">
        <f t="shared" si="7"/>
        <v>0.1183391019222763</v>
      </c>
      <c r="X62" s="97">
        <f t="shared" si="7"/>
        <v>0.52350447224433316</v>
      </c>
      <c r="Y62" s="97">
        <f t="shared" si="7"/>
        <v>0.3674012530700656</v>
      </c>
      <c r="Z62" s="97">
        <f t="shared" si="7"/>
        <v>0.65048346829836001</v>
      </c>
      <c r="AA62" s="97">
        <f t="shared" si="7"/>
        <v>0.69775501260713624</v>
      </c>
    </row>
    <row r="63" spans="2:31" ht="12.75" customHeight="1" x14ac:dyDescent="0.25">
      <c r="B63" s="21" t="s">
        <v>3</v>
      </c>
      <c r="C63" s="95">
        <f>Annual_sorted!P243</f>
        <v>2.1041244627471423E-2</v>
      </c>
      <c r="D63" s="29">
        <f>IF(C63-Table_1463457141940[Burundi]&gt;0, C63-Table_1463457141940[Burundi], 0)</f>
        <v>1.2004501687312492</v>
      </c>
      <c r="E63" s="29">
        <f>IF(C63-Table_1463457141940[DRC]&gt;0, C63-Table_1463457141940[DRC], 0)</f>
        <v>0</v>
      </c>
      <c r="F63" s="29">
        <f>IF(C63-Table_1463457141940[Egypt]&gt;0, C63-Table_1463457141940[Egypt], 0)</f>
        <v>55.214651049135583</v>
      </c>
      <c r="G63" s="29">
        <f>IF(C63-Table_1463457141940[Eritrea]&gt;0, C63-Table_1463457141940[Eritrea], 0)</f>
        <v>0</v>
      </c>
      <c r="H63" s="29">
        <f>IF(C63-Table_1463457141940[Ethiopia]&gt;0, C63-Table_1463457141940[Ethiopia], 0)</f>
        <v>63.546050753438735</v>
      </c>
      <c r="I63" s="29">
        <f>IF(C63-Table_1463457141940[Kenya]&gt;0, C63-Table_1463457141940[Kenya], 0)</f>
        <v>16.546910406295982</v>
      </c>
      <c r="J63" s="29">
        <f>IF(C63-Table_1463457141940[Rwanda]&gt;0, C63-Table_1463457141940[Rwanda], 0)</f>
        <v>7.4969021530167224</v>
      </c>
      <c r="K63" s="29">
        <f>IF(C63-Table_1463457141940[Sudan]&gt;0, C63-Table_1463457141940[Sudan], 0)</f>
        <v>33.269333770655585</v>
      </c>
      <c r="L63" s="29">
        <f>IF(C63-Table_1463457141940[S. Sudan]&gt;0, C63-Table_1463457141940[S. Sudan], 0)</f>
        <v>23.339661009471225</v>
      </c>
      <c r="M63" s="29">
        <f>IF(C63-Table_1463457141940[Tanzania]&gt;0, C63-Table_1463457141940[Tanzania], 0)</f>
        <v>41.34642458934416</v>
      </c>
      <c r="N63" s="29">
        <f>IF(C63-Table_1463457141940[Uganda]&gt;0, C63-Table_1463457141940[Uganda], 0)</f>
        <v>44.353351470063799</v>
      </c>
      <c r="P63" s="21" t="s">
        <v>4</v>
      </c>
      <c r="Q63" s="97">
        <f t="shared" si="8"/>
        <v>4.811837343640039E-4</v>
      </c>
      <c r="R63" s="97">
        <f t="shared" si="7"/>
        <v>4.811837343640039E-4</v>
      </c>
      <c r="S63" s="97">
        <f t="shared" si="7"/>
        <v>4.811837343640039E-4</v>
      </c>
      <c r="T63" s="97">
        <f t="shared" si="7"/>
        <v>4.811837343640039E-4</v>
      </c>
      <c r="U63" s="97">
        <f t="shared" si="7"/>
        <v>4.811837343640039E-4</v>
      </c>
      <c r="V63" s="97">
        <f t="shared" si="7"/>
        <v>4.811837343640039E-4</v>
      </c>
      <c r="W63" s="97">
        <f t="shared" si="7"/>
        <v>4.811837343640039E-4</v>
      </c>
      <c r="X63" s="97">
        <f t="shared" si="7"/>
        <v>4.811837343640039E-4</v>
      </c>
      <c r="Y63" s="97">
        <f t="shared" si="7"/>
        <v>4.811837343640039E-4</v>
      </c>
      <c r="Z63" s="97">
        <f t="shared" si="7"/>
        <v>4.811837343640039E-4</v>
      </c>
      <c r="AA63" s="97">
        <f t="shared" si="7"/>
        <v>4.811837343640039E-4</v>
      </c>
    </row>
    <row r="64" spans="2:31" ht="12.75" customHeight="1" x14ac:dyDescent="0.25">
      <c r="B64" s="21" t="s">
        <v>4</v>
      </c>
      <c r="C64" s="95">
        <f>Annual_sorted!P244</f>
        <v>-63.525009508811266</v>
      </c>
      <c r="D64" s="29">
        <f>IF(C64-Table_1463457141940[Burundi]&gt;0, C64-Table_1463457141940[Burundi], 0)</f>
        <v>0</v>
      </c>
      <c r="E64" s="29">
        <f>IF(C64-Table_1463457141940[DRC]&gt;0, C64-Table_1463457141940[DRC], 0)</f>
        <v>0</v>
      </c>
      <c r="F64" s="29">
        <f>IF(C64-Table_1463457141940[Egypt]&gt;0, C64-Table_1463457141940[Egypt], 0)</f>
        <v>0</v>
      </c>
      <c r="G64" s="29">
        <f>IF(C64-Table_1463457141940[Eritrea]&gt;0, C64-Table_1463457141940[Eritrea], 0)</f>
        <v>0</v>
      </c>
      <c r="H64" s="29">
        <f>IF(C64-Table_1463457141940[Ethiopia]&gt;0, C64-Table_1463457141940[Ethiopia], 0)</f>
        <v>0</v>
      </c>
      <c r="I64" s="29">
        <f>IF(C64-Table_1463457141940[Kenya]&gt;0, C64-Table_1463457141940[Kenya], 0)</f>
        <v>0</v>
      </c>
      <c r="J64" s="29">
        <f>IF(C64-Table_1463457141940[Rwanda]&gt;0, C64-Table_1463457141940[Rwanda], 0)</f>
        <v>0</v>
      </c>
      <c r="K64" s="29">
        <f>IF(C64-Table_1463457141940[Sudan]&gt;0, C64-Table_1463457141940[Sudan], 0)</f>
        <v>0</v>
      </c>
      <c r="L64" s="29">
        <f>IF(C64-Table_1463457141940[S. Sudan]&gt;0, C64-Table_1463457141940[S. Sudan], 0)</f>
        <v>0</v>
      </c>
      <c r="M64" s="29">
        <f>IF(C64-Table_1463457141940[Tanzania]&gt;0, C64-Table_1463457141940[Tanzania], 0)</f>
        <v>0</v>
      </c>
      <c r="N64" s="29">
        <f>IF(C64-Table_1463457141940[Uganda]&gt;0, C64-Table_1463457141940[Uganda], 0)</f>
        <v>0</v>
      </c>
      <c r="P64" s="21" t="s">
        <v>5</v>
      </c>
      <c r="Q64" s="97">
        <f t="shared" si="8"/>
        <v>4.811837343640039E-4</v>
      </c>
      <c r="R64" s="97">
        <f t="shared" si="7"/>
        <v>4.811837343640039E-4</v>
      </c>
      <c r="S64" s="97">
        <f t="shared" si="7"/>
        <v>0.60837219260412279</v>
      </c>
      <c r="T64" s="97">
        <f t="shared" si="7"/>
        <v>4.811837343640039E-4</v>
      </c>
      <c r="U64" s="97">
        <f t="shared" si="7"/>
        <v>0.7393491487786723</v>
      </c>
      <c r="V64" s="97">
        <f t="shared" si="7"/>
        <v>4.811837343640039E-4</v>
      </c>
      <c r="W64" s="97">
        <f t="shared" si="7"/>
        <v>4.811837343640039E-4</v>
      </c>
      <c r="X64" s="97">
        <f t="shared" si="7"/>
        <v>0.26337243728864146</v>
      </c>
      <c r="Y64" s="97">
        <f t="shared" si="7"/>
        <v>0.10726921811437387</v>
      </c>
      <c r="Z64" s="97">
        <f t="shared" si="7"/>
        <v>0.39035143334266831</v>
      </c>
      <c r="AA64" s="97">
        <f t="shared" si="7"/>
        <v>0.43762297765144448</v>
      </c>
    </row>
    <row r="65" spans="1:31" ht="12.75" customHeight="1" x14ac:dyDescent="0.25">
      <c r="B65" s="21" t="s">
        <v>5</v>
      </c>
      <c r="C65" s="95">
        <f>Annual_sorted!P245</f>
        <v>-16.52586916166851</v>
      </c>
      <c r="D65" s="29">
        <f>IF(C65-Table_1463457141940[Burundi]&gt;0, C65-Table_1463457141940[Burundi], 0)</f>
        <v>0</v>
      </c>
      <c r="E65" s="29">
        <f>IF(C65-Table_1463457141940[DRC]&gt;0, C65-Table_1463457141940[DRC], 0)</f>
        <v>0</v>
      </c>
      <c r="F65" s="29">
        <f>IF(C65-Table_1463457141940[Egypt]&gt;0, C65-Table_1463457141940[Egypt], 0)</f>
        <v>38.667740642839604</v>
      </c>
      <c r="G65" s="29">
        <f>IF(C65-Table_1463457141940[Eritrea]&gt;0, C65-Table_1463457141940[Eritrea], 0)</f>
        <v>0</v>
      </c>
      <c r="H65" s="29">
        <f>IF(C65-Table_1463457141940[Ethiopia]&gt;0, C65-Table_1463457141940[Ethiopia], 0)</f>
        <v>46.999140347142756</v>
      </c>
      <c r="I65" s="29">
        <f>IF(C65-Table_1463457141940[Kenya]&gt;0, C65-Table_1463457141940[Kenya], 0)</f>
        <v>0</v>
      </c>
      <c r="J65" s="29">
        <f>IF(C65-Table_1463457141940[Rwanda]&gt;0, C65-Table_1463457141940[Rwanda], 0)</f>
        <v>0</v>
      </c>
      <c r="K65" s="29">
        <f>IF(C65-Table_1463457141940[Sudan]&gt;0, C65-Table_1463457141940[Sudan], 0)</f>
        <v>16.722423364359607</v>
      </c>
      <c r="L65" s="29">
        <f>IF(C65-Table_1463457141940[S. Sudan]&gt;0, C65-Table_1463457141940[S. Sudan], 0)</f>
        <v>6.7927506031752429</v>
      </c>
      <c r="M65" s="29">
        <f>IF(C65-Table_1463457141940[Tanzania]&gt;0, C65-Table_1463457141940[Tanzania], 0)</f>
        <v>24.799514183048181</v>
      </c>
      <c r="N65" s="29">
        <f>IF(C65-Table_1463457141940[Uganda]&gt;0, C65-Table_1463457141940[Uganda], 0)</f>
        <v>27.806441063767821</v>
      </c>
      <c r="P65" s="21" t="s">
        <v>6</v>
      </c>
      <c r="Q65" s="97">
        <f t="shared" si="8"/>
        <v>4.811837343640039E-4</v>
      </c>
      <c r="R65" s="97">
        <f t="shared" si="7"/>
        <v>4.811837343640039E-4</v>
      </c>
      <c r="S65" s="97">
        <f t="shared" si="7"/>
        <v>0.75064630937190213</v>
      </c>
      <c r="T65" s="97">
        <f t="shared" si="7"/>
        <v>4.811837343640039E-4</v>
      </c>
      <c r="U65" s="97">
        <f t="shared" si="7"/>
        <v>0.88162326554645165</v>
      </c>
      <c r="V65" s="97">
        <f t="shared" si="7"/>
        <v>0.14275530050214341</v>
      </c>
      <c r="W65" s="97">
        <f t="shared" si="7"/>
        <v>4.811837343640039E-4</v>
      </c>
      <c r="X65" s="97">
        <f t="shared" si="7"/>
        <v>0.40564655405642086</v>
      </c>
      <c r="Y65" s="97">
        <f t="shared" si="7"/>
        <v>0.24954333488215327</v>
      </c>
      <c r="Z65" s="97">
        <f t="shared" si="7"/>
        <v>0.53262555011044765</v>
      </c>
      <c r="AA65" s="97">
        <f t="shared" si="7"/>
        <v>0.57989709441922399</v>
      </c>
    </row>
    <row r="66" spans="1:31" ht="12.75" customHeight="1" x14ac:dyDescent="0.25">
      <c r="B66" s="21" t="s">
        <v>6</v>
      </c>
      <c r="C66" s="95">
        <f>Annual_sorted!P246</f>
        <v>-7.4758609083892509</v>
      </c>
      <c r="D66" s="29">
        <f>IF(C66-Table_1463457141940[Burundi]&gt;0, C66-Table_1463457141940[Burundi], 0)</f>
        <v>0</v>
      </c>
      <c r="E66" s="29">
        <f>IF(C66-Table_1463457141940[DRC]&gt;0, C66-Table_1463457141940[DRC], 0)</f>
        <v>0</v>
      </c>
      <c r="F66" s="29">
        <f>IF(C66-Table_1463457141940[Egypt]&gt;0, C66-Table_1463457141940[Egypt], 0)</f>
        <v>47.717748896118863</v>
      </c>
      <c r="G66" s="29">
        <f>IF(C66-Table_1463457141940[Eritrea]&gt;0, C66-Table_1463457141940[Eritrea], 0)</f>
        <v>0</v>
      </c>
      <c r="H66" s="29">
        <f>IF(C66-Table_1463457141940[Ethiopia]&gt;0, C66-Table_1463457141940[Ethiopia], 0)</f>
        <v>56.049148600422015</v>
      </c>
      <c r="I66" s="29">
        <f>IF(C66-Table_1463457141940[Kenya]&gt;0, C66-Table_1463457141940[Kenya], 0)</f>
        <v>9.050008253279259</v>
      </c>
      <c r="J66" s="29">
        <f>IF(C66-Table_1463457141940[Rwanda]&gt;0, C66-Table_1463457141940[Rwanda], 0)</f>
        <v>0</v>
      </c>
      <c r="K66" s="29">
        <f>IF(C66-Table_1463457141940[Sudan]&gt;0, C66-Table_1463457141940[Sudan], 0)</f>
        <v>25.772431617638865</v>
      </c>
      <c r="L66" s="29">
        <f>IF(C66-Table_1463457141940[S. Sudan]&gt;0, C66-Table_1463457141940[S. Sudan], 0)</f>
        <v>15.842758856454502</v>
      </c>
      <c r="M66" s="29">
        <f>IF(C66-Table_1463457141940[Tanzania]&gt;0, C66-Table_1463457141940[Tanzania], 0)</f>
        <v>33.84952243632744</v>
      </c>
      <c r="N66" s="29">
        <f>IF(C66-Table_1463457141940[Uganda]&gt;0, C66-Table_1463457141940[Uganda], 0)</f>
        <v>36.85644931704708</v>
      </c>
      <c r="P66" s="21" t="s">
        <v>7</v>
      </c>
      <c r="Q66" s="97">
        <f t="shared" si="8"/>
        <v>4.811837343640039E-4</v>
      </c>
      <c r="R66" s="97">
        <f t="shared" si="7"/>
        <v>4.811837343640039E-4</v>
      </c>
      <c r="S66" s="97">
        <f t="shared" si="7"/>
        <v>0.34548093904984528</v>
      </c>
      <c r="T66" s="97">
        <f t="shared" si="7"/>
        <v>4.811837343640039E-4</v>
      </c>
      <c r="U66" s="97">
        <f t="shared" si="7"/>
        <v>0.47645789522439486</v>
      </c>
      <c r="V66" s="97">
        <f t="shared" si="7"/>
        <v>4.811837343640039E-4</v>
      </c>
      <c r="W66" s="97">
        <f t="shared" si="7"/>
        <v>4.811837343640039E-4</v>
      </c>
      <c r="X66" s="97">
        <f t="shared" si="7"/>
        <v>4.811837343640039E-4</v>
      </c>
      <c r="Y66" s="97">
        <f t="shared" si="7"/>
        <v>4.811837343640039E-4</v>
      </c>
      <c r="Z66" s="97">
        <f t="shared" si="7"/>
        <v>0.12746017978839083</v>
      </c>
      <c r="AA66" s="97">
        <f t="shared" si="7"/>
        <v>0.17473172409716703</v>
      </c>
    </row>
    <row r="67" spans="1:31" ht="12.75" customHeight="1" x14ac:dyDescent="0.25">
      <c r="B67" s="21" t="s">
        <v>7</v>
      </c>
      <c r="C67" s="95">
        <f>Annual_sorted!P247</f>
        <v>-33.248292526028116</v>
      </c>
      <c r="D67" s="29">
        <f>IF(C67-Table_1463457141940[Burundi]&gt;0, C67-Table_1463457141940[Burundi], 0)</f>
        <v>0</v>
      </c>
      <c r="E67" s="29">
        <f>IF(C67-Table_1463457141940[DRC]&gt;0, C67-Table_1463457141940[DRC], 0)</f>
        <v>0</v>
      </c>
      <c r="F67" s="29">
        <f>IF(C67-Table_1463457141940[Egypt]&gt;0, C67-Table_1463457141940[Egypt], 0)</f>
        <v>21.945317278479997</v>
      </c>
      <c r="G67" s="29">
        <f>IF(C67-Table_1463457141940[Eritrea]&gt;0, C67-Table_1463457141940[Eritrea], 0)</f>
        <v>0</v>
      </c>
      <c r="H67" s="29">
        <f>IF(C67-Table_1463457141940[Ethiopia]&gt;0, C67-Table_1463457141940[Ethiopia], 0)</f>
        <v>30.276716982783149</v>
      </c>
      <c r="I67" s="29">
        <f>IF(C67-Table_1463457141940[Kenya]&gt;0, C67-Table_1463457141940[Kenya], 0)</f>
        <v>0</v>
      </c>
      <c r="J67" s="29">
        <f>IF(C67-Table_1463457141940[Rwanda]&gt;0, C67-Table_1463457141940[Rwanda], 0)</f>
        <v>0</v>
      </c>
      <c r="K67" s="29">
        <f>IF(C67-Table_1463457141940[Sudan]&gt;0, C67-Table_1463457141940[Sudan], 0)</f>
        <v>0</v>
      </c>
      <c r="L67" s="29">
        <f>IF(C67-Table_1463457141940[S. Sudan]&gt;0, C67-Table_1463457141940[S. Sudan], 0)</f>
        <v>0</v>
      </c>
      <c r="M67" s="29">
        <f>IF(C67-Table_1463457141940[Tanzania]&gt;0, C67-Table_1463457141940[Tanzania], 0)</f>
        <v>8.0770908186885748</v>
      </c>
      <c r="N67" s="29">
        <f>IF(C67-Table_1463457141940[Uganda]&gt;0, C67-Table_1463457141940[Uganda], 0)</f>
        <v>11.084017699408214</v>
      </c>
      <c r="P67" s="21" t="s">
        <v>8</v>
      </c>
      <c r="Q67" s="97">
        <f t="shared" si="8"/>
        <v>4.811837343640039E-4</v>
      </c>
      <c r="R67" s="97">
        <f t="shared" si="7"/>
        <v>4.811837343640039E-4</v>
      </c>
      <c r="S67" s="97">
        <f t="shared" si="7"/>
        <v>0.50158415822411284</v>
      </c>
      <c r="T67" s="97">
        <f t="shared" si="7"/>
        <v>4.811837343640039E-4</v>
      </c>
      <c r="U67" s="97">
        <f t="shared" si="7"/>
        <v>0.63256111439866247</v>
      </c>
      <c r="V67" s="97">
        <f t="shared" si="7"/>
        <v>4.811837343640039E-4</v>
      </c>
      <c r="W67" s="97">
        <f t="shared" si="7"/>
        <v>4.811837343640039E-4</v>
      </c>
      <c r="X67" s="97">
        <f t="shared" si="7"/>
        <v>0.1565844029086316</v>
      </c>
      <c r="Y67" s="97">
        <f t="shared" si="7"/>
        <v>4.811837343640039E-4</v>
      </c>
      <c r="Z67" s="97">
        <f t="shared" si="7"/>
        <v>0.28356339896265842</v>
      </c>
      <c r="AA67" s="97">
        <f>$AE$59+(N68-$AE$57)*($AE$60-$AE$59)/($AE$58-$AE$57)</f>
        <v>0.33083494327143464</v>
      </c>
    </row>
    <row r="68" spans="1:31" ht="12.75" customHeight="1" x14ac:dyDescent="0.25">
      <c r="B68" s="21" t="s">
        <v>8</v>
      </c>
      <c r="C68" s="95">
        <f>Annual_sorted!P248</f>
        <v>-23.318619764843753</v>
      </c>
      <c r="D68" s="29">
        <f>IF(C68-Table_1463457141940[Burundi]&gt;0, C68-Table_1463457141940[Burundi], 0)</f>
        <v>0</v>
      </c>
      <c r="E68" s="29">
        <f>IF(C68-Table_1463457141940[DRC]&gt;0, C68-Table_1463457141940[DRC], 0)</f>
        <v>0</v>
      </c>
      <c r="F68" s="29">
        <f>IF(C68-Table_1463457141940[Egypt]&gt;0, C68-Table_1463457141940[Egypt], 0)</f>
        <v>31.874990039664361</v>
      </c>
      <c r="G68" s="29">
        <f>IF(C68-Table_1463457141940[Eritrea]&gt;0, C68-Table_1463457141940[Eritrea], 0)</f>
        <v>0</v>
      </c>
      <c r="H68" s="29">
        <f>IF(C68-Table_1463457141940[Ethiopia]&gt;0, C68-Table_1463457141940[Ethiopia], 0)</f>
        <v>40.206389743967513</v>
      </c>
      <c r="I68" s="29">
        <f>IF(C68-Table_1463457141940[Kenya]&gt;0, C68-Table_1463457141940[Kenya], 0)</f>
        <v>0</v>
      </c>
      <c r="J68" s="29">
        <f>IF(C68-Table_1463457141940[Rwanda]&gt;0, C68-Table_1463457141940[Rwanda], 0)</f>
        <v>0</v>
      </c>
      <c r="K68" s="29">
        <f>IF(C68-Table_1463457141940[Sudan]&gt;0, C68-Table_1463457141940[Sudan], 0)</f>
        <v>9.9296727611843636</v>
      </c>
      <c r="L68" s="29">
        <f>IF(C68-Table_1463457141940[S. Sudan]&gt;0, C68-Table_1463457141940[S. Sudan], 0)</f>
        <v>0</v>
      </c>
      <c r="M68" s="29">
        <f>IF(C68-Table_1463457141940[Tanzania]&gt;0, C68-Table_1463457141940[Tanzania], 0)</f>
        <v>18.006763579872938</v>
      </c>
      <c r="N68" s="29">
        <f>IF(C68-Table_1463457141940[Uganda]&gt;0, C68-Table_1463457141940[Uganda], 0)</f>
        <v>21.013690460592578</v>
      </c>
      <c r="P68" s="21" t="s">
        <v>9</v>
      </c>
      <c r="Q68" s="97">
        <f t="shared" si="8"/>
        <v>4.811837343640039E-4</v>
      </c>
      <c r="R68" s="97">
        <f t="shared" si="7"/>
        <v>4.811837343640039E-4</v>
      </c>
      <c r="S68" s="97">
        <f t="shared" si="7"/>
        <v>0.21850194299581843</v>
      </c>
      <c r="T68" s="97">
        <f t="shared" si="7"/>
        <v>4.811837343640039E-4</v>
      </c>
      <c r="U68" s="97">
        <f t="shared" si="7"/>
        <v>0.34947889917036801</v>
      </c>
      <c r="V68" s="97">
        <f t="shared" si="7"/>
        <v>4.811837343640039E-4</v>
      </c>
      <c r="W68" s="97">
        <f t="shared" si="7"/>
        <v>4.811837343640039E-4</v>
      </c>
      <c r="X68" s="97">
        <f t="shared" si="7"/>
        <v>4.811837343640039E-4</v>
      </c>
      <c r="Y68" s="97">
        <f t="shared" si="7"/>
        <v>4.811837343640039E-4</v>
      </c>
      <c r="Z68" s="97">
        <f t="shared" si="7"/>
        <v>4.811837343640039E-4</v>
      </c>
      <c r="AA68" s="97">
        <f t="shared" si="7"/>
        <v>4.7752728043140194E-2</v>
      </c>
    </row>
    <row r="69" spans="1:31" ht="12.75" customHeight="1" thickBot="1" x14ac:dyDescent="0.3">
      <c r="B69" s="21" t="s">
        <v>9</v>
      </c>
      <c r="C69" s="95">
        <f>Annual_sorted!P249</f>
        <v>-41.325383344716691</v>
      </c>
      <c r="D69" s="29">
        <f>IF(C69-Table_1463457141940[Burundi]&gt;0, C69-Table_1463457141940[Burundi], 0)</f>
        <v>0</v>
      </c>
      <c r="E69" s="29">
        <f>IF(C69-Table_1463457141940[DRC]&gt;0, C69-Table_1463457141940[DRC], 0)</f>
        <v>0</v>
      </c>
      <c r="F69" s="29">
        <f>IF(C69-Table_1463457141940[Egypt]&gt;0, C69-Table_1463457141940[Egypt], 0)</f>
        <v>13.868226459791423</v>
      </c>
      <c r="G69" s="29">
        <f>IF(C69-Table_1463457141940[Eritrea]&gt;0, C69-Table_1463457141940[Eritrea], 0)</f>
        <v>0</v>
      </c>
      <c r="H69" s="29">
        <f>IF(C69-Table_1463457141940[Ethiopia]&gt;0, C69-Table_1463457141940[Ethiopia], 0)</f>
        <v>22.199626164094575</v>
      </c>
      <c r="I69" s="29">
        <f>IF(C69-Table_1463457141940[Kenya]&gt;0, C69-Table_1463457141940[Kenya], 0)</f>
        <v>0</v>
      </c>
      <c r="J69" s="29">
        <f>IF(C69-Table_1463457141940[Rwanda]&gt;0, C69-Table_1463457141940[Rwanda], 0)</f>
        <v>0</v>
      </c>
      <c r="K69" s="29">
        <f>IF(C69-Table_1463457141940[Sudan]&gt;0, C69-Table_1463457141940[Sudan], 0)</f>
        <v>0</v>
      </c>
      <c r="L69" s="29">
        <f>IF(C69-Table_1463457141940[S. Sudan]&gt;0, C69-Table_1463457141940[S. Sudan], 0)</f>
        <v>0</v>
      </c>
      <c r="M69" s="29">
        <f>IF(C69-Table_1463457141940[Tanzania]&gt;0, C69-Table_1463457141940[Tanzania], 0)</f>
        <v>0</v>
      </c>
      <c r="N69" s="29">
        <f>IF(C69-Table_1463457141940[Uganda]&gt;0, C69-Table_1463457141940[Uganda], 0)</f>
        <v>3.0069268807196394</v>
      </c>
      <c r="P69" s="22" t="s">
        <v>10</v>
      </c>
      <c r="Q69" s="98">
        <f t="shared" si="8"/>
        <v>4.811837343640039E-4</v>
      </c>
      <c r="R69" s="98">
        <f t="shared" si="7"/>
        <v>4.811837343640039E-4</v>
      </c>
      <c r="S69" s="98">
        <f t="shared" si="7"/>
        <v>0.17123039868704223</v>
      </c>
      <c r="T69" s="98">
        <f t="shared" si="7"/>
        <v>4.811837343640039E-4</v>
      </c>
      <c r="U69" s="98">
        <f t="shared" si="7"/>
        <v>0.30220735486159184</v>
      </c>
      <c r="V69" s="98">
        <f t="shared" si="7"/>
        <v>4.811837343640039E-4</v>
      </c>
      <c r="W69" s="98">
        <f t="shared" si="7"/>
        <v>4.811837343640039E-4</v>
      </c>
      <c r="X69" s="98">
        <f t="shared" si="7"/>
        <v>4.811837343640039E-4</v>
      </c>
      <c r="Y69" s="98">
        <f t="shared" si="7"/>
        <v>4.811837343640039E-4</v>
      </c>
      <c r="Z69" s="98">
        <f t="shared" si="7"/>
        <v>4.811837343640039E-4</v>
      </c>
      <c r="AA69" s="98">
        <f t="shared" si="7"/>
        <v>4.811837343640039E-4</v>
      </c>
      <c r="AB69" s="186">
        <f>SUM(Q59:AA69)</f>
        <v>23.722365874355653</v>
      </c>
    </row>
    <row r="70" spans="1:31" ht="12.75" customHeight="1" thickBot="1" x14ac:dyDescent="0.3">
      <c r="B70" s="22" t="s">
        <v>10</v>
      </c>
      <c r="C70" s="96">
        <f>Annual_sorted!P250</f>
        <v>-44.332310225436331</v>
      </c>
      <c r="D70" s="32">
        <f>IF(C70-Table_1463457141940[Burundi]&gt;0, C70-Table_1463457141940[Burundi], 0)</f>
        <v>0</v>
      </c>
      <c r="E70" s="32">
        <f>IF(C70-Table_1463457141940[DRC]&gt;0, C70-Table_1463457141940[DRC], 0)</f>
        <v>0</v>
      </c>
      <c r="F70" s="32">
        <f>IF(C70-Table_1463457141940[Egypt]&gt;0, C70-Table_1463457141940[Egypt], 0)</f>
        <v>10.861299579071783</v>
      </c>
      <c r="G70" s="32">
        <f>IF(C70-Table_1463457141940[Eritrea]&gt;0, C70-Table_1463457141940[Eritrea], 0)</f>
        <v>0</v>
      </c>
      <c r="H70" s="32">
        <f>IF(C70-Table_1463457141940[Ethiopia]&gt;0, C70-Table_1463457141940[Ethiopia], 0)</f>
        <v>19.192699283374935</v>
      </c>
      <c r="I70" s="32">
        <f>IF(C70-Table_1463457141940[Kenya]&gt;0, C70-Table_1463457141940[Kenya], 0)</f>
        <v>0</v>
      </c>
      <c r="J70" s="32">
        <f>IF(C70-Table_1463457141940[Rwanda]&gt;0, C70-Table_1463457141940[Rwanda], 0)</f>
        <v>0</v>
      </c>
      <c r="K70" s="32">
        <f>IF(C70-Table_1463457141940[Sudan]&gt;0, C70-Table_1463457141940[Sudan], 0)</f>
        <v>0</v>
      </c>
      <c r="L70" s="32">
        <f>IF(C70-Table_1463457141940[S. Sudan]&gt;0, C70-Table_1463457141940[S. Sudan], 0)</f>
        <v>0</v>
      </c>
      <c r="M70" s="32">
        <f>IF(C70-Table_1463457141940[Tanzania]&gt;0, C70-Table_1463457141940[Tanzania], 0)</f>
        <v>0</v>
      </c>
      <c r="N70" s="32">
        <f>IF(C70-Table_1463457141940[Uganda]&gt;0, C70-Table_1463457141940[Uganda], 0)</f>
        <v>0</v>
      </c>
    </row>
    <row r="71" spans="1:31" ht="12.75" customHeight="1" x14ac:dyDescent="0.25"/>
    <row r="72" spans="1:31" ht="12.75" customHeight="1" x14ac:dyDescent="0.25"/>
    <row r="73" spans="1:31" ht="12.75" customHeight="1" x14ac:dyDescent="0.25"/>
    <row r="74" spans="1:31" ht="24" customHeight="1" x14ac:dyDescent="0.25">
      <c r="A74" s="252" t="s">
        <v>82</v>
      </c>
      <c r="B74" s="252"/>
      <c r="C74" s="252"/>
      <c r="D74" s="252"/>
      <c r="E74" s="252"/>
      <c r="F74" s="252"/>
    </row>
    <row r="75" spans="1:31" ht="12.75" customHeight="1" x14ac:dyDescent="0.25"/>
    <row r="76" spans="1:31" ht="12.75" customHeight="1" x14ac:dyDescent="0.25">
      <c r="B76" s="5"/>
      <c r="C76" s="5"/>
      <c r="D76" s="5"/>
      <c r="E76" s="5"/>
      <c r="F76" s="5"/>
      <c r="G76" s="5"/>
      <c r="H76" s="5"/>
      <c r="I76" s="5"/>
      <c r="J76" s="5"/>
      <c r="K76" s="5"/>
      <c r="L76" s="5"/>
      <c r="M76" s="5"/>
      <c r="N76" s="5"/>
      <c r="O76" s="5"/>
      <c r="P76" s="5"/>
      <c r="Q76" s="5"/>
      <c r="R76" s="5"/>
      <c r="S76" s="5"/>
      <c r="T76" s="5"/>
      <c r="U76" s="5"/>
      <c r="V76" s="5"/>
      <c r="W76" s="5"/>
      <c r="X76" s="5"/>
      <c r="Y76" s="5"/>
      <c r="Z76" s="5"/>
      <c r="AA76" s="5"/>
    </row>
    <row r="77" spans="1:31" ht="12.75" customHeight="1" thickBot="1" x14ac:dyDescent="0.3">
      <c r="B77" s="253" t="s">
        <v>83</v>
      </c>
      <c r="C77" s="253"/>
      <c r="D77" s="253"/>
      <c r="E77" s="253"/>
      <c r="F77" s="253"/>
      <c r="G77" s="253"/>
      <c r="H77" s="253"/>
      <c r="I77" s="253"/>
      <c r="J77" s="253"/>
      <c r="K77" s="253"/>
      <c r="L77" s="253"/>
      <c r="M77" s="253"/>
      <c r="N77" s="253"/>
      <c r="O77" s="5"/>
      <c r="P77" s="253" t="s">
        <v>84</v>
      </c>
      <c r="Q77" s="253"/>
      <c r="R77" s="253"/>
      <c r="S77" s="253"/>
      <c r="T77" s="253"/>
      <c r="U77" s="253"/>
      <c r="V77" s="253"/>
      <c r="W77" s="253"/>
      <c r="X77" s="253"/>
      <c r="Y77" s="253"/>
      <c r="Z77" s="253"/>
      <c r="AA77" s="253"/>
      <c r="AB77" s="10"/>
      <c r="AC77" s="3" t="s">
        <v>22</v>
      </c>
      <c r="AD77" s="13" t="s">
        <v>23</v>
      </c>
      <c r="AE77" s="74">
        <f t="array" ref="AE77">MIN(IF(D80:N90&gt;0,D80:N90))</f>
        <v>5.0414805681738244</v>
      </c>
    </row>
    <row r="78" spans="1:31" ht="12.75" customHeight="1" thickBot="1" x14ac:dyDescent="0.3">
      <c r="B78" s="75" t="s">
        <v>13</v>
      </c>
      <c r="C78" s="66" t="s">
        <v>14</v>
      </c>
      <c r="D78" s="67" t="s">
        <v>1</v>
      </c>
      <c r="E78" s="67" t="s">
        <v>195</v>
      </c>
      <c r="F78" s="67" t="s">
        <v>2</v>
      </c>
      <c r="G78" s="67" t="s">
        <v>3</v>
      </c>
      <c r="H78" s="67" t="s">
        <v>4</v>
      </c>
      <c r="I78" s="67" t="s">
        <v>5</v>
      </c>
      <c r="J78" s="67" t="s">
        <v>6</v>
      </c>
      <c r="K78" s="67" t="s">
        <v>7</v>
      </c>
      <c r="L78" s="67" t="s">
        <v>295</v>
      </c>
      <c r="M78" s="67" t="s">
        <v>9</v>
      </c>
      <c r="N78" s="67" t="s">
        <v>10</v>
      </c>
      <c r="P78" s="76" t="s">
        <v>19</v>
      </c>
      <c r="Q78" s="77" t="s">
        <v>1</v>
      </c>
      <c r="R78" s="77" t="s">
        <v>195</v>
      </c>
      <c r="S78" s="77" t="s">
        <v>2</v>
      </c>
      <c r="T78" s="77" t="s">
        <v>3</v>
      </c>
      <c r="U78" s="77" t="s">
        <v>4</v>
      </c>
      <c r="V78" s="77" t="s">
        <v>5</v>
      </c>
      <c r="W78" s="77" t="s">
        <v>6</v>
      </c>
      <c r="X78" s="77" t="s">
        <v>7</v>
      </c>
      <c r="Y78" s="77" t="s">
        <v>295</v>
      </c>
      <c r="Z78" s="77" t="s">
        <v>9</v>
      </c>
      <c r="AA78" s="77" t="s">
        <v>10</v>
      </c>
      <c r="AB78" s="254" t="s">
        <v>26</v>
      </c>
      <c r="AC78" s="254"/>
      <c r="AD78" s="13" t="s">
        <v>24</v>
      </c>
      <c r="AE78" s="20">
        <f>MAX(D80:N90)</f>
        <v>1716.8030279400355</v>
      </c>
    </row>
    <row r="79" spans="1:31" ht="12.75" customHeight="1" x14ac:dyDescent="0.25">
      <c r="B79" s="93"/>
      <c r="C79" s="94" t="s">
        <v>261</v>
      </c>
      <c r="D79" s="95">
        <f>C80</f>
        <v>58.689390094152202</v>
      </c>
      <c r="E79" s="95">
        <f>C81</f>
        <v>14.704691683539824</v>
      </c>
      <c r="F79" s="95">
        <f>C82</f>
        <v>-2.1560363781607412</v>
      </c>
      <c r="G79" s="95">
        <f>C83</f>
        <v>33.506770407295775</v>
      </c>
      <c r="H79" s="95">
        <f>C84</f>
        <v>1047.4530990601338</v>
      </c>
      <c r="I79" s="95">
        <f>C85</f>
        <v>266.82833288885479</v>
      </c>
      <c r="J79" s="95">
        <f>C86</f>
        <v>100.35798994959242</v>
      </c>
      <c r="K79" s="95">
        <f>C87</f>
        <v>1151.1588724178605</v>
      </c>
      <c r="L79" s="95">
        <f>C88</f>
        <v>-565.64415552217497</v>
      </c>
      <c r="M79" s="95">
        <f>C89</f>
        <v>271.86981345702861</v>
      </c>
      <c r="N79" s="95">
        <f>C90</f>
        <v>355.59653178873612</v>
      </c>
      <c r="P79" s="21" t="s">
        <v>1</v>
      </c>
      <c r="Q79" s="97">
        <f>$AE$79+(D80-$AE$77)*($AE$80-$AE$79)/($AE$78-$AE$77)</f>
        <v>-1.9422550677916E-3</v>
      </c>
      <c r="R79" s="97">
        <f t="shared" ref="R79:AA89" si="9">$AE$79+(E80-$AE$77)*($AE$80-$AE$79)/($AE$78-$AE$77)</f>
        <v>2.3727625050537833E-2</v>
      </c>
      <c r="S79" s="97">
        <f t="shared" si="9"/>
        <v>3.3567703161592466E-2</v>
      </c>
      <c r="T79" s="97">
        <f t="shared" si="9"/>
        <v>1.2754556591399381E-2</v>
      </c>
      <c r="U79" s="97">
        <f t="shared" si="9"/>
        <v>-1.9422550677916E-3</v>
      </c>
      <c r="V79" s="97">
        <f t="shared" si="9"/>
        <v>-1.9422550677916E-3</v>
      </c>
      <c r="W79" s="97">
        <f t="shared" si="9"/>
        <v>-1.9422550677916E-3</v>
      </c>
      <c r="X79" s="97">
        <f t="shared" si="9"/>
        <v>-1.9422550677916E-3</v>
      </c>
      <c r="Y79" s="97">
        <f t="shared" si="9"/>
        <v>0.3624246236182716</v>
      </c>
      <c r="Z79" s="97">
        <f t="shared" si="9"/>
        <v>-1.9422550677916E-3</v>
      </c>
      <c r="AA79" s="97">
        <f t="shared" si="9"/>
        <v>-1.9422550677916E-3</v>
      </c>
      <c r="AD79" s="3" t="s">
        <v>25</v>
      </c>
      <c r="AE79" s="2">
        <v>1E-3</v>
      </c>
    </row>
    <row r="80" spans="1:31" ht="12.75" customHeight="1" x14ac:dyDescent="0.25">
      <c r="B80" s="21" t="s">
        <v>1</v>
      </c>
      <c r="C80" s="95">
        <f>Annual_sorted!F240</f>
        <v>58.689390094152202</v>
      </c>
      <c r="D80" s="29">
        <f>IF(C80-Table_14634578132445[Burundi]&gt;0, C80-Table_14634578132445[Burundi], 0)</f>
        <v>0</v>
      </c>
      <c r="E80" s="29">
        <f>IF(C80-Table_14634578132445[DRC]&gt;0, C80-Table_14634578132445[DRC], 0)</f>
        <v>43.984698410612381</v>
      </c>
      <c r="F80" s="29">
        <f>IF(C80-Table_14634578132445[Egypt]&gt;0, C80-Table_14634578132445[Egypt], 0)</f>
        <v>60.845426472312944</v>
      </c>
      <c r="G80" s="29">
        <f>IF(C80-Table_14634578132445[Eritrea]&gt;0, C80-Table_14634578132445[Eritrea], 0)</f>
        <v>25.182619686856427</v>
      </c>
      <c r="H80" s="29">
        <f>IF(C80-Table_14634578132445[Ethiopia]&gt;0, C80-Table_14634578132445[Ethiopia], 0)</f>
        <v>0</v>
      </c>
      <c r="I80" s="29">
        <f>IF(C80-Table_14634578132445[Kenya]&gt;0, C80-Table_14634578132445[Kenya], 0)</f>
        <v>0</v>
      </c>
      <c r="J80" s="29">
        <f>IF(C80-Table_14634578132445[Rwanda]&gt;0, C80-Table_14634578132445[Rwanda], 0)</f>
        <v>0</v>
      </c>
      <c r="K80" s="29">
        <f>IF(C80-Table_14634578132445[Sudan]&gt;0, C80-Table_14634578132445[Sudan], 0)</f>
        <v>0</v>
      </c>
      <c r="L80" s="29">
        <f>IF(C80-Table_14634578132445[S. Sudan]&gt;0, C80-Table_14634578132445[S. Sudan], 0)</f>
        <v>624.33354561632723</v>
      </c>
      <c r="M80" s="29">
        <f>IF(C80-Table_14634578132445[Tanzania]&gt;0, C80-Table_14634578132445[Tanzania], 0)</f>
        <v>0</v>
      </c>
      <c r="N80" s="29">
        <f>IF(C80-Table_14634578132445[Uganda]&gt;0, C80-Table_14634578132445[Uganda], 0)</f>
        <v>0</v>
      </c>
      <c r="P80" s="21" t="s">
        <v>195</v>
      </c>
      <c r="Q80" s="97">
        <f t="shared" ref="Q80:Q89" si="10">$AE$79+(D81-$AE$77)*($AE$80-$AE$79)/($AE$78-$AE$77)</f>
        <v>-1.9422550677916E-3</v>
      </c>
      <c r="R80" s="97">
        <f t="shared" si="9"/>
        <v>-1.9422550677916E-3</v>
      </c>
      <c r="S80" s="97">
        <f t="shared" si="9"/>
        <v>7.8978230432630338E-3</v>
      </c>
      <c r="T80" s="97">
        <f t="shared" si="9"/>
        <v>-1.9422550677916E-3</v>
      </c>
      <c r="U80" s="97">
        <f t="shared" si="9"/>
        <v>-1.9422550677916E-3</v>
      </c>
      <c r="V80" s="97">
        <f t="shared" si="9"/>
        <v>-1.9422550677916E-3</v>
      </c>
      <c r="W80" s="97">
        <f t="shared" si="9"/>
        <v>-1.9422550677916E-3</v>
      </c>
      <c r="X80" s="97">
        <f t="shared" si="9"/>
        <v>-1.9422550677916E-3</v>
      </c>
      <c r="Y80" s="97">
        <f t="shared" si="9"/>
        <v>0.33675474349994217</v>
      </c>
      <c r="Z80" s="97">
        <f t="shared" si="9"/>
        <v>-1.9422550677916E-3</v>
      </c>
      <c r="AA80" s="97">
        <f t="shared" si="9"/>
        <v>-1.9422550677916E-3</v>
      </c>
      <c r="AD80" s="3" t="s">
        <v>70</v>
      </c>
      <c r="AE80" s="2">
        <v>1</v>
      </c>
    </row>
    <row r="81" spans="2:31" ht="12.75" customHeight="1" x14ac:dyDescent="0.25">
      <c r="B81" s="21" t="s">
        <v>195</v>
      </c>
      <c r="C81" s="95">
        <f>Annual_sorted!F241</f>
        <v>14.704691683539824</v>
      </c>
      <c r="D81" s="29">
        <f>IF(C81-Table_14634578132445[Burundi]&gt;0, C81-Table_14634578132445[Burundi], 0)</f>
        <v>0</v>
      </c>
      <c r="E81" s="29">
        <f>IF(C81-Table_14634578132445[DRC]&gt;0, C81-Table_14634578132445[DRC], 0)</f>
        <v>0</v>
      </c>
      <c r="F81" s="29">
        <f>IF(C81-Table_14634578132445[Egypt]&gt;0, C81-Table_14634578132445[Egypt], 0)</f>
        <v>16.860728061700566</v>
      </c>
      <c r="G81" s="29">
        <f>IF(C81-Table_14634578132445[Eritrea]&gt;0, C81-Table_14634578132445[Eritrea], 0)</f>
        <v>0</v>
      </c>
      <c r="H81" s="29">
        <f>IF(C81-Table_14634578132445[Ethiopia]&gt;0, C81-Table_14634578132445[Ethiopia], 0)</f>
        <v>0</v>
      </c>
      <c r="I81" s="29">
        <f>IF(C81-Table_14634578132445[Kenya]&gt;0, C81-Table_14634578132445[Kenya], 0)</f>
        <v>0</v>
      </c>
      <c r="J81" s="29">
        <f>IF(C81-Table_14634578132445[Rwanda]&gt;0, C81-Table_14634578132445[Rwanda], 0)</f>
        <v>0</v>
      </c>
      <c r="K81" s="29">
        <f>IF(C81-Table_14634578132445[Sudan]&gt;0, C81-Table_14634578132445[Sudan], 0)</f>
        <v>0</v>
      </c>
      <c r="L81" s="29">
        <f>IF(C81-Table_14634578132445[S. Sudan]&gt;0, C81-Table_14634578132445[S. Sudan], 0)</f>
        <v>580.34884720571483</v>
      </c>
      <c r="M81" s="29">
        <f>IF(C81-Table_14634578132445[Tanzania]&gt;0, C81-Table_14634578132445[Tanzania], 0)</f>
        <v>0</v>
      </c>
      <c r="N81" s="29">
        <f>IF(C81-Table_14634578132445[Uganda]&gt;0, C81-Table_14634578132445[Uganda], 0)</f>
        <v>0</v>
      </c>
      <c r="P81" s="21" t="s">
        <v>2</v>
      </c>
      <c r="Q81" s="97">
        <f t="shared" si="10"/>
        <v>-1.9422550677916E-3</v>
      </c>
      <c r="R81" s="97">
        <f t="shared" si="9"/>
        <v>-1.9422550677916E-3</v>
      </c>
      <c r="S81" s="97">
        <f t="shared" si="9"/>
        <v>-1.9422550677916E-3</v>
      </c>
      <c r="T81" s="97">
        <f t="shared" si="9"/>
        <v>-1.9422550677916E-3</v>
      </c>
      <c r="U81" s="97">
        <f t="shared" si="9"/>
        <v>-1.9422550677916E-3</v>
      </c>
      <c r="V81" s="97">
        <f t="shared" si="9"/>
        <v>-1.9422550677916E-3</v>
      </c>
      <c r="W81" s="97">
        <f t="shared" si="9"/>
        <v>-1.9422550677916E-3</v>
      </c>
      <c r="X81" s="97">
        <f t="shared" si="9"/>
        <v>-1.9422550677916E-3</v>
      </c>
      <c r="Y81" s="97">
        <f t="shared" si="9"/>
        <v>0.32691466538888758</v>
      </c>
      <c r="Z81" s="97">
        <f t="shared" si="9"/>
        <v>-1.9422550677916E-3</v>
      </c>
      <c r="AA81" s="97">
        <f t="shared" si="9"/>
        <v>-1.9422550677916E-3</v>
      </c>
    </row>
    <row r="82" spans="2:31" ht="12.75" customHeight="1" x14ac:dyDescent="0.25">
      <c r="B82" s="21" t="s">
        <v>2</v>
      </c>
      <c r="C82" s="95">
        <f>Annual_sorted!F242</f>
        <v>-2.1560363781607412</v>
      </c>
      <c r="D82" s="29">
        <f>IF(C82-Table_14634578132445[Burundi]&gt;0, C82-Table_14634578132445[Burundi], 0)</f>
        <v>0</v>
      </c>
      <c r="E82" s="29">
        <f>IF(C82-Table_14634578132445[DRC]&gt;0, C82-Table_14634578132445[DRC], 0)</f>
        <v>0</v>
      </c>
      <c r="F82" s="29">
        <f>IF(C82-Table_14634578132445[Egypt]&gt;0, C82-Table_14634578132445[Egypt], 0)</f>
        <v>0</v>
      </c>
      <c r="G82" s="29">
        <f>IF(C82-Table_14634578132445[Eritrea]&gt;0, C82-Table_14634578132445[Eritrea], 0)</f>
        <v>0</v>
      </c>
      <c r="H82" s="29">
        <f>IF(C82-Table_14634578132445[Ethiopia]&gt;0, C82-Table_14634578132445[Ethiopia], 0)</f>
        <v>0</v>
      </c>
      <c r="I82" s="29">
        <f>IF(C82-Table_14634578132445[Kenya]&gt;0, C82-Table_14634578132445[Kenya], 0)</f>
        <v>0</v>
      </c>
      <c r="J82" s="29">
        <f>IF(C82-Table_14634578132445[Rwanda]&gt;0, C82-Table_14634578132445[Rwanda], 0)</f>
        <v>0</v>
      </c>
      <c r="K82" s="29">
        <f>IF(C82-Table_14634578132445[Sudan]&gt;0, C82-Table_14634578132445[Sudan], 0)</f>
        <v>0</v>
      </c>
      <c r="L82" s="29">
        <f>IF(C82-Table_14634578132445[S. Sudan]&gt;0, C82-Table_14634578132445[S. Sudan], 0)</f>
        <v>563.48811914401426</v>
      </c>
      <c r="M82" s="29">
        <f>IF(C82-Table_14634578132445[Tanzania]&gt;0, C82-Table_14634578132445[Tanzania], 0)</f>
        <v>0</v>
      </c>
      <c r="N82" s="29">
        <f>IF(C82-Table_14634578132445[Uganda]&gt;0, C82-Table_14634578132445[Uganda], 0)</f>
        <v>0</v>
      </c>
      <c r="P82" s="21" t="s">
        <v>3</v>
      </c>
      <c r="Q82" s="97">
        <f t="shared" si="10"/>
        <v>-1.9422550677916E-3</v>
      </c>
      <c r="R82" s="97">
        <f t="shared" si="9"/>
        <v>9.0308133913468459E-3</v>
      </c>
      <c r="S82" s="97">
        <f t="shared" si="9"/>
        <v>1.8870891502401482E-2</v>
      </c>
      <c r="T82" s="97">
        <f t="shared" si="9"/>
        <v>-1.9422550677916E-3</v>
      </c>
      <c r="U82" s="97">
        <f t="shared" si="9"/>
        <v>-1.9422550677916E-3</v>
      </c>
      <c r="V82" s="97">
        <f t="shared" si="9"/>
        <v>-1.9422550677916E-3</v>
      </c>
      <c r="W82" s="97">
        <f t="shared" si="9"/>
        <v>-1.9422550677916E-3</v>
      </c>
      <c r="X82" s="97">
        <f t="shared" si="9"/>
        <v>-1.9422550677916E-3</v>
      </c>
      <c r="Y82" s="97">
        <f t="shared" si="9"/>
        <v>0.34772781195908065</v>
      </c>
      <c r="Z82" s="97">
        <f t="shared" si="9"/>
        <v>-1.9422550677916E-3</v>
      </c>
      <c r="AA82" s="97">
        <f t="shared" si="9"/>
        <v>-1.9422550677916E-3</v>
      </c>
    </row>
    <row r="83" spans="2:31" ht="12.75" customHeight="1" x14ac:dyDescent="0.25">
      <c r="B83" s="21" t="s">
        <v>3</v>
      </c>
      <c r="C83" s="95">
        <f>Annual_sorted!F243</f>
        <v>33.506770407295775</v>
      </c>
      <c r="D83" s="29">
        <f>IF(C83-Table_14634578132445[Burundi]&gt;0, C83-Table_14634578132445[Burundi], 0)</f>
        <v>0</v>
      </c>
      <c r="E83" s="29">
        <f>IF(C83-Table_14634578132445[DRC]&gt;0, C83-Table_14634578132445[DRC], 0)</f>
        <v>18.802078723755951</v>
      </c>
      <c r="F83" s="29">
        <f>IF(C83-Table_14634578132445[Egypt]&gt;0, C83-Table_14634578132445[Egypt], 0)</f>
        <v>35.662806785456517</v>
      </c>
      <c r="G83" s="29">
        <f>IF(C83-Table_14634578132445[Eritrea]&gt;0, C83-Table_14634578132445[Eritrea], 0)</f>
        <v>0</v>
      </c>
      <c r="H83" s="29">
        <f>IF(C83-Table_14634578132445[Ethiopia]&gt;0, C83-Table_14634578132445[Ethiopia], 0)</f>
        <v>0</v>
      </c>
      <c r="I83" s="29">
        <f>IF(C83-Table_14634578132445[Kenya]&gt;0, C83-Table_14634578132445[Kenya], 0)</f>
        <v>0</v>
      </c>
      <c r="J83" s="29">
        <f>IF(C83-Table_14634578132445[Rwanda]&gt;0, C83-Table_14634578132445[Rwanda], 0)</f>
        <v>0</v>
      </c>
      <c r="K83" s="29">
        <f>IF(C83-Table_14634578132445[Sudan]&gt;0, C83-Table_14634578132445[Sudan], 0)</f>
        <v>0</v>
      </c>
      <c r="L83" s="29">
        <f>IF(C83-Table_14634578132445[S. Sudan]&gt;0, C83-Table_14634578132445[S. Sudan], 0)</f>
        <v>599.15092592947076</v>
      </c>
      <c r="M83" s="29">
        <f>IF(C83-Table_14634578132445[Tanzania]&gt;0, C83-Table_14634578132445[Tanzania], 0)</f>
        <v>0</v>
      </c>
      <c r="N83" s="29">
        <f>IF(C83-Table_14634578132445[Uganda]&gt;0, C83-Table_14634578132445[Uganda], 0)</f>
        <v>0</v>
      </c>
      <c r="P83" s="21" t="s">
        <v>4</v>
      </c>
      <c r="Q83" s="97">
        <f t="shared" si="10"/>
        <v>0.57510946500010418</v>
      </c>
      <c r="R83" s="97">
        <f t="shared" si="9"/>
        <v>0.60077934511843367</v>
      </c>
      <c r="S83" s="97">
        <f t="shared" si="9"/>
        <v>0.61061942322948826</v>
      </c>
      <c r="T83" s="97">
        <f t="shared" si="9"/>
        <v>0.58980627665929519</v>
      </c>
      <c r="U83" s="97">
        <f t="shared" si="9"/>
        <v>-1.9422550677916E-3</v>
      </c>
      <c r="V83" s="97">
        <f t="shared" si="9"/>
        <v>0.4536376372381401</v>
      </c>
      <c r="W83" s="97">
        <f t="shared" si="9"/>
        <v>0.55079128159453805</v>
      </c>
      <c r="X83" s="97">
        <f t="shared" si="9"/>
        <v>-1.9422550677916E-3</v>
      </c>
      <c r="Y83" s="97">
        <f t="shared" si="9"/>
        <v>0.93947634368616728</v>
      </c>
      <c r="Z83" s="97">
        <f t="shared" si="9"/>
        <v>0.45069538217034855</v>
      </c>
      <c r="AA83" s="97">
        <f t="shared" si="9"/>
        <v>0.40183168866011848</v>
      </c>
    </row>
    <row r="84" spans="2:31" ht="12.75" customHeight="1" x14ac:dyDescent="0.25">
      <c r="B84" s="21" t="s">
        <v>4</v>
      </c>
      <c r="C84" s="95">
        <f>Annual_sorted!F244</f>
        <v>1047.4530990601338</v>
      </c>
      <c r="D84" s="29">
        <f>IF(C84-Table_14634578132445[Burundi]&gt;0, C84-Table_14634578132445[Burundi], 0)</f>
        <v>988.76370896598155</v>
      </c>
      <c r="E84" s="29">
        <f>IF(C84-Table_14634578132445[DRC]&gt;0, C84-Table_14634578132445[DRC], 0)</f>
        <v>1032.7484073765941</v>
      </c>
      <c r="F84" s="29">
        <f>IF(C84-Table_14634578132445[Egypt]&gt;0, C84-Table_14634578132445[Egypt], 0)</f>
        <v>1049.6091354382945</v>
      </c>
      <c r="G84" s="29">
        <f>IF(C84-Table_14634578132445[Eritrea]&gt;0, C84-Table_14634578132445[Eritrea], 0)</f>
        <v>1013.946328652838</v>
      </c>
      <c r="H84" s="29">
        <f>IF(C84-Table_14634578132445[Ethiopia]&gt;0, C84-Table_14634578132445[Ethiopia], 0)</f>
        <v>0</v>
      </c>
      <c r="I84" s="29">
        <f>IF(C84-Table_14634578132445[Kenya]&gt;0, C84-Table_14634578132445[Kenya], 0)</f>
        <v>780.62476617127902</v>
      </c>
      <c r="J84" s="29">
        <f>IF(C84-Table_14634578132445[Rwanda]&gt;0, C84-Table_14634578132445[Rwanda], 0)</f>
        <v>947.09510911054144</v>
      </c>
      <c r="K84" s="29">
        <f>IF(C84-Table_14634578132445[Sudan]&gt;0, C84-Table_14634578132445[Sudan], 0)</f>
        <v>0</v>
      </c>
      <c r="L84" s="29">
        <f>IF(C84-Table_14634578132445[S. Sudan]&gt;0, C84-Table_14634578132445[S. Sudan], 0)</f>
        <v>1613.0972545823088</v>
      </c>
      <c r="M84" s="29">
        <f>IF(C84-Table_14634578132445[Tanzania]&gt;0, C84-Table_14634578132445[Tanzania], 0)</f>
        <v>775.5832856031052</v>
      </c>
      <c r="N84" s="29">
        <f>IF(C84-Table_14634578132445[Uganda]&gt;0, C84-Table_14634578132445[Uganda], 0)</f>
        <v>691.85656727139769</v>
      </c>
      <c r="P84" s="21" t="s">
        <v>5</v>
      </c>
      <c r="Q84" s="97">
        <f t="shared" si="10"/>
        <v>0.11952957269417248</v>
      </c>
      <c r="R84" s="97">
        <f t="shared" si="9"/>
        <v>0.14519945281250191</v>
      </c>
      <c r="S84" s="97">
        <f t="shared" si="9"/>
        <v>0.15503953092355655</v>
      </c>
      <c r="T84" s="97">
        <f t="shared" si="9"/>
        <v>0.13422638435336345</v>
      </c>
      <c r="U84" s="97">
        <f t="shared" si="9"/>
        <v>-1.9422550677916E-3</v>
      </c>
      <c r="V84" s="97">
        <f t="shared" si="9"/>
        <v>-1.9422550677916E-3</v>
      </c>
      <c r="W84" s="97">
        <f t="shared" si="9"/>
        <v>9.5211389288606257E-2</v>
      </c>
      <c r="X84" s="97">
        <f t="shared" si="9"/>
        <v>-1.9422550677916E-3</v>
      </c>
      <c r="Y84" s="97">
        <f t="shared" si="9"/>
        <v>0.48389645138023568</v>
      </c>
      <c r="Z84" s="97">
        <f t="shared" si="9"/>
        <v>-1.9422550677916E-3</v>
      </c>
      <c r="AA84" s="97">
        <f t="shared" si="9"/>
        <v>-1.9422550677916E-3</v>
      </c>
    </row>
    <row r="85" spans="2:31" ht="12.75" customHeight="1" x14ac:dyDescent="0.25">
      <c r="B85" s="21" t="s">
        <v>5</v>
      </c>
      <c r="C85" s="95">
        <f>Annual_sorted!F245</f>
        <v>266.82833288885479</v>
      </c>
      <c r="D85" s="29">
        <f>IF(C85-Table_14634578132445[Burundi]&gt;0, C85-Table_14634578132445[Burundi], 0)</f>
        <v>208.13894279470259</v>
      </c>
      <c r="E85" s="29">
        <f>IF(C85-Table_14634578132445[DRC]&gt;0, C85-Table_14634578132445[DRC], 0)</f>
        <v>252.12364120531495</v>
      </c>
      <c r="F85" s="29">
        <f>IF(C85-Table_14634578132445[Egypt]&gt;0, C85-Table_14634578132445[Egypt], 0)</f>
        <v>268.98436926701555</v>
      </c>
      <c r="G85" s="29">
        <f>IF(C85-Table_14634578132445[Eritrea]&gt;0, C85-Table_14634578132445[Eritrea], 0)</f>
        <v>233.321562481559</v>
      </c>
      <c r="H85" s="29">
        <f>IF(C85-Table_14634578132445[Ethiopia]&gt;0, C85-Table_14634578132445[Ethiopia], 0)</f>
        <v>0</v>
      </c>
      <c r="I85" s="29">
        <f>IF(C85-Table_14634578132445[Kenya]&gt;0, C85-Table_14634578132445[Kenya], 0)</f>
        <v>0</v>
      </c>
      <c r="J85" s="29">
        <f>IF(C85-Table_14634578132445[Rwanda]&gt;0, C85-Table_14634578132445[Rwanda], 0)</f>
        <v>166.47034293926237</v>
      </c>
      <c r="K85" s="29">
        <f>IF(C85-Table_14634578132445[Sudan]&gt;0, C85-Table_14634578132445[Sudan], 0)</f>
        <v>0</v>
      </c>
      <c r="L85" s="29">
        <f>IF(C85-Table_14634578132445[S. Sudan]&gt;0, C85-Table_14634578132445[S. Sudan], 0)</f>
        <v>832.47248841102976</v>
      </c>
      <c r="M85" s="29">
        <f>IF(C85-Table_14634578132445[Tanzania]&gt;0, C85-Table_14634578132445[Tanzania], 0)</f>
        <v>0</v>
      </c>
      <c r="N85" s="29">
        <f>IF(C85-Table_14634578132445[Uganda]&gt;0, C85-Table_14634578132445[Uganda], 0)</f>
        <v>0</v>
      </c>
      <c r="P85" s="21" t="s">
        <v>6</v>
      </c>
      <c r="Q85" s="97">
        <f t="shared" si="10"/>
        <v>2.2375928337774634E-2</v>
      </c>
      <c r="R85" s="97">
        <f t="shared" si="9"/>
        <v>4.804580845610406E-2</v>
      </c>
      <c r="S85" s="97">
        <f t="shared" si="9"/>
        <v>5.7885886567158699E-2</v>
      </c>
      <c r="T85" s="97">
        <f t="shared" si="9"/>
        <v>3.7072739996965615E-2</v>
      </c>
      <c r="U85" s="97">
        <f t="shared" si="9"/>
        <v>-1.9422550677916E-3</v>
      </c>
      <c r="V85" s="97">
        <f t="shared" si="9"/>
        <v>-1.9422550677916E-3</v>
      </c>
      <c r="W85" s="97">
        <f t="shared" si="9"/>
        <v>-1.9422550677916E-3</v>
      </c>
      <c r="X85" s="97">
        <f t="shared" si="9"/>
        <v>-1.9422550677916E-3</v>
      </c>
      <c r="Y85" s="97">
        <f t="shared" si="9"/>
        <v>0.38674280702383779</v>
      </c>
      <c r="Z85" s="97">
        <f t="shared" si="9"/>
        <v>-1.9422550677916E-3</v>
      </c>
      <c r="AA85" s="97">
        <f t="shared" si="9"/>
        <v>-1.9422550677916E-3</v>
      </c>
    </row>
    <row r="86" spans="2:31" ht="12.75" customHeight="1" x14ac:dyDescent="0.25">
      <c r="B86" s="21" t="s">
        <v>6</v>
      </c>
      <c r="C86" s="95">
        <f>Annual_sorted!F246</f>
        <v>100.35798994959242</v>
      </c>
      <c r="D86" s="29">
        <f>IF(C86-Table_14634578132445[Burundi]&gt;0, C86-Table_14634578132445[Burundi], 0)</f>
        <v>41.66859985544022</v>
      </c>
      <c r="E86" s="29">
        <f>IF(C86-Table_14634578132445[DRC]&gt;0, C86-Table_14634578132445[DRC], 0)</f>
        <v>85.653298266052602</v>
      </c>
      <c r="F86" s="29">
        <f>IF(C86-Table_14634578132445[Egypt]&gt;0, C86-Table_14634578132445[Egypt], 0)</f>
        <v>102.51402632775316</v>
      </c>
      <c r="G86" s="29">
        <f>IF(C86-Table_14634578132445[Eritrea]&gt;0, C86-Table_14634578132445[Eritrea], 0)</f>
        <v>66.851219542296647</v>
      </c>
      <c r="H86" s="29">
        <f>IF(C86-Table_14634578132445[Ethiopia]&gt;0, C86-Table_14634578132445[Ethiopia], 0)</f>
        <v>0</v>
      </c>
      <c r="I86" s="29">
        <f>IF(C86-Table_14634578132445[Kenya]&gt;0, C86-Table_14634578132445[Kenya], 0)</f>
        <v>0</v>
      </c>
      <c r="J86" s="29">
        <f>IF(C86-Table_14634578132445[Rwanda]&gt;0, C86-Table_14634578132445[Rwanda], 0)</f>
        <v>0</v>
      </c>
      <c r="K86" s="29">
        <f>IF(C86-Table_14634578132445[Sudan]&gt;0, C86-Table_14634578132445[Sudan], 0)</f>
        <v>0</v>
      </c>
      <c r="L86" s="29">
        <f>IF(C86-Table_14634578132445[S. Sudan]&gt;0, C86-Table_14634578132445[S. Sudan], 0)</f>
        <v>666.00214547176734</v>
      </c>
      <c r="M86" s="29">
        <f>IF(C86-Table_14634578132445[Tanzania]&gt;0, C86-Table_14634578132445[Tanzania], 0)</f>
        <v>0</v>
      </c>
      <c r="N86" s="29">
        <f>IF(C86-Table_14634578132445[Uganda]&gt;0, C86-Table_14634578132445[Uganda], 0)</f>
        <v>0</v>
      </c>
      <c r="P86" s="21" t="s">
        <v>7</v>
      </c>
      <c r="Q86" s="97">
        <f t="shared" si="10"/>
        <v>0.63563312131393679</v>
      </c>
      <c r="R86" s="97">
        <f t="shared" si="9"/>
        <v>0.66130300143226639</v>
      </c>
      <c r="S86" s="97">
        <f t="shared" si="9"/>
        <v>0.67114307954332098</v>
      </c>
      <c r="T86" s="97">
        <f t="shared" si="9"/>
        <v>0.6503299329731278</v>
      </c>
      <c r="U86" s="97">
        <f t="shared" si="9"/>
        <v>5.8581401246041082E-2</v>
      </c>
      <c r="V86" s="97">
        <f t="shared" si="9"/>
        <v>0.51416129355197282</v>
      </c>
      <c r="W86" s="97">
        <f t="shared" si="9"/>
        <v>0.61131493790837077</v>
      </c>
      <c r="X86" s="97">
        <f t="shared" si="9"/>
        <v>-1.9422550677916E-3</v>
      </c>
      <c r="Y86" s="97">
        <f t="shared" si="9"/>
        <v>1</v>
      </c>
      <c r="Z86" s="97">
        <f t="shared" si="9"/>
        <v>0.51121903848418115</v>
      </c>
      <c r="AA86" s="97">
        <f t="shared" si="9"/>
        <v>0.46235534497395114</v>
      </c>
    </row>
    <row r="87" spans="2:31" ht="12.75" customHeight="1" x14ac:dyDescent="0.25">
      <c r="B87" s="21" t="s">
        <v>7</v>
      </c>
      <c r="C87" s="95">
        <f>Annual_sorted!F247</f>
        <v>1151.1588724178605</v>
      </c>
      <c r="D87" s="29">
        <f>IF(C87-Table_14634578132445[Burundi]&gt;0, C87-Table_14634578132445[Burundi], 0)</f>
        <v>1092.4694823237082</v>
      </c>
      <c r="E87" s="29">
        <f>IF(C87-Table_14634578132445[DRC]&gt;0, C87-Table_14634578132445[DRC], 0)</f>
        <v>1136.4541807343207</v>
      </c>
      <c r="F87" s="29">
        <f>IF(C87-Table_14634578132445[Egypt]&gt;0, C87-Table_14634578132445[Egypt], 0)</f>
        <v>1153.3149087960212</v>
      </c>
      <c r="G87" s="29">
        <f>IF(C87-Table_14634578132445[Eritrea]&gt;0, C87-Table_14634578132445[Eritrea], 0)</f>
        <v>1117.6521020105647</v>
      </c>
      <c r="H87" s="29">
        <f>IF(C87-Table_14634578132445[Ethiopia]&gt;0, C87-Table_14634578132445[Ethiopia], 0)</f>
        <v>103.70577335772668</v>
      </c>
      <c r="I87" s="29">
        <f>IF(C87-Table_14634578132445[Kenya]&gt;0, C87-Table_14634578132445[Kenya], 0)</f>
        <v>884.3305395290057</v>
      </c>
      <c r="J87" s="29">
        <f>IF(C87-Table_14634578132445[Rwanda]&gt;0, C87-Table_14634578132445[Rwanda], 0)</f>
        <v>1050.8008824682681</v>
      </c>
      <c r="K87" s="29">
        <f>IF(C87-Table_14634578132445[Sudan]&gt;0, C87-Table_14634578132445[Sudan], 0)</f>
        <v>0</v>
      </c>
      <c r="L87" s="29">
        <f>IF(C87-Table_14634578132445[S. Sudan]&gt;0, C87-Table_14634578132445[S. Sudan], 0)</f>
        <v>1716.8030279400355</v>
      </c>
      <c r="M87" s="29">
        <f>IF(C87-Table_14634578132445[Tanzania]&gt;0, C87-Table_14634578132445[Tanzania], 0)</f>
        <v>879.28905896083188</v>
      </c>
      <c r="N87" s="29">
        <f>IF(C87-Table_14634578132445[Uganda]&gt;0, C87-Table_14634578132445[Uganda], 0)</f>
        <v>795.56234062912438</v>
      </c>
      <c r="P87" s="21" t="s">
        <v>8</v>
      </c>
      <c r="Q87" s="97">
        <f t="shared" si="10"/>
        <v>-1.9422550677916E-3</v>
      </c>
      <c r="R87" s="97">
        <f t="shared" si="9"/>
        <v>-1.9422550677916E-3</v>
      </c>
      <c r="S87" s="97">
        <f t="shared" si="9"/>
        <v>-1.9422550677916E-3</v>
      </c>
      <c r="T87" s="97">
        <f t="shared" si="9"/>
        <v>-1.9422550677916E-3</v>
      </c>
      <c r="U87" s="97">
        <f t="shared" si="9"/>
        <v>-1.9422550677916E-3</v>
      </c>
      <c r="V87" s="97">
        <f t="shared" si="9"/>
        <v>-1.9422550677916E-3</v>
      </c>
      <c r="W87" s="97">
        <f t="shared" si="9"/>
        <v>-1.9422550677916E-3</v>
      </c>
      <c r="X87" s="97">
        <f t="shared" si="9"/>
        <v>-1.9422550677916E-3</v>
      </c>
      <c r="Y87" s="97">
        <f t="shared" si="9"/>
        <v>-1.9422550677916E-3</v>
      </c>
      <c r="Z87" s="97">
        <f t="shared" si="9"/>
        <v>-1.9422550677916E-3</v>
      </c>
      <c r="AA87" s="97">
        <f t="shared" si="9"/>
        <v>-1.9422550677916E-3</v>
      </c>
    </row>
    <row r="88" spans="2:31" ht="12.75" customHeight="1" x14ac:dyDescent="0.25">
      <c r="B88" s="21" t="s">
        <v>8</v>
      </c>
      <c r="C88" s="95">
        <f>Annual_sorted!F248</f>
        <v>-565.64415552217497</v>
      </c>
      <c r="D88" s="29">
        <f>IF(C88-Table_14634578132445[Burundi]&gt;0, C88-Table_14634578132445[Burundi], 0)</f>
        <v>0</v>
      </c>
      <c r="E88" s="29">
        <f>IF(C88-Table_14634578132445[DRC]&gt;0, C88-Table_14634578132445[DRC], 0)</f>
        <v>0</v>
      </c>
      <c r="F88" s="29">
        <f>IF(C88-Table_14634578132445[Egypt]&gt;0, C88-Table_14634578132445[Egypt], 0)</f>
        <v>0</v>
      </c>
      <c r="G88" s="29">
        <f>IF(C88-Table_14634578132445[Eritrea]&gt;0, C88-Table_14634578132445[Eritrea], 0)</f>
        <v>0</v>
      </c>
      <c r="H88" s="29">
        <f>IF(C88-Table_14634578132445[Ethiopia]&gt;0, C88-Table_14634578132445[Ethiopia], 0)</f>
        <v>0</v>
      </c>
      <c r="I88" s="29">
        <f>IF(C88-Table_14634578132445[Kenya]&gt;0, C88-Table_14634578132445[Kenya], 0)</f>
        <v>0</v>
      </c>
      <c r="J88" s="29">
        <f>IF(C88-Table_14634578132445[Rwanda]&gt;0, C88-Table_14634578132445[Rwanda], 0)</f>
        <v>0</v>
      </c>
      <c r="K88" s="29">
        <f>IF(C88-Table_14634578132445[Sudan]&gt;0, C88-Table_14634578132445[Sudan], 0)</f>
        <v>0</v>
      </c>
      <c r="L88" s="29">
        <f>IF(C88-Table_14634578132445[S. Sudan]&gt;0, C88-Table_14634578132445[S. Sudan], 0)</f>
        <v>0</v>
      </c>
      <c r="M88" s="29">
        <f>IF(C88-Table_14634578132445[Tanzania]&gt;0, C88-Table_14634578132445[Tanzania], 0)</f>
        <v>0</v>
      </c>
      <c r="N88" s="29">
        <f>IF(C88-Table_14634578132445[Uganda]&gt;0, C88-Table_14634578132445[Uganda], 0)</f>
        <v>0</v>
      </c>
      <c r="P88" s="21" t="s">
        <v>9</v>
      </c>
      <c r="Q88" s="97">
        <f t="shared" si="10"/>
        <v>0.12247182776196408</v>
      </c>
      <c r="R88" s="97">
        <f t="shared" si="9"/>
        <v>0.14814170788029352</v>
      </c>
      <c r="S88" s="97">
        <f t="shared" si="9"/>
        <v>0.15798178599134816</v>
      </c>
      <c r="T88" s="97">
        <f t="shared" si="9"/>
        <v>0.13716863942115506</v>
      </c>
      <c r="U88" s="97">
        <f t="shared" si="9"/>
        <v>-1.9422550677916E-3</v>
      </c>
      <c r="V88" s="97">
        <f t="shared" si="9"/>
        <v>1E-3</v>
      </c>
      <c r="W88" s="97">
        <f t="shared" si="9"/>
        <v>9.8153644356397854E-2</v>
      </c>
      <c r="X88" s="97">
        <f t="shared" si="9"/>
        <v>-1.9422550677916E-3</v>
      </c>
      <c r="Y88" s="97">
        <f t="shared" si="9"/>
        <v>0.48683870644802729</v>
      </c>
      <c r="Z88" s="97">
        <f t="shared" si="9"/>
        <v>-1.9422550677916E-3</v>
      </c>
      <c r="AA88" s="97">
        <f t="shared" si="9"/>
        <v>-1.9422550677916E-3</v>
      </c>
      <c r="AB88" s="186">
        <f>SUM(Q79:AA89)</f>
        <v>16.677976286082963</v>
      </c>
    </row>
    <row r="89" spans="2:31" ht="12.75" customHeight="1" thickBot="1" x14ac:dyDescent="0.3">
      <c r="B89" s="21" t="s">
        <v>9</v>
      </c>
      <c r="C89" s="95">
        <f>Annual_sorted!F249</f>
        <v>271.86981345702861</v>
      </c>
      <c r="D89" s="29">
        <f>IF(C89-Table_14634578132445[Burundi]&gt;0, C89-Table_14634578132445[Burundi], 0)</f>
        <v>213.18042336287641</v>
      </c>
      <c r="E89" s="29">
        <f>IF(C89-Table_14634578132445[DRC]&gt;0, C89-Table_14634578132445[DRC], 0)</f>
        <v>257.16512177348881</v>
      </c>
      <c r="F89" s="29">
        <f>IF(C89-Table_14634578132445[Egypt]&gt;0, C89-Table_14634578132445[Egypt], 0)</f>
        <v>274.02584983518938</v>
      </c>
      <c r="G89" s="29">
        <f>IF(C89-Table_14634578132445[Eritrea]&gt;0, C89-Table_14634578132445[Eritrea], 0)</f>
        <v>238.36304304973282</v>
      </c>
      <c r="H89" s="29">
        <f>IF(C89-Table_14634578132445[Ethiopia]&gt;0, C89-Table_14634578132445[Ethiopia], 0)</f>
        <v>0</v>
      </c>
      <c r="I89" s="29">
        <f>IF(C89-Table_14634578132445[Kenya]&gt;0, C89-Table_14634578132445[Kenya], 0)</f>
        <v>5.0414805681738244</v>
      </c>
      <c r="J89" s="29">
        <f>IF(C89-Table_14634578132445[Rwanda]&gt;0, C89-Table_14634578132445[Rwanda], 0)</f>
        <v>171.51182350743619</v>
      </c>
      <c r="K89" s="29">
        <f>IF(C89-Table_14634578132445[Sudan]&gt;0, C89-Table_14634578132445[Sudan], 0)</f>
        <v>0</v>
      </c>
      <c r="L89" s="29">
        <f>IF(C89-Table_14634578132445[S. Sudan]&gt;0, C89-Table_14634578132445[S. Sudan], 0)</f>
        <v>837.51396897920358</v>
      </c>
      <c r="M89" s="29">
        <f>IF(C89-Table_14634578132445[Tanzania]&gt;0, C89-Table_14634578132445[Tanzania], 0)</f>
        <v>0</v>
      </c>
      <c r="N89" s="29">
        <f>IF(C89-Table_14634578132445[Uganda]&gt;0, C89-Table_14634578132445[Uganda], 0)</f>
        <v>0</v>
      </c>
      <c r="P89" s="22" t="s">
        <v>10</v>
      </c>
      <c r="Q89" s="98">
        <f t="shared" si="10"/>
        <v>0.17133552127219415</v>
      </c>
      <c r="R89" s="98">
        <f t="shared" si="9"/>
        <v>0.19700540139052358</v>
      </c>
      <c r="S89" s="98">
        <f t="shared" si="9"/>
        <v>0.20684547950157822</v>
      </c>
      <c r="T89" s="98">
        <f t="shared" si="9"/>
        <v>0.18603233293138513</v>
      </c>
      <c r="U89" s="98">
        <f t="shared" si="9"/>
        <v>-1.9422550677916E-3</v>
      </c>
      <c r="V89" s="98">
        <f t="shared" si="9"/>
        <v>4.986369351023006E-2</v>
      </c>
      <c r="W89" s="98">
        <f t="shared" si="9"/>
        <v>0.14701733786662791</v>
      </c>
      <c r="X89" s="98">
        <f t="shared" si="9"/>
        <v>-1.9422550677916E-3</v>
      </c>
      <c r="Y89" s="98">
        <f t="shared" si="9"/>
        <v>0.5357023999582573</v>
      </c>
      <c r="Z89" s="98">
        <f t="shared" si="9"/>
        <v>4.6921438442438457E-2</v>
      </c>
      <c r="AA89" s="98">
        <f t="shared" si="9"/>
        <v>-1.9422550677916E-3</v>
      </c>
    </row>
    <row r="90" spans="2:31" ht="12.75" customHeight="1" thickBot="1" x14ac:dyDescent="0.3">
      <c r="B90" s="22" t="s">
        <v>10</v>
      </c>
      <c r="C90" s="96">
        <f>Annual_sorted!F250</f>
        <v>355.59653178873612</v>
      </c>
      <c r="D90" s="32">
        <f>IF(C90-Table_14634578132445[Burundi]&gt;0, C90-Table_14634578132445[Burundi], 0)</f>
        <v>296.90714169458391</v>
      </c>
      <c r="E90" s="32">
        <f>IF(C90-Table_14634578132445[DRC]&gt;0, C90-Table_14634578132445[DRC], 0)</f>
        <v>340.89184010519631</v>
      </c>
      <c r="F90" s="32">
        <f>IF(C90-Table_14634578132445[Egypt]&gt;0, C90-Table_14634578132445[Egypt], 0)</f>
        <v>357.75256816689688</v>
      </c>
      <c r="G90" s="32">
        <f>IF(C90-Table_14634578132445[Eritrea]&gt;0, C90-Table_14634578132445[Eritrea], 0)</f>
        <v>322.08976138144033</v>
      </c>
      <c r="H90" s="32">
        <f>IF(C90-Table_14634578132445[Ethiopia]&gt;0, C90-Table_14634578132445[Ethiopia], 0)</f>
        <v>0</v>
      </c>
      <c r="I90" s="32">
        <f>IF(C90-Table_14634578132445[Kenya]&gt;0, C90-Table_14634578132445[Kenya], 0)</f>
        <v>88.768198899881327</v>
      </c>
      <c r="J90" s="32">
        <f>IF(C90-Table_14634578132445[Rwanda]&gt;0, C90-Table_14634578132445[Rwanda], 0)</f>
        <v>255.23854183914369</v>
      </c>
      <c r="K90" s="32">
        <f>IF(C90-Table_14634578132445[Sudan]&gt;0, C90-Table_14634578132445[Sudan], 0)</f>
        <v>0</v>
      </c>
      <c r="L90" s="32">
        <f>IF(C90-Table_14634578132445[S. Sudan]&gt;0, C90-Table_14634578132445[S. Sudan], 0)</f>
        <v>921.24068731091108</v>
      </c>
      <c r="M90" s="32">
        <f>IF(C90-Table_14634578132445[Tanzania]&gt;0, C90-Table_14634578132445[Tanzania], 0)</f>
        <v>83.726718331707502</v>
      </c>
      <c r="N90" s="32">
        <f>IF(C90-Table_14634578132445[Uganda]&gt;0, C90-Table_14634578132445[Uganda], 0)</f>
        <v>0</v>
      </c>
    </row>
    <row r="91" spans="2:31" ht="12.75" customHeight="1" x14ac:dyDescent="0.25"/>
    <row r="92" spans="2:31" ht="12.75" customHeight="1" x14ac:dyDescent="0.25"/>
    <row r="93" spans="2:31" ht="12.75" customHeight="1" x14ac:dyDescent="0.25">
      <c r="B93" s="5"/>
      <c r="C93" s="5"/>
      <c r="D93" s="5"/>
      <c r="E93" s="5"/>
      <c r="F93" s="5"/>
      <c r="G93" s="5"/>
      <c r="H93" s="5"/>
      <c r="I93" s="5"/>
      <c r="J93" s="5"/>
      <c r="K93" s="5"/>
      <c r="L93" s="5"/>
      <c r="M93" s="5"/>
      <c r="N93" s="5"/>
      <c r="O93" s="5"/>
      <c r="P93" s="5"/>
      <c r="Q93" s="5"/>
      <c r="R93" s="5"/>
      <c r="S93" s="5"/>
      <c r="T93" s="5"/>
      <c r="U93" s="5"/>
      <c r="V93" s="5"/>
      <c r="W93" s="5"/>
      <c r="X93" s="5"/>
      <c r="Y93" s="5"/>
      <c r="Z93" s="5"/>
      <c r="AA93" s="5"/>
    </row>
    <row r="94" spans="2:31" ht="12.75" customHeight="1" x14ac:dyDescent="0.25">
      <c r="B94" s="5"/>
      <c r="C94" s="5"/>
      <c r="D94" s="5"/>
      <c r="E94" s="5"/>
      <c r="F94" s="5"/>
      <c r="G94" s="5"/>
      <c r="H94" s="5"/>
      <c r="I94" s="5"/>
      <c r="J94" s="5"/>
      <c r="K94" s="5"/>
      <c r="L94" s="5"/>
      <c r="M94" s="5"/>
      <c r="N94" s="5"/>
      <c r="O94" s="5"/>
      <c r="P94" s="5"/>
      <c r="Q94" s="5"/>
      <c r="R94" s="5"/>
      <c r="S94" s="5"/>
      <c r="T94" s="5"/>
      <c r="U94" s="5"/>
      <c r="V94" s="5"/>
      <c r="W94" s="5"/>
      <c r="X94" s="5"/>
      <c r="Y94" s="5"/>
      <c r="Z94" s="5"/>
      <c r="AA94" s="5"/>
    </row>
    <row r="95" spans="2:31" ht="12.75" customHeight="1" thickBot="1" x14ac:dyDescent="0.3">
      <c r="B95" s="253" t="s">
        <v>85</v>
      </c>
      <c r="C95" s="253"/>
      <c r="D95" s="253"/>
      <c r="E95" s="253"/>
      <c r="F95" s="253"/>
      <c r="G95" s="253"/>
      <c r="H95" s="253"/>
      <c r="I95" s="253"/>
      <c r="J95" s="253"/>
      <c r="K95" s="253"/>
      <c r="L95" s="253"/>
      <c r="M95" s="253"/>
      <c r="N95" s="253"/>
      <c r="O95" s="5"/>
      <c r="P95" s="253" t="s">
        <v>87</v>
      </c>
      <c r="Q95" s="253"/>
      <c r="R95" s="253"/>
      <c r="S95" s="253"/>
      <c r="T95" s="253"/>
      <c r="U95" s="253"/>
      <c r="V95" s="253"/>
      <c r="W95" s="253"/>
      <c r="X95" s="253"/>
      <c r="Y95" s="253"/>
      <c r="Z95" s="253"/>
      <c r="AA95" s="253"/>
      <c r="AB95" s="10"/>
      <c r="AC95" s="3" t="s">
        <v>22</v>
      </c>
      <c r="AD95" s="13" t="s">
        <v>23</v>
      </c>
      <c r="AE95" s="74">
        <f t="array" ref="AE95">MIN(IF(D98:N108&gt;0,D98:N108))</f>
        <v>2.6832691244226048</v>
      </c>
    </row>
    <row r="96" spans="2:31" ht="12.75" customHeight="1" thickBot="1" x14ac:dyDescent="0.3">
      <c r="B96" s="75" t="s">
        <v>13</v>
      </c>
      <c r="C96" s="66" t="s">
        <v>14</v>
      </c>
      <c r="D96" s="67" t="s">
        <v>1</v>
      </c>
      <c r="E96" s="67" t="s">
        <v>195</v>
      </c>
      <c r="F96" s="67" t="s">
        <v>2</v>
      </c>
      <c r="G96" s="67" t="s">
        <v>3</v>
      </c>
      <c r="H96" s="67" t="s">
        <v>4</v>
      </c>
      <c r="I96" s="67" t="s">
        <v>5</v>
      </c>
      <c r="J96" s="67" t="s">
        <v>6</v>
      </c>
      <c r="K96" s="67" t="s">
        <v>7</v>
      </c>
      <c r="L96" s="67" t="s">
        <v>295</v>
      </c>
      <c r="M96" s="67" t="s">
        <v>9</v>
      </c>
      <c r="N96" s="67" t="s">
        <v>10</v>
      </c>
      <c r="P96" s="76" t="s">
        <v>19</v>
      </c>
      <c r="Q96" s="77" t="s">
        <v>1</v>
      </c>
      <c r="R96" s="77" t="s">
        <v>195</v>
      </c>
      <c r="S96" s="77" t="s">
        <v>2</v>
      </c>
      <c r="T96" s="77" t="s">
        <v>3</v>
      </c>
      <c r="U96" s="77" t="s">
        <v>4</v>
      </c>
      <c r="V96" s="77" t="s">
        <v>5</v>
      </c>
      <c r="W96" s="77" t="s">
        <v>6</v>
      </c>
      <c r="X96" s="77" t="s">
        <v>7</v>
      </c>
      <c r="Y96" s="77" t="s">
        <v>295</v>
      </c>
      <c r="Z96" s="77" t="s">
        <v>9</v>
      </c>
      <c r="AA96" s="77" t="s">
        <v>10</v>
      </c>
      <c r="AB96" s="254" t="s">
        <v>26</v>
      </c>
      <c r="AC96" s="254"/>
      <c r="AD96" s="13" t="s">
        <v>24</v>
      </c>
      <c r="AE96" s="20">
        <f>MAX(D98:N108)</f>
        <v>953.64457400029835</v>
      </c>
    </row>
    <row r="97" spans="2:31" ht="12.75" customHeight="1" x14ac:dyDescent="0.25">
      <c r="B97" s="93"/>
      <c r="C97" s="94" t="s">
        <v>262</v>
      </c>
      <c r="D97" s="95">
        <f>C98</f>
        <v>-15.946300220878371</v>
      </c>
      <c r="E97" s="95">
        <f>C99</f>
        <v>-21.722108141350787</v>
      </c>
      <c r="F97" s="95">
        <f>C100</f>
        <v>324.81136907774965</v>
      </c>
      <c r="G97" s="95">
        <f>C101</f>
        <v>-10.534884642467386</v>
      </c>
      <c r="H97" s="95">
        <f>C102</f>
        <v>-431.7217777621608</v>
      </c>
      <c r="I97" s="95">
        <f>C103</f>
        <v>-75.375443969176033</v>
      </c>
      <c r="J97" s="95">
        <f>C104</f>
        <v>-24.405377265773392</v>
      </c>
      <c r="K97" s="95">
        <f>C105</f>
        <v>-38.508021371941709</v>
      </c>
      <c r="L97" s="95">
        <f>C106</f>
        <v>-628.8332049225487</v>
      </c>
      <c r="M97" s="95">
        <f>C107</f>
        <v>-154.60987650659436</v>
      </c>
      <c r="N97" s="95">
        <f>C108</f>
        <v>-303.43506617116651</v>
      </c>
      <c r="P97" s="21" t="s">
        <v>1</v>
      </c>
      <c r="Q97" s="97">
        <f>$AE$97+(D98-$AE$95)*($AE$98-$AE$97)/($AE$96-$AE$95)</f>
        <v>-1.8188169608521201E-3</v>
      </c>
      <c r="R97" s="97">
        <f t="shared" ref="R97:AA107" si="11">$AE$97+(E98-$AE$95)*($AE$98-$AE$97)/($AE$96-$AE$95)</f>
        <v>4.2487612707406766E-3</v>
      </c>
      <c r="S97" s="97">
        <f t="shared" si="11"/>
        <v>-1.8188169608521201E-3</v>
      </c>
      <c r="T97" s="97">
        <f t="shared" si="11"/>
        <v>-1.8188169608521201E-3</v>
      </c>
      <c r="U97" s="97">
        <f t="shared" si="11"/>
        <v>0.43495994568076346</v>
      </c>
      <c r="V97" s="97">
        <f t="shared" si="11"/>
        <v>6.0612445278886005E-2</v>
      </c>
      <c r="W97" s="97">
        <f t="shared" si="11"/>
        <v>7.0675782315927967E-3</v>
      </c>
      <c r="X97" s="97">
        <f t="shared" si="11"/>
        <v>2.188263052638733E-2</v>
      </c>
      <c r="Y97" s="97">
        <f t="shared" si="11"/>
        <v>0.64202863998366122</v>
      </c>
      <c r="Z97" s="97">
        <f t="shared" si="11"/>
        <v>0.14384947889847438</v>
      </c>
      <c r="AA97" s="97">
        <f t="shared" si="11"/>
        <v>0.30019271149121757</v>
      </c>
      <c r="AD97" s="3" t="s">
        <v>25</v>
      </c>
      <c r="AE97" s="2">
        <v>1E-3</v>
      </c>
    </row>
    <row r="98" spans="2:31" ht="12.75" customHeight="1" x14ac:dyDescent="0.25">
      <c r="B98" s="21" t="s">
        <v>1</v>
      </c>
      <c r="C98" s="95">
        <f>Annual_sorted!G240</f>
        <v>-15.946300220878371</v>
      </c>
      <c r="D98" s="29">
        <f>IF(C98-Table_1463457811162344[Burundi]&gt;0, C98-Table_1463457811162344[Burundi], 0)</f>
        <v>0</v>
      </c>
      <c r="E98" s="29">
        <f>IF(C98-Table_1463457811162344[DRC]&gt;0, C98-Table_1463457811162344[DRC], 0)</f>
        <v>5.7758079204724169</v>
      </c>
      <c r="F98" s="29">
        <f>IF(C98-Table_1463457811162344[Egypt]&gt;0, C98-Table_1463457811162344[Egypt], 0)</f>
        <v>0</v>
      </c>
      <c r="G98" s="29">
        <f>IF(C98-Table_1463457811162344[Eritrea]&gt;0, C98-Table_1463457811162344[Eritrea], 0)</f>
        <v>0</v>
      </c>
      <c r="H98" s="29">
        <f>IF(C98-Table_1463457811162344[Ethiopia]&gt;0, C98-Table_1463457811162344[Ethiopia], 0)</f>
        <v>415.77547754128244</v>
      </c>
      <c r="I98" s="29">
        <f>IF(C98-Table_1463457811162344[Kenya]&gt;0, C98-Table_1463457811162344[Kenya], 0)</f>
        <v>59.429143748297662</v>
      </c>
      <c r="J98" s="29">
        <f>IF(C98-Table_1463457811162344[Rwanda]&gt;0, C98-Table_1463457811162344[Rwanda], 0)</f>
        <v>8.4590770448950217</v>
      </c>
      <c r="K98" s="29">
        <f>IF(C98-Table_1463457811162344[Sudan]&gt;0, C98-Table_1463457811162344[Sudan], 0)</f>
        <v>22.561721151063338</v>
      </c>
      <c r="L98" s="29">
        <f>IF(C98-Table_1463457811162344[S. Sudan]&gt;0, C98-Table_1463457811162344[S. Sudan], 0)</f>
        <v>612.88690470167035</v>
      </c>
      <c r="M98" s="29">
        <f>IF(C98-Table_1463457811162344[Tanzania]&gt;0, C98-Table_1463457811162344[Tanzania], 0)</f>
        <v>138.66357628571598</v>
      </c>
      <c r="N98" s="29">
        <f>IF(C98-Table_1463457811162344[Uganda]&gt;0, C98-Table_1463457811162344[Uganda], 0)</f>
        <v>287.48876595028815</v>
      </c>
      <c r="P98" s="21" t="s">
        <v>195</v>
      </c>
      <c r="Q98" s="97">
        <f t="shared" ref="Q98:Q107" si="12">$AE$97+(D99-$AE$95)*($AE$98-$AE$97)/($AE$96-$AE$95)</f>
        <v>-1.8188169608521201E-3</v>
      </c>
      <c r="R98" s="97">
        <f t="shared" si="11"/>
        <v>-1.8188169608521201E-3</v>
      </c>
      <c r="S98" s="97">
        <f t="shared" si="11"/>
        <v>-1.8188169608521201E-3</v>
      </c>
      <c r="T98" s="97">
        <f t="shared" si="11"/>
        <v>-1.8188169608521201E-3</v>
      </c>
      <c r="U98" s="97">
        <f t="shared" si="11"/>
        <v>0.42889236744917064</v>
      </c>
      <c r="V98" s="97">
        <f t="shared" si="11"/>
        <v>5.4544867047293222E-2</v>
      </c>
      <c r="W98" s="97">
        <f t="shared" si="11"/>
        <v>1E-3</v>
      </c>
      <c r="X98" s="97">
        <f t="shared" si="11"/>
        <v>1.5815052294794536E-2</v>
      </c>
      <c r="Y98" s="97">
        <f t="shared" si="11"/>
        <v>0.63596106175206846</v>
      </c>
      <c r="Z98" s="97">
        <f t="shared" si="11"/>
        <v>0.13778190066688162</v>
      </c>
      <c r="AA98" s="97">
        <f t="shared" si="11"/>
        <v>0.29412513325962475</v>
      </c>
      <c r="AD98" s="3" t="s">
        <v>70</v>
      </c>
      <c r="AE98" s="2">
        <v>1</v>
      </c>
    </row>
    <row r="99" spans="2:31" ht="12.75" customHeight="1" x14ac:dyDescent="0.25">
      <c r="B99" s="21" t="s">
        <v>195</v>
      </c>
      <c r="C99" s="95">
        <f>Annual_sorted!G241</f>
        <v>-21.722108141350787</v>
      </c>
      <c r="D99" s="29">
        <f>IF(C99-Table_1463457811162344[Burundi]&gt;0, C99-Table_1463457811162344[Burundi], 0)</f>
        <v>0</v>
      </c>
      <c r="E99" s="29">
        <f>IF(C99-Table_1463457811162344[DRC]&gt;0, C99-Table_1463457811162344[DRC], 0)</f>
        <v>0</v>
      </c>
      <c r="F99" s="29">
        <f>IF(C99-Table_1463457811162344[Egypt]&gt;0, C99-Table_1463457811162344[Egypt], 0)</f>
        <v>0</v>
      </c>
      <c r="G99" s="29">
        <f>IF(C99-Table_1463457811162344[Eritrea]&gt;0, C99-Table_1463457811162344[Eritrea], 0)</f>
        <v>0</v>
      </c>
      <c r="H99" s="29">
        <f>IF(C99-Table_1463457811162344[Ethiopia]&gt;0, C99-Table_1463457811162344[Ethiopia], 0)</f>
        <v>409.99966962080998</v>
      </c>
      <c r="I99" s="29">
        <f>IF(C99-Table_1463457811162344[Kenya]&gt;0, C99-Table_1463457811162344[Kenya], 0)</f>
        <v>53.653335827825245</v>
      </c>
      <c r="J99" s="29">
        <f>IF(C99-Table_1463457811162344[Rwanda]&gt;0, C99-Table_1463457811162344[Rwanda], 0)</f>
        <v>2.6832691244226048</v>
      </c>
      <c r="K99" s="29">
        <f>IF(C99-Table_1463457811162344[Sudan]&gt;0, C99-Table_1463457811162344[Sudan], 0)</f>
        <v>16.785913230590921</v>
      </c>
      <c r="L99" s="29">
        <f>IF(C99-Table_1463457811162344[S. Sudan]&gt;0, C99-Table_1463457811162344[S. Sudan], 0)</f>
        <v>607.11109678119794</v>
      </c>
      <c r="M99" s="29">
        <f>IF(C99-Table_1463457811162344[Tanzania]&gt;0, C99-Table_1463457811162344[Tanzania], 0)</f>
        <v>132.88776836524357</v>
      </c>
      <c r="N99" s="29">
        <f>IF(C99-Table_1463457811162344[Uganda]&gt;0, C99-Table_1463457811162344[Uganda], 0)</f>
        <v>281.7129580298157</v>
      </c>
      <c r="P99" s="21" t="s">
        <v>2</v>
      </c>
      <c r="Q99" s="97">
        <f t="shared" si="12"/>
        <v>0.3561525430554866</v>
      </c>
      <c r="R99" s="97">
        <f t="shared" si="11"/>
        <v>0.36222012128707937</v>
      </c>
      <c r="S99" s="97">
        <f t="shared" si="11"/>
        <v>-1.8188169608521201E-3</v>
      </c>
      <c r="T99" s="97">
        <f t="shared" si="11"/>
        <v>0.35046776478415809</v>
      </c>
      <c r="U99" s="97">
        <f t="shared" si="11"/>
        <v>0.79293130569710213</v>
      </c>
      <c r="V99" s="97">
        <f t="shared" si="11"/>
        <v>0.41858380529522476</v>
      </c>
      <c r="W99" s="97">
        <f t="shared" si="11"/>
        <v>0.36503893824793149</v>
      </c>
      <c r="X99" s="97">
        <f t="shared" si="11"/>
        <v>0.37985399054272606</v>
      </c>
      <c r="Y99" s="97">
        <f t="shared" si="11"/>
        <v>0.99999999999999989</v>
      </c>
      <c r="Z99" s="97">
        <f t="shared" si="11"/>
        <v>0.50182083891481311</v>
      </c>
      <c r="AA99" s="97">
        <f t="shared" si="11"/>
        <v>0.6581640715075564</v>
      </c>
    </row>
    <row r="100" spans="2:31" ht="12.75" customHeight="1" x14ac:dyDescent="0.25">
      <c r="B100" s="21" t="s">
        <v>2</v>
      </c>
      <c r="C100" s="95">
        <f>Annual_sorted!G242</f>
        <v>324.81136907774965</v>
      </c>
      <c r="D100" s="29">
        <f>IF(C100-Table_1463457811162344[Burundi]&gt;0, C100-Table_1463457811162344[Burundi], 0)</f>
        <v>340.757669298628</v>
      </c>
      <c r="E100" s="29">
        <f>IF(C100-Table_1463457811162344[DRC]&gt;0, C100-Table_1463457811162344[DRC], 0)</f>
        <v>346.5334772191004</v>
      </c>
      <c r="F100" s="29">
        <f>IF(C100-Table_1463457811162344[Egypt]&gt;0, C100-Table_1463457811162344[Egypt], 0)</f>
        <v>0</v>
      </c>
      <c r="G100" s="29">
        <f>IF(C100-Table_1463457811162344[Eritrea]&gt;0, C100-Table_1463457811162344[Eritrea], 0)</f>
        <v>335.34625372021702</v>
      </c>
      <c r="H100" s="29">
        <f>IF(C100-Table_1463457811162344[Ethiopia]&gt;0, C100-Table_1463457811162344[Ethiopia], 0)</f>
        <v>756.53314683991039</v>
      </c>
      <c r="I100" s="29">
        <f>IF(C100-Table_1463457811162344[Kenya]&gt;0, C100-Table_1463457811162344[Kenya], 0)</f>
        <v>400.18681304692569</v>
      </c>
      <c r="J100" s="29">
        <f>IF(C100-Table_1463457811162344[Rwanda]&gt;0, C100-Table_1463457811162344[Rwanda], 0)</f>
        <v>349.21674634352303</v>
      </c>
      <c r="K100" s="29">
        <f>IF(C100-Table_1463457811162344[Sudan]&gt;0, C100-Table_1463457811162344[Sudan], 0)</f>
        <v>363.31939044969135</v>
      </c>
      <c r="L100" s="29">
        <f>IF(C100-Table_1463457811162344[S. Sudan]&gt;0, C100-Table_1463457811162344[S. Sudan], 0)</f>
        <v>953.64457400029835</v>
      </c>
      <c r="M100" s="29">
        <f>IF(C100-Table_1463457811162344[Tanzania]&gt;0, C100-Table_1463457811162344[Tanzania], 0)</f>
        <v>479.42124558434398</v>
      </c>
      <c r="N100" s="29">
        <f>IF(C100-Table_1463457811162344[Uganda]&gt;0, C100-Table_1463457811162344[Uganda], 0)</f>
        <v>628.24643524891621</v>
      </c>
      <c r="P100" s="21" t="s">
        <v>3</v>
      </c>
      <c r="Q100" s="97">
        <f t="shared" si="12"/>
        <v>3.8659613104763783E-3</v>
      </c>
      <c r="R100" s="97">
        <f t="shared" si="11"/>
        <v>9.9335395420691759E-3</v>
      </c>
      <c r="S100" s="97">
        <f t="shared" si="11"/>
        <v>-1.8188169608521201E-3</v>
      </c>
      <c r="T100" s="97">
        <f t="shared" si="11"/>
        <v>-1.8188169608521201E-3</v>
      </c>
      <c r="U100" s="97">
        <f t="shared" si="11"/>
        <v>0.44064472395209198</v>
      </c>
      <c r="V100" s="97">
        <f t="shared" si="11"/>
        <v>6.6297223550214501E-2</v>
      </c>
      <c r="W100" s="97">
        <f t="shared" si="11"/>
        <v>1.2752356502921294E-2</v>
      </c>
      <c r="X100" s="97">
        <f t="shared" si="11"/>
        <v>2.7567408797715829E-2</v>
      </c>
      <c r="Y100" s="97">
        <f t="shared" si="11"/>
        <v>0.64771341825498963</v>
      </c>
      <c r="Z100" s="97">
        <f t="shared" si="11"/>
        <v>0.14953425716980293</v>
      </c>
      <c r="AA100" s="97">
        <f t="shared" si="11"/>
        <v>0.30587748976254603</v>
      </c>
    </row>
    <row r="101" spans="2:31" ht="12.75" customHeight="1" x14ac:dyDescent="0.25">
      <c r="B101" s="21" t="s">
        <v>3</v>
      </c>
      <c r="C101" s="95">
        <f>Annual_sorted!G243</f>
        <v>-10.534884642467386</v>
      </c>
      <c r="D101" s="29">
        <f>IF(C101-Table_1463457811162344[Burundi]&gt;0, C101-Table_1463457811162344[Burundi], 0)</f>
        <v>5.4114155784109848</v>
      </c>
      <c r="E101" s="29">
        <f>IF(C101-Table_1463457811162344[DRC]&gt;0, C101-Table_1463457811162344[DRC], 0)</f>
        <v>11.187223498883402</v>
      </c>
      <c r="F101" s="29">
        <f>IF(C101-Table_1463457811162344[Egypt]&gt;0, C101-Table_1463457811162344[Egypt], 0)</f>
        <v>0</v>
      </c>
      <c r="G101" s="29">
        <f>IF(C101-Table_1463457811162344[Eritrea]&gt;0, C101-Table_1463457811162344[Eritrea], 0)</f>
        <v>0</v>
      </c>
      <c r="H101" s="29">
        <f>IF(C101-Table_1463457811162344[Ethiopia]&gt;0, C101-Table_1463457811162344[Ethiopia], 0)</f>
        <v>421.18689311969342</v>
      </c>
      <c r="I101" s="29">
        <f>IF(C101-Table_1463457811162344[Kenya]&gt;0, C101-Table_1463457811162344[Kenya], 0)</f>
        <v>64.840559326708643</v>
      </c>
      <c r="J101" s="29">
        <f>IF(C101-Table_1463457811162344[Rwanda]&gt;0, C101-Table_1463457811162344[Rwanda], 0)</f>
        <v>13.870492623306006</v>
      </c>
      <c r="K101" s="29">
        <f>IF(C101-Table_1463457811162344[Sudan]&gt;0, C101-Table_1463457811162344[Sudan], 0)</f>
        <v>27.973136729474323</v>
      </c>
      <c r="L101" s="29">
        <f>IF(C101-Table_1463457811162344[S. Sudan]&gt;0, C101-Table_1463457811162344[S. Sudan], 0)</f>
        <v>618.29832028008127</v>
      </c>
      <c r="M101" s="29">
        <f>IF(C101-Table_1463457811162344[Tanzania]&gt;0, C101-Table_1463457811162344[Tanzania], 0)</f>
        <v>144.07499186412699</v>
      </c>
      <c r="N101" s="29">
        <f>IF(C101-Table_1463457811162344[Uganda]&gt;0, C101-Table_1463457811162344[Uganda], 0)</f>
        <v>292.90018152869914</v>
      </c>
      <c r="P101" s="21" t="s">
        <v>4</v>
      </c>
      <c r="Q101" s="97">
        <f t="shared" si="12"/>
        <v>-1.8188169608521201E-3</v>
      </c>
      <c r="R101" s="97">
        <f t="shared" si="11"/>
        <v>-1.8188169608521201E-3</v>
      </c>
      <c r="S101" s="97">
        <f t="shared" si="11"/>
        <v>-1.8188169608521201E-3</v>
      </c>
      <c r="T101" s="97">
        <f t="shared" si="11"/>
        <v>-1.8188169608521201E-3</v>
      </c>
      <c r="U101" s="97">
        <f t="shared" si="11"/>
        <v>-1.8188169608521201E-3</v>
      </c>
      <c r="V101" s="97">
        <f t="shared" si="11"/>
        <v>-1.8188169608521201E-3</v>
      </c>
      <c r="W101" s="97">
        <f t="shared" si="11"/>
        <v>-1.8188169608521201E-3</v>
      </c>
      <c r="X101" s="97">
        <f t="shared" si="11"/>
        <v>-1.8188169608521201E-3</v>
      </c>
      <c r="Y101" s="97">
        <f t="shared" si="11"/>
        <v>0.20524987734204569</v>
      </c>
      <c r="Z101" s="97">
        <f t="shared" si="11"/>
        <v>-1.8188169608521201E-3</v>
      </c>
      <c r="AA101" s="97">
        <f t="shared" si="11"/>
        <v>-1.8188169608521201E-3</v>
      </c>
    </row>
    <row r="102" spans="2:31" ht="12.75" customHeight="1" x14ac:dyDescent="0.25">
      <c r="B102" s="21" t="s">
        <v>4</v>
      </c>
      <c r="C102" s="95">
        <f>Annual_sorted!G244</f>
        <v>-431.7217777621608</v>
      </c>
      <c r="D102" s="29">
        <f>IF(C102-Table_1463457811162344[Burundi]&gt;0, C102-Table_1463457811162344[Burundi], 0)</f>
        <v>0</v>
      </c>
      <c r="E102" s="29">
        <f>IF(C102-Table_1463457811162344[DRC]&gt;0, C102-Table_1463457811162344[DRC], 0)</f>
        <v>0</v>
      </c>
      <c r="F102" s="29">
        <f>IF(C102-Table_1463457811162344[Egypt]&gt;0, C102-Table_1463457811162344[Egypt], 0)</f>
        <v>0</v>
      </c>
      <c r="G102" s="29">
        <f>IF(C102-Table_1463457811162344[Eritrea]&gt;0, C102-Table_1463457811162344[Eritrea], 0)</f>
        <v>0</v>
      </c>
      <c r="H102" s="29">
        <f>IF(C102-Table_1463457811162344[Ethiopia]&gt;0, C102-Table_1463457811162344[Ethiopia], 0)</f>
        <v>0</v>
      </c>
      <c r="I102" s="29">
        <f>IF(C102-Table_1463457811162344[Kenya]&gt;0, C102-Table_1463457811162344[Kenya], 0)</f>
        <v>0</v>
      </c>
      <c r="J102" s="29">
        <f>IF(C102-Table_1463457811162344[Rwanda]&gt;0, C102-Table_1463457811162344[Rwanda], 0)</f>
        <v>0</v>
      </c>
      <c r="K102" s="29">
        <f>IF(C102-Table_1463457811162344[Sudan]&gt;0, C102-Table_1463457811162344[Sudan], 0)</f>
        <v>0</v>
      </c>
      <c r="L102" s="29">
        <f>IF(C102-Table_1463457811162344[S. Sudan]&gt;0, C102-Table_1463457811162344[S. Sudan], 0)</f>
        <v>197.1114271603879</v>
      </c>
      <c r="M102" s="29">
        <f>IF(C102-Table_1463457811162344[Tanzania]&gt;0, C102-Table_1463457811162344[Tanzania], 0)</f>
        <v>0</v>
      </c>
      <c r="N102" s="29">
        <f>IF(C102-Table_1463457811162344[Uganda]&gt;0, C102-Table_1463457811162344[Uganda], 0)</f>
        <v>0</v>
      </c>
      <c r="P102" s="21" t="s">
        <v>5</v>
      </c>
      <c r="Q102" s="97">
        <f t="shared" si="12"/>
        <v>-1.8188169608521201E-3</v>
      </c>
      <c r="R102" s="97">
        <f t="shared" si="11"/>
        <v>-1.8188169608521201E-3</v>
      </c>
      <c r="S102" s="97">
        <f t="shared" si="11"/>
        <v>-1.8188169608521201E-3</v>
      </c>
      <c r="T102" s="97">
        <f t="shared" si="11"/>
        <v>-1.8188169608521201E-3</v>
      </c>
      <c r="U102" s="97">
        <f t="shared" si="11"/>
        <v>0.37252868344102524</v>
      </c>
      <c r="V102" s="97">
        <f t="shared" si="11"/>
        <v>-1.8188169608521201E-3</v>
      </c>
      <c r="W102" s="97">
        <f t="shared" si="11"/>
        <v>-1.8188169608521201E-3</v>
      </c>
      <c r="X102" s="97">
        <f t="shared" si="11"/>
        <v>-1.8188169608521201E-3</v>
      </c>
      <c r="Y102" s="97">
        <f t="shared" si="11"/>
        <v>0.57959737774392317</v>
      </c>
      <c r="Z102" s="97">
        <f t="shared" si="11"/>
        <v>8.1418216658736262E-2</v>
      </c>
      <c r="AA102" s="97">
        <f t="shared" si="11"/>
        <v>0.23776144925147943</v>
      </c>
    </row>
    <row r="103" spans="2:31" ht="12.75" customHeight="1" x14ac:dyDescent="0.25">
      <c r="B103" s="21" t="s">
        <v>5</v>
      </c>
      <c r="C103" s="95">
        <f>Annual_sorted!G245</f>
        <v>-75.375443969176033</v>
      </c>
      <c r="D103" s="29">
        <f>IF(C103-Table_1463457811162344[Burundi]&gt;0, C103-Table_1463457811162344[Burundi], 0)</f>
        <v>0</v>
      </c>
      <c r="E103" s="29">
        <f>IF(C103-Table_1463457811162344[DRC]&gt;0, C103-Table_1463457811162344[DRC], 0)</f>
        <v>0</v>
      </c>
      <c r="F103" s="29">
        <f>IF(C103-Table_1463457811162344[Egypt]&gt;0, C103-Table_1463457811162344[Egypt], 0)</f>
        <v>0</v>
      </c>
      <c r="G103" s="29">
        <f>IF(C103-Table_1463457811162344[Eritrea]&gt;0, C103-Table_1463457811162344[Eritrea], 0)</f>
        <v>0</v>
      </c>
      <c r="H103" s="29">
        <f>IF(C103-Table_1463457811162344[Ethiopia]&gt;0, C103-Table_1463457811162344[Ethiopia], 0)</f>
        <v>356.34633379298475</v>
      </c>
      <c r="I103" s="29">
        <f>IF(C103-Table_1463457811162344[Kenya]&gt;0, C103-Table_1463457811162344[Kenya], 0)</f>
        <v>0</v>
      </c>
      <c r="J103" s="29">
        <f>IF(C103-Table_1463457811162344[Rwanda]&gt;0, C103-Table_1463457811162344[Rwanda], 0)</f>
        <v>0</v>
      </c>
      <c r="K103" s="29">
        <f>IF(C103-Table_1463457811162344[Sudan]&gt;0, C103-Table_1463457811162344[Sudan], 0)</f>
        <v>0</v>
      </c>
      <c r="L103" s="29">
        <f>IF(C103-Table_1463457811162344[S. Sudan]&gt;0, C103-Table_1463457811162344[S. Sudan], 0)</f>
        <v>553.45776095337271</v>
      </c>
      <c r="M103" s="29">
        <f>IF(C103-Table_1463457811162344[Tanzania]&gt;0, C103-Table_1463457811162344[Tanzania], 0)</f>
        <v>79.234432537418328</v>
      </c>
      <c r="N103" s="29">
        <f>IF(C103-Table_1463457811162344[Uganda]&gt;0, C103-Table_1463457811162344[Uganda], 0)</f>
        <v>228.05962220199046</v>
      </c>
      <c r="P103" s="21" t="s">
        <v>6</v>
      </c>
      <c r="Q103" s="97">
        <f t="shared" si="12"/>
        <v>-1.8188169608521201E-3</v>
      </c>
      <c r="R103" s="97">
        <f t="shared" si="11"/>
        <v>-1.8188169608521201E-3</v>
      </c>
      <c r="S103" s="97">
        <f t="shared" si="11"/>
        <v>-1.8188169608521201E-3</v>
      </c>
      <c r="T103" s="97">
        <f t="shared" si="11"/>
        <v>-1.8188169608521201E-3</v>
      </c>
      <c r="U103" s="97">
        <f t="shared" si="11"/>
        <v>0.42607355048831852</v>
      </c>
      <c r="V103" s="97">
        <f t="shared" si="11"/>
        <v>5.1726050086441093E-2</v>
      </c>
      <c r="W103" s="97">
        <f t="shared" si="11"/>
        <v>-1.8188169608521201E-3</v>
      </c>
      <c r="X103" s="97">
        <f t="shared" si="11"/>
        <v>1.2996235333942417E-2</v>
      </c>
      <c r="Y103" s="97">
        <f t="shared" si="11"/>
        <v>0.63314224479121639</v>
      </c>
      <c r="Z103" s="97">
        <f t="shared" si="11"/>
        <v>0.1349630837060295</v>
      </c>
      <c r="AA103" s="97">
        <f t="shared" si="11"/>
        <v>0.29130631629877263</v>
      </c>
    </row>
    <row r="104" spans="2:31" ht="12.75" customHeight="1" x14ac:dyDescent="0.25">
      <c r="B104" s="21" t="s">
        <v>6</v>
      </c>
      <c r="C104" s="95">
        <f>Annual_sorted!G246</f>
        <v>-24.405377265773392</v>
      </c>
      <c r="D104" s="29">
        <f>IF(C104-Table_1463457811162344[Burundi]&gt;0, C104-Table_1463457811162344[Burundi], 0)</f>
        <v>0</v>
      </c>
      <c r="E104" s="29">
        <f>IF(C104-Table_1463457811162344[DRC]&gt;0, C104-Table_1463457811162344[DRC], 0)</f>
        <v>0</v>
      </c>
      <c r="F104" s="29">
        <f>IF(C104-Table_1463457811162344[Egypt]&gt;0, C104-Table_1463457811162344[Egypt], 0)</f>
        <v>0</v>
      </c>
      <c r="G104" s="29">
        <f>IF(C104-Table_1463457811162344[Eritrea]&gt;0, C104-Table_1463457811162344[Eritrea], 0)</f>
        <v>0</v>
      </c>
      <c r="H104" s="29">
        <f>IF(C104-Table_1463457811162344[Ethiopia]&gt;0, C104-Table_1463457811162344[Ethiopia], 0)</f>
        <v>407.31640049638742</v>
      </c>
      <c r="I104" s="29">
        <f>IF(C104-Table_1463457811162344[Kenya]&gt;0, C104-Table_1463457811162344[Kenya], 0)</f>
        <v>50.970066703402637</v>
      </c>
      <c r="J104" s="29">
        <f>IF(C104-Table_1463457811162344[Rwanda]&gt;0, C104-Table_1463457811162344[Rwanda], 0)</f>
        <v>0</v>
      </c>
      <c r="K104" s="29">
        <f>IF(C104-Table_1463457811162344[Sudan]&gt;0, C104-Table_1463457811162344[Sudan], 0)</f>
        <v>14.102644106168317</v>
      </c>
      <c r="L104" s="29">
        <f>IF(C104-Table_1463457811162344[S. Sudan]&gt;0, C104-Table_1463457811162344[S. Sudan], 0)</f>
        <v>604.42782765677532</v>
      </c>
      <c r="M104" s="29">
        <f>IF(C104-Table_1463457811162344[Tanzania]&gt;0, C104-Table_1463457811162344[Tanzania], 0)</f>
        <v>130.20449924082098</v>
      </c>
      <c r="N104" s="29">
        <f>IF(C104-Table_1463457811162344[Uganda]&gt;0, C104-Table_1463457811162344[Uganda], 0)</f>
        <v>279.02968890539313</v>
      </c>
      <c r="P104" s="21" t="s">
        <v>7</v>
      </c>
      <c r="Q104" s="97">
        <f t="shared" si="12"/>
        <v>-1.8188169608521201E-3</v>
      </c>
      <c r="R104" s="97">
        <f t="shared" si="11"/>
        <v>-1.8188169608521201E-3</v>
      </c>
      <c r="S104" s="97">
        <f t="shared" si="11"/>
        <v>-1.8188169608521201E-3</v>
      </c>
      <c r="T104" s="97">
        <f t="shared" si="11"/>
        <v>-1.8188169608521201E-3</v>
      </c>
      <c r="U104" s="97">
        <f t="shared" si="11"/>
        <v>0.411258498193524</v>
      </c>
      <c r="V104" s="97">
        <f t="shared" si="11"/>
        <v>3.6910997791646555E-2</v>
      </c>
      <c r="W104" s="97">
        <f t="shared" si="11"/>
        <v>-1.8188169608521201E-3</v>
      </c>
      <c r="X104" s="97">
        <f t="shared" si="11"/>
        <v>-1.8188169608521201E-3</v>
      </c>
      <c r="Y104" s="97">
        <f t="shared" si="11"/>
        <v>0.61832719249642176</v>
      </c>
      <c r="Z104" s="97">
        <f t="shared" si="11"/>
        <v>0.12014803141123495</v>
      </c>
      <c r="AA104" s="97">
        <f t="shared" si="11"/>
        <v>0.27649126400397811</v>
      </c>
    </row>
    <row r="105" spans="2:31" ht="12.75" customHeight="1" x14ac:dyDescent="0.25">
      <c r="B105" s="21" t="s">
        <v>7</v>
      </c>
      <c r="C105" s="95">
        <f>Annual_sorted!G247</f>
        <v>-38.508021371941709</v>
      </c>
      <c r="D105" s="29">
        <f>IF(C105-Table_1463457811162344[Burundi]&gt;0, C105-Table_1463457811162344[Burundi], 0)</f>
        <v>0</v>
      </c>
      <c r="E105" s="29">
        <f>IF(C105-Table_1463457811162344[DRC]&gt;0, C105-Table_1463457811162344[DRC], 0)</f>
        <v>0</v>
      </c>
      <c r="F105" s="29">
        <f>IF(C105-Table_1463457811162344[Egypt]&gt;0, C105-Table_1463457811162344[Egypt], 0)</f>
        <v>0</v>
      </c>
      <c r="G105" s="29">
        <f>IF(C105-Table_1463457811162344[Eritrea]&gt;0, C105-Table_1463457811162344[Eritrea], 0)</f>
        <v>0</v>
      </c>
      <c r="H105" s="29">
        <f>IF(C105-Table_1463457811162344[Ethiopia]&gt;0, C105-Table_1463457811162344[Ethiopia], 0)</f>
        <v>393.21375639021909</v>
      </c>
      <c r="I105" s="29">
        <f>IF(C105-Table_1463457811162344[Kenya]&gt;0, C105-Table_1463457811162344[Kenya], 0)</f>
        <v>36.867422597234324</v>
      </c>
      <c r="J105" s="29">
        <f>IF(C105-Table_1463457811162344[Rwanda]&gt;0, C105-Table_1463457811162344[Rwanda], 0)</f>
        <v>0</v>
      </c>
      <c r="K105" s="29">
        <f>IF(C105-Table_1463457811162344[Sudan]&gt;0, C105-Table_1463457811162344[Sudan], 0)</f>
        <v>0</v>
      </c>
      <c r="L105" s="29">
        <f>IF(C105-Table_1463457811162344[S. Sudan]&gt;0, C105-Table_1463457811162344[S. Sudan], 0)</f>
        <v>590.32518355060699</v>
      </c>
      <c r="M105" s="29">
        <f>IF(C105-Table_1463457811162344[Tanzania]&gt;0, C105-Table_1463457811162344[Tanzania], 0)</f>
        <v>116.10185513465265</v>
      </c>
      <c r="N105" s="29">
        <f>IF(C105-Table_1463457811162344[Uganda]&gt;0, C105-Table_1463457811162344[Uganda], 0)</f>
        <v>264.9270447992248</v>
      </c>
      <c r="P105" s="21" t="s">
        <v>8</v>
      </c>
      <c r="Q105" s="97">
        <f t="shared" si="12"/>
        <v>-1.8188169608521201E-3</v>
      </c>
      <c r="R105" s="97">
        <f t="shared" si="11"/>
        <v>-1.8188169608521201E-3</v>
      </c>
      <c r="S105" s="97">
        <f t="shared" si="11"/>
        <v>-1.8188169608521201E-3</v>
      </c>
      <c r="T105" s="97">
        <f t="shared" si="11"/>
        <v>-1.8188169608521201E-3</v>
      </c>
      <c r="U105" s="97">
        <f t="shared" si="11"/>
        <v>-1.8188169608521201E-3</v>
      </c>
      <c r="V105" s="97">
        <f t="shared" si="11"/>
        <v>-1.8188169608521201E-3</v>
      </c>
      <c r="W105" s="97">
        <f t="shared" si="11"/>
        <v>-1.8188169608521201E-3</v>
      </c>
      <c r="X105" s="97">
        <f t="shared" si="11"/>
        <v>-1.8188169608521201E-3</v>
      </c>
      <c r="Y105" s="97">
        <f t="shared" si="11"/>
        <v>-1.8188169608521201E-3</v>
      </c>
      <c r="Z105" s="97">
        <f t="shared" si="11"/>
        <v>-1.8188169608521201E-3</v>
      </c>
      <c r="AA105" s="97">
        <f t="shared" si="11"/>
        <v>-1.8188169608521201E-3</v>
      </c>
    </row>
    <row r="106" spans="2:31" ht="12.75" customHeight="1" x14ac:dyDescent="0.25">
      <c r="B106" s="21" t="s">
        <v>8</v>
      </c>
      <c r="C106" s="95">
        <f>Annual_sorted!G248</f>
        <v>-628.8332049225487</v>
      </c>
      <c r="D106" s="29">
        <f>IF(C106-Table_1463457811162344[Burundi]&gt;0, C106-Table_1463457811162344[Burundi], 0)</f>
        <v>0</v>
      </c>
      <c r="E106" s="29">
        <f>IF(C106-Table_1463457811162344[DRC]&gt;0, C106-Table_1463457811162344[DRC], 0)</f>
        <v>0</v>
      </c>
      <c r="F106" s="29">
        <f>IF(C106-Table_1463457811162344[Egypt]&gt;0, C106-Table_1463457811162344[Egypt], 0)</f>
        <v>0</v>
      </c>
      <c r="G106" s="29">
        <f>IF(C106-Table_1463457811162344[Eritrea]&gt;0, C106-Table_1463457811162344[Eritrea], 0)</f>
        <v>0</v>
      </c>
      <c r="H106" s="29">
        <f>IF(C106-Table_1463457811162344[Ethiopia]&gt;0, C106-Table_1463457811162344[Ethiopia], 0)</f>
        <v>0</v>
      </c>
      <c r="I106" s="29">
        <f>IF(C106-Table_1463457811162344[Kenya]&gt;0, C106-Table_1463457811162344[Kenya], 0)</f>
        <v>0</v>
      </c>
      <c r="J106" s="29">
        <f>IF(C106-Table_1463457811162344[Rwanda]&gt;0, C106-Table_1463457811162344[Rwanda], 0)</f>
        <v>0</v>
      </c>
      <c r="K106" s="29">
        <f>IF(C106-Table_1463457811162344[Sudan]&gt;0, C106-Table_1463457811162344[Sudan], 0)</f>
        <v>0</v>
      </c>
      <c r="L106" s="29">
        <f>IF(C106-Table_1463457811162344[S. Sudan]&gt;0, C106-Table_1463457811162344[S. Sudan], 0)</f>
        <v>0</v>
      </c>
      <c r="M106" s="29">
        <f>IF(C106-Table_1463457811162344[Tanzania]&gt;0, C106-Table_1463457811162344[Tanzania], 0)</f>
        <v>0</v>
      </c>
      <c r="N106" s="29">
        <f>IF(C106-Table_1463457811162344[Uganda]&gt;0, C106-Table_1463457811162344[Uganda], 0)</f>
        <v>0</v>
      </c>
      <c r="P106" s="21" t="s">
        <v>9</v>
      </c>
      <c r="Q106" s="97">
        <f t="shared" si="12"/>
        <v>-1.8188169608521201E-3</v>
      </c>
      <c r="R106" s="97">
        <f t="shared" si="11"/>
        <v>-1.8188169608521201E-3</v>
      </c>
      <c r="S106" s="97">
        <f t="shared" si="11"/>
        <v>-1.8188169608521201E-3</v>
      </c>
      <c r="T106" s="97">
        <f t="shared" si="11"/>
        <v>-1.8188169608521201E-3</v>
      </c>
      <c r="U106" s="97">
        <f t="shared" si="11"/>
        <v>0.28929164982143685</v>
      </c>
      <c r="V106" s="97">
        <f t="shared" si="11"/>
        <v>-1.8188169608521201E-3</v>
      </c>
      <c r="W106" s="97">
        <f t="shared" si="11"/>
        <v>-1.8188169608521201E-3</v>
      </c>
      <c r="X106" s="97">
        <f t="shared" si="11"/>
        <v>-1.8188169608521201E-3</v>
      </c>
      <c r="Y106" s="97">
        <f t="shared" si="11"/>
        <v>0.49636034412433472</v>
      </c>
      <c r="Z106" s="97">
        <f t="shared" si="11"/>
        <v>-1.8188169608521201E-3</v>
      </c>
      <c r="AA106" s="97">
        <f t="shared" si="11"/>
        <v>0.15452441563189107</v>
      </c>
    </row>
    <row r="107" spans="2:31" ht="12.75" customHeight="1" thickBot="1" x14ac:dyDescent="0.3">
      <c r="B107" s="21" t="s">
        <v>9</v>
      </c>
      <c r="C107" s="95">
        <f>Annual_sorted!G249</f>
        <v>-154.60987650659436</v>
      </c>
      <c r="D107" s="29">
        <f>IF(C107-Table_1463457811162344[Burundi]&gt;0, C107-Table_1463457811162344[Burundi], 0)</f>
        <v>0</v>
      </c>
      <c r="E107" s="29">
        <f>IF(C107-Table_1463457811162344[DRC]&gt;0, C107-Table_1463457811162344[DRC], 0)</f>
        <v>0</v>
      </c>
      <c r="F107" s="29">
        <f>IF(C107-Table_1463457811162344[Egypt]&gt;0, C107-Table_1463457811162344[Egypt], 0)</f>
        <v>0</v>
      </c>
      <c r="G107" s="29">
        <f>IF(C107-Table_1463457811162344[Eritrea]&gt;0, C107-Table_1463457811162344[Eritrea], 0)</f>
        <v>0</v>
      </c>
      <c r="H107" s="29">
        <f>IF(C107-Table_1463457811162344[Ethiopia]&gt;0, C107-Table_1463457811162344[Ethiopia], 0)</f>
        <v>277.11190125556641</v>
      </c>
      <c r="I107" s="29">
        <f>IF(C107-Table_1463457811162344[Kenya]&gt;0, C107-Table_1463457811162344[Kenya], 0)</f>
        <v>0</v>
      </c>
      <c r="J107" s="29">
        <f>IF(C107-Table_1463457811162344[Rwanda]&gt;0, C107-Table_1463457811162344[Rwanda], 0)</f>
        <v>0</v>
      </c>
      <c r="K107" s="29">
        <f>IF(C107-Table_1463457811162344[Sudan]&gt;0, C107-Table_1463457811162344[Sudan], 0)</f>
        <v>0</v>
      </c>
      <c r="L107" s="29">
        <f>IF(C107-Table_1463457811162344[S. Sudan]&gt;0, C107-Table_1463457811162344[S. Sudan], 0)</f>
        <v>474.22332841595437</v>
      </c>
      <c r="M107" s="29">
        <f>IF(C107-Table_1463457811162344[Tanzania]&gt;0, C107-Table_1463457811162344[Tanzania], 0)</f>
        <v>0</v>
      </c>
      <c r="N107" s="29">
        <f>IF(C107-Table_1463457811162344[Uganda]&gt;0, C107-Table_1463457811162344[Uganda], 0)</f>
        <v>148.82518966457215</v>
      </c>
      <c r="P107" s="22" t="s">
        <v>10</v>
      </c>
      <c r="Q107" s="98">
        <f t="shared" si="12"/>
        <v>-1.8188169608521201E-3</v>
      </c>
      <c r="R107" s="98">
        <f t="shared" si="11"/>
        <v>-1.8188169608521201E-3</v>
      </c>
      <c r="S107" s="98">
        <f t="shared" si="11"/>
        <v>-1.8188169608521201E-3</v>
      </c>
      <c r="T107" s="98">
        <f t="shared" si="11"/>
        <v>-1.8188169608521201E-3</v>
      </c>
      <c r="U107" s="98">
        <f t="shared" si="11"/>
        <v>0.13294841722869377</v>
      </c>
      <c r="V107" s="98">
        <f t="shared" si="11"/>
        <v>-1.8188169608521201E-3</v>
      </c>
      <c r="W107" s="98">
        <f t="shared" si="11"/>
        <v>-1.8188169608521201E-3</v>
      </c>
      <c r="X107" s="98">
        <f t="shared" si="11"/>
        <v>-1.8188169608521201E-3</v>
      </c>
      <c r="Y107" s="98">
        <f t="shared" si="11"/>
        <v>0.34001711153159159</v>
      </c>
      <c r="Z107" s="98">
        <f t="shared" si="11"/>
        <v>-1.8188169608521201E-3</v>
      </c>
      <c r="AA107" s="98">
        <f t="shared" si="11"/>
        <v>-1.8188169608521201E-3</v>
      </c>
      <c r="AB107" s="186">
        <f>SUM(Q97:AA107)</f>
        <v>15.815381419966863</v>
      </c>
    </row>
    <row r="108" spans="2:31" ht="12.75" customHeight="1" thickBot="1" x14ac:dyDescent="0.3">
      <c r="B108" s="22" t="s">
        <v>10</v>
      </c>
      <c r="C108" s="96">
        <f>Annual_sorted!G250</f>
        <v>-303.43506617116651</v>
      </c>
      <c r="D108" s="32">
        <f>IF(C108-Table_1463457811162344[Burundi]&gt;0, C108-Table_1463457811162344[Burundi], 0)</f>
        <v>0</v>
      </c>
      <c r="E108" s="32">
        <f>IF(C108-Table_1463457811162344[DRC]&gt;0, C108-Table_1463457811162344[DRC], 0)</f>
        <v>0</v>
      </c>
      <c r="F108" s="32">
        <f>IF(C108-Table_1463457811162344[Egypt]&gt;0, C108-Table_1463457811162344[Egypt], 0)</f>
        <v>0</v>
      </c>
      <c r="G108" s="32">
        <f>IF(C108-Table_1463457811162344[Eritrea]&gt;0, C108-Table_1463457811162344[Eritrea], 0)</f>
        <v>0</v>
      </c>
      <c r="H108" s="32">
        <f>IF(C108-Table_1463457811162344[Ethiopia]&gt;0, C108-Table_1463457811162344[Ethiopia], 0)</f>
        <v>128.28671159099429</v>
      </c>
      <c r="I108" s="32">
        <f>IF(C108-Table_1463457811162344[Kenya]&gt;0, C108-Table_1463457811162344[Kenya], 0)</f>
        <v>0</v>
      </c>
      <c r="J108" s="32">
        <f>IF(C108-Table_1463457811162344[Rwanda]&gt;0, C108-Table_1463457811162344[Rwanda], 0)</f>
        <v>0</v>
      </c>
      <c r="K108" s="32">
        <f>IF(C108-Table_1463457811162344[Sudan]&gt;0, C108-Table_1463457811162344[Sudan], 0)</f>
        <v>0</v>
      </c>
      <c r="L108" s="32">
        <f>IF(C108-Table_1463457811162344[S. Sudan]&gt;0, C108-Table_1463457811162344[S. Sudan], 0)</f>
        <v>325.39813875138219</v>
      </c>
      <c r="M108" s="32">
        <f>IF(C108-Table_1463457811162344[Tanzania]&gt;0, C108-Table_1463457811162344[Tanzania], 0)</f>
        <v>0</v>
      </c>
      <c r="N108" s="32">
        <f>IF(C108-Table_1463457811162344[Uganda]&gt;0, C108-Table_1463457811162344[Uganda], 0)</f>
        <v>0</v>
      </c>
      <c r="Y108" s="186">
        <f>SUM(Y97:Y107)</f>
        <v>5.7965784510594007</v>
      </c>
    </row>
    <row r="109" spans="2:31" ht="12.75" customHeight="1" x14ac:dyDescent="0.25"/>
    <row r="110" spans="2:31" ht="12.75" customHeight="1" x14ac:dyDescent="0.25"/>
    <row r="111" spans="2:31" ht="12.75" customHeight="1" x14ac:dyDescent="0.25">
      <c r="B111" s="5"/>
      <c r="C111" s="5"/>
      <c r="D111" s="5"/>
      <c r="E111" s="5"/>
      <c r="F111" s="5"/>
      <c r="G111" s="5"/>
      <c r="H111" s="5"/>
      <c r="I111" s="5"/>
      <c r="J111" s="5"/>
      <c r="K111" s="5"/>
      <c r="L111" s="5"/>
      <c r="M111" s="5"/>
      <c r="N111" s="5"/>
    </row>
    <row r="112" spans="2:31" ht="12.75" customHeight="1" x14ac:dyDescent="0.25">
      <c r="B112" s="5"/>
      <c r="C112" s="5"/>
      <c r="D112" s="5"/>
      <c r="E112" s="5"/>
      <c r="F112" s="5"/>
      <c r="G112" s="5"/>
      <c r="H112" s="5"/>
      <c r="I112" s="5"/>
      <c r="J112" s="5"/>
      <c r="K112" s="5"/>
      <c r="L112" s="5"/>
      <c r="M112" s="5"/>
      <c r="N112" s="5"/>
      <c r="P112" s="5"/>
      <c r="Q112" s="5"/>
      <c r="R112" s="5"/>
      <c r="S112" s="5"/>
      <c r="T112" s="5"/>
      <c r="U112" s="5"/>
      <c r="V112" s="5"/>
      <c r="W112" s="5"/>
      <c r="X112" s="5"/>
      <c r="Y112" s="5"/>
      <c r="Z112" s="5"/>
      <c r="AA112" s="5"/>
    </row>
    <row r="113" spans="2:31" ht="12.75" customHeight="1" thickBot="1" x14ac:dyDescent="0.3">
      <c r="B113" s="253" t="s">
        <v>86</v>
      </c>
      <c r="C113" s="253"/>
      <c r="D113" s="253"/>
      <c r="E113" s="253"/>
      <c r="F113" s="253"/>
      <c r="G113" s="253"/>
      <c r="H113" s="253"/>
      <c r="I113" s="253"/>
      <c r="J113" s="253"/>
      <c r="K113" s="253"/>
      <c r="L113" s="253"/>
      <c r="M113" s="253"/>
      <c r="N113" s="253"/>
      <c r="P113" s="253" t="s">
        <v>88</v>
      </c>
      <c r="Q113" s="253"/>
      <c r="R113" s="253"/>
      <c r="S113" s="253"/>
      <c r="T113" s="253"/>
      <c r="U113" s="253"/>
      <c r="V113" s="253"/>
      <c r="W113" s="253"/>
      <c r="X113" s="253"/>
      <c r="Y113" s="253"/>
      <c r="Z113" s="253"/>
      <c r="AA113" s="253"/>
      <c r="AB113" s="10"/>
      <c r="AC113" s="3" t="s">
        <v>22</v>
      </c>
      <c r="AD113" s="13" t="s">
        <v>23</v>
      </c>
      <c r="AE113" s="74">
        <f t="array" ref="AE113">MIN(IF(D116:N126&gt;0,D116:N126))</f>
        <v>1.5876432841005292</v>
      </c>
    </row>
    <row r="114" spans="2:31" ht="12.75" customHeight="1" thickBot="1" x14ac:dyDescent="0.3">
      <c r="B114" s="75" t="s">
        <v>13</v>
      </c>
      <c r="C114" s="66" t="s">
        <v>14</v>
      </c>
      <c r="D114" s="67" t="s">
        <v>1</v>
      </c>
      <c r="E114" s="67" t="s">
        <v>195</v>
      </c>
      <c r="F114" s="67" t="s">
        <v>2</v>
      </c>
      <c r="G114" s="67" t="s">
        <v>3</v>
      </c>
      <c r="H114" s="67" t="s">
        <v>4</v>
      </c>
      <c r="I114" s="67" t="s">
        <v>5</v>
      </c>
      <c r="J114" s="67" t="s">
        <v>6</v>
      </c>
      <c r="K114" s="67" t="s">
        <v>7</v>
      </c>
      <c r="L114" s="67" t="s">
        <v>295</v>
      </c>
      <c r="M114" s="67" t="s">
        <v>9</v>
      </c>
      <c r="N114" s="67" t="s">
        <v>10</v>
      </c>
      <c r="P114" s="76" t="s">
        <v>19</v>
      </c>
      <c r="Q114" s="77" t="s">
        <v>1</v>
      </c>
      <c r="R114" s="77" t="s">
        <v>195</v>
      </c>
      <c r="S114" s="77" t="s">
        <v>2</v>
      </c>
      <c r="T114" s="77" t="s">
        <v>3</v>
      </c>
      <c r="U114" s="77" t="s">
        <v>4</v>
      </c>
      <c r="V114" s="77" t="s">
        <v>5</v>
      </c>
      <c r="W114" s="77" t="s">
        <v>6</v>
      </c>
      <c r="X114" s="77" t="s">
        <v>7</v>
      </c>
      <c r="Y114" s="77" t="s">
        <v>295</v>
      </c>
      <c r="Z114" s="77" t="s">
        <v>9</v>
      </c>
      <c r="AA114" s="77" t="s">
        <v>10</v>
      </c>
      <c r="AB114" s="254" t="s">
        <v>26</v>
      </c>
      <c r="AC114" s="254"/>
      <c r="AD114" s="13" t="s">
        <v>24</v>
      </c>
      <c r="AE114" s="20">
        <f>MAX(D116:N126)</f>
        <v>382.1393879825697</v>
      </c>
    </row>
    <row r="115" spans="2:31" ht="12.75" customHeight="1" x14ac:dyDescent="0.25">
      <c r="B115" s="93"/>
      <c r="C115" s="94" t="s">
        <v>263</v>
      </c>
      <c r="D115" s="95">
        <f>C116</f>
        <v>-1.0927063889152526</v>
      </c>
      <c r="E115" s="95">
        <f>C117</f>
        <v>4.53170561047249</v>
      </c>
      <c r="F115" s="95">
        <f>C118</f>
        <v>327.32968091907202</v>
      </c>
      <c r="G115" s="95">
        <f>C119</f>
        <v>1.67668286756954</v>
      </c>
      <c r="H115" s="95">
        <f>C120</f>
        <v>-54.809707063497683</v>
      </c>
      <c r="I115" s="95">
        <f>C121</f>
        <v>-15.210253562256964</v>
      </c>
      <c r="J115" s="95">
        <f>C122</f>
        <v>-2.6803496730157819</v>
      </c>
      <c r="K115" s="95">
        <f>C123</f>
        <v>299.65584925157799</v>
      </c>
      <c r="L115" s="95">
        <f>C124</f>
        <v>10.468507913800099</v>
      </c>
      <c r="M115" s="95">
        <f>C125</f>
        <v>-38.600965794261064</v>
      </c>
      <c r="N115" s="95">
        <f>C126</f>
        <v>-6.2719911473323684</v>
      </c>
      <c r="P115" s="21" t="s">
        <v>1</v>
      </c>
      <c r="Q115" s="97">
        <f>$AE$115+(D116-$AE$113)*($AE$116-$AE$115)/($AE$114-$AE$113)</f>
        <v>-3.167779186173861E-3</v>
      </c>
      <c r="R115" s="97">
        <f t="shared" ref="R115:AA125" si="13">$AE$115+(E116-$AE$113)*($AE$116-$AE$115)/($AE$114-$AE$113)</f>
        <v>-3.167779186173861E-3</v>
      </c>
      <c r="S115" s="97">
        <f t="shared" si="13"/>
        <v>-3.167779186173861E-3</v>
      </c>
      <c r="T115" s="97">
        <f t="shared" si="13"/>
        <v>-3.167779186173861E-3</v>
      </c>
      <c r="U115" s="97">
        <f t="shared" si="13"/>
        <v>0.13784664111671566</v>
      </c>
      <c r="V115" s="97">
        <f t="shared" si="13"/>
        <v>3.3892698981764238E-2</v>
      </c>
      <c r="W115" s="97">
        <f t="shared" si="13"/>
        <v>1E-3</v>
      </c>
      <c r="X115" s="97">
        <f t="shared" si="13"/>
        <v>-3.167779186173861E-3</v>
      </c>
      <c r="Y115" s="97">
        <f t="shared" si="13"/>
        <v>-3.167779186173861E-3</v>
      </c>
      <c r="Z115" s="97">
        <f t="shared" si="13"/>
        <v>9.5296494511035112E-2</v>
      </c>
      <c r="AA115" s="97">
        <f t="shared" si="13"/>
        <v>1.0428546532312621E-2</v>
      </c>
      <c r="AD115" s="3" t="s">
        <v>25</v>
      </c>
      <c r="AE115" s="2">
        <v>1E-3</v>
      </c>
    </row>
    <row r="116" spans="2:31" ht="12.75" customHeight="1" x14ac:dyDescent="0.25">
      <c r="B116" s="21" t="s">
        <v>1</v>
      </c>
      <c r="C116" s="95">
        <f>Annual_sorted!H240</f>
        <v>-1.0927063889152526</v>
      </c>
      <c r="D116" s="29">
        <f>IF(C116-Table_14634578112172243[Burundi]&gt;0, C116-Table_14634578112172243[Burundi], 0)</f>
        <v>0</v>
      </c>
      <c r="E116" s="29">
        <f>IF(C116-Table_14634578112172243[DRC]&gt;0, C116-Table_14634578112172243[DRC], 0)</f>
        <v>0</v>
      </c>
      <c r="F116" s="29">
        <f>IF(C116-Table_14634578112172243[Egypt]&gt;0, C116-Table_14634578112172243[Egypt], 0)</f>
        <v>0</v>
      </c>
      <c r="G116" s="29">
        <f>IF(C116-Table_14634578112172243[Eritrea]&gt;0, C116-Table_14634578112172243[Eritrea], 0)</f>
        <v>0</v>
      </c>
      <c r="H116" s="29">
        <f>IF(C116-Table_14634578112172243[Ethiopia]&gt;0, C116-Table_14634578112172243[Ethiopia], 0)</f>
        <v>53.71700067458243</v>
      </c>
      <c r="I116" s="29">
        <f>IF(C116-Table_14634578112172243[Kenya]&gt;0, C116-Table_14634578112172243[Kenya], 0)</f>
        <v>14.117547173341713</v>
      </c>
      <c r="J116" s="29">
        <f>IF(C116-Table_14634578112172243[Rwanda]&gt;0, C116-Table_14634578112172243[Rwanda], 0)</f>
        <v>1.5876432841005292</v>
      </c>
      <c r="K116" s="29">
        <f>IF(C116-Table_14634578112172243[Sudan]&gt;0, C116-Table_14634578112172243[Sudan], 0)</f>
        <v>0</v>
      </c>
      <c r="L116" s="29">
        <f>IF(C116-Table_14634578112172243[S. Sudan]&gt;0, C116-Table_14634578112172243[S. Sudan], 0)</f>
        <v>0</v>
      </c>
      <c r="M116" s="29">
        <f>IF(C116-Table_14634578112172243[Tanzania]&gt;0, C116-Table_14634578112172243[Tanzania], 0)</f>
        <v>37.508259405345811</v>
      </c>
      <c r="N116" s="29">
        <f>IF(C116-Table_14634578112172243[Uganda]&gt;0, C116-Table_14634578112172243[Uganda], 0)</f>
        <v>5.1792847584171158</v>
      </c>
      <c r="P116" s="21" t="s">
        <v>195</v>
      </c>
      <c r="Q116" s="97">
        <f t="shared" ref="Q116:Q125" si="14">$AE$115+(D117-$AE$113)*($AE$116-$AE$115)/($AE$114-$AE$113)</f>
        <v>1.1597065977892881E-2</v>
      </c>
      <c r="R116" s="97">
        <f t="shared" si="13"/>
        <v>-3.167779186173861E-3</v>
      </c>
      <c r="S116" s="97">
        <f t="shared" si="13"/>
        <v>-3.167779186173861E-3</v>
      </c>
      <c r="T116" s="97">
        <f t="shared" si="13"/>
        <v>4.3270431603114161E-3</v>
      </c>
      <c r="U116" s="97">
        <f t="shared" si="13"/>
        <v>0.15261148628078242</v>
      </c>
      <c r="V116" s="97">
        <f t="shared" si="13"/>
        <v>4.8657544145830983E-2</v>
      </c>
      <c r="W116" s="97">
        <f t="shared" si="13"/>
        <v>1.5764845164066746E-2</v>
      </c>
      <c r="X116" s="97">
        <f t="shared" si="13"/>
        <v>-3.167779186173861E-3</v>
      </c>
      <c r="Y116" s="97">
        <f t="shared" si="13"/>
        <v>-3.167779186173861E-3</v>
      </c>
      <c r="Z116" s="97">
        <f t="shared" si="13"/>
        <v>0.11006133967510187</v>
      </c>
      <c r="AA116" s="97">
        <f t="shared" si="13"/>
        <v>2.5193391696379366E-2</v>
      </c>
      <c r="AD116" s="3" t="s">
        <v>70</v>
      </c>
      <c r="AE116" s="2">
        <v>1</v>
      </c>
    </row>
    <row r="117" spans="2:31" ht="12.75" customHeight="1" x14ac:dyDescent="0.25">
      <c r="B117" s="21" t="s">
        <v>195</v>
      </c>
      <c r="C117" s="95">
        <f>Annual_sorted!H241</f>
        <v>4.53170561047249</v>
      </c>
      <c r="D117" s="29">
        <f>IF(C117-Table_14634578112172243[Burundi]&gt;0, C117-Table_14634578112172243[Burundi], 0)</f>
        <v>5.6244119993877426</v>
      </c>
      <c r="E117" s="29">
        <f>IF(C117-Table_14634578112172243[DRC]&gt;0, C117-Table_14634578112172243[DRC], 0)</f>
        <v>0</v>
      </c>
      <c r="F117" s="29">
        <f>IF(C117-Table_14634578112172243[Egypt]&gt;0, C117-Table_14634578112172243[Egypt], 0)</f>
        <v>0</v>
      </c>
      <c r="G117" s="29">
        <f>IF(C117-Table_14634578112172243[Eritrea]&gt;0, C117-Table_14634578112172243[Eritrea], 0)</f>
        <v>2.8550227429029498</v>
      </c>
      <c r="H117" s="29">
        <f>IF(C117-Table_14634578112172243[Ethiopia]&gt;0, C117-Table_14634578112172243[Ethiopia], 0)</f>
        <v>59.341412673970176</v>
      </c>
      <c r="I117" s="29">
        <f>IF(C117-Table_14634578112172243[Kenya]&gt;0, C117-Table_14634578112172243[Kenya], 0)</f>
        <v>19.741959172729455</v>
      </c>
      <c r="J117" s="29">
        <f>IF(C117-Table_14634578112172243[Rwanda]&gt;0, C117-Table_14634578112172243[Rwanda], 0)</f>
        <v>7.2120552834882723</v>
      </c>
      <c r="K117" s="29">
        <f>IF(C117-Table_14634578112172243[Sudan]&gt;0, C117-Table_14634578112172243[Sudan], 0)</f>
        <v>0</v>
      </c>
      <c r="L117" s="29">
        <f>IF(C117-Table_14634578112172243[S. Sudan]&gt;0, C117-Table_14634578112172243[S. Sudan], 0)</f>
        <v>0</v>
      </c>
      <c r="M117" s="29">
        <f>IF(C117-Table_14634578112172243[Tanzania]&gt;0, C117-Table_14634578112172243[Tanzania], 0)</f>
        <v>43.132671404733557</v>
      </c>
      <c r="N117" s="29">
        <f>IF(C117-Table_14634578112172243[Uganda]&gt;0, C117-Table_14634578112172243[Uganda], 0)</f>
        <v>10.803696757804857</v>
      </c>
      <c r="P117" s="21" t="s">
        <v>2</v>
      </c>
      <c r="Q117" s="97">
        <f t="shared" si="14"/>
        <v>0.85898557969711054</v>
      </c>
      <c r="R117" s="97">
        <f t="shared" si="13"/>
        <v>0.84422073453304358</v>
      </c>
      <c r="S117" s="97">
        <f t="shared" si="13"/>
        <v>-3.167779186173861E-3</v>
      </c>
      <c r="T117" s="97">
        <f t="shared" si="13"/>
        <v>0.85171555687952905</v>
      </c>
      <c r="U117" s="97">
        <f t="shared" si="13"/>
        <v>0.99999999999999989</v>
      </c>
      <c r="V117" s="97">
        <f t="shared" si="13"/>
        <v>0.89604605786504854</v>
      </c>
      <c r="W117" s="97">
        <f t="shared" si="13"/>
        <v>0.86315335888328437</v>
      </c>
      <c r="X117" s="97">
        <f t="shared" si="13"/>
        <v>6.9479786410278771E-2</v>
      </c>
      <c r="Y117" s="97">
        <f t="shared" si="13"/>
        <v>0.82863582240572276</v>
      </c>
      <c r="Z117" s="97">
        <f t="shared" si="13"/>
        <v>0.95744985339431954</v>
      </c>
      <c r="AA117" s="97">
        <f t="shared" si="13"/>
        <v>0.87258190541559699</v>
      </c>
    </row>
    <row r="118" spans="2:31" ht="12.75" customHeight="1" x14ac:dyDescent="0.25">
      <c r="B118" s="21" t="s">
        <v>2</v>
      </c>
      <c r="C118" s="95">
        <f>Annual_sorted!H242</f>
        <v>327.32968091907202</v>
      </c>
      <c r="D118" s="29">
        <f>IF(C118-Table_14634578112172243[Burundi]&gt;0, C118-Table_14634578112172243[Burundi], 0)</f>
        <v>328.42238730798726</v>
      </c>
      <c r="E118" s="29">
        <f>IF(C118-Table_14634578112172243[DRC]&gt;0, C118-Table_14634578112172243[DRC], 0)</f>
        <v>322.79797530859952</v>
      </c>
      <c r="F118" s="29">
        <f>IF(C118-Table_14634578112172243[Egypt]&gt;0, C118-Table_14634578112172243[Egypt], 0)</f>
        <v>0</v>
      </c>
      <c r="G118" s="29">
        <f>IF(C118-Table_14634578112172243[Eritrea]&gt;0, C118-Table_14634578112172243[Eritrea], 0)</f>
        <v>325.65299805150249</v>
      </c>
      <c r="H118" s="29">
        <f>IF(C118-Table_14634578112172243[Ethiopia]&gt;0, C118-Table_14634578112172243[Ethiopia], 0)</f>
        <v>382.1393879825697</v>
      </c>
      <c r="I118" s="29">
        <f>IF(C118-Table_14634578112172243[Kenya]&gt;0, C118-Table_14634578112172243[Kenya], 0)</f>
        <v>342.539934481329</v>
      </c>
      <c r="J118" s="29">
        <f>IF(C118-Table_14634578112172243[Rwanda]&gt;0, C118-Table_14634578112172243[Rwanda], 0)</f>
        <v>330.01003059208779</v>
      </c>
      <c r="K118" s="29">
        <f>IF(C118-Table_14634578112172243[Sudan]&gt;0, C118-Table_14634578112172243[Sudan], 0)</f>
        <v>27.673831667494028</v>
      </c>
      <c r="L118" s="29">
        <f>IF(C118-Table_14634578112172243[S. Sudan]&gt;0, C118-Table_14634578112172243[S. Sudan], 0)</f>
        <v>316.86117300527189</v>
      </c>
      <c r="M118" s="29">
        <f>IF(C118-Table_14634578112172243[Tanzania]&gt;0, C118-Table_14634578112172243[Tanzania], 0)</f>
        <v>365.93064671333309</v>
      </c>
      <c r="N118" s="29">
        <f>IF(C118-Table_14634578112172243[Uganda]&gt;0, C118-Table_14634578112172243[Uganda], 0)</f>
        <v>333.60167206640438</v>
      </c>
      <c r="P118" s="21" t="s">
        <v>3</v>
      </c>
      <c r="Q118" s="97">
        <f t="shared" si="14"/>
        <v>4.102243631407607E-3</v>
      </c>
      <c r="R118" s="97">
        <f t="shared" si="13"/>
        <v>-3.167779186173861E-3</v>
      </c>
      <c r="S118" s="97">
        <f t="shared" si="13"/>
        <v>-3.167779186173861E-3</v>
      </c>
      <c r="T118" s="97">
        <f t="shared" si="13"/>
        <v>-3.167779186173861E-3</v>
      </c>
      <c r="U118" s="97">
        <f t="shared" si="13"/>
        <v>0.14511666393429715</v>
      </c>
      <c r="V118" s="97">
        <f t="shared" si="13"/>
        <v>4.1162721799345707E-2</v>
      </c>
      <c r="W118" s="97">
        <f t="shared" si="13"/>
        <v>8.2700228175814662E-3</v>
      </c>
      <c r="X118" s="97">
        <f t="shared" si="13"/>
        <v>-3.167779186173861E-3</v>
      </c>
      <c r="Y118" s="97">
        <f t="shared" si="13"/>
        <v>-3.167779186173861E-3</v>
      </c>
      <c r="Z118" s="97">
        <f t="shared" si="13"/>
        <v>0.10256651732861659</v>
      </c>
      <c r="AA118" s="97">
        <f t="shared" si="13"/>
        <v>1.7698569349894094E-2</v>
      </c>
    </row>
    <row r="119" spans="2:31" ht="12.75" customHeight="1" x14ac:dyDescent="0.25">
      <c r="B119" s="21" t="s">
        <v>3</v>
      </c>
      <c r="C119" s="95">
        <f>Annual_sorted!H243</f>
        <v>1.67668286756954</v>
      </c>
      <c r="D119" s="29">
        <f>IF(C119-Table_14634578112172243[Burundi]&gt;0, C119-Table_14634578112172243[Burundi], 0)</f>
        <v>2.7693892564847928</v>
      </c>
      <c r="E119" s="29">
        <f>IF(C119-Table_14634578112172243[DRC]&gt;0, C119-Table_14634578112172243[DRC], 0)</f>
        <v>0</v>
      </c>
      <c r="F119" s="29">
        <f>IF(C119-Table_14634578112172243[Egypt]&gt;0, C119-Table_14634578112172243[Egypt], 0)</f>
        <v>0</v>
      </c>
      <c r="G119" s="29">
        <f>IF(C119-Table_14634578112172243[Eritrea]&gt;0, C119-Table_14634578112172243[Eritrea], 0)</f>
        <v>0</v>
      </c>
      <c r="H119" s="29">
        <f>IF(C119-Table_14634578112172243[Ethiopia]&gt;0, C119-Table_14634578112172243[Ethiopia], 0)</f>
        <v>56.486389931067222</v>
      </c>
      <c r="I119" s="29">
        <f>IF(C119-Table_14634578112172243[Kenya]&gt;0, C119-Table_14634578112172243[Kenya], 0)</f>
        <v>16.886936429826505</v>
      </c>
      <c r="J119" s="29">
        <f>IF(C119-Table_14634578112172243[Rwanda]&gt;0, C119-Table_14634578112172243[Rwanda], 0)</f>
        <v>4.3570325405853216</v>
      </c>
      <c r="K119" s="29">
        <f>IF(C119-Table_14634578112172243[Sudan]&gt;0, C119-Table_14634578112172243[Sudan], 0)</f>
        <v>0</v>
      </c>
      <c r="L119" s="29">
        <f>IF(C119-Table_14634578112172243[S. Sudan]&gt;0, C119-Table_14634578112172243[S. Sudan], 0)</f>
        <v>0</v>
      </c>
      <c r="M119" s="29">
        <f>IF(C119-Table_14634578112172243[Tanzania]&gt;0, C119-Table_14634578112172243[Tanzania], 0)</f>
        <v>40.277648661830604</v>
      </c>
      <c r="N119" s="29">
        <f>IF(C119-Table_14634578112172243[Uganda]&gt;0, C119-Table_14634578112172243[Uganda], 0)</f>
        <v>7.9486740149019086</v>
      </c>
      <c r="P119" s="21" t="s">
        <v>4</v>
      </c>
      <c r="Q119" s="97">
        <f t="shared" si="14"/>
        <v>-3.167779186173861E-3</v>
      </c>
      <c r="R119" s="97">
        <f t="shared" si="13"/>
        <v>-3.167779186173861E-3</v>
      </c>
      <c r="S119" s="97">
        <f t="shared" si="13"/>
        <v>-3.167779186173861E-3</v>
      </c>
      <c r="T119" s="97">
        <f t="shared" si="13"/>
        <v>-3.167779186173861E-3</v>
      </c>
      <c r="U119" s="97">
        <f t="shared" si="13"/>
        <v>-3.167779186173861E-3</v>
      </c>
      <c r="V119" s="97">
        <f t="shared" si="13"/>
        <v>-3.167779186173861E-3</v>
      </c>
      <c r="W119" s="97">
        <f t="shared" si="13"/>
        <v>-3.167779186173861E-3</v>
      </c>
      <c r="X119" s="97">
        <f t="shared" si="13"/>
        <v>-3.167779186173861E-3</v>
      </c>
      <c r="Y119" s="97">
        <f t="shared" si="13"/>
        <v>-3.167779186173861E-3</v>
      </c>
      <c r="Z119" s="97">
        <f t="shared" si="13"/>
        <v>-3.167779186173861E-3</v>
      </c>
      <c r="AA119" s="97">
        <f t="shared" si="13"/>
        <v>-3.167779186173861E-3</v>
      </c>
    </row>
    <row r="120" spans="2:31" ht="12.75" customHeight="1" x14ac:dyDescent="0.25">
      <c r="B120" s="21" t="s">
        <v>4</v>
      </c>
      <c r="C120" s="95">
        <f>Annual_sorted!H244</f>
        <v>-54.809707063497683</v>
      </c>
      <c r="D120" s="29">
        <f>IF(C120-Table_14634578112172243[Burundi]&gt;0, C120-Table_14634578112172243[Burundi], 0)</f>
        <v>0</v>
      </c>
      <c r="E120" s="29">
        <f>IF(C120-Table_14634578112172243[DRC]&gt;0, C120-Table_14634578112172243[DRC], 0)</f>
        <v>0</v>
      </c>
      <c r="F120" s="29">
        <f>IF(C120-Table_14634578112172243[Egypt]&gt;0, C120-Table_14634578112172243[Egypt], 0)</f>
        <v>0</v>
      </c>
      <c r="G120" s="29">
        <f>IF(C120-Table_14634578112172243[Eritrea]&gt;0, C120-Table_14634578112172243[Eritrea], 0)</f>
        <v>0</v>
      </c>
      <c r="H120" s="29">
        <f>IF(C120-Table_14634578112172243[Ethiopia]&gt;0, C120-Table_14634578112172243[Ethiopia], 0)</f>
        <v>0</v>
      </c>
      <c r="I120" s="29">
        <f>IF(C120-Table_14634578112172243[Kenya]&gt;0, C120-Table_14634578112172243[Kenya], 0)</f>
        <v>0</v>
      </c>
      <c r="J120" s="29">
        <f>IF(C120-Table_14634578112172243[Rwanda]&gt;0, C120-Table_14634578112172243[Rwanda], 0)</f>
        <v>0</v>
      </c>
      <c r="K120" s="29">
        <f>IF(C120-Table_14634578112172243[Sudan]&gt;0, C120-Table_14634578112172243[Sudan], 0)</f>
        <v>0</v>
      </c>
      <c r="L120" s="29">
        <f>IF(C120-Table_14634578112172243[S. Sudan]&gt;0, C120-Table_14634578112172243[S. Sudan], 0)</f>
        <v>0</v>
      </c>
      <c r="M120" s="29">
        <f>IF(C120-Table_14634578112172243[Tanzania]&gt;0, C120-Table_14634578112172243[Tanzania], 0)</f>
        <v>0</v>
      </c>
      <c r="N120" s="29">
        <f>IF(C120-Table_14634578112172243[Uganda]&gt;0, C120-Table_14634578112172243[Uganda], 0)</f>
        <v>0</v>
      </c>
      <c r="P120" s="21" t="s">
        <v>5</v>
      </c>
      <c r="Q120" s="97">
        <f t="shared" si="14"/>
        <v>-3.167779186173861E-3</v>
      </c>
      <c r="R120" s="97">
        <f t="shared" si="13"/>
        <v>-3.167779186173861E-3</v>
      </c>
      <c r="S120" s="97">
        <f t="shared" si="13"/>
        <v>-3.167779186173861E-3</v>
      </c>
      <c r="T120" s="97">
        <f t="shared" si="13"/>
        <v>-3.167779186173861E-3</v>
      </c>
      <c r="U120" s="97">
        <f t="shared" si="13"/>
        <v>0.10078616294877757</v>
      </c>
      <c r="V120" s="97">
        <f t="shared" si="13"/>
        <v>-3.167779186173861E-3</v>
      </c>
      <c r="W120" s="97">
        <f t="shared" si="13"/>
        <v>-3.167779186173861E-3</v>
      </c>
      <c r="X120" s="97">
        <f t="shared" si="13"/>
        <v>-3.167779186173861E-3</v>
      </c>
      <c r="Y120" s="97">
        <f t="shared" si="13"/>
        <v>-3.167779186173861E-3</v>
      </c>
      <c r="Z120" s="97">
        <f t="shared" si="13"/>
        <v>5.8236016343097018E-2</v>
      </c>
      <c r="AA120" s="97">
        <f t="shared" si="13"/>
        <v>-3.167779186173861E-3</v>
      </c>
    </row>
    <row r="121" spans="2:31" ht="12.75" customHeight="1" x14ac:dyDescent="0.25">
      <c r="B121" s="21" t="s">
        <v>5</v>
      </c>
      <c r="C121" s="95">
        <f>Annual_sorted!H245</f>
        <v>-15.210253562256964</v>
      </c>
      <c r="D121" s="29">
        <f>IF(C121-Table_14634578112172243[Burundi]&gt;0, C121-Table_14634578112172243[Burundi], 0)</f>
        <v>0</v>
      </c>
      <c r="E121" s="29">
        <f>IF(C121-Table_14634578112172243[DRC]&gt;0, C121-Table_14634578112172243[DRC], 0)</f>
        <v>0</v>
      </c>
      <c r="F121" s="29">
        <f>IF(C121-Table_14634578112172243[Egypt]&gt;0, C121-Table_14634578112172243[Egypt], 0)</f>
        <v>0</v>
      </c>
      <c r="G121" s="29">
        <f>IF(C121-Table_14634578112172243[Eritrea]&gt;0, C121-Table_14634578112172243[Eritrea], 0)</f>
        <v>0</v>
      </c>
      <c r="H121" s="29">
        <f>IF(C121-Table_14634578112172243[Ethiopia]&gt;0, C121-Table_14634578112172243[Ethiopia], 0)</f>
        <v>39.599453501240717</v>
      </c>
      <c r="I121" s="29">
        <f>IF(C121-Table_14634578112172243[Kenya]&gt;0, C121-Table_14634578112172243[Kenya], 0)</f>
        <v>0</v>
      </c>
      <c r="J121" s="29">
        <f>IF(C121-Table_14634578112172243[Rwanda]&gt;0, C121-Table_14634578112172243[Rwanda], 0)</f>
        <v>0</v>
      </c>
      <c r="K121" s="29">
        <f>IF(C121-Table_14634578112172243[Sudan]&gt;0, C121-Table_14634578112172243[Sudan], 0)</f>
        <v>0</v>
      </c>
      <c r="L121" s="29">
        <f>IF(C121-Table_14634578112172243[S. Sudan]&gt;0, C121-Table_14634578112172243[S. Sudan], 0)</f>
        <v>0</v>
      </c>
      <c r="M121" s="29">
        <f>IF(C121-Table_14634578112172243[Tanzania]&gt;0, C121-Table_14634578112172243[Tanzania], 0)</f>
        <v>23.390712232004098</v>
      </c>
      <c r="N121" s="29">
        <f>IF(C121-Table_14634578112172243[Uganda]&gt;0, C121-Table_14634578112172243[Uganda], 0)</f>
        <v>0</v>
      </c>
      <c r="P121" s="21" t="s">
        <v>6</v>
      </c>
      <c r="Q121" s="97">
        <f t="shared" si="14"/>
        <v>-3.167779186173861E-3</v>
      </c>
      <c r="R121" s="97">
        <f t="shared" si="13"/>
        <v>-3.167779186173861E-3</v>
      </c>
      <c r="S121" s="97">
        <f t="shared" si="13"/>
        <v>-3.167779186173861E-3</v>
      </c>
      <c r="T121" s="97">
        <f t="shared" si="13"/>
        <v>-3.167779186173861E-3</v>
      </c>
      <c r="U121" s="97">
        <f t="shared" si="13"/>
        <v>0.13367886193054182</v>
      </c>
      <c r="V121" s="97">
        <f t="shared" si="13"/>
        <v>2.9724919795590377E-2</v>
      </c>
      <c r="W121" s="97">
        <f t="shared" si="13"/>
        <v>-3.167779186173861E-3</v>
      </c>
      <c r="X121" s="97">
        <f t="shared" si="13"/>
        <v>-3.167779186173861E-3</v>
      </c>
      <c r="Y121" s="97">
        <f t="shared" si="13"/>
        <v>-3.167779186173861E-3</v>
      </c>
      <c r="Z121" s="97">
        <f t="shared" si="13"/>
        <v>9.1128715324861262E-2</v>
      </c>
      <c r="AA121" s="97">
        <f t="shared" si="13"/>
        <v>6.2607673461387613E-3</v>
      </c>
    </row>
    <row r="122" spans="2:31" ht="12.75" customHeight="1" x14ac:dyDescent="0.25">
      <c r="B122" s="21" t="s">
        <v>6</v>
      </c>
      <c r="C122" s="95">
        <f>Annual_sorted!H246</f>
        <v>-2.6803496730157819</v>
      </c>
      <c r="D122" s="29">
        <f>IF(C122-Table_14634578112172243[Burundi]&gt;0, C122-Table_14634578112172243[Burundi], 0)</f>
        <v>0</v>
      </c>
      <c r="E122" s="29">
        <f>IF(C122-Table_14634578112172243[DRC]&gt;0, C122-Table_14634578112172243[DRC], 0)</f>
        <v>0</v>
      </c>
      <c r="F122" s="29">
        <f>IF(C122-Table_14634578112172243[Egypt]&gt;0, C122-Table_14634578112172243[Egypt], 0)</f>
        <v>0</v>
      </c>
      <c r="G122" s="29">
        <f>IF(C122-Table_14634578112172243[Eritrea]&gt;0, C122-Table_14634578112172243[Eritrea], 0)</f>
        <v>0</v>
      </c>
      <c r="H122" s="29">
        <f>IF(C122-Table_14634578112172243[Ethiopia]&gt;0, C122-Table_14634578112172243[Ethiopia], 0)</f>
        <v>52.1293573904819</v>
      </c>
      <c r="I122" s="29">
        <f>IF(C122-Table_14634578112172243[Kenya]&gt;0, C122-Table_14634578112172243[Kenya], 0)</f>
        <v>12.529903889241183</v>
      </c>
      <c r="J122" s="29">
        <f>IF(C122-Table_14634578112172243[Rwanda]&gt;0, C122-Table_14634578112172243[Rwanda], 0)</f>
        <v>0</v>
      </c>
      <c r="K122" s="29">
        <f>IF(C122-Table_14634578112172243[Sudan]&gt;0, C122-Table_14634578112172243[Sudan], 0)</f>
        <v>0</v>
      </c>
      <c r="L122" s="29">
        <f>IF(C122-Table_14634578112172243[S. Sudan]&gt;0, C122-Table_14634578112172243[S. Sudan], 0)</f>
        <v>0</v>
      </c>
      <c r="M122" s="29">
        <f>IF(C122-Table_14634578112172243[Tanzania]&gt;0, C122-Table_14634578112172243[Tanzania], 0)</f>
        <v>35.920616121245281</v>
      </c>
      <c r="N122" s="29">
        <f>IF(C122-Table_14634578112172243[Uganda]&gt;0, C122-Table_14634578112172243[Uganda], 0)</f>
        <v>3.5916414743165865</v>
      </c>
      <c r="P122" s="21" t="s">
        <v>7</v>
      </c>
      <c r="Q122" s="97">
        <f t="shared" si="14"/>
        <v>0.78633801410065784</v>
      </c>
      <c r="R122" s="97">
        <f t="shared" si="13"/>
        <v>0.77157316893659111</v>
      </c>
      <c r="S122" s="97">
        <f t="shared" si="13"/>
        <v>-3.167779186173861E-3</v>
      </c>
      <c r="T122" s="97">
        <f t="shared" si="13"/>
        <v>0.77906799128307647</v>
      </c>
      <c r="U122" s="97">
        <f t="shared" si="13"/>
        <v>0.92735243440354742</v>
      </c>
      <c r="V122" s="97">
        <f t="shared" si="13"/>
        <v>0.82339849226859596</v>
      </c>
      <c r="W122" s="97">
        <f t="shared" si="13"/>
        <v>0.79050579328683168</v>
      </c>
      <c r="X122" s="97">
        <f t="shared" si="13"/>
        <v>-3.167779186173861E-3</v>
      </c>
      <c r="Y122" s="97">
        <f>$AE$115+(L123-$AE$113)*($AE$116-$AE$115)/($AE$114-$AE$113)</f>
        <v>0.75598825680927018</v>
      </c>
      <c r="Z122" s="97">
        <f t="shared" si="13"/>
        <v>0.88480228779786685</v>
      </c>
      <c r="AA122" s="97">
        <f t="shared" si="13"/>
        <v>0.7999343398191443</v>
      </c>
    </row>
    <row r="123" spans="2:31" ht="12.75" customHeight="1" x14ac:dyDescent="0.25">
      <c r="B123" s="21" t="s">
        <v>7</v>
      </c>
      <c r="C123" s="95">
        <f>Annual_sorted!H247</f>
        <v>299.65584925157799</v>
      </c>
      <c r="D123" s="29">
        <f>IF(C123-Table_14634578112172243[Burundi]&gt;0, C123-Table_14634578112172243[Burundi], 0)</f>
        <v>300.74855564049324</v>
      </c>
      <c r="E123" s="29">
        <f>IF(C123-Table_14634578112172243[DRC]&gt;0, C123-Table_14634578112172243[DRC], 0)</f>
        <v>295.12414364110549</v>
      </c>
      <c r="F123" s="29">
        <f>IF(C123-Table_14634578112172243[Egypt]&gt;0, C123-Table_14634578112172243[Egypt], 0)</f>
        <v>0</v>
      </c>
      <c r="G123" s="29">
        <f>IF(C123-Table_14634578112172243[Eritrea]&gt;0, C123-Table_14634578112172243[Eritrea], 0)</f>
        <v>297.97916638400847</v>
      </c>
      <c r="H123" s="29">
        <f>IF(C123-Table_14634578112172243[Ethiopia]&gt;0, C123-Table_14634578112172243[Ethiopia], 0)</f>
        <v>354.46555631507567</v>
      </c>
      <c r="I123" s="29">
        <f>IF(C123-Table_14634578112172243[Kenya]&gt;0, C123-Table_14634578112172243[Kenya], 0)</f>
        <v>314.86610281383497</v>
      </c>
      <c r="J123" s="29">
        <f>IF(C123-Table_14634578112172243[Rwanda]&gt;0, C123-Table_14634578112172243[Rwanda], 0)</f>
        <v>302.33619892459376</v>
      </c>
      <c r="K123" s="29">
        <f>IF(C123-Table_14634578112172243[Sudan]&gt;0, C123-Table_14634578112172243[Sudan], 0)</f>
        <v>0</v>
      </c>
      <c r="L123" s="29">
        <f>IF(C123-Table_14634578112172243[S. Sudan]&gt;0, C123-Table_14634578112172243[S. Sudan], 0)</f>
        <v>289.18734133777787</v>
      </c>
      <c r="M123" s="29">
        <f>IF(C123-Table_14634578112172243[Tanzania]&gt;0, C123-Table_14634578112172243[Tanzania], 0)</f>
        <v>338.25681504583906</v>
      </c>
      <c r="N123" s="29">
        <f>IF(C123-Table_14634578112172243[Uganda]&gt;0, C123-Table_14634578112172243[Uganda], 0)</f>
        <v>305.92784039891035</v>
      </c>
      <c r="P123" s="21" t="s">
        <v>8</v>
      </c>
      <c r="Q123" s="97">
        <f t="shared" si="14"/>
        <v>2.7181978105213739E-2</v>
      </c>
      <c r="R123" s="97">
        <f t="shared" si="13"/>
        <v>1.2417132941146995E-2</v>
      </c>
      <c r="S123" s="97">
        <f t="shared" si="13"/>
        <v>-3.167779186173861E-3</v>
      </c>
      <c r="T123" s="97">
        <f t="shared" si="13"/>
        <v>1.9911955287632271E-2</v>
      </c>
      <c r="U123" s="97">
        <f t="shared" si="13"/>
        <v>0.16819639840810324</v>
      </c>
      <c r="V123" s="97">
        <f t="shared" si="13"/>
        <v>6.4242456273151824E-2</v>
      </c>
      <c r="W123" s="97">
        <f t="shared" si="13"/>
        <v>3.1349757291387594E-2</v>
      </c>
      <c r="X123" s="97">
        <f t="shared" si="13"/>
        <v>-3.167779186173861E-3</v>
      </c>
      <c r="Y123" s="97">
        <f t="shared" si="13"/>
        <v>-3.167779186173861E-3</v>
      </c>
      <c r="Z123" s="97">
        <f t="shared" si="13"/>
        <v>0.12564625180242273</v>
      </c>
      <c r="AA123" s="97">
        <f t="shared" si="13"/>
        <v>4.0778303823700221E-2</v>
      </c>
    </row>
    <row r="124" spans="2:31" ht="12.75" customHeight="1" x14ac:dyDescent="0.25">
      <c r="B124" s="21" t="s">
        <v>8</v>
      </c>
      <c r="C124" s="95">
        <f>Annual_sorted!H248</f>
        <v>10.468507913800099</v>
      </c>
      <c r="D124" s="29">
        <f>IF(C124-Table_14634578112172243[Burundi]&gt;0, C124-Table_14634578112172243[Burundi], 0)</f>
        <v>11.561214302715353</v>
      </c>
      <c r="E124" s="29">
        <f>IF(C124-Table_14634578112172243[DRC]&gt;0, C124-Table_14634578112172243[DRC], 0)</f>
        <v>5.9368023033276094</v>
      </c>
      <c r="F124" s="29">
        <f>IF(C124-Table_14634578112172243[Egypt]&gt;0, C124-Table_14634578112172243[Egypt], 0)</f>
        <v>0</v>
      </c>
      <c r="G124" s="29">
        <f>IF(C124-Table_14634578112172243[Eritrea]&gt;0, C124-Table_14634578112172243[Eritrea], 0)</f>
        <v>8.79182504623056</v>
      </c>
      <c r="H124" s="29">
        <f>IF(C124-Table_14634578112172243[Ethiopia]&gt;0, C124-Table_14634578112172243[Ethiopia], 0)</f>
        <v>65.278214977297779</v>
      </c>
      <c r="I124" s="29">
        <f>IF(C124-Table_14634578112172243[Kenya]&gt;0, C124-Table_14634578112172243[Kenya], 0)</f>
        <v>25.678761476057062</v>
      </c>
      <c r="J124" s="29">
        <f>IF(C124-Table_14634578112172243[Rwanda]&gt;0, C124-Table_14634578112172243[Rwanda], 0)</f>
        <v>13.148857586815881</v>
      </c>
      <c r="K124" s="29">
        <f>IF(C124-Table_14634578112172243[Sudan]&gt;0, C124-Table_14634578112172243[Sudan], 0)</f>
        <v>0</v>
      </c>
      <c r="L124" s="29">
        <f>IF(C124-Table_14634578112172243[S. Sudan]&gt;0, C124-Table_14634578112172243[S. Sudan], 0)</f>
        <v>0</v>
      </c>
      <c r="M124" s="29">
        <f>IF(C124-Table_14634578112172243[Tanzania]&gt;0, C124-Table_14634578112172243[Tanzania], 0)</f>
        <v>49.069473708061167</v>
      </c>
      <c r="N124" s="29">
        <f>IF(C124-Table_14634578112172243[Uganda]&gt;0, C124-Table_14634578112172243[Uganda], 0)</f>
        <v>16.740499061132468</v>
      </c>
      <c r="P124" s="21" t="s">
        <v>9</v>
      </c>
      <c r="Q124" s="97">
        <f t="shared" si="14"/>
        <v>-3.167779186173861E-3</v>
      </c>
      <c r="R124" s="97">
        <f t="shared" si="13"/>
        <v>-3.167779186173861E-3</v>
      </c>
      <c r="S124" s="97">
        <f t="shared" si="13"/>
        <v>-3.167779186173861E-3</v>
      </c>
      <c r="T124" s="97">
        <f t="shared" si="13"/>
        <v>-3.167779186173861E-3</v>
      </c>
      <c r="U124" s="97">
        <f t="shared" si="13"/>
        <v>3.9382367419506695E-2</v>
      </c>
      <c r="V124" s="97">
        <f t="shared" si="13"/>
        <v>-3.167779186173861E-3</v>
      </c>
      <c r="W124" s="97">
        <f t="shared" si="13"/>
        <v>-3.167779186173861E-3</v>
      </c>
      <c r="X124" s="97">
        <f t="shared" si="13"/>
        <v>-3.167779186173861E-3</v>
      </c>
      <c r="Y124" s="97">
        <f t="shared" si="13"/>
        <v>-3.167779186173861E-3</v>
      </c>
      <c r="Z124" s="97">
        <f t="shared" si="13"/>
        <v>-3.167779186173861E-3</v>
      </c>
      <c r="AA124" s="97">
        <f t="shared" si="13"/>
        <v>-3.167779186173861E-3</v>
      </c>
    </row>
    <row r="125" spans="2:31" ht="12.75" customHeight="1" thickBot="1" x14ac:dyDescent="0.3">
      <c r="B125" s="21" t="s">
        <v>9</v>
      </c>
      <c r="C125" s="95">
        <f>Annual_sorted!H249</f>
        <v>-38.600965794261064</v>
      </c>
      <c r="D125" s="29">
        <f>IF(C125-Table_14634578112172243[Burundi]&gt;0, C125-Table_14634578112172243[Burundi], 0)</f>
        <v>0</v>
      </c>
      <c r="E125" s="29">
        <f>IF(C125-Table_14634578112172243[DRC]&gt;0, C125-Table_14634578112172243[DRC], 0)</f>
        <v>0</v>
      </c>
      <c r="F125" s="29">
        <f>IF(C125-Table_14634578112172243[Egypt]&gt;0, C125-Table_14634578112172243[Egypt], 0)</f>
        <v>0</v>
      </c>
      <c r="G125" s="29">
        <f>IF(C125-Table_14634578112172243[Eritrea]&gt;0, C125-Table_14634578112172243[Eritrea], 0)</f>
        <v>0</v>
      </c>
      <c r="H125" s="29">
        <f>IF(C125-Table_14634578112172243[Ethiopia]&gt;0, C125-Table_14634578112172243[Ethiopia], 0)</f>
        <v>16.208741269236619</v>
      </c>
      <c r="I125" s="29">
        <f>IF(C125-Table_14634578112172243[Kenya]&gt;0, C125-Table_14634578112172243[Kenya], 0)</f>
        <v>0</v>
      </c>
      <c r="J125" s="29">
        <f>IF(C125-Table_14634578112172243[Rwanda]&gt;0, C125-Table_14634578112172243[Rwanda], 0)</f>
        <v>0</v>
      </c>
      <c r="K125" s="29">
        <f>IF(C125-Table_14634578112172243[Sudan]&gt;0, C125-Table_14634578112172243[Sudan], 0)</f>
        <v>0</v>
      </c>
      <c r="L125" s="29">
        <f>IF(C125-Table_14634578112172243[S. Sudan]&gt;0, C125-Table_14634578112172243[S. Sudan], 0)</f>
        <v>0</v>
      </c>
      <c r="M125" s="29">
        <f>IF(C125-Table_14634578112172243[Tanzania]&gt;0, C125-Table_14634578112172243[Tanzania], 0)</f>
        <v>0</v>
      </c>
      <c r="N125" s="29">
        <f>IF(C125-Table_14634578112172243[Uganda]&gt;0, C125-Table_14634578112172243[Uganda], 0)</f>
        <v>0</v>
      </c>
      <c r="P125" s="22" t="s">
        <v>10</v>
      </c>
      <c r="Q125" s="98">
        <f t="shared" si="14"/>
        <v>-3.167779186173861E-3</v>
      </c>
      <c r="R125" s="98">
        <f t="shared" si="13"/>
        <v>-3.167779186173861E-3</v>
      </c>
      <c r="S125" s="98">
        <f t="shared" si="13"/>
        <v>-3.167779186173861E-3</v>
      </c>
      <c r="T125" s="98">
        <f t="shared" si="13"/>
        <v>-3.167779186173861E-3</v>
      </c>
      <c r="U125" s="98">
        <f t="shared" si="13"/>
        <v>0.12425031539822919</v>
      </c>
      <c r="V125" s="98">
        <f t="shared" si="13"/>
        <v>2.0296373263277757E-2</v>
      </c>
      <c r="W125" s="98">
        <f t="shared" si="13"/>
        <v>-3.167779186173861E-3</v>
      </c>
      <c r="X125" s="98">
        <f t="shared" si="13"/>
        <v>-3.167779186173861E-3</v>
      </c>
      <c r="Y125" s="98">
        <f t="shared" si="13"/>
        <v>-3.167779186173861E-3</v>
      </c>
      <c r="Z125" s="98">
        <f t="shared" si="13"/>
        <v>8.1700168792548641E-2</v>
      </c>
      <c r="AA125" s="98">
        <f t="shared" si="13"/>
        <v>-3.167779186173861E-3</v>
      </c>
    </row>
    <row r="126" spans="2:31" ht="12.75" customHeight="1" thickBot="1" x14ac:dyDescent="0.3">
      <c r="B126" s="22" t="s">
        <v>10</v>
      </c>
      <c r="C126" s="96">
        <f>Annual_sorted!H250</f>
        <v>-6.2719911473323684</v>
      </c>
      <c r="D126" s="32">
        <f>IF(C126-Table_14634578112172243[Burundi]&gt;0, C126-Table_14634578112172243[Burundi], 0)</f>
        <v>0</v>
      </c>
      <c r="E126" s="32">
        <f>IF(C126-Table_14634578112172243[DRC]&gt;0, C126-Table_14634578112172243[DRC], 0)</f>
        <v>0</v>
      </c>
      <c r="F126" s="32">
        <f>IF(C126-Table_14634578112172243[Egypt]&gt;0, C126-Table_14634578112172243[Egypt], 0)</f>
        <v>0</v>
      </c>
      <c r="G126" s="32">
        <f>IF(C126-Table_14634578112172243[Eritrea]&gt;0, C126-Table_14634578112172243[Eritrea], 0)</f>
        <v>0</v>
      </c>
      <c r="H126" s="32">
        <f>IF(C126-Table_14634578112172243[Ethiopia]&gt;0, C126-Table_14634578112172243[Ethiopia], 0)</f>
        <v>48.537715916165311</v>
      </c>
      <c r="I126" s="32">
        <f>IF(C126-Table_14634578112172243[Kenya]&gt;0, C126-Table_14634578112172243[Kenya], 0)</f>
        <v>8.9382624149245959</v>
      </c>
      <c r="J126" s="32">
        <f>IF(C126-Table_14634578112172243[Rwanda]&gt;0, C126-Table_14634578112172243[Rwanda], 0)</f>
        <v>0</v>
      </c>
      <c r="K126" s="32">
        <f>IF(C126-Table_14634578112172243[Sudan]&gt;0, C126-Table_14634578112172243[Sudan], 0)</f>
        <v>0</v>
      </c>
      <c r="L126" s="32">
        <f>IF(C126-Table_14634578112172243[S. Sudan]&gt;0, C126-Table_14634578112172243[S. Sudan], 0)</f>
        <v>0</v>
      </c>
      <c r="M126" s="32">
        <f>IF(C126-Table_14634578112172243[Tanzania]&gt;0, C126-Table_14634578112172243[Tanzania], 0)</f>
        <v>32.3289746469287</v>
      </c>
      <c r="N126" s="32">
        <f>IF(C126-Table_14634578112172243[Uganda]&gt;0, C126-Table_14634578112172243[Uganda], 0)</f>
        <v>0</v>
      </c>
      <c r="Z126" s="186"/>
    </row>
    <row r="127" spans="2:31" ht="12.75" customHeight="1" x14ac:dyDescent="0.25"/>
    <row r="128" spans="2:31" ht="12.75" customHeight="1" x14ac:dyDescent="0.25"/>
    <row r="129" spans="2:31" ht="12.75" customHeight="1" x14ac:dyDescent="0.25">
      <c r="P129" s="5"/>
      <c r="Q129" s="5"/>
      <c r="R129" s="5"/>
      <c r="S129" s="5"/>
      <c r="T129" s="5"/>
      <c r="U129" s="5"/>
      <c r="V129" s="5"/>
      <c r="W129" s="5"/>
      <c r="X129" s="5"/>
      <c r="Y129" s="5"/>
      <c r="Z129" s="5"/>
      <c r="AA129" s="5"/>
    </row>
    <row r="130" spans="2:31" ht="12.75" customHeight="1" x14ac:dyDescent="0.25">
      <c r="B130" s="5"/>
      <c r="C130" s="5"/>
      <c r="D130" s="5"/>
      <c r="E130" s="5"/>
      <c r="F130" s="5"/>
      <c r="G130" s="5"/>
      <c r="H130" s="5"/>
      <c r="I130" s="5"/>
      <c r="J130" s="5"/>
      <c r="K130" s="5"/>
      <c r="L130" s="5"/>
      <c r="M130" s="5"/>
      <c r="N130" s="5"/>
      <c r="P130" s="5"/>
      <c r="Q130" s="5"/>
      <c r="R130" s="5"/>
      <c r="S130" s="5"/>
      <c r="T130" s="5"/>
      <c r="U130" s="5"/>
      <c r="V130" s="5"/>
      <c r="W130" s="5"/>
      <c r="X130" s="5"/>
      <c r="Y130" s="5"/>
      <c r="Z130" s="5"/>
      <c r="AA130" s="5"/>
    </row>
    <row r="131" spans="2:31" ht="12.75" customHeight="1" thickBot="1" x14ac:dyDescent="0.3">
      <c r="B131" s="253" t="s">
        <v>89</v>
      </c>
      <c r="C131" s="253"/>
      <c r="D131" s="253"/>
      <c r="E131" s="253"/>
      <c r="F131" s="253"/>
      <c r="G131" s="253"/>
      <c r="H131" s="253"/>
      <c r="I131" s="253"/>
      <c r="J131" s="253"/>
      <c r="K131" s="253"/>
      <c r="L131" s="253"/>
      <c r="M131" s="253"/>
      <c r="N131" s="253"/>
      <c r="P131" s="253" t="s">
        <v>90</v>
      </c>
      <c r="Q131" s="253"/>
      <c r="R131" s="253"/>
      <c r="S131" s="253"/>
      <c r="T131" s="253"/>
      <c r="U131" s="253"/>
      <c r="V131" s="253"/>
      <c r="W131" s="253"/>
      <c r="X131" s="253"/>
      <c r="Y131" s="253"/>
      <c r="Z131" s="253"/>
      <c r="AA131" s="253"/>
      <c r="AB131" s="10"/>
      <c r="AC131" s="3" t="s">
        <v>22</v>
      </c>
      <c r="AD131" s="13" t="s">
        <v>23</v>
      </c>
      <c r="AE131" s="74">
        <f t="array" ref="AE131">MIN(IF(D134:N144&gt;0,D134:N144))</f>
        <v>2.1787614760570637</v>
      </c>
    </row>
    <row r="132" spans="2:31" ht="12.75" customHeight="1" thickBot="1" x14ac:dyDescent="0.3">
      <c r="B132" s="75" t="s">
        <v>13</v>
      </c>
      <c r="C132" s="66" t="s">
        <v>14</v>
      </c>
      <c r="D132" s="67" t="s">
        <v>1</v>
      </c>
      <c r="E132" s="67" t="s">
        <v>195</v>
      </c>
      <c r="F132" s="67" t="s">
        <v>2</v>
      </c>
      <c r="G132" s="67" t="s">
        <v>3</v>
      </c>
      <c r="H132" s="67" t="s">
        <v>4</v>
      </c>
      <c r="I132" s="67" t="s">
        <v>5</v>
      </c>
      <c r="J132" s="67" t="s">
        <v>6</v>
      </c>
      <c r="K132" s="67" t="s">
        <v>7</v>
      </c>
      <c r="L132" s="67" t="s">
        <v>295</v>
      </c>
      <c r="M132" s="67" t="s">
        <v>9</v>
      </c>
      <c r="N132" s="67" t="s">
        <v>10</v>
      </c>
      <c r="P132" s="76" t="s">
        <v>19</v>
      </c>
      <c r="Q132" s="77" t="s">
        <v>1</v>
      </c>
      <c r="R132" s="77" t="s">
        <v>195</v>
      </c>
      <c r="S132" s="77" t="s">
        <v>2</v>
      </c>
      <c r="T132" s="77" t="s">
        <v>3</v>
      </c>
      <c r="U132" s="77" t="s">
        <v>4</v>
      </c>
      <c r="V132" s="77" t="s">
        <v>5</v>
      </c>
      <c r="W132" s="77" t="s">
        <v>6</v>
      </c>
      <c r="X132" s="77" t="s">
        <v>7</v>
      </c>
      <c r="Y132" s="77" t="s">
        <v>295</v>
      </c>
      <c r="Z132" s="77" t="s">
        <v>9</v>
      </c>
      <c r="AA132" s="77" t="s">
        <v>10</v>
      </c>
      <c r="AB132" s="254" t="s">
        <v>26</v>
      </c>
      <c r="AC132" s="254"/>
      <c r="AD132" s="13" t="s">
        <v>24</v>
      </c>
      <c r="AE132" s="20">
        <f>MAX(D134:N144)</f>
        <v>325.6393879825697</v>
      </c>
    </row>
    <row r="133" spans="2:31" ht="12.75" customHeight="1" x14ac:dyDescent="0.25">
      <c r="B133" s="93"/>
      <c r="C133" s="94" t="s">
        <v>264</v>
      </c>
      <c r="D133" s="95">
        <f>C134</f>
        <v>-1.0927063889152526</v>
      </c>
      <c r="E133" s="95">
        <f>C135</f>
        <v>4.53170561047249</v>
      </c>
      <c r="F133" s="95">
        <f>C136</f>
        <v>270.82968091907202</v>
      </c>
      <c r="G133" s="95">
        <f>C137</f>
        <v>1.67668286756954</v>
      </c>
      <c r="H133" s="95">
        <f>C138</f>
        <v>-54.809707063497683</v>
      </c>
      <c r="I133" s="95">
        <f>C139</f>
        <v>-15.210253562256964</v>
      </c>
      <c r="J133" s="95">
        <f>C140</f>
        <v>-6.4803496730157821</v>
      </c>
      <c r="K133" s="95">
        <f>C141</f>
        <v>265.85584925157798</v>
      </c>
      <c r="L133" s="95">
        <f>C142</f>
        <v>-13.031492086199901</v>
      </c>
      <c r="M133" s="95">
        <f>C143</f>
        <v>-38.600965794261064</v>
      </c>
      <c r="N133" s="95">
        <f>C144</f>
        <v>-27.371991147332373</v>
      </c>
      <c r="P133" s="21" t="s">
        <v>1</v>
      </c>
      <c r="Q133" s="97">
        <f>$AE$133+(D134-$AE$131)*($AE$134-$AE$133)/($AE$132-$AE$131)</f>
        <v>-5.7290499560606724E-3</v>
      </c>
      <c r="R133" s="97">
        <f t="shared" ref="R133:AA143" si="15">$AE$133+(E134-$AE$131)*($AE$134-$AE$133)/($AE$132-$AE$131)</f>
        <v>-5.7290499560606724E-3</v>
      </c>
      <c r="S133" s="97">
        <f t="shared" si="15"/>
        <v>-5.7290499560606724E-3</v>
      </c>
      <c r="T133" s="97">
        <f t="shared" si="15"/>
        <v>-5.7290499560606724E-3</v>
      </c>
      <c r="U133" s="97">
        <f t="shared" si="15"/>
        <v>0.16017455399564742</v>
      </c>
      <c r="V133" s="97">
        <f t="shared" si="15"/>
        <v>3.7872638999069105E-2</v>
      </c>
      <c r="W133" s="97">
        <f t="shared" si="15"/>
        <v>1.0910550662248466E-2</v>
      </c>
      <c r="X133" s="97">
        <f t="shared" si="15"/>
        <v>-5.7290499560606724E-3</v>
      </c>
      <c r="Y133" s="97">
        <f t="shared" si="15"/>
        <v>3.1143589043008426E-2</v>
      </c>
      <c r="Z133" s="97">
        <f t="shared" si="15"/>
        <v>0.11011426473307977</v>
      </c>
      <c r="AA133" s="97">
        <f t="shared" si="15"/>
        <v>7.5433859289495114E-2</v>
      </c>
      <c r="AD133" s="3" t="s">
        <v>25</v>
      </c>
      <c r="AE133" s="2">
        <v>1E-3</v>
      </c>
    </row>
    <row r="134" spans="2:31" ht="12.75" customHeight="1" x14ac:dyDescent="0.25">
      <c r="B134" s="21" t="s">
        <v>1</v>
      </c>
      <c r="C134" s="95">
        <f>Annual_sorted!I240</f>
        <v>-1.0927063889152526</v>
      </c>
      <c r="D134" s="29">
        <f>IF(C134-Table_146345781129182142[Burundi]&gt;0, C134-Table_146345781129182142[Burundi], 0)</f>
        <v>0</v>
      </c>
      <c r="E134" s="29">
        <f>IF(C134-Table_146345781129182142[DRC]&gt;0, C134-Table_146345781129182142[DRC], 0)</f>
        <v>0</v>
      </c>
      <c r="F134" s="29">
        <f>IF(C134-Table_146345781129182142[Egypt]&gt;0, C134-Table_146345781129182142[Egypt], 0)</f>
        <v>0</v>
      </c>
      <c r="G134" s="29">
        <f>IF(C134-Table_146345781129182142[Eritrea]&gt;0, C134-Table_146345781129182142[Eritrea], 0)</f>
        <v>0</v>
      </c>
      <c r="H134" s="29">
        <f>IF(C134-Table_146345781129182142[Ethiopia]&gt;0, C134-Table_146345781129182142[Ethiopia], 0)</f>
        <v>53.71700067458243</v>
      </c>
      <c r="I134" s="29">
        <f>IF(C134-Table_146345781129182142[Kenya]&gt;0, C134-Table_146345781129182142[Kenya], 0)</f>
        <v>14.117547173341713</v>
      </c>
      <c r="J134" s="29">
        <f>IF(C134-Table_146345781129182142[Rwanda]&gt;0, C134-Table_146345781129182142[Rwanda], 0)</f>
        <v>5.3876432841005295</v>
      </c>
      <c r="K134" s="29">
        <f>IF(C134-Table_146345781129182142[Sudan]&gt;0, C134-Table_146345781129182142[Sudan], 0)</f>
        <v>0</v>
      </c>
      <c r="L134" s="29">
        <f>IF(C134-Table_146345781129182142[S. Sudan]&gt;0, C134-Table_146345781129182142[S. Sudan], 0)</f>
        <v>11.938785697284647</v>
      </c>
      <c r="M134" s="29">
        <f>IF(C134-Table_146345781129182142[Tanzania]&gt;0, C134-Table_146345781129182142[Tanzania], 0)</f>
        <v>37.508259405345811</v>
      </c>
      <c r="N134" s="29">
        <f>IF(C134-Table_146345781129182142[Uganda]&gt;0, C134-Table_146345781129182142[Uganda], 0)</f>
        <v>26.27928475841712</v>
      </c>
      <c r="P134" s="21" t="s">
        <v>195</v>
      </c>
      <c r="Q134" s="97">
        <f t="shared" ref="Q134:Q143" si="16">$AE$133+(D135-$AE$131)*($AE$134-$AE$133)/($AE$132-$AE$131)</f>
        <v>1.1641804877410764E-2</v>
      </c>
      <c r="R134" s="97">
        <f t="shared" si="15"/>
        <v>-5.7290499560606724E-3</v>
      </c>
      <c r="S134" s="97">
        <f t="shared" si="15"/>
        <v>-5.7290499560606724E-3</v>
      </c>
      <c r="T134" s="97">
        <f t="shared" si="15"/>
        <v>3.0886158939206708E-3</v>
      </c>
      <c r="U134" s="97">
        <f t="shared" si="15"/>
        <v>0.17754540882911887</v>
      </c>
      <c r="V134" s="97">
        <f t="shared" si="15"/>
        <v>5.5243493832540534E-2</v>
      </c>
      <c r="W134" s="97">
        <f t="shared" si="15"/>
        <v>2.8281405495719909E-2</v>
      </c>
      <c r="X134" s="97">
        <f t="shared" si="15"/>
        <v>-5.7290499560606724E-3</v>
      </c>
      <c r="Y134" s="97">
        <f t="shared" si="15"/>
        <v>4.8514443876479865E-2</v>
      </c>
      <c r="Z134" s="97">
        <f t="shared" si="15"/>
        <v>0.12748511956655123</v>
      </c>
      <c r="AA134" s="97">
        <f t="shared" si="15"/>
        <v>9.280471412296655E-2</v>
      </c>
      <c r="AD134" s="3" t="s">
        <v>70</v>
      </c>
      <c r="AE134" s="2">
        <v>1</v>
      </c>
    </row>
    <row r="135" spans="2:31" ht="12.75" customHeight="1" x14ac:dyDescent="0.25">
      <c r="B135" s="21" t="s">
        <v>195</v>
      </c>
      <c r="C135" s="95">
        <f>Annual_sorted!I241</f>
        <v>4.53170561047249</v>
      </c>
      <c r="D135" s="29">
        <f>IF(C135-Table_146345781129182142[Burundi]&gt;0, C135-Table_146345781129182142[Burundi], 0)</f>
        <v>5.6244119993877426</v>
      </c>
      <c r="E135" s="29">
        <f>IF(C135-Table_146345781129182142[DRC]&gt;0, C135-Table_146345781129182142[DRC], 0)</f>
        <v>0</v>
      </c>
      <c r="F135" s="29">
        <f>IF(C135-Table_146345781129182142[Egypt]&gt;0, C135-Table_146345781129182142[Egypt], 0)</f>
        <v>0</v>
      </c>
      <c r="G135" s="29">
        <f>IF(C135-Table_146345781129182142[Eritrea]&gt;0, C135-Table_146345781129182142[Eritrea], 0)</f>
        <v>2.8550227429029498</v>
      </c>
      <c r="H135" s="29">
        <f>IF(C135-Table_146345781129182142[Ethiopia]&gt;0, C135-Table_146345781129182142[Ethiopia], 0)</f>
        <v>59.341412673970176</v>
      </c>
      <c r="I135" s="29">
        <f>IF(C135-Table_146345781129182142[Kenya]&gt;0, C135-Table_146345781129182142[Kenya], 0)</f>
        <v>19.741959172729455</v>
      </c>
      <c r="J135" s="29">
        <f>IF(C135-Table_146345781129182142[Rwanda]&gt;0, C135-Table_146345781129182142[Rwanda], 0)</f>
        <v>11.012055283488273</v>
      </c>
      <c r="K135" s="29">
        <f>IF(C135-Table_146345781129182142[Sudan]&gt;0, C135-Table_146345781129182142[Sudan], 0)</f>
        <v>0</v>
      </c>
      <c r="L135" s="29">
        <f>IF(C135-Table_146345781129182142[S. Sudan]&gt;0, C135-Table_146345781129182142[S. Sudan], 0)</f>
        <v>17.56319769667239</v>
      </c>
      <c r="M135" s="29">
        <f>IF(C135-Table_146345781129182142[Tanzania]&gt;0, C135-Table_146345781129182142[Tanzania], 0)</f>
        <v>43.132671404733557</v>
      </c>
      <c r="N135" s="29">
        <f>IF(C135-Table_146345781129182142[Uganda]&gt;0, C135-Table_146345781129182142[Uganda], 0)</f>
        <v>31.903696757804862</v>
      </c>
      <c r="P135" s="21" t="s">
        <v>2</v>
      </c>
      <c r="Q135" s="97">
        <f t="shared" si="16"/>
        <v>0.83409639604829178</v>
      </c>
      <c r="R135" s="97">
        <f t="shared" si="15"/>
        <v>0.81672554121482044</v>
      </c>
      <c r="S135" s="97">
        <f t="shared" si="15"/>
        <v>-5.7290499560606724E-3</v>
      </c>
      <c r="T135" s="97">
        <f t="shared" si="15"/>
        <v>0.82554320706480189</v>
      </c>
      <c r="U135" s="97">
        <f t="shared" si="15"/>
        <v>1</v>
      </c>
      <c r="V135" s="97">
        <f t="shared" si="15"/>
        <v>0.87769808500342172</v>
      </c>
      <c r="W135" s="97">
        <f t="shared" si="15"/>
        <v>0.85073599666660094</v>
      </c>
      <c r="X135" s="97">
        <f t="shared" si="15"/>
        <v>9.6325039044259618E-3</v>
      </c>
      <c r="Y135" s="97">
        <f t="shared" si="15"/>
        <v>0.8709690350473609</v>
      </c>
      <c r="Z135" s="97">
        <f t="shared" si="15"/>
        <v>0.94993971073743233</v>
      </c>
      <c r="AA135" s="97">
        <f t="shared" si="15"/>
        <v>0.91525930529384769</v>
      </c>
    </row>
    <row r="136" spans="2:31" ht="12.75" customHeight="1" x14ac:dyDescent="0.25">
      <c r="B136" s="21" t="s">
        <v>2</v>
      </c>
      <c r="C136" s="95">
        <f>Annual_sorted!I242</f>
        <v>270.82968091907202</v>
      </c>
      <c r="D136" s="29">
        <f>IF(C136-Table_146345781129182142[Burundi]&gt;0, C136-Table_146345781129182142[Burundi], 0)</f>
        <v>271.92238730798726</v>
      </c>
      <c r="E136" s="29">
        <f>IF(C136-Table_146345781129182142[DRC]&gt;0, C136-Table_146345781129182142[DRC], 0)</f>
        <v>266.29797530859952</v>
      </c>
      <c r="F136" s="29">
        <f>IF(C136-Table_146345781129182142[Egypt]&gt;0, C136-Table_146345781129182142[Egypt], 0)</f>
        <v>0</v>
      </c>
      <c r="G136" s="29">
        <f>IF(C136-Table_146345781129182142[Eritrea]&gt;0, C136-Table_146345781129182142[Eritrea], 0)</f>
        <v>269.15299805150249</v>
      </c>
      <c r="H136" s="29">
        <f>IF(C136-Table_146345781129182142[Ethiopia]&gt;0, C136-Table_146345781129182142[Ethiopia], 0)</f>
        <v>325.6393879825697</v>
      </c>
      <c r="I136" s="29">
        <f>IF(C136-Table_146345781129182142[Kenya]&gt;0, C136-Table_146345781129182142[Kenya], 0)</f>
        <v>286.039934481329</v>
      </c>
      <c r="J136" s="29">
        <f>IF(C136-Table_146345781129182142[Rwanda]&gt;0, C136-Table_146345781129182142[Rwanda], 0)</f>
        <v>277.3100305920878</v>
      </c>
      <c r="K136" s="29">
        <f>IF(C136-Table_146345781129182142[Sudan]&gt;0, C136-Table_146345781129182142[Sudan], 0)</f>
        <v>4.9738316674940393</v>
      </c>
      <c r="L136" s="29">
        <f>IF(C136-Table_146345781129182142[S. Sudan]&gt;0, C136-Table_146345781129182142[S. Sudan], 0)</f>
        <v>283.86117300527189</v>
      </c>
      <c r="M136" s="29">
        <f>IF(C136-Table_146345781129182142[Tanzania]&gt;0, C136-Table_146345781129182142[Tanzania], 0)</f>
        <v>309.43064671333309</v>
      </c>
      <c r="N136" s="29">
        <f>IF(C136-Table_146345781129182142[Uganda]&gt;0, C136-Table_146345781129182142[Uganda], 0)</f>
        <v>298.2016720664044</v>
      </c>
      <c r="P136" s="21" t="s">
        <v>3</v>
      </c>
      <c r="Q136" s="97">
        <f t="shared" si="16"/>
        <v>2.8241390274294214E-3</v>
      </c>
      <c r="R136" s="97">
        <f t="shared" si="15"/>
        <v>-5.7290499560606724E-3</v>
      </c>
      <c r="S136" s="97">
        <f t="shared" si="15"/>
        <v>-5.7290499560606724E-3</v>
      </c>
      <c r="T136" s="97">
        <f t="shared" si="15"/>
        <v>-5.7290499560606724E-3</v>
      </c>
      <c r="U136" s="97">
        <f t="shared" si="15"/>
        <v>0.16872774297913753</v>
      </c>
      <c r="V136" s="97">
        <f t="shared" si="15"/>
        <v>4.6425827982559204E-2</v>
      </c>
      <c r="W136" s="97">
        <f t="shared" si="15"/>
        <v>1.9463739645738557E-2</v>
      </c>
      <c r="X136" s="97">
        <f t="shared" si="15"/>
        <v>-5.7290499560606724E-3</v>
      </c>
      <c r="Y136" s="97">
        <f t="shared" si="15"/>
        <v>3.9696778026498521E-2</v>
      </c>
      <c r="Z136" s="97">
        <f t="shared" si="15"/>
        <v>0.11866745371656985</v>
      </c>
      <c r="AA136" s="97">
        <f t="shared" si="15"/>
        <v>8.3987048272985212E-2</v>
      </c>
    </row>
    <row r="137" spans="2:31" ht="12.75" customHeight="1" x14ac:dyDescent="0.25">
      <c r="B137" s="21" t="s">
        <v>3</v>
      </c>
      <c r="C137" s="95">
        <f>Annual_sorted!I243</f>
        <v>1.67668286756954</v>
      </c>
      <c r="D137" s="29">
        <f>IF(C137-Table_146345781129182142[Burundi]&gt;0, C137-Table_146345781129182142[Burundi], 0)</f>
        <v>2.7693892564847928</v>
      </c>
      <c r="E137" s="29">
        <f>IF(C137-Table_146345781129182142[DRC]&gt;0, C137-Table_146345781129182142[DRC], 0)</f>
        <v>0</v>
      </c>
      <c r="F137" s="29">
        <f>IF(C137-Table_146345781129182142[Egypt]&gt;0, C137-Table_146345781129182142[Egypt], 0)</f>
        <v>0</v>
      </c>
      <c r="G137" s="29">
        <f>IF(C137-Table_146345781129182142[Eritrea]&gt;0, C137-Table_146345781129182142[Eritrea], 0)</f>
        <v>0</v>
      </c>
      <c r="H137" s="29">
        <f>IF(C137-Table_146345781129182142[Ethiopia]&gt;0, C137-Table_146345781129182142[Ethiopia], 0)</f>
        <v>56.486389931067222</v>
      </c>
      <c r="I137" s="29">
        <f>IF(C137-Table_146345781129182142[Kenya]&gt;0, C137-Table_146345781129182142[Kenya], 0)</f>
        <v>16.886936429826505</v>
      </c>
      <c r="J137" s="29">
        <f>IF(C137-Table_146345781129182142[Rwanda]&gt;0, C137-Table_146345781129182142[Rwanda], 0)</f>
        <v>8.1570325405853215</v>
      </c>
      <c r="K137" s="29">
        <f>IF(C137-Table_146345781129182142[Sudan]&gt;0, C137-Table_146345781129182142[Sudan], 0)</f>
        <v>0</v>
      </c>
      <c r="L137" s="29">
        <f>IF(C137-Table_146345781129182142[S. Sudan]&gt;0, C137-Table_146345781129182142[S. Sudan], 0)</f>
        <v>14.70817495376944</v>
      </c>
      <c r="M137" s="29">
        <f>IF(C137-Table_146345781129182142[Tanzania]&gt;0, C137-Table_146345781129182142[Tanzania], 0)</f>
        <v>40.277648661830604</v>
      </c>
      <c r="N137" s="29">
        <f>IF(C137-Table_146345781129182142[Uganda]&gt;0, C137-Table_146345781129182142[Uganda], 0)</f>
        <v>29.048674014901913</v>
      </c>
      <c r="P137" s="21" t="s">
        <v>4</v>
      </c>
      <c r="Q137" s="97">
        <f t="shared" si="16"/>
        <v>-5.7290499560606724E-3</v>
      </c>
      <c r="R137" s="97">
        <f t="shared" si="15"/>
        <v>-5.7290499560606724E-3</v>
      </c>
      <c r="S137" s="97">
        <f t="shared" si="15"/>
        <v>-5.7290499560606724E-3</v>
      </c>
      <c r="T137" s="97">
        <f t="shared" si="15"/>
        <v>-5.7290499560606724E-3</v>
      </c>
      <c r="U137" s="97">
        <f t="shared" si="15"/>
        <v>-5.7290499560606724E-3</v>
      </c>
      <c r="V137" s="97">
        <f t="shared" si="15"/>
        <v>-5.7290499560606724E-3</v>
      </c>
      <c r="W137" s="97">
        <f t="shared" si="15"/>
        <v>-5.7290499560606724E-3</v>
      </c>
      <c r="X137" s="97">
        <f t="shared" si="15"/>
        <v>-5.7290499560606724E-3</v>
      </c>
      <c r="Y137" s="97">
        <f t="shared" si="15"/>
        <v>-5.7290499560606724E-3</v>
      </c>
      <c r="Z137" s="97">
        <f t="shared" si="15"/>
        <v>-5.7290499560606724E-3</v>
      </c>
      <c r="AA137" s="97">
        <f t="shared" si="15"/>
        <v>-5.7290499560606724E-3</v>
      </c>
    </row>
    <row r="138" spans="2:31" ht="12.75" customHeight="1" x14ac:dyDescent="0.25">
      <c r="B138" s="21" t="s">
        <v>4</v>
      </c>
      <c r="C138" s="95">
        <f>Annual_sorted!I244</f>
        <v>-54.809707063497683</v>
      </c>
      <c r="D138" s="29">
        <f>IF(C138-Table_146345781129182142[Burundi]&gt;0, C138-Table_146345781129182142[Burundi], 0)</f>
        <v>0</v>
      </c>
      <c r="E138" s="29">
        <f>IF(C138-Table_146345781129182142[DRC]&gt;0, C138-Table_146345781129182142[DRC], 0)</f>
        <v>0</v>
      </c>
      <c r="F138" s="29">
        <f>IF(C138-Table_146345781129182142[Egypt]&gt;0, C138-Table_146345781129182142[Egypt], 0)</f>
        <v>0</v>
      </c>
      <c r="G138" s="29">
        <f>IF(C138-Table_146345781129182142[Eritrea]&gt;0, C138-Table_146345781129182142[Eritrea], 0)</f>
        <v>0</v>
      </c>
      <c r="H138" s="29">
        <f>IF(C138-Table_146345781129182142[Ethiopia]&gt;0, C138-Table_146345781129182142[Ethiopia], 0)</f>
        <v>0</v>
      </c>
      <c r="I138" s="29">
        <f>IF(C138-Table_146345781129182142[Kenya]&gt;0, C138-Table_146345781129182142[Kenya], 0)</f>
        <v>0</v>
      </c>
      <c r="J138" s="29">
        <f>IF(C138-Table_146345781129182142[Rwanda]&gt;0, C138-Table_146345781129182142[Rwanda], 0)</f>
        <v>0</v>
      </c>
      <c r="K138" s="29">
        <f>IF(C138-Table_146345781129182142[Sudan]&gt;0, C138-Table_146345781129182142[Sudan], 0)</f>
        <v>0</v>
      </c>
      <c r="L138" s="29">
        <f>IF(C138-Table_146345781129182142[S. Sudan]&gt;0, C138-Table_146345781129182142[S. Sudan], 0)</f>
        <v>0</v>
      </c>
      <c r="M138" s="29">
        <f>IF(C138-Table_146345781129182142[Tanzania]&gt;0, C138-Table_146345781129182142[Tanzania], 0)</f>
        <v>0</v>
      </c>
      <c r="N138" s="29">
        <f>IF(C138-Table_146345781129182142[Uganda]&gt;0, C138-Table_146345781129182142[Uganda], 0)</f>
        <v>0</v>
      </c>
      <c r="P138" s="21" t="s">
        <v>5</v>
      </c>
      <c r="Q138" s="97">
        <f t="shared" si="16"/>
        <v>-5.7290499560606724E-3</v>
      </c>
      <c r="R138" s="97">
        <f t="shared" si="15"/>
        <v>-5.7290499560606724E-3</v>
      </c>
      <c r="S138" s="97">
        <f t="shared" si="15"/>
        <v>-5.7290499560606724E-3</v>
      </c>
      <c r="T138" s="97">
        <f t="shared" si="15"/>
        <v>-5.7290499560606724E-3</v>
      </c>
      <c r="U138" s="97">
        <f t="shared" si="15"/>
        <v>0.11657286504051764</v>
      </c>
      <c r="V138" s="97">
        <f t="shared" si="15"/>
        <v>-5.7290499560606724E-3</v>
      </c>
      <c r="W138" s="97">
        <f t="shared" si="15"/>
        <v>-5.7290499560606724E-3</v>
      </c>
      <c r="X138" s="97">
        <f t="shared" si="15"/>
        <v>-5.7290499560606724E-3</v>
      </c>
      <c r="Y138" s="97">
        <f t="shared" si="15"/>
        <v>-5.7290499560606724E-3</v>
      </c>
      <c r="Z138" s="97">
        <f t="shared" si="15"/>
        <v>6.6512575777949987E-2</v>
      </c>
      <c r="AA138" s="97">
        <f t="shared" si="15"/>
        <v>3.1832170334365341E-2</v>
      </c>
    </row>
    <row r="139" spans="2:31" ht="12.75" customHeight="1" x14ac:dyDescent="0.25">
      <c r="B139" s="21" t="s">
        <v>5</v>
      </c>
      <c r="C139" s="95">
        <f>Annual_sorted!I245</f>
        <v>-15.210253562256964</v>
      </c>
      <c r="D139" s="29">
        <f>IF(C139-Table_146345781129182142[Burundi]&gt;0, C139-Table_146345781129182142[Burundi], 0)</f>
        <v>0</v>
      </c>
      <c r="E139" s="29">
        <f>IF(C139-Table_146345781129182142[DRC]&gt;0, C139-Table_146345781129182142[DRC], 0)</f>
        <v>0</v>
      </c>
      <c r="F139" s="29">
        <f>IF(C139-Table_146345781129182142[Egypt]&gt;0, C139-Table_146345781129182142[Egypt], 0)</f>
        <v>0</v>
      </c>
      <c r="G139" s="29">
        <f>IF(C139-Table_146345781129182142[Eritrea]&gt;0, C139-Table_146345781129182142[Eritrea], 0)</f>
        <v>0</v>
      </c>
      <c r="H139" s="29">
        <f>IF(C139-Table_146345781129182142[Ethiopia]&gt;0, C139-Table_146345781129182142[Ethiopia], 0)</f>
        <v>39.599453501240717</v>
      </c>
      <c r="I139" s="29">
        <f>IF(C139-Table_146345781129182142[Kenya]&gt;0, C139-Table_146345781129182142[Kenya], 0)</f>
        <v>0</v>
      </c>
      <c r="J139" s="29">
        <f>IF(C139-Table_146345781129182142[Rwanda]&gt;0, C139-Table_146345781129182142[Rwanda], 0)</f>
        <v>0</v>
      </c>
      <c r="K139" s="29">
        <f>IF(C139-Table_146345781129182142[Sudan]&gt;0, C139-Table_146345781129182142[Sudan], 0)</f>
        <v>0</v>
      </c>
      <c r="L139" s="29">
        <f>IF(C139-Table_146345781129182142[S. Sudan]&gt;0, C139-Table_146345781129182142[S. Sudan], 0)</f>
        <v>0</v>
      </c>
      <c r="M139" s="29">
        <f>IF(C139-Table_146345781129182142[Tanzania]&gt;0, C139-Table_146345781129182142[Tanzania], 0)</f>
        <v>23.390712232004098</v>
      </c>
      <c r="N139" s="29">
        <f>IF(C139-Table_146345781129182142[Uganda]&gt;0, C139-Table_146345781129182142[Uganda], 0)</f>
        <v>12.161737585075409</v>
      </c>
      <c r="P139" s="21" t="s">
        <v>6</v>
      </c>
      <c r="Q139" s="97">
        <f t="shared" si="16"/>
        <v>-5.7290499560606724E-3</v>
      </c>
      <c r="R139" s="97">
        <f t="shared" si="15"/>
        <v>-5.7290499560606724E-3</v>
      </c>
      <c r="S139" s="97">
        <f t="shared" si="15"/>
        <v>-5.7290499560606724E-3</v>
      </c>
      <c r="T139" s="97">
        <f t="shared" si="15"/>
        <v>-5.7290499560606724E-3</v>
      </c>
      <c r="U139" s="97">
        <f t="shared" si="15"/>
        <v>0.14353495337733829</v>
      </c>
      <c r="V139" s="97">
        <f t="shared" si="15"/>
        <v>2.1233038380759964E-2</v>
      </c>
      <c r="W139" s="97">
        <f t="shared" si="15"/>
        <v>-5.7290499560606724E-3</v>
      </c>
      <c r="X139" s="97">
        <f t="shared" si="15"/>
        <v>-5.7290499560606724E-3</v>
      </c>
      <c r="Y139" s="97">
        <f t="shared" si="15"/>
        <v>1.4503988424699292E-2</v>
      </c>
      <c r="Z139" s="97">
        <f t="shared" si="15"/>
        <v>9.3474664114770636E-2</v>
      </c>
      <c r="AA139" s="97">
        <f t="shared" si="15"/>
        <v>5.8794258671185998E-2</v>
      </c>
    </row>
    <row r="140" spans="2:31" ht="12.75" customHeight="1" x14ac:dyDescent="0.25">
      <c r="B140" s="21" t="s">
        <v>6</v>
      </c>
      <c r="C140" s="95">
        <f>Annual_sorted!I246</f>
        <v>-6.4803496730157821</v>
      </c>
      <c r="D140" s="29">
        <f>IF(C140-Table_146345781129182142[Burundi]&gt;0, C140-Table_146345781129182142[Burundi], 0)</f>
        <v>0</v>
      </c>
      <c r="E140" s="29">
        <f>IF(C140-Table_146345781129182142[DRC]&gt;0, C140-Table_146345781129182142[DRC], 0)</f>
        <v>0</v>
      </c>
      <c r="F140" s="29">
        <f>IF(C140-Table_146345781129182142[Egypt]&gt;0, C140-Table_146345781129182142[Egypt], 0)</f>
        <v>0</v>
      </c>
      <c r="G140" s="29">
        <f>IF(C140-Table_146345781129182142[Eritrea]&gt;0, C140-Table_146345781129182142[Eritrea], 0)</f>
        <v>0</v>
      </c>
      <c r="H140" s="29">
        <f>IF(C140-Table_146345781129182142[Ethiopia]&gt;0, C140-Table_146345781129182142[Ethiopia], 0)</f>
        <v>48.329357390481903</v>
      </c>
      <c r="I140" s="29">
        <f>IF(C140-Table_146345781129182142[Kenya]&gt;0, C140-Table_146345781129182142[Kenya], 0)</f>
        <v>8.7299038892411822</v>
      </c>
      <c r="J140" s="29">
        <f>IF(C140-Table_146345781129182142[Rwanda]&gt;0, C140-Table_146345781129182142[Rwanda], 0)</f>
        <v>0</v>
      </c>
      <c r="K140" s="29">
        <f>IF(C140-Table_146345781129182142[Sudan]&gt;0, C140-Table_146345781129182142[Sudan], 0)</f>
        <v>0</v>
      </c>
      <c r="L140" s="29">
        <f>IF(C140-Table_146345781129182142[S. Sudan]&gt;0, C140-Table_146345781129182142[S. Sudan], 0)</f>
        <v>6.5511424131841185</v>
      </c>
      <c r="M140" s="29">
        <f>IF(C140-Table_146345781129182142[Tanzania]&gt;0, C140-Table_146345781129182142[Tanzania], 0)</f>
        <v>32.120616121245284</v>
      </c>
      <c r="N140" s="29">
        <f>IF(C140-Table_146345781129182142[Uganda]&gt;0, C140-Table_146345781129182142[Uganda], 0)</f>
        <v>20.891641474316593</v>
      </c>
      <c r="P140" s="21" t="s">
        <v>7</v>
      </c>
      <c r="Q140" s="97">
        <f t="shared" si="16"/>
        <v>0.81873484218780535</v>
      </c>
      <c r="R140" s="97">
        <f t="shared" si="15"/>
        <v>0.80136398735433378</v>
      </c>
      <c r="S140" s="97">
        <f t="shared" si="15"/>
        <v>-5.7290499560606724E-3</v>
      </c>
      <c r="T140" s="97">
        <f t="shared" si="15"/>
        <v>0.81018165320431523</v>
      </c>
      <c r="U140" s="97">
        <f t="shared" si="15"/>
        <v>0.98463844613951335</v>
      </c>
      <c r="V140" s="97">
        <f t="shared" si="15"/>
        <v>0.86233653114293507</v>
      </c>
      <c r="W140" s="97">
        <f t="shared" si="15"/>
        <v>0.8353744428061145</v>
      </c>
      <c r="X140" s="97">
        <f t="shared" si="15"/>
        <v>-5.7290499560606724E-3</v>
      </c>
      <c r="Y140" s="97">
        <f t="shared" si="15"/>
        <v>0.85560748118687424</v>
      </c>
      <c r="Z140" s="97">
        <f t="shared" si="15"/>
        <v>0.93457815687694568</v>
      </c>
      <c r="AA140" s="97">
        <f t="shared" si="15"/>
        <v>0.89989775143336104</v>
      </c>
    </row>
    <row r="141" spans="2:31" ht="12.75" customHeight="1" x14ac:dyDescent="0.25">
      <c r="B141" s="21" t="s">
        <v>7</v>
      </c>
      <c r="C141" s="95">
        <f>Annual_sorted!I247</f>
        <v>265.85584925157798</v>
      </c>
      <c r="D141" s="29">
        <f>IF(C141-Table_146345781129182142[Burundi]&gt;0, C141-Table_146345781129182142[Burundi], 0)</f>
        <v>266.94855564049323</v>
      </c>
      <c r="E141" s="29">
        <f>IF(C141-Table_146345781129182142[DRC]&gt;0, C141-Table_146345781129182142[DRC], 0)</f>
        <v>261.32414364110548</v>
      </c>
      <c r="F141" s="29">
        <f>IF(C141-Table_146345781129182142[Egypt]&gt;0, C141-Table_146345781129182142[Egypt], 0)</f>
        <v>0</v>
      </c>
      <c r="G141" s="29">
        <f>IF(C141-Table_146345781129182142[Eritrea]&gt;0, C141-Table_146345781129182142[Eritrea], 0)</f>
        <v>264.17916638400845</v>
      </c>
      <c r="H141" s="29">
        <f>IF(C141-Table_146345781129182142[Ethiopia]&gt;0, C141-Table_146345781129182142[Ethiopia], 0)</f>
        <v>320.66555631507566</v>
      </c>
      <c r="I141" s="29">
        <f>IF(C141-Table_146345781129182142[Kenya]&gt;0, C141-Table_146345781129182142[Kenya], 0)</f>
        <v>281.06610281383496</v>
      </c>
      <c r="J141" s="29">
        <f>IF(C141-Table_146345781129182142[Rwanda]&gt;0, C141-Table_146345781129182142[Rwanda], 0)</f>
        <v>272.33619892459376</v>
      </c>
      <c r="K141" s="29">
        <f>IF(C141-Table_146345781129182142[Sudan]&gt;0, C141-Table_146345781129182142[Sudan], 0)</f>
        <v>0</v>
      </c>
      <c r="L141" s="29">
        <f>IF(C141-Table_146345781129182142[S. Sudan]&gt;0, C141-Table_146345781129182142[S. Sudan], 0)</f>
        <v>278.88734133777785</v>
      </c>
      <c r="M141" s="29">
        <f>IF(C141-Table_146345781129182142[Tanzania]&gt;0, C141-Table_146345781129182142[Tanzania], 0)</f>
        <v>304.45681504583905</v>
      </c>
      <c r="N141" s="29">
        <f>IF(C141-Table_146345781129182142[Uganda]&gt;0, C141-Table_146345781129182142[Uganda], 0)</f>
        <v>293.22784039891036</v>
      </c>
      <c r="P141" s="21" t="s">
        <v>8</v>
      </c>
      <c r="Q141" s="97">
        <f t="shared" si="16"/>
        <v>-5.7290499560606724E-3</v>
      </c>
      <c r="R141" s="97">
        <f t="shared" si="15"/>
        <v>-5.7290499560606724E-3</v>
      </c>
      <c r="S141" s="97">
        <f t="shared" si="15"/>
        <v>-5.7290499560606724E-3</v>
      </c>
      <c r="T141" s="97">
        <f t="shared" si="15"/>
        <v>-5.7290499560606724E-3</v>
      </c>
      <c r="U141" s="97">
        <f t="shared" si="15"/>
        <v>0.12330191499657832</v>
      </c>
      <c r="V141" s="97">
        <f t="shared" si="15"/>
        <v>1E-3</v>
      </c>
      <c r="W141" s="97">
        <f t="shared" si="15"/>
        <v>-5.7290499560606724E-3</v>
      </c>
      <c r="X141" s="97">
        <f t="shared" si="15"/>
        <v>-5.7290499560606724E-3</v>
      </c>
      <c r="Y141" s="97">
        <f t="shared" si="15"/>
        <v>-5.7290499560606724E-3</v>
      </c>
      <c r="Z141" s="97">
        <f t="shared" si="15"/>
        <v>7.3241625734010662E-2</v>
      </c>
      <c r="AA141" s="97">
        <f t="shared" si="15"/>
        <v>3.8561220290426017E-2</v>
      </c>
    </row>
    <row r="142" spans="2:31" ht="12.75" customHeight="1" x14ac:dyDescent="0.25">
      <c r="B142" s="21" t="s">
        <v>8</v>
      </c>
      <c r="C142" s="95">
        <f>Annual_sorted!I248</f>
        <v>-13.031492086199901</v>
      </c>
      <c r="D142" s="29">
        <f>IF(C142-Table_146345781129182142[Burundi]&gt;0, C142-Table_146345781129182142[Burundi], 0)</f>
        <v>0</v>
      </c>
      <c r="E142" s="29">
        <f>IF(C142-Table_146345781129182142[DRC]&gt;0, C142-Table_146345781129182142[DRC], 0)</f>
        <v>0</v>
      </c>
      <c r="F142" s="29">
        <f>IF(C142-Table_146345781129182142[Egypt]&gt;0, C142-Table_146345781129182142[Egypt], 0)</f>
        <v>0</v>
      </c>
      <c r="G142" s="29">
        <f>IF(C142-Table_146345781129182142[Eritrea]&gt;0, C142-Table_146345781129182142[Eritrea], 0)</f>
        <v>0</v>
      </c>
      <c r="H142" s="29">
        <f>IF(C142-Table_146345781129182142[Ethiopia]&gt;0, C142-Table_146345781129182142[Ethiopia], 0)</f>
        <v>41.778214977297779</v>
      </c>
      <c r="I142" s="29">
        <f>IF(C142-Table_146345781129182142[Kenya]&gt;0, C142-Table_146345781129182142[Kenya], 0)</f>
        <v>2.1787614760570637</v>
      </c>
      <c r="J142" s="29">
        <f>IF(C142-Table_146345781129182142[Rwanda]&gt;0, C142-Table_146345781129182142[Rwanda], 0)</f>
        <v>0</v>
      </c>
      <c r="K142" s="29">
        <f>IF(C142-Table_146345781129182142[Sudan]&gt;0, C142-Table_146345781129182142[Sudan], 0)</f>
        <v>0</v>
      </c>
      <c r="L142" s="29">
        <f>IF(C142-Table_146345781129182142[S. Sudan]&gt;0, C142-Table_146345781129182142[S. Sudan], 0)</f>
        <v>0</v>
      </c>
      <c r="M142" s="29">
        <f>IF(C142-Table_146345781129182142[Tanzania]&gt;0, C142-Table_146345781129182142[Tanzania], 0)</f>
        <v>25.569473708061164</v>
      </c>
      <c r="N142" s="29">
        <f>IF(C142-Table_146345781129182142[Uganda]&gt;0, C142-Table_146345781129182142[Uganda], 0)</f>
        <v>14.340499061132473</v>
      </c>
      <c r="P142" s="21" t="s">
        <v>9</v>
      </c>
      <c r="Q142" s="97">
        <f t="shared" si="16"/>
        <v>-5.7290499560606724E-3</v>
      </c>
      <c r="R142" s="97">
        <f t="shared" si="15"/>
        <v>-5.7290499560606724E-3</v>
      </c>
      <c r="S142" s="97">
        <f t="shared" si="15"/>
        <v>-5.7290499560606724E-3</v>
      </c>
      <c r="T142" s="97">
        <f t="shared" si="15"/>
        <v>-5.7290499560606724E-3</v>
      </c>
      <c r="U142" s="97">
        <f t="shared" si="15"/>
        <v>4.4331239306506988E-2</v>
      </c>
      <c r="V142" s="97">
        <f t="shared" si="15"/>
        <v>-5.7290499560606724E-3</v>
      </c>
      <c r="W142" s="97">
        <f t="shared" si="15"/>
        <v>-5.7290499560606724E-3</v>
      </c>
      <c r="X142" s="97">
        <f t="shared" si="15"/>
        <v>-5.7290499560606724E-3</v>
      </c>
      <c r="Y142" s="97">
        <f t="shared" si="15"/>
        <v>-5.7290499560606724E-3</v>
      </c>
      <c r="Z142" s="97">
        <f t="shared" si="15"/>
        <v>-5.7290499560606724E-3</v>
      </c>
      <c r="AA142" s="97">
        <f t="shared" si="15"/>
        <v>-5.7290499560606724E-3</v>
      </c>
    </row>
    <row r="143" spans="2:31" ht="12.75" customHeight="1" thickBot="1" x14ac:dyDescent="0.3">
      <c r="B143" s="21" t="s">
        <v>9</v>
      </c>
      <c r="C143" s="95">
        <f>Annual_sorted!I249</f>
        <v>-38.600965794261064</v>
      </c>
      <c r="D143" s="29">
        <f>IF(C143-Table_146345781129182142[Burundi]&gt;0, C143-Table_146345781129182142[Burundi], 0)</f>
        <v>0</v>
      </c>
      <c r="E143" s="29">
        <f>IF(C143-Table_146345781129182142[DRC]&gt;0, C143-Table_146345781129182142[DRC], 0)</f>
        <v>0</v>
      </c>
      <c r="F143" s="29">
        <f>IF(C143-Table_146345781129182142[Egypt]&gt;0, C143-Table_146345781129182142[Egypt], 0)</f>
        <v>0</v>
      </c>
      <c r="G143" s="29">
        <f>IF(C143-Table_146345781129182142[Eritrea]&gt;0, C143-Table_146345781129182142[Eritrea], 0)</f>
        <v>0</v>
      </c>
      <c r="H143" s="29">
        <f>IF(C143-Table_146345781129182142[Ethiopia]&gt;0, C143-Table_146345781129182142[Ethiopia], 0)</f>
        <v>16.208741269236619</v>
      </c>
      <c r="I143" s="29">
        <f>IF(C143-Table_146345781129182142[Kenya]&gt;0, C143-Table_146345781129182142[Kenya], 0)</f>
        <v>0</v>
      </c>
      <c r="J143" s="29">
        <f>IF(C143-Table_146345781129182142[Rwanda]&gt;0, C143-Table_146345781129182142[Rwanda], 0)</f>
        <v>0</v>
      </c>
      <c r="K143" s="29">
        <f>IF(C143-Table_146345781129182142[Sudan]&gt;0, C143-Table_146345781129182142[Sudan], 0)</f>
        <v>0</v>
      </c>
      <c r="L143" s="29">
        <f>IF(C143-Table_146345781129182142[S. Sudan]&gt;0, C143-Table_146345781129182142[S. Sudan], 0)</f>
        <v>0</v>
      </c>
      <c r="M143" s="29">
        <f>IF(C143-Table_146345781129182142[Tanzania]&gt;0, C143-Table_146345781129182142[Tanzania], 0)</f>
        <v>0</v>
      </c>
      <c r="N143" s="29">
        <f>IF(C143-Table_146345781129182142[Uganda]&gt;0, C143-Table_146345781129182142[Uganda], 0)</f>
        <v>0</v>
      </c>
      <c r="P143" s="22" t="s">
        <v>10</v>
      </c>
      <c r="Q143" s="98">
        <f t="shared" si="16"/>
        <v>-5.7290499560606724E-3</v>
      </c>
      <c r="R143" s="98">
        <f t="shared" si="15"/>
        <v>-5.7290499560606724E-3</v>
      </c>
      <c r="S143" s="98">
        <f t="shared" si="15"/>
        <v>-5.7290499560606724E-3</v>
      </c>
      <c r="T143" s="98">
        <f t="shared" si="15"/>
        <v>-5.7290499560606724E-3</v>
      </c>
      <c r="U143" s="98">
        <f t="shared" si="15"/>
        <v>7.9011644750091634E-2</v>
      </c>
      <c r="V143" s="98">
        <f t="shared" si="15"/>
        <v>-5.7290499560606724E-3</v>
      </c>
      <c r="W143" s="98">
        <f t="shared" si="15"/>
        <v>-5.7290499560606724E-3</v>
      </c>
      <c r="X143" s="98">
        <f t="shared" si="15"/>
        <v>-5.7290499560606724E-3</v>
      </c>
      <c r="Y143" s="98">
        <f t="shared" si="15"/>
        <v>-5.7290499560606724E-3</v>
      </c>
      <c r="Z143" s="98">
        <f t="shared" si="15"/>
        <v>2.8951355487523978E-2</v>
      </c>
      <c r="AA143" s="98">
        <f t="shared" si="15"/>
        <v>-5.7290499560606724E-3</v>
      </c>
      <c r="AB143" s="186">
        <f>SUM(Q133:AA143)</f>
        <v>17.760100483768124</v>
      </c>
    </row>
    <row r="144" spans="2:31" ht="12.75" customHeight="1" thickBot="1" x14ac:dyDescent="0.3">
      <c r="B144" s="22" t="s">
        <v>10</v>
      </c>
      <c r="C144" s="96">
        <f>Annual_sorted!I250</f>
        <v>-27.371991147332373</v>
      </c>
      <c r="D144" s="32">
        <f>IF(C144-Table_146345781129182142[Burundi]&gt;0, C144-Table_146345781129182142[Burundi], 0)</f>
        <v>0</v>
      </c>
      <c r="E144" s="32">
        <f>IF(C144-Table_146345781129182142[DRC]&gt;0, C144-Table_146345781129182142[DRC], 0)</f>
        <v>0</v>
      </c>
      <c r="F144" s="32">
        <f>IF(C144-Table_146345781129182142[Egypt]&gt;0, C144-Table_146345781129182142[Egypt], 0)</f>
        <v>0</v>
      </c>
      <c r="G144" s="32">
        <f>IF(C144-Table_146345781129182142[Eritrea]&gt;0, C144-Table_146345781129182142[Eritrea], 0)</f>
        <v>0</v>
      </c>
      <c r="H144" s="32">
        <f>IF(C144-Table_146345781129182142[Ethiopia]&gt;0, C144-Table_146345781129182142[Ethiopia], 0)</f>
        <v>27.43771591616531</v>
      </c>
      <c r="I144" s="32">
        <f>IF(C144-Table_146345781129182142[Kenya]&gt;0, C144-Table_146345781129182142[Kenya], 0)</f>
        <v>0</v>
      </c>
      <c r="J144" s="32">
        <f>IF(C144-Table_146345781129182142[Rwanda]&gt;0, C144-Table_146345781129182142[Rwanda], 0)</f>
        <v>0</v>
      </c>
      <c r="K144" s="32">
        <f>IF(C144-Table_146345781129182142[Sudan]&gt;0, C144-Table_146345781129182142[Sudan], 0)</f>
        <v>0</v>
      </c>
      <c r="L144" s="32">
        <f>IF(C144-Table_146345781129182142[S. Sudan]&gt;0, C144-Table_146345781129182142[S. Sudan], 0)</f>
        <v>0</v>
      </c>
      <c r="M144" s="32">
        <f>IF(C144-Table_146345781129182142[Tanzania]&gt;0, C144-Table_146345781129182142[Tanzania], 0)</f>
        <v>11.228974646928691</v>
      </c>
      <c r="N144" s="32">
        <f>IF(C144-Table_146345781129182142[Uganda]&gt;0, C144-Table_146345781129182142[Uganda], 0)</f>
        <v>0</v>
      </c>
    </row>
    <row r="145" ht="12.75" customHeight="1" x14ac:dyDescent="0.25"/>
    <row r="146" ht="12.75" customHeight="1" x14ac:dyDescent="0.25"/>
    <row r="147" ht="12.75" customHeight="1" x14ac:dyDescent="0.25"/>
    <row r="148" ht="12.75" customHeight="1" x14ac:dyDescent="0.25"/>
    <row r="149" ht="12.75" customHeight="1" x14ac:dyDescent="0.25"/>
    <row r="150" ht="12.75" customHeight="1" x14ac:dyDescent="0.25"/>
    <row r="151" ht="12.75" customHeight="1" x14ac:dyDescent="0.25"/>
    <row r="152" ht="12.75" customHeight="1" x14ac:dyDescent="0.25"/>
    <row r="153" ht="12.75" customHeight="1" x14ac:dyDescent="0.25"/>
    <row r="154" ht="12.75" customHeight="1" x14ac:dyDescent="0.25"/>
    <row r="155" ht="12.75" customHeight="1" x14ac:dyDescent="0.25"/>
    <row r="156" ht="12.75" customHeight="1" x14ac:dyDescent="0.25"/>
    <row r="157" ht="12.75" customHeight="1" x14ac:dyDescent="0.25"/>
    <row r="158" ht="12.75" customHeight="1" x14ac:dyDescent="0.25"/>
    <row r="159" ht="12.75" customHeight="1" x14ac:dyDescent="0.25"/>
    <row r="160" ht="12.75" customHeight="1" x14ac:dyDescent="0.25"/>
    <row r="161" ht="12.75" customHeight="1" x14ac:dyDescent="0.25"/>
    <row r="162" ht="12.75" customHeight="1" x14ac:dyDescent="0.25"/>
    <row r="163" ht="12.75" customHeight="1" x14ac:dyDescent="0.25"/>
    <row r="164" ht="12.75" customHeight="1" x14ac:dyDescent="0.25"/>
    <row r="165" ht="12.75" customHeight="1" x14ac:dyDescent="0.25"/>
    <row r="166" ht="12.75" customHeight="1" x14ac:dyDescent="0.25"/>
    <row r="167" ht="12.75" customHeight="1" x14ac:dyDescent="0.25"/>
    <row r="168" ht="12.75" customHeight="1" x14ac:dyDescent="0.25"/>
    <row r="169" ht="12.75" customHeight="1" x14ac:dyDescent="0.25"/>
    <row r="170" ht="12.75" customHeight="1" x14ac:dyDescent="0.25"/>
    <row r="171" ht="12.75" customHeight="1" x14ac:dyDescent="0.25"/>
    <row r="172" ht="12.75" customHeight="1" x14ac:dyDescent="0.25"/>
    <row r="173" ht="12.75" customHeight="1" x14ac:dyDescent="0.25"/>
    <row r="174" ht="12.75" customHeight="1" x14ac:dyDescent="0.25"/>
    <row r="175" ht="12.75" customHeight="1" x14ac:dyDescent="0.25"/>
    <row r="176" ht="12.75" customHeight="1" x14ac:dyDescent="0.25"/>
    <row r="177" ht="12.75" customHeight="1" x14ac:dyDescent="0.25"/>
    <row r="178" ht="12.75" customHeight="1" x14ac:dyDescent="0.25"/>
    <row r="179" ht="12.75" customHeight="1" x14ac:dyDescent="0.25"/>
    <row r="180" ht="12.75" customHeight="1" x14ac:dyDescent="0.25"/>
    <row r="181" ht="12.75" customHeight="1" x14ac:dyDescent="0.25"/>
    <row r="182" ht="12.75" customHeight="1" x14ac:dyDescent="0.25"/>
    <row r="183" ht="12.75" customHeight="1" x14ac:dyDescent="0.25"/>
    <row r="184" ht="12.75" customHeight="1" x14ac:dyDescent="0.25"/>
    <row r="185" ht="12.75" customHeight="1" x14ac:dyDescent="0.25"/>
    <row r="186" ht="12.75" customHeight="1" x14ac:dyDescent="0.25"/>
    <row r="187" ht="12.75" customHeight="1" x14ac:dyDescent="0.25"/>
    <row r="188" ht="12.75" customHeight="1" x14ac:dyDescent="0.25"/>
    <row r="189" ht="12.75" customHeight="1" x14ac:dyDescent="0.25"/>
    <row r="190" ht="12.75" customHeight="1" x14ac:dyDescent="0.25"/>
    <row r="191" ht="12.75" customHeight="1" x14ac:dyDescent="0.25"/>
    <row r="192" ht="12.75" customHeight="1" x14ac:dyDescent="0.25"/>
    <row r="193" ht="12.75" customHeight="1" x14ac:dyDescent="0.25"/>
    <row r="194" ht="12.75" customHeight="1" x14ac:dyDescent="0.25"/>
    <row r="195" ht="12.75" customHeight="1" x14ac:dyDescent="0.25"/>
    <row r="196" ht="12.75" customHeight="1" x14ac:dyDescent="0.25"/>
    <row r="197" ht="12.75" customHeight="1" x14ac:dyDescent="0.25"/>
    <row r="198" ht="12.75" customHeight="1" x14ac:dyDescent="0.25"/>
    <row r="199" ht="12.75" customHeight="1" x14ac:dyDescent="0.25"/>
    <row r="200" ht="12.75" customHeight="1" x14ac:dyDescent="0.25"/>
    <row r="201" ht="12.75" customHeight="1" x14ac:dyDescent="0.25"/>
    <row r="202" ht="12.75" customHeight="1" x14ac:dyDescent="0.25"/>
    <row r="203" ht="12.75" customHeight="1" x14ac:dyDescent="0.25"/>
    <row r="204" ht="12.75" customHeight="1" x14ac:dyDescent="0.25"/>
    <row r="205" ht="12.75" customHeight="1" x14ac:dyDescent="0.25"/>
    <row r="206" ht="12.75" customHeight="1" x14ac:dyDescent="0.25"/>
    <row r="207" ht="12.75" customHeight="1" x14ac:dyDescent="0.25"/>
    <row r="208" ht="12.75" customHeight="1" x14ac:dyDescent="0.25"/>
    <row r="209" ht="12.75" customHeight="1" x14ac:dyDescent="0.25"/>
    <row r="210" ht="12.75" customHeight="1" x14ac:dyDescent="0.25"/>
    <row r="211" ht="12.75" customHeight="1" x14ac:dyDescent="0.25"/>
    <row r="212" ht="12.75" customHeight="1" x14ac:dyDescent="0.25"/>
    <row r="213" ht="12.75" customHeight="1" x14ac:dyDescent="0.25"/>
    <row r="214" ht="12.75" customHeight="1" x14ac:dyDescent="0.25"/>
    <row r="215" ht="12.75" customHeight="1" x14ac:dyDescent="0.25"/>
    <row r="216" ht="12.75" customHeight="1" x14ac:dyDescent="0.25"/>
    <row r="217" ht="12.75" customHeight="1" x14ac:dyDescent="0.25"/>
    <row r="218" ht="12.75" customHeight="1" x14ac:dyDescent="0.25"/>
    <row r="219" ht="12.75" customHeight="1" x14ac:dyDescent="0.25"/>
    <row r="220" ht="12.75" customHeight="1" x14ac:dyDescent="0.25"/>
    <row r="221" ht="12.75" customHeight="1" x14ac:dyDescent="0.25"/>
    <row r="222" ht="12.75" customHeight="1" x14ac:dyDescent="0.25"/>
    <row r="223" ht="12.75" customHeight="1" x14ac:dyDescent="0.25"/>
    <row r="224" ht="12.75" customHeight="1" x14ac:dyDescent="0.25"/>
    <row r="225" ht="12.75" customHeight="1" x14ac:dyDescent="0.25"/>
    <row r="226" ht="12.75" customHeight="1" x14ac:dyDescent="0.25"/>
    <row r="227" ht="12.75" customHeight="1" x14ac:dyDescent="0.25"/>
    <row r="228" ht="12.75" customHeight="1" x14ac:dyDescent="0.25"/>
    <row r="229" ht="12.75" customHeight="1" x14ac:dyDescent="0.25"/>
    <row r="230" ht="12.75" customHeight="1" x14ac:dyDescent="0.25"/>
    <row r="231" ht="12.75" customHeight="1" x14ac:dyDescent="0.25"/>
    <row r="232" ht="12.75" customHeight="1" x14ac:dyDescent="0.25"/>
    <row r="233" ht="12.75" customHeight="1" x14ac:dyDescent="0.25"/>
    <row r="234" ht="12.75" customHeight="1" x14ac:dyDescent="0.25"/>
    <row r="235" ht="12.75" customHeight="1" x14ac:dyDescent="0.25"/>
    <row r="236" ht="12.75" customHeight="1" x14ac:dyDescent="0.25"/>
    <row r="237" ht="12.75" customHeight="1" x14ac:dyDescent="0.25"/>
    <row r="238" ht="12.75" customHeight="1" x14ac:dyDescent="0.25"/>
    <row r="239" ht="12.75" customHeight="1" x14ac:dyDescent="0.25"/>
    <row r="240" ht="12.75" customHeight="1" x14ac:dyDescent="0.25"/>
    <row r="241" ht="12.75" customHeight="1" x14ac:dyDescent="0.25"/>
    <row r="242" ht="12.75" customHeight="1" x14ac:dyDescent="0.25"/>
    <row r="243" ht="12.75" customHeight="1" x14ac:dyDescent="0.25"/>
    <row r="244" ht="12.75" customHeight="1" x14ac:dyDescent="0.25"/>
    <row r="245" ht="12.75" customHeight="1" x14ac:dyDescent="0.25"/>
    <row r="246" ht="12.75" customHeight="1" x14ac:dyDescent="0.25"/>
    <row r="247" ht="12.75" customHeight="1" x14ac:dyDescent="0.25"/>
    <row r="248" ht="12.75" customHeight="1" x14ac:dyDescent="0.25"/>
    <row r="249" ht="12.75" customHeight="1" x14ac:dyDescent="0.25"/>
    <row r="250" ht="12.75" customHeight="1" x14ac:dyDescent="0.25"/>
    <row r="251" ht="12.75" customHeight="1" x14ac:dyDescent="0.25"/>
    <row r="252" ht="12.75" customHeight="1" x14ac:dyDescent="0.25"/>
    <row r="253" ht="12.75" customHeight="1" x14ac:dyDescent="0.25"/>
    <row r="254" ht="12.75" customHeight="1" x14ac:dyDescent="0.25"/>
    <row r="255" ht="12.75" customHeight="1" x14ac:dyDescent="0.25"/>
    <row r="256" ht="12.75" customHeight="1" x14ac:dyDescent="0.25"/>
    <row r="257" ht="12.75" customHeight="1" x14ac:dyDescent="0.25"/>
    <row r="258" ht="12.75" customHeight="1" x14ac:dyDescent="0.25"/>
    <row r="259" ht="12.75" customHeight="1" x14ac:dyDescent="0.25"/>
    <row r="260" ht="12.75" customHeight="1" x14ac:dyDescent="0.25"/>
    <row r="261" ht="12.75" customHeight="1" x14ac:dyDescent="0.25"/>
    <row r="262" ht="12.75" customHeight="1" x14ac:dyDescent="0.25"/>
    <row r="263" ht="12.75" customHeight="1" x14ac:dyDescent="0.25"/>
    <row r="264" ht="12.75" customHeight="1" x14ac:dyDescent="0.25"/>
    <row r="265" ht="12.75" customHeight="1" x14ac:dyDescent="0.25"/>
    <row r="266" ht="12.75" customHeight="1" x14ac:dyDescent="0.25"/>
    <row r="267" ht="12.75" customHeight="1" x14ac:dyDescent="0.25"/>
    <row r="268" ht="12.75" customHeight="1" x14ac:dyDescent="0.25"/>
    <row r="269" ht="12.75" customHeight="1" x14ac:dyDescent="0.25"/>
    <row r="270" ht="12.75" customHeight="1" x14ac:dyDescent="0.25"/>
    <row r="271" ht="12.75" customHeight="1" x14ac:dyDescent="0.25"/>
    <row r="272" ht="12.75" customHeight="1" x14ac:dyDescent="0.25"/>
    <row r="273" ht="12.75" customHeight="1" x14ac:dyDescent="0.25"/>
    <row r="274" ht="12.75" customHeight="1" x14ac:dyDescent="0.25"/>
    <row r="275" ht="12.75" customHeight="1" x14ac:dyDescent="0.25"/>
    <row r="276" ht="12.75" customHeight="1" x14ac:dyDescent="0.25"/>
    <row r="277" ht="12.75" customHeight="1" x14ac:dyDescent="0.25"/>
    <row r="278" ht="12.75" customHeight="1" x14ac:dyDescent="0.25"/>
    <row r="279" ht="12.75" customHeight="1" x14ac:dyDescent="0.25"/>
    <row r="280" ht="12.75" customHeight="1" x14ac:dyDescent="0.25"/>
    <row r="281" ht="12.75" customHeight="1" x14ac:dyDescent="0.25"/>
    <row r="282" ht="12.75" customHeight="1" x14ac:dyDescent="0.25"/>
    <row r="283" ht="12.75" customHeight="1" x14ac:dyDescent="0.25"/>
    <row r="284" ht="12.75" customHeight="1" x14ac:dyDescent="0.25"/>
    <row r="285" ht="12.75" customHeight="1" x14ac:dyDescent="0.25"/>
    <row r="286" ht="12.75" customHeight="1" x14ac:dyDescent="0.25"/>
    <row r="287" ht="12.75" customHeight="1" x14ac:dyDescent="0.25"/>
    <row r="288" ht="12.75" customHeight="1" x14ac:dyDescent="0.25"/>
    <row r="289" ht="12.75" customHeight="1" x14ac:dyDescent="0.25"/>
    <row r="290" ht="12.75" customHeight="1" x14ac:dyDescent="0.25"/>
    <row r="291" ht="12.75" customHeight="1" x14ac:dyDescent="0.25"/>
    <row r="292" ht="12.75" customHeight="1" x14ac:dyDescent="0.25"/>
    <row r="293" ht="12.75" customHeight="1" x14ac:dyDescent="0.25"/>
    <row r="294" ht="12.75" customHeight="1" x14ac:dyDescent="0.25"/>
    <row r="295" ht="12.75" customHeight="1" x14ac:dyDescent="0.25"/>
    <row r="296" ht="12.75" customHeight="1" x14ac:dyDescent="0.25"/>
    <row r="297" ht="12.75" customHeight="1" x14ac:dyDescent="0.25"/>
    <row r="298" ht="12.75" customHeight="1" x14ac:dyDescent="0.25"/>
    <row r="299" ht="12.75" customHeight="1" x14ac:dyDescent="0.25"/>
    <row r="300" ht="12.75" customHeight="1" x14ac:dyDescent="0.25"/>
    <row r="301" ht="12.75" customHeight="1" x14ac:dyDescent="0.25"/>
    <row r="302" ht="12.75" customHeight="1" x14ac:dyDescent="0.25"/>
    <row r="303" ht="12.75" customHeight="1" x14ac:dyDescent="0.25"/>
    <row r="304" ht="12.75" customHeight="1" x14ac:dyDescent="0.25"/>
    <row r="305" ht="12.75" customHeight="1" x14ac:dyDescent="0.25"/>
    <row r="306" ht="12.75" customHeight="1" x14ac:dyDescent="0.25"/>
    <row r="307" ht="12.75" customHeight="1" x14ac:dyDescent="0.25"/>
    <row r="308" ht="12.75" customHeight="1" x14ac:dyDescent="0.25"/>
    <row r="309" ht="12.75" customHeight="1" x14ac:dyDescent="0.25"/>
    <row r="310" ht="12.75" customHeight="1" x14ac:dyDescent="0.25"/>
    <row r="311" ht="12.75" customHeight="1" x14ac:dyDescent="0.25"/>
    <row r="312" ht="12.75" customHeight="1" x14ac:dyDescent="0.25"/>
    <row r="313" ht="12.75" customHeight="1" x14ac:dyDescent="0.25"/>
    <row r="314" ht="12.75" customHeight="1" x14ac:dyDescent="0.25"/>
    <row r="315" ht="12.75" customHeight="1" x14ac:dyDescent="0.25"/>
    <row r="316" ht="12.75" customHeight="1" x14ac:dyDescent="0.25"/>
    <row r="317" ht="12.75" customHeight="1" x14ac:dyDescent="0.25"/>
    <row r="318" ht="12.75" customHeight="1" x14ac:dyDescent="0.25"/>
    <row r="319" ht="12.75" customHeight="1" x14ac:dyDescent="0.25"/>
    <row r="320" ht="12.75" customHeight="1" x14ac:dyDescent="0.25"/>
    <row r="321" ht="12.75" customHeight="1" x14ac:dyDescent="0.25"/>
    <row r="322" ht="12.75" customHeight="1" x14ac:dyDescent="0.25"/>
    <row r="323" ht="12.75" customHeight="1" x14ac:dyDescent="0.25"/>
    <row r="324" ht="12.75" customHeight="1" x14ac:dyDescent="0.25"/>
    <row r="325" ht="12.75" customHeight="1" x14ac:dyDescent="0.25"/>
    <row r="326" ht="12.75" customHeight="1" x14ac:dyDescent="0.25"/>
    <row r="327" ht="12.75" customHeight="1" x14ac:dyDescent="0.25"/>
    <row r="328" ht="12.75" customHeight="1" x14ac:dyDescent="0.25"/>
    <row r="329" ht="12.75" customHeight="1" x14ac:dyDescent="0.25"/>
    <row r="330" ht="12.75" customHeight="1" x14ac:dyDescent="0.25"/>
    <row r="331" ht="12.75" customHeight="1" x14ac:dyDescent="0.25"/>
    <row r="332" ht="12.75" customHeight="1" x14ac:dyDescent="0.25"/>
    <row r="333" ht="12.75" customHeight="1" x14ac:dyDescent="0.25"/>
    <row r="334" ht="12.75" customHeight="1" x14ac:dyDescent="0.25"/>
    <row r="335" ht="12.75" customHeight="1" x14ac:dyDescent="0.25"/>
    <row r="336" ht="12.75" customHeight="1" x14ac:dyDescent="0.25"/>
    <row r="337" ht="12.75" customHeight="1" x14ac:dyDescent="0.25"/>
    <row r="338" ht="12.75" customHeight="1" x14ac:dyDescent="0.25"/>
    <row r="339" ht="12.75" customHeight="1" x14ac:dyDescent="0.25"/>
    <row r="340" ht="12.75" customHeight="1" x14ac:dyDescent="0.25"/>
    <row r="341" ht="12.75" customHeight="1" x14ac:dyDescent="0.25"/>
    <row r="342" ht="12.75" customHeight="1" x14ac:dyDescent="0.25"/>
    <row r="343" ht="12.75" customHeight="1" x14ac:dyDescent="0.25"/>
    <row r="344" ht="12.75" customHeight="1" x14ac:dyDescent="0.25"/>
    <row r="345" ht="12.75" customHeight="1" x14ac:dyDescent="0.25"/>
    <row r="346" ht="12.75" customHeight="1" x14ac:dyDescent="0.25"/>
    <row r="347" ht="12.75" customHeight="1" x14ac:dyDescent="0.25"/>
    <row r="348" ht="12.75" customHeight="1" x14ac:dyDescent="0.25"/>
    <row r="349" ht="12.75" customHeight="1" x14ac:dyDescent="0.25"/>
    <row r="350" ht="12.75" customHeight="1" x14ac:dyDescent="0.25"/>
    <row r="351" ht="12.75" customHeight="1" x14ac:dyDescent="0.25"/>
    <row r="352" ht="12.75" customHeight="1" x14ac:dyDescent="0.25"/>
    <row r="353" ht="12.75" customHeight="1" x14ac:dyDescent="0.25"/>
    <row r="354" ht="12.75" customHeight="1" x14ac:dyDescent="0.25"/>
    <row r="355" ht="12.75" customHeight="1" x14ac:dyDescent="0.25"/>
    <row r="356" ht="12.75" customHeight="1" x14ac:dyDescent="0.25"/>
    <row r="357" ht="12.75" customHeight="1" x14ac:dyDescent="0.25"/>
    <row r="358" ht="12.75" customHeight="1" x14ac:dyDescent="0.25"/>
    <row r="359" ht="12.75" customHeight="1" x14ac:dyDescent="0.25"/>
    <row r="360" ht="12.75" customHeight="1" x14ac:dyDescent="0.25"/>
    <row r="361" ht="12.75" customHeight="1" x14ac:dyDescent="0.25"/>
    <row r="362" ht="12.75" customHeight="1" x14ac:dyDescent="0.25"/>
    <row r="363" ht="12.75" customHeight="1" x14ac:dyDescent="0.25"/>
    <row r="364" ht="12.75" customHeight="1" x14ac:dyDescent="0.25"/>
    <row r="365" ht="12.75" customHeight="1" x14ac:dyDescent="0.25"/>
    <row r="366" ht="12.75" customHeight="1" x14ac:dyDescent="0.25"/>
    <row r="367" ht="12.75" customHeight="1" x14ac:dyDescent="0.25"/>
    <row r="368" ht="12.75" customHeight="1" x14ac:dyDescent="0.25"/>
    <row r="369" ht="12.75" customHeight="1" x14ac:dyDescent="0.25"/>
    <row r="370" ht="12.75" customHeight="1" x14ac:dyDescent="0.25"/>
    <row r="371" ht="12.75" customHeight="1" x14ac:dyDescent="0.25"/>
    <row r="372" ht="12.75" customHeight="1" x14ac:dyDescent="0.25"/>
    <row r="373" ht="12.75" customHeight="1" x14ac:dyDescent="0.25"/>
    <row r="374" ht="12.75" customHeight="1" x14ac:dyDescent="0.25"/>
    <row r="375" ht="12.75" customHeight="1" x14ac:dyDescent="0.25"/>
    <row r="376" ht="12.75" customHeight="1" x14ac:dyDescent="0.25"/>
    <row r="377" ht="12.75" customHeight="1" x14ac:dyDescent="0.25"/>
    <row r="378" ht="12.75" customHeight="1" x14ac:dyDescent="0.25"/>
    <row r="379" ht="12.75" customHeight="1" x14ac:dyDescent="0.25"/>
    <row r="380" ht="12.75" customHeight="1" x14ac:dyDescent="0.25"/>
    <row r="381" ht="12.75" customHeight="1" x14ac:dyDescent="0.25"/>
    <row r="382" ht="12.75" customHeight="1" x14ac:dyDescent="0.25"/>
    <row r="383" ht="12.75" customHeight="1" x14ac:dyDescent="0.25"/>
    <row r="384" ht="12.75" customHeight="1" x14ac:dyDescent="0.25"/>
    <row r="385" ht="12.75" customHeight="1" x14ac:dyDescent="0.25"/>
    <row r="386" ht="12.75" customHeight="1" x14ac:dyDescent="0.25"/>
    <row r="387" ht="12.75" customHeight="1" x14ac:dyDescent="0.25"/>
    <row r="388" ht="12.75" customHeight="1" x14ac:dyDescent="0.25"/>
    <row r="389" ht="12.75" customHeight="1" x14ac:dyDescent="0.25"/>
    <row r="390" ht="12.75" customHeight="1" x14ac:dyDescent="0.25"/>
    <row r="391" ht="12.75" customHeight="1" x14ac:dyDescent="0.25"/>
    <row r="392" ht="12.75" customHeight="1" x14ac:dyDescent="0.25"/>
    <row r="393" ht="12.75" customHeight="1" x14ac:dyDescent="0.25"/>
    <row r="394" ht="12.75" customHeight="1" x14ac:dyDescent="0.25"/>
    <row r="395" ht="12.75" customHeight="1" x14ac:dyDescent="0.25"/>
    <row r="396" ht="12.75" customHeight="1" x14ac:dyDescent="0.25"/>
    <row r="397" ht="12.75" customHeight="1" x14ac:dyDescent="0.25"/>
    <row r="398" ht="12.75" customHeight="1" x14ac:dyDescent="0.25"/>
    <row r="399" ht="12.75" customHeight="1" x14ac:dyDescent="0.25"/>
    <row r="400" ht="12.75" customHeight="1" x14ac:dyDescent="0.25"/>
    <row r="401" ht="12.75" customHeight="1" x14ac:dyDescent="0.25"/>
    <row r="402" ht="12.75" customHeight="1" x14ac:dyDescent="0.25"/>
    <row r="403" ht="12.75" customHeight="1" x14ac:dyDescent="0.25"/>
    <row r="404" ht="12.75" customHeight="1" x14ac:dyDescent="0.25"/>
    <row r="405" ht="12.75" customHeight="1" x14ac:dyDescent="0.25"/>
    <row r="406" ht="12.75" customHeight="1" x14ac:dyDescent="0.25"/>
    <row r="407" ht="12.75" customHeight="1" x14ac:dyDescent="0.25"/>
    <row r="408" ht="12.75" customHeight="1" x14ac:dyDescent="0.25"/>
    <row r="409" ht="12.75" customHeight="1" x14ac:dyDescent="0.25"/>
    <row r="410" ht="12.75" customHeight="1" x14ac:dyDescent="0.25"/>
    <row r="411" ht="12.75" customHeight="1" x14ac:dyDescent="0.25"/>
    <row r="412" ht="12.75" customHeight="1" x14ac:dyDescent="0.25"/>
    <row r="413" ht="12.75" customHeight="1" x14ac:dyDescent="0.25"/>
    <row r="414" ht="12.75" customHeight="1" x14ac:dyDescent="0.25"/>
    <row r="415" ht="12.75" customHeight="1" x14ac:dyDescent="0.25"/>
    <row r="416" ht="12.75" customHeight="1" x14ac:dyDescent="0.25"/>
    <row r="417" ht="12.75" customHeight="1" x14ac:dyDescent="0.25"/>
    <row r="418" ht="12.75" customHeight="1" x14ac:dyDescent="0.25"/>
    <row r="419" ht="12.75" customHeight="1" x14ac:dyDescent="0.25"/>
    <row r="420" ht="12.75" customHeight="1" x14ac:dyDescent="0.25"/>
    <row r="421" ht="12.75" customHeight="1" x14ac:dyDescent="0.25"/>
    <row r="422" ht="12.75" customHeight="1" x14ac:dyDescent="0.25"/>
    <row r="423" ht="12.75" customHeight="1" x14ac:dyDescent="0.25"/>
    <row r="424" ht="12.75" customHeight="1" x14ac:dyDescent="0.25"/>
    <row r="425" ht="12.75" customHeight="1" x14ac:dyDescent="0.25"/>
    <row r="426" ht="12.75" customHeight="1" x14ac:dyDescent="0.25"/>
    <row r="427" ht="12.75" customHeight="1" x14ac:dyDescent="0.25"/>
    <row r="428" ht="12.75" customHeight="1" x14ac:dyDescent="0.25"/>
    <row r="429" ht="12.75" customHeight="1" x14ac:dyDescent="0.25"/>
    <row r="430" ht="12.75" customHeight="1" x14ac:dyDescent="0.25"/>
    <row r="431" ht="12.75" customHeight="1" x14ac:dyDescent="0.25"/>
    <row r="432" ht="12.75" customHeight="1" x14ac:dyDescent="0.25"/>
    <row r="433" ht="12.75" customHeight="1" x14ac:dyDescent="0.25"/>
    <row r="434" ht="12.75" customHeight="1" x14ac:dyDescent="0.25"/>
    <row r="435" ht="12.75" customHeight="1" x14ac:dyDescent="0.25"/>
    <row r="436" ht="12.75" customHeight="1" x14ac:dyDescent="0.25"/>
    <row r="437" ht="12.75" customHeight="1" x14ac:dyDescent="0.25"/>
    <row r="438" ht="12.75" customHeight="1" x14ac:dyDescent="0.25"/>
    <row r="439" ht="12.75" customHeight="1" x14ac:dyDescent="0.25"/>
    <row r="440" ht="12.75" customHeight="1" x14ac:dyDescent="0.25"/>
    <row r="441" ht="12.75" customHeight="1" x14ac:dyDescent="0.25"/>
    <row r="442" ht="12.75" customHeight="1" x14ac:dyDescent="0.25"/>
    <row r="443" ht="12.75" customHeight="1" x14ac:dyDescent="0.25"/>
    <row r="444" ht="12.75" customHeight="1" x14ac:dyDescent="0.25"/>
    <row r="445" ht="12.75" customHeight="1" x14ac:dyDescent="0.25"/>
    <row r="446" ht="12.75" customHeight="1" x14ac:dyDescent="0.25"/>
    <row r="447" ht="12.75" customHeight="1" x14ac:dyDescent="0.25"/>
    <row r="448" ht="12.75" customHeight="1" x14ac:dyDescent="0.25"/>
    <row r="449" ht="12.75" customHeight="1" x14ac:dyDescent="0.25"/>
    <row r="450" ht="12.75" customHeight="1" x14ac:dyDescent="0.25"/>
    <row r="451" ht="12.75" customHeight="1" x14ac:dyDescent="0.25"/>
    <row r="452" ht="12.75" customHeight="1" x14ac:dyDescent="0.25"/>
    <row r="453" ht="12.75" customHeight="1" x14ac:dyDescent="0.25"/>
    <row r="454" ht="12.75" customHeight="1" x14ac:dyDescent="0.25"/>
    <row r="455" ht="12.75" customHeight="1" x14ac:dyDescent="0.25"/>
    <row r="456" ht="12.75" customHeight="1" x14ac:dyDescent="0.25"/>
    <row r="457" ht="12.75" customHeight="1" x14ac:dyDescent="0.25"/>
    <row r="458" ht="12.75" customHeight="1" x14ac:dyDescent="0.25"/>
    <row r="459" ht="12.75" customHeight="1" x14ac:dyDescent="0.25"/>
    <row r="460" ht="12.75" customHeight="1" x14ac:dyDescent="0.25"/>
    <row r="461" ht="12.75" customHeight="1" x14ac:dyDescent="0.25"/>
    <row r="462" ht="12.75" customHeight="1" x14ac:dyDescent="0.25"/>
    <row r="463" ht="12.75" customHeight="1" x14ac:dyDescent="0.25"/>
    <row r="464" ht="12.75" customHeight="1" x14ac:dyDescent="0.25"/>
    <row r="465" ht="12.75" customHeight="1" x14ac:dyDescent="0.25"/>
    <row r="466" ht="12.75" customHeight="1" x14ac:dyDescent="0.25"/>
    <row r="467" ht="12.75" customHeight="1" x14ac:dyDescent="0.25"/>
    <row r="468" ht="12.75" customHeight="1" x14ac:dyDescent="0.25"/>
    <row r="469" ht="12.75" customHeight="1" x14ac:dyDescent="0.25"/>
    <row r="470" ht="12.75" customHeight="1" x14ac:dyDescent="0.25"/>
    <row r="471" ht="12.75" customHeight="1" x14ac:dyDescent="0.25"/>
    <row r="472" ht="12.75" customHeight="1" x14ac:dyDescent="0.25"/>
    <row r="473" ht="12.75" customHeight="1" x14ac:dyDescent="0.25"/>
    <row r="474" ht="12.75" customHeight="1" x14ac:dyDescent="0.25"/>
    <row r="475" ht="12.75" customHeight="1" x14ac:dyDescent="0.25"/>
    <row r="476" ht="12.75" customHeight="1" x14ac:dyDescent="0.25"/>
    <row r="477" ht="12.75" customHeight="1" x14ac:dyDescent="0.25"/>
    <row r="478" ht="12.75" customHeight="1" x14ac:dyDescent="0.25"/>
    <row r="479" ht="12.75" customHeight="1" x14ac:dyDescent="0.25"/>
    <row r="480" ht="12.75" customHeight="1" x14ac:dyDescent="0.25"/>
    <row r="481" ht="12.75" customHeight="1" x14ac:dyDescent="0.25"/>
    <row r="482" ht="12.75" customHeight="1" x14ac:dyDescent="0.25"/>
    <row r="483" ht="12.75" customHeight="1" x14ac:dyDescent="0.25"/>
    <row r="484" ht="12.75" customHeight="1" x14ac:dyDescent="0.25"/>
    <row r="485" ht="12.75" customHeight="1" x14ac:dyDescent="0.25"/>
    <row r="486" ht="12.75" customHeight="1" x14ac:dyDescent="0.25"/>
    <row r="487" ht="12.75" customHeight="1" x14ac:dyDescent="0.25"/>
    <row r="488" ht="12.75" customHeight="1" x14ac:dyDescent="0.25"/>
    <row r="489" ht="12.75" customHeight="1" x14ac:dyDescent="0.25"/>
    <row r="490" ht="12.75" customHeight="1" x14ac:dyDescent="0.25"/>
    <row r="491" ht="12.75" customHeight="1" x14ac:dyDescent="0.25"/>
    <row r="492" ht="12.75" customHeight="1" x14ac:dyDescent="0.25"/>
    <row r="493" ht="12.75" customHeight="1" x14ac:dyDescent="0.25"/>
    <row r="494" ht="12.75" customHeight="1" x14ac:dyDescent="0.25"/>
    <row r="495" ht="12.75" customHeight="1" x14ac:dyDescent="0.25"/>
    <row r="496" ht="12.75" customHeight="1" x14ac:dyDescent="0.25"/>
    <row r="497" ht="12.75" customHeight="1" x14ac:dyDescent="0.25"/>
    <row r="498" ht="12.75" customHeight="1" x14ac:dyDescent="0.25"/>
    <row r="499" ht="12.75" customHeight="1" x14ac:dyDescent="0.25"/>
    <row r="500" ht="12.75" customHeight="1" x14ac:dyDescent="0.25"/>
    <row r="501" ht="12.75" customHeight="1" x14ac:dyDescent="0.25"/>
    <row r="502" ht="12.75" customHeight="1" x14ac:dyDescent="0.25"/>
    <row r="503" ht="12.75" customHeight="1" x14ac:dyDescent="0.25"/>
    <row r="504" ht="12.75" customHeight="1" x14ac:dyDescent="0.25"/>
    <row r="505" ht="12.75" customHeight="1" x14ac:dyDescent="0.25"/>
    <row r="506" ht="12.75" customHeight="1" x14ac:dyDescent="0.25"/>
    <row r="507" ht="12.75" customHeight="1" x14ac:dyDescent="0.25"/>
    <row r="508" ht="12.75" customHeight="1" x14ac:dyDescent="0.25"/>
    <row r="509" ht="12.75" customHeight="1" x14ac:dyDescent="0.25"/>
    <row r="510" ht="12.75" customHeight="1" x14ac:dyDescent="0.25"/>
    <row r="511" ht="12.75" customHeight="1" x14ac:dyDescent="0.25"/>
    <row r="512" ht="12.75" customHeight="1" x14ac:dyDescent="0.25"/>
    <row r="513" ht="12.75" customHeight="1" x14ac:dyDescent="0.25"/>
    <row r="514" ht="12.75" customHeight="1" x14ac:dyDescent="0.25"/>
    <row r="515" ht="12.75" customHeight="1" x14ac:dyDescent="0.25"/>
    <row r="516" ht="12.75" customHeight="1" x14ac:dyDescent="0.25"/>
    <row r="517" ht="12.75" customHeight="1" x14ac:dyDescent="0.25"/>
    <row r="518" ht="12.75" customHeight="1" x14ac:dyDescent="0.25"/>
    <row r="519" ht="12.75" customHeight="1" x14ac:dyDescent="0.25"/>
    <row r="520" ht="12.75" customHeight="1" x14ac:dyDescent="0.25"/>
    <row r="521" ht="12.75" customHeight="1" x14ac:dyDescent="0.25"/>
    <row r="522" ht="12.75" customHeight="1" x14ac:dyDescent="0.25"/>
    <row r="523" ht="12.75" customHeight="1" x14ac:dyDescent="0.25"/>
    <row r="524" ht="12.75" customHeight="1" x14ac:dyDescent="0.25"/>
    <row r="525" ht="12.75" customHeight="1" x14ac:dyDescent="0.25"/>
    <row r="526" ht="12.75" customHeight="1" x14ac:dyDescent="0.25"/>
    <row r="527" ht="12.75" customHeight="1" x14ac:dyDescent="0.25"/>
    <row r="528" ht="12.75" customHeight="1" x14ac:dyDescent="0.25"/>
    <row r="529" ht="12.75" customHeight="1" x14ac:dyDescent="0.25"/>
    <row r="530" ht="12.75" customHeight="1" x14ac:dyDescent="0.25"/>
    <row r="531" ht="12.75" customHeight="1" x14ac:dyDescent="0.25"/>
    <row r="532" ht="12.75" customHeight="1" x14ac:dyDescent="0.25"/>
    <row r="533" ht="12.75" customHeight="1" x14ac:dyDescent="0.25"/>
    <row r="534" ht="12.75" customHeight="1" x14ac:dyDescent="0.25"/>
    <row r="535" ht="12.75" customHeight="1" x14ac:dyDescent="0.25"/>
    <row r="536" ht="12.75" customHeight="1" x14ac:dyDescent="0.25"/>
    <row r="537" ht="12.75" customHeight="1" x14ac:dyDescent="0.25"/>
    <row r="538" ht="12.75" customHeight="1" x14ac:dyDescent="0.25"/>
    <row r="539" ht="12.75" customHeight="1" x14ac:dyDescent="0.25"/>
    <row r="540" ht="12.75" customHeight="1" x14ac:dyDescent="0.25"/>
    <row r="541" ht="12.75" customHeight="1" x14ac:dyDescent="0.25"/>
    <row r="542" ht="12.75" customHeight="1" x14ac:dyDescent="0.25"/>
    <row r="543" ht="12.75" customHeight="1" x14ac:dyDescent="0.25"/>
    <row r="544" ht="12.75" customHeight="1" x14ac:dyDescent="0.25"/>
    <row r="545" ht="12.75" customHeight="1" x14ac:dyDescent="0.25"/>
    <row r="546" ht="12.75" customHeight="1" x14ac:dyDescent="0.25"/>
    <row r="547" ht="12.75" customHeight="1" x14ac:dyDescent="0.25"/>
    <row r="548" ht="12.75" customHeight="1" x14ac:dyDescent="0.25"/>
    <row r="549" ht="12.75" customHeight="1" x14ac:dyDescent="0.25"/>
    <row r="550" ht="12.75" customHeight="1" x14ac:dyDescent="0.25"/>
    <row r="551" ht="12.75" customHeight="1" x14ac:dyDescent="0.25"/>
    <row r="552" ht="12.75" customHeight="1" x14ac:dyDescent="0.25"/>
    <row r="553" ht="12.75" customHeight="1" x14ac:dyDescent="0.25"/>
    <row r="554" ht="12.75" customHeight="1" x14ac:dyDescent="0.25"/>
    <row r="555" ht="12.75" customHeight="1" x14ac:dyDescent="0.25"/>
    <row r="556" ht="12.75" customHeight="1" x14ac:dyDescent="0.25"/>
    <row r="557" ht="12.75" customHeight="1" x14ac:dyDescent="0.25"/>
    <row r="558" ht="12.75" customHeight="1" x14ac:dyDescent="0.25"/>
    <row r="559" ht="12.75" customHeight="1" x14ac:dyDescent="0.25"/>
    <row r="560" ht="12.75" customHeight="1" x14ac:dyDescent="0.25"/>
    <row r="561" ht="12.75" customHeight="1" x14ac:dyDescent="0.25"/>
    <row r="562" ht="12.75" customHeight="1" x14ac:dyDescent="0.25"/>
    <row r="563" ht="12.75" customHeight="1" x14ac:dyDescent="0.25"/>
    <row r="564" ht="12.75" customHeight="1" x14ac:dyDescent="0.25"/>
    <row r="565" ht="12.75" customHeight="1" x14ac:dyDescent="0.25"/>
    <row r="566" ht="12.75" customHeight="1" x14ac:dyDescent="0.25"/>
    <row r="567" ht="12.75" customHeight="1" x14ac:dyDescent="0.25"/>
    <row r="568" ht="12.75" customHeight="1" x14ac:dyDescent="0.25"/>
    <row r="569" ht="12.75" customHeight="1" x14ac:dyDescent="0.25"/>
    <row r="570" ht="12.75" customHeight="1" x14ac:dyDescent="0.25"/>
    <row r="571" ht="12.75" customHeight="1" x14ac:dyDescent="0.25"/>
    <row r="572" ht="12.75" customHeight="1" x14ac:dyDescent="0.25"/>
    <row r="573" ht="12.75" customHeight="1" x14ac:dyDescent="0.25"/>
    <row r="574" ht="12.75" customHeight="1" x14ac:dyDescent="0.25"/>
    <row r="575" ht="12.75" customHeight="1" x14ac:dyDescent="0.25"/>
    <row r="576" ht="12.75" customHeight="1" x14ac:dyDescent="0.25"/>
    <row r="577" ht="12.75" customHeight="1" x14ac:dyDescent="0.25"/>
    <row r="578" ht="12.75" customHeight="1" x14ac:dyDescent="0.25"/>
    <row r="579" ht="12.75" customHeight="1" x14ac:dyDescent="0.25"/>
    <row r="580" ht="12.75" customHeight="1" x14ac:dyDescent="0.25"/>
    <row r="581" ht="12.75" customHeight="1" x14ac:dyDescent="0.25"/>
    <row r="582" ht="12.75" customHeight="1" x14ac:dyDescent="0.25"/>
    <row r="583" ht="12.75" customHeight="1" x14ac:dyDescent="0.25"/>
    <row r="584" ht="12.75" customHeight="1" x14ac:dyDescent="0.25"/>
    <row r="585" ht="12.75" customHeight="1" x14ac:dyDescent="0.25"/>
    <row r="586" ht="12.75" customHeight="1" x14ac:dyDescent="0.25"/>
    <row r="587" ht="12.75" customHeight="1" x14ac:dyDescent="0.25"/>
    <row r="588" ht="12.75" customHeight="1" x14ac:dyDescent="0.25"/>
    <row r="589" ht="12.75" customHeight="1" x14ac:dyDescent="0.25"/>
    <row r="590" ht="12.75" customHeight="1" x14ac:dyDescent="0.25"/>
    <row r="591" ht="12.75" customHeight="1" x14ac:dyDescent="0.25"/>
    <row r="592" ht="12.75" customHeight="1" x14ac:dyDescent="0.25"/>
    <row r="593" ht="12.75" customHeight="1" x14ac:dyDescent="0.25"/>
    <row r="594" ht="12.75" customHeight="1" x14ac:dyDescent="0.25"/>
    <row r="595" ht="12.75" customHeight="1" x14ac:dyDescent="0.25"/>
    <row r="596" ht="12.75" customHeight="1" x14ac:dyDescent="0.25"/>
    <row r="597" ht="12.75" customHeight="1" x14ac:dyDescent="0.25"/>
    <row r="598" ht="12.75" customHeight="1" x14ac:dyDescent="0.25"/>
    <row r="599" ht="12.75" customHeight="1" x14ac:dyDescent="0.25"/>
    <row r="600" ht="12.75" customHeight="1" x14ac:dyDescent="0.25"/>
    <row r="601" ht="12.75" customHeight="1" x14ac:dyDescent="0.25"/>
    <row r="602" ht="12.75" customHeight="1" x14ac:dyDescent="0.25"/>
    <row r="603" ht="12.75" customHeight="1" x14ac:dyDescent="0.25"/>
    <row r="604" ht="12.75" customHeight="1" x14ac:dyDescent="0.25"/>
    <row r="605" ht="12.75" customHeight="1" x14ac:dyDescent="0.25"/>
    <row r="606" ht="12.75" customHeight="1" x14ac:dyDescent="0.25"/>
    <row r="607" ht="12.75" customHeight="1" x14ac:dyDescent="0.25"/>
    <row r="608" ht="12.75" customHeight="1" x14ac:dyDescent="0.25"/>
    <row r="609" ht="12.75" customHeight="1" x14ac:dyDescent="0.25"/>
    <row r="610" ht="12.75" customHeight="1" x14ac:dyDescent="0.25"/>
    <row r="611" ht="12.75" customHeight="1" x14ac:dyDescent="0.25"/>
    <row r="612" ht="12.75" customHeight="1" x14ac:dyDescent="0.25"/>
    <row r="613" ht="12.75" customHeight="1" x14ac:dyDescent="0.25"/>
    <row r="614" ht="12.75" customHeight="1" x14ac:dyDescent="0.25"/>
    <row r="615" ht="12.75" customHeight="1" x14ac:dyDescent="0.25"/>
    <row r="616" ht="12.75" customHeight="1" x14ac:dyDescent="0.25"/>
    <row r="617" ht="12.75" customHeight="1" x14ac:dyDescent="0.25"/>
    <row r="618" ht="12.75" customHeight="1" x14ac:dyDescent="0.25"/>
    <row r="619" ht="12.75" customHeight="1" x14ac:dyDescent="0.25"/>
    <row r="620" ht="12.75" customHeight="1" x14ac:dyDescent="0.25"/>
    <row r="621" ht="12.75" customHeight="1" x14ac:dyDescent="0.25"/>
    <row r="622" ht="12.75" customHeight="1" x14ac:dyDescent="0.25"/>
    <row r="623" ht="12.75" customHeight="1" x14ac:dyDescent="0.25"/>
    <row r="624" ht="12.75" customHeight="1" x14ac:dyDescent="0.25"/>
    <row r="625" ht="12.75" customHeight="1" x14ac:dyDescent="0.25"/>
    <row r="626" ht="12.75" customHeight="1" x14ac:dyDescent="0.25"/>
    <row r="627" ht="12.75" customHeight="1" x14ac:dyDescent="0.25"/>
    <row r="628" ht="12.75" customHeight="1" x14ac:dyDescent="0.25"/>
    <row r="629" ht="12.75" customHeight="1" x14ac:dyDescent="0.25"/>
    <row r="630" ht="12.75" customHeight="1" x14ac:dyDescent="0.25"/>
    <row r="631" ht="12.75" customHeight="1" x14ac:dyDescent="0.25"/>
    <row r="632" ht="12.75" customHeight="1" x14ac:dyDescent="0.25"/>
    <row r="633" ht="12.75" customHeight="1" x14ac:dyDescent="0.25"/>
    <row r="634" ht="12.75" customHeight="1" x14ac:dyDescent="0.25"/>
    <row r="635" ht="12.75" customHeight="1" x14ac:dyDescent="0.25"/>
    <row r="636" ht="12.75" customHeight="1" x14ac:dyDescent="0.25"/>
    <row r="637" ht="12.75" customHeight="1" x14ac:dyDescent="0.25"/>
    <row r="638" ht="12.75" customHeight="1" x14ac:dyDescent="0.25"/>
    <row r="639" ht="12.75" customHeight="1" x14ac:dyDescent="0.25"/>
    <row r="640" ht="12.75" customHeight="1" x14ac:dyDescent="0.25"/>
    <row r="641" ht="12.75" customHeight="1" x14ac:dyDescent="0.25"/>
    <row r="642" ht="12.75" customHeight="1" x14ac:dyDescent="0.25"/>
    <row r="643" ht="12.75" customHeight="1" x14ac:dyDescent="0.25"/>
    <row r="644" ht="12.75" customHeight="1" x14ac:dyDescent="0.25"/>
    <row r="645" ht="12.75" customHeight="1" x14ac:dyDescent="0.25"/>
    <row r="646" ht="12.75" customHeight="1" x14ac:dyDescent="0.25"/>
    <row r="647" ht="12.75" customHeight="1" x14ac:dyDescent="0.25"/>
    <row r="648" ht="12.75" customHeight="1" x14ac:dyDescent="0.25"/>
    <row r="649" ht="12.75" customHeight="1" x14ac:dyDescent="0.25"/>
    <row r="650" ht="12.75" customHeight="1" x14ac:dyDescent="0.25"/>
    <row r="651" ht="12.75" customHeight="1" x14ac:dyDescent="0.25"/>
    <row r="652" ht="12.75" customHeight="1" x14ac:dyDescent="0.25"/>
    <row r="653" ht="12.75" customHeight="1" x14ac:dyDescent="0.25"/>
    <row r="654" ht="12.75" customHeight="1" x14ac:dyDescent="0.25"/>
    <row r="655" ht="12.75" customHeight="1" x14ac:dyDescent="0.25"/>
    <row r="656" ht="12.75" customHeight="1" x14ac:dyDescent="0.25"/>
    <row r="657" ht="12.75" customHeight="1" x14ac:dyDescent="0.25"/>
    <row r="658" ht="12.75" customHeight="1" x14ac:dyDescent="0.25"/>
    <row r="659" ht="12.75" customHeight="1" x14ac:dyDescent="0.25"/>
    <row r="660" ht="12.75" customHeight="1" x14ac:dyDescent="0.25"/>
    <row r="661" ht="12.75" customHeight="1" x14ac:dyDescent="0.25"/>
    <row r="662" ht="12.75" customHeight="1" x14ac:dyDescent="0.25"/>
    <row r="663" ht="12.75" customHeight="1" x14ac:dyDescent="0.25"/>
    <row r="664" ht="12.75" customHeight="1" x14ac:dyDescent="0.25"/>
    <row r="665" ht="12.75" customHeight="1" x14ac:dyDescent="0.25"/>
    <row r="666" ht="12.75" customHeight="1" x14ac:dyDescent="0.25"/>
    <row r="667" ht="12.75" customHeight="1" x14ac:dyDescent="0.25"/>
    <row r="668" ht="12.75" customHeight="1" x14ac:dyDescent="0.25"/>
    <row r="669" ht="12.75" customHeight="1" x14ac:dyDescent="0.25"/>
    <row r="670" ht="12.75" customHeight="1" x14ac:dyDescent="0.25"/>
    <row r="671" ht="12.75" customHeight="1" x14ac:dyDescent="0.25"/>
    <row r="672" ht="12.75" customHeight="1" x14ac:dyDescent="0.25"/>
    <row r="673" ht="12.75" customHeight="1" x14ac:dyDescent="0.25"/>
    <row r="674" ht="12.75" customHeight="1" x14ac:dyDescent="0.25"/>
    <row r="675" ht="12.75" customHeight="1" x14ac:dyDescent="0.25"/>
    <row r="676" ht="12.75" customHeight="1" x14ac:dyDescent="0.25"/>
    <row r="677" ht="12.75" customHeight="1" x14ac:dyDescent="0.25"/>
    <row r="678" ht="12.75" customHeight="1" x14ac:dyDescent="0.25"/>
    <row r="679" ht="12.75" customHeight="1" x14ac:dyDescent="0.25"/>
    <row r="680" ht="12.75" customHeight="1" x14ac:dyDescent="0.25"/>
    <row r="681" ht="12.75" customHeight="1" x14ac:dyDescent="0.25"/>
    <row r="682" ht="12.75" customHeight="1" x14ac:dyDescent="0.25"/>
    <row r="683" ht="12.75" customHeight="1" x14ac:dyDescent="0.25"/>
    <row r="684" ht="12.75" customHeight="1" x14ac:dyDescent="0.25"/>
    <row r="685" ht="12.75" customHeight="1" x14ac:dyDescent="0.25"/>
    <row r="686" ht="12.75" customHeight="1" x14ac:dyDescent="0.25"/>
    <row r="687" ht="12.75" customHeight="1" x14ac:dyDescent="0.25"/>
    <row r="688" ht="12.75" customHeight="1" x14ac:dyDescent="0.25"/>
    <row r="689" ht="12.75" customHeight="1" x14ac:dyDescent="0.25"/>
    <row r="690" ht="12.75" customHeight="1" x14ac:dyDescent="0.25"/>
    <row r="691" ht="12.75" customHeight="1" x14ac:dyDescent="0.25"/>
    <row r="692" ht="12.75" customHeight="1" x14ac:dyDescent="0.25"/>
    <row r="693" ht="12.75" customHeight="1" x14ac:dyDescent="0.25"/>
    <row r="694" ht="12.75" customHeight="1" x14ac:dyDescent="0.25"/>
    <row r="695" ht="12.75" customHeight="1" x14ac:dyDescent="0.25"/>
    <row r="696" ht="12.75" customHeight="1" x14ac:dyDescent="0.25"/>
    <row r="697" ht="12.75" customHeight="1" x14ac:dyDescent="0.25"/>
    <row r="698" ht="12.75" customHeight="1" x14ac:dyDescent="0.25"/>
    <row r="699" ht="12.75" customHeight="1" x14ac:dyDescent="0.25"/>
    <row r="700" ht="12.75" customHeight="1" x14ac:dyDescent="0.25"/>
    <row r="701" ht="12.75" customHeight="1" x14ac:dyDescent="0.25"/>
    <row r="702" ht="12.75" customHeight="1" x14ac:dyDescent="0.25"/>
    <row r="703" ht="12.75" customHeight="1" x14ac:dyDescent="0.25"/>
    <row r="704" ht="12.75" customHeight="1" x14ac:dyDescent="0.25"/>
    <row r="705" ht="12.75" customHeight="1" x14ac:dyDescent="0.25"/>
    <row r="706" ht="12.75" customHeight="1" x14ac:dyDescent="0.25"/>
    <row r="707" ht="12.75" customHeight="1" x14ac:dyDescent="0.25"/>
    <row r="708" ht="12.75" customHeight="1" x14ac:dyDescent="0.25"/>
    <row r="709" ht="12.75" customHeight="1" x14ac:dyDescent="0.25"/>
    <row r="710" ht="12.75" customHeight="1" x14ac:dyDescent="0.25"/>
    <row r="711" ht="12.75" customHeight="1" x14ac:dyDescent="0.25"/>
    <row r="712" ht="12.75" customHeight="1" x14ac:dyDescent="0.25"/>
    <row r="713" ht="12.75" customHeight="1" x14ac:dyDescent="0.25"/>
    <row r="714" ht="12.75" customHeight="1" x14ac:dyDescent="0.25"/>
    <row r="715" ht="12.75" customHeight="1" x14ac:dyDescent="0.25"/>
    <row r="716" ht="12.75" customHeight="1" x14ac:dyDescent="0.25"/>
    <row r="717" ht="12.75" customHeight="1" x14ac:dyDescent="0.25"/>
    <row r="718" ht="12.75" customHeight="1" x14ac:dyDescent="0.25"/>
    <row r="719" ht="12.75" customHeight="1" x14ac:dyDescent="0.25"/>
    <row r="720" ht="12.75" customHeight="1" x14ac:dyDescent="0.25"/>
    <row r="721" ht="12.75" customHeight="1" x14ac:dyDescent="0.25"/>
    <row r="722" ht="12.75" customHeight="1" x14ac:dyDescent="0.25"/>
    <row r="723" ht="12.75" customHeight="1" x14ac:dyDescent="0.25"/>
    <row r="724" ht="12.75" customHeight="1" x14ac:dyDescent="0.25"/>
    <row r="725" ht="12.75" customHeight="1" x14ac:dyDescent="0.25"/>
    <row r="726" ht="12.75" customHeight="1" x14ac:dyDescent="0.25"/>
    <row r="727" ht="12.75" customHeight="1" x14ac:dyDescent="0.25"/>
    <row r="728" ht="12.75" customHeight="1" x14ac:dyDescent="0.25"/>
    <row r="729" ht="12.75" customHeight="1" x14ac:dyDescent="0.25"/>
    <row r="730" ht="12.75" customHeight="1" x14ac:dyDescent="0.25"/>
    <row r="731" ht="12.75" customHeight="1" x14ac:dyDescent="0.25"/>
    <row r="732" ht="12.75" customHeight="1" x14ac:dyDescent="0.25"/>
    <row r="733" ht="12.75" customHeight="1" x14ac:dyDescent="0.25"/>
    <row r="734" ht="12.75" customHeight="1" x14ac:dyDescent="0.25"/>
    <row r="735" ht="12.75" customHeight="1" x14ac:dyDescent="0.25"/>
    <row r="736" ht="12.75" customHeight="1" x14ac:dyDescent="0.25"/>
    <row r="737" ht="12.75" customHeight="1" x14ac:dyDescent="0.25"/>
    <row r="738" ht="12.75" customHeight="1" x14ac:dyDescent="0.25"/>
    <row r="739" ht="12.75" customHeight="1" x14ac:dyDescent="0.25"/>
    <row r="740" ht="12.75" customHeight="1" x14ac:dyDescent="0.25"/>
    <row r="741" ht="12.75" customHeight="1" x14ac:dyDescent="0.25"/>
    <row r="742" ht="12.75" customHeight="1" x14ac:dyDescent="0.25"/>
    <row r="743" ht="12.75" customHeight="1" x14ac:dyDescent="0.25"/>
    <row r="744" ht="12.75" customHeight="1" x14ac:dyDescent="0.25"/>
    <row r="745" ht="12.75" customHeight="1" x14ac:dyDescent="0.25"/>
    <row r="746" ht="12.75" customHeight="1" x14ac:dyDescent="0.25"/>
    <row r="747" ht="12.75" customHeight="1" x14ac:dyDescent="0.25"/>
    <row r="748" ht="12.75" customHeight="1" x14ac:dyDescent="0.25"/>
    <row r="749" ht="12.75" customHeight="1" x14ac:dyDescent="0.25"/>
    <row r="750" ht="12.75" customHeight="1" x14ac:dyDescent="0.25"/>
    <row r="751" ht="12.75" customHeight="1" x14ac:dyDescent="0.25"/>
    <row r="752" ht="12.75" customHeight="1" x14ac:dyDescent="0.25"/>
    <row r="753" ht="12.75" customHeight="1" x14ac:dyDescent="0.25"/>
    <row r="754" ht="12.75" customHeight="1" x14ac:dyDescent="0.25"/>
    <row r="755" ht="12.75" customHeight="1" x14ac:dyDescent="0.25"/>
    <row r="756" ht="12.75" customHeight="1" x14ac:dyDescent="0.25"/>
    <row r="757" ht="12.75" customHeight="1" x14ac:dyDescent="0.25"/>
    <row r="758" ht="12.75" customHeight="1" x14ac:dyDescent="0.25"/>
    <row r="759" ht="12.75" customHeight="1" x14ac:dyDescent="0.25"/>
    <row r="760" ht="12.75" customHeight="1" x14ac:dyDescent="0.25"/>
    <row r="761" ht="12.75" customHeight="1" x14ac:dyDescent="0.25"/>
    <row r="762" ht="12.75" customHeight="1" x14ac:dyDescent="0.25"/>
    <row r="763" ht="12.75" customHeight="1" x14ac:dyDescent="0.25"/>
    <row r="764" ht="12.75" customHeight="1" x14ac:dyDescent="0.25"/>
    <row r="765" ht="12.75" customHeight="1" x14ac:dyDescent="0.25"/>
    <row r="766" ht="12.75" customHeight="1" x14ac:dyDescent="0.25"/>
    <row r="767" ht="12.75" customHeight="1" x14ac:dyDescent="0.25"/>
    <row r="768" ht="12.75" customHeight="1" x14ac:dyDescent="0.25"/>
    <row r="769" ht="12.75" customHeight="1" x14ac:dyDescent="0.25"/>
    <row r="770" ht="12.75" customHeight="1" x14ac:dyDescent="0.25"/>
    <row r="771" ht="12.75" customHeight="1" x14ac:dyDescent="0.25"/>
    <row r="772" ht="12.75" customHeight="1" x14ac:dyDescent="0.25"/>
    <row r="773" ht="12.75" customHeight="1" x14ac:dyDescent="0.25"/>
    <row r="774" ht="12.75" customHeight="1" x14ac:dyDescent="0.25"/>
    <row r="775" ht="12.75" customHeight="1" x14ac:dyDescent="0.25"/>
    <row r="776" ht="12.75" customHeight="1" x14ac:dyDescent="0.25"/>
    <row r="777" ht="12.75" customHeight="1" x14ac:dyDescent="0.25"/>
    <row r="778" ht="12.75" customHeight="1" x14ac:dyDescent="0.25"/>
    <row r="779" ht="12.75" customHeight="1" x14ac:dyDescent="0.25"/>
    <row r="780" ht="12.75" customHeight="1" x14ac:dyDescent="0.25"/>
    <row r="781" ht="12.75" customHeight="1" x14ac:dyDescent="0.25"/>
    <row r="782" ht="12.75" customHeight="1" x14ac:dyDescent="0.25"/>
    <row r="783" ht="12.75" customHeight="1" x14ac:dyDescent="0.25"/>
    <row r="784" ht="12.75" customHeight="1" x14ac:dyDescent="0.25"/>
    <row r="785" ht="12.75" customHeight="1" x14ac:dyDescent="0.25"/>
    <row r="786" ht="12.75" customHeight="1" x14ac:dyDescent="0.25"/>
    <row r="787" ht="12.75" customHeight="1" x14ac:dyDescent="0.25"/>
    <row r="788" ht="12.75" customHeight="1" x14ac:dyDescent="0.25"/>
    <row r="789" ht="12.75" customHeight="1" x14ac:dyDescent="0.25"/>
    <row r="790" ht="12.75" customHeight="1" x14ac:dyDescent="0.25"/>
    <row r="791" ht="12.75" customHeight="1" x14ac:dyDescent="0.25"/>
    <row r="792" ht="12.75" customHeight="1" x14ac:dyDescent="0.25"/>
    <row r="793" ht="12.75" customHeight="1" x14ac:dyDescent="0.25"/>
    <row r="794" ht="12.75" customHeight="1" x14ac:dyDescent="0.25"/>
    <row r="795" ht="12.75" customHeight="1" x14ac:dyDescent="0.25"/>
    <row r="796" ht="12.75" customHeight="1" x14ac:dyDescent="0.25"/>
    <row r="797" ht="12.75" customHeight="1" x14ac:dyDescent="0.25"/>
    <row r="798" ht="12.75" customHeight="1" x14ac:dyDescent="0.25"/>
    <row r="799" ht="12.75" customHeight="1" x14ac:dyDescent="0.25"/>
    <row r="800" ht="12.75" customHeight="1" x14ac:dyDescent="0.25"/>
    <row r="801" ht="12.75" customHeight="1" x14ac:dyDescent="0.25"/>
    <row r="802" ht="12.75" customHeight="1" x14ac:dyDescent="0.25"/>
    <row r="803" ht="12.75" customHeight="1" x14ac:dyDescent="0.25"/>
    <row r="804" ht="12.75" customHeight="1" x14ac:dyDescent="0.25"/>
    <row r="805" ht="12.75" customHeight="1" x14ac:dyDescent="0.25"/>
    <row r="806" ht="12.75" customHeight="1" x14ac:dyDescent="0.25"/>
    <row r="807" ht="12.75" customHeight="1" x14ac:dyDescent="0.25"/>
    <row r="808" ht="12.75" customHeight="1" x14ac:dyDescent="0.25"/>
    <row r="809" ht="12.75" customHeight="1" x14ac:dyDescent="0.25"/>
    <row r="810" ht="12.75" customHeight="1" x14ac:dyDescent="0.25"/>
    <row r="811" ht="12.75" customHeight="1" x14ac:dyDescent="0.25"/>
    <row r="812" ht="12.75" customHeight="1" x14ac:dyDescent="0.25"/>
    <row r="813" ht="12.75" customHeight="1" x14ac:dyDescent="0.25"/>
    <row r="814" ht="12.75" customHeight="1" x14ac:dyDescent="0.25"/>
    <row r="815" ht="12.75" customHeight="1" x14ac:dyDescent="0.25"/>
    <row r="816" ht="12.75" customHeight="1" x14ac:dyDescent="0.25"/>
    <row r="817" ht="12.75" customHeight="1" x14ac:dyDescent="0.25"/>
    <row r="818" ht="12.75" customHeight="1" x14ac:dyDescent="0.25"/>
    <row r="819" ht="12.75" customHeight="1" x14ac:dyDescent="0.25"/>
    <row r="820" ht="12.75" customHeight="1" x14ac:dyDescent="0.25"/>
    <row r="821" ht="12.75" customHeight="1" x14ac:dyDescent="0.25"/>
    <row r="822" ht="12.75" customHeight="1" x14ac:dyDescent="0.25"/>
    <row r="823" ht="12.75" customHeight="1" x14ac:dyDescent="0.25"/>
    <row r="824" ht="12.75" customHeight="1" x14ac:dyDescent="0.25"/>
    <row r="825" ht="12.75" customHeight="1" x14ac:dyDescent="0.25"/>
    <row r="826" ht="12.75" customHeight="1" x14ac:dyDescent="0.25"/>
    <row r="827" ht="12.75" customHeight="1" x14ac:dyDescent="0.25"/>
    <row r="828" ht="12.75" customHeight="1" x14ac:dyDescent="0.25"/>
    <row r="829" ht="12.75" customHeight="1" x14ac:dyDescent="0.25"/>
    <row r="830" ht="12.75" customHeight="1" x14ac:dyDescent="0.25"/>
    <row r="831" ht="12.75" customHeight="1" x14ac:dyDescent="0.25"/>
    <row r="832" ht="12.75" customHeight="1" x14ac:dyDescent="0.25"/>
    <row r="833" ht="12.75" customHeight="1" x14ac:dyDescent="0.25"/>
    <row r="834" ht="12.75" customHeight="1" x14ac:dyDescent="0.25"/>
    <row r="835" ht="12.75" customHeight="1" x14ac:dyDescent="0.25"/>
    <row r="836" ht="12.75" customHeight="1" x14ac:dyDescent="0.25"/>
    <row r="837" ht="12.75" customHeight="1" x14ac:dyDescent="0.25"/>
    <row r="838" ht="12.75" customHeight="1" x14ac:dyDescent="0.25"/>
    <row r="839" ht="12.75" customHeight="1" x14ac:dyDescent="0.25"/>
    <row r="840" ht="12.75" customHeight="1" x14ac:dyDescent="0.25"/>
    <row r="841" ht="12.75" customHeight="1" x14ac:dyDescent="0.25"/>
    <row r="842" ht="12.75" customHeight="1" x14ac:dyDescent="0.25"/>
    <row r="843" ht="12.75" customHeight="1" x14ac:dyDescent="0.25"/>
    <row r="844" ht="12.75" customHeight="1" x14ac:dyDescent="0.25"/>
    <row r="845" ht="12.75" customHeight="1" x14ac:dyDescent="0.25"/>
    <row r="846" ht="12.75" customHeight="1" x14ac:dyDescent="0.25"/>
    <row r="847" ht="12.75" customHeight="1" x14ac:dyDescent="0.25"/>
    <row r="848" ht="12.75" customHeight="1" x14ac:dyDescent="0.25"/>
    <row r="849" ht="12.75" customHeight="1" x14ac:dyDescent="0.25"/>
    <row r="850" ht="12.75" customHeight="1" x14ac:dyDescent="0.25"/>
    <row r="851" ht="12.75" customHeight="1" x14ac:dyDescent="0.25"/>
    <row r="852" ht="12.75" customHeight="1" x14ac:dyDescent="0.25"/>
    <row r="853" ht="12.75" customHeight="1" x14ac:dyDescent="0.25"/>
    <row r="854" ht="12.75" customHeight="1" x14ac:dyDescent="0.25"/>
    <row r="855" ht="12.75" customHeight="1" x14ac:dyDescent="0.25"/>
    <row r="856" ht="12.75" customHeight="1" x14ac:dyDescent="0.25"/>
    <row r="857" ht="12.75" customHeight="1" x14ac:dyDescent="0.25"/>
    <row r="858" ht="12.75" customHeight="1" x14ac:dyDescent="0.25"/>
    <row r="859" ht="12.75" customHeight="1" x14ac:dyDescent="0.25"/>
    <row r="860" ht="12.75" customHeight="1" x14ac:dyDescent="0.25"/>
    <row r="861" ht="12.75" customHeight="1" x14ac:dyDescent="0.25"/>
    <row r="862" ht="12.75" customHeight="1" x14ac:dyDescent="0.25"/>
    <row r="863" ht="12.75" customHeight="1" x14ac:dyDescent="0.25"/>
    <row r="864" ht="12.75" customHeight="1" x14ac:dyDescent="0.25"/>
    <row r="865" ht="12.75" customHeight="1" x14ac:dyDescent="0.25"/>
    <row r="866" ht="12.75" customHeight="1" x14ac:dyDescent="0.25"/>
    <row r="867" ht="12.75" customHeight="1" x14ac:dyDescent="0.25"/>
    <row r="868" ht="12.75" customHeight="1" x14ac:dyDescent="0.25"/>
    <row r="869" ht="12.75" customHeight="1" x14ac:dyDescent="0.25"/>
    <row r="870" ht="12.75" customHeight="1" x14ac:dyDescent="0.25"/>
    <row r="871" ht="12.75" customHeight="1" x14ac:dyDescent="0.25"/>
    <row r="872" ht="12.75" customHeight="1" x14ac:dyDescent="0.25"/>
    <row r="873" ht="12.75" customHeight="1" x14ac:dyDescent="0.25"/>
    <row r="874" ht="12.75" customHeight="1" x14ac:dyDescent="0.25"/>
    <row r="875" ht="12.75" customHeight="1" x14ac:dyDescent="0.25"/>
    <row r="876" ht="12.75" customHeight="1" x14ac:dyDescent="0.25"/>
    <row r="877" ht="12.75" customHeight="1" x14ac:dyDescent="0.25"/>
    <row r="878" ht="12.75" customHeight="1" x14ac:dyDescent="0.25"/>
    <row r="879" ht="12.75" customHeight="1" x14ac:dyDescent="0.25"/>
    <row r="880" ht="12.75" customHeight="1" x14ac:dyDescent="0.25"/>
    <row r="881" ht="12.75" customHeight="1" x14ac:dyDescent="0.25"/>
    <row r="882" ht="12.75" customHeight="1" x14ac:dyDescent="0.25"/>
    <row r="883" ht="12.75" customHeight="1" x14ac:dyDescent="0.25"/>
    <row r="884" ht="12.75" customHeight="1" x14ac:dyDescent="0.25"/>
    <row r="885" ht="12.75" customHeight="1" x14ac:dyDescent="0.25"/>
    <row r="886" ht="12.75" customHeight="1" x14ac:dyDescent="0.25"/>
    <row r="887" ht="12.75" customHeight="1" x14ac:dyDescent="0.25"/>
    <row r="888" ht="12.75" customHeight="1" x14ac:dyDescent="0.25"/>
    <row r="889" ht="12.75" customHeight="1" x14ac:dyDescent="0.25"/>
    <row r="890" ht="12.75" customHeight="1" x14ac:dyDescent="0.25"/>
    <row r="891" ht="12.75" customHeight="1" x14ac:dyDescent="0.25"/>
    <row r="892" ht="12.75" customHeight="1" x14ac:dyDescent="0.25"/>
    <row r="893" ht="12.75" customHeight="1" x14ac:dyDescent="0.25"/>
    <row r="894" ht="12.75" customHeight="1" x14ac:dyDescent="0.25"/>
    <row r="895" ht="12.75" customHeight="1" x14ac:dyDescent="0.25"/>
    <row r="896" ht="12.75" customHeight="1" x14ac:dyDescent="0.25"/>
    <row r="897" ht="12.75" customHeight="1" x14ac:dyDescent="0.25"/>
    <row r="898" ht="12.75" customHeight="1" x14ac:dyDescent="0.25"/>
    <row r="899" ht="12.75" customHeight="1" x14ac:dyDescent="0.25"/>
    <row r="900" ht="12.75" customHeight="1" x14ac:dyDescent="0.25"/>
    <row r="901" ht="12.75" customHeight="1" x14ac:dyDescent="0.25"/>
    <row r="902" ht="12.75" customHeight="1" x14ac:dyDescent="0.25"/>
    <row r="903" ht="12.75" customHeight="1" x14ac:dyDescent="0.25"/>
    <row r="904" ht="12.75" customHeight="1" x14ac:dyDescent="0.25"/>
    <row r="905" ht="12.75" customHeight="1" x14ac:dyDescent="0.25"/>
    <row r="906" ht="12.75" customHeight="1" x14ac:dyDescent="0.25"/>
    <row r="907" ht="12.75" customHeight="1" x14ac:dyDescent="0.25"/>
    <row r="908" ht="12.75" customHeight="1" x14ac:dyDescent="0.25"/>
    <row r="909" ht="12.75" customHeight="1" x14ac:dyDescent="0.25"/>
    <row r="910" ht="12.75" customHeight="1" x14ac:dyDescent="0.25"/>
    <row r="911" ht="12.75" customHeight="1" x14ac:dyDescent="0.25"/>
    <row r="912" ht="12.75" customHeight="1" x14ac:dyDescent="0.25"/>
    <row r="913" ht="12.75" customHeight="1" x14ac:dyDescent="0.25"/>
    <row r="914" ht="12.75" customHeight="1" x14ac:dyDescent="0.25"/>
    <row r="915" ht="12.75" customHeight="1" x14ac:dyDescent="0.25"/>
    <row r="916" ht="12.75" customHeight="1" x14ac:dyDescent="0.25"/>
  </sheetData>
  <mergeCells count="26">
    <mergeCell ref="AB132:AC132"/>
    <mergeCell ref="AB96:AC96"/>
    <mergeCell ref="B113:N113"/>
    <mergeCell ref="P113:AA113"/>
    <mergeCell ref="AB114:AC114"/>
    <mergeCell ref="B131:N131"/>
    <mergeCell ref="P131:AA131"/>
    <mergeCell ref="B95:N95"/>
    <mergeCell ref="P95:AA95"/>
    <mergeCell ref="AB22:AC22"/>
    <mergeCell ref="B39:N39"/>
    <mergeCell ref="P39:AA39"/>
    <mergeCell ref="AB40:AC40"/>
    <mergeCell ref="B57:N57"/>
    <mergeCell ref="P57:AA57"/>
    <mergeCell ref="AB58:AC58"/>
    <mergeCell ref="A74:F74"/>
    <mergeCell ref="B77:N77"/>
    <mergeCell ref="P77:AA77"/>
    <mergeCell ref="AB78:AC78"/>
    <mergeCell ref="A1:F1"/>
    <mergeCell ref="B3:N3"/>
    <mergeCell ref="P3:AA3"/>
    <mergeCell ref="AB4:AC4"/>
    <mergeCell ref="B21:N21"/>
    <mergeCell ref="P21:AA21"/>
  </mergeCells>
  <conditionalFormatting sqref="Q5:AA15">
    <cfRule type="dataBar" priority="15">
      <dataBar>
        <cfvo type="min"/>
        <cfvo type="max"/>
        <color rgb="FFFFB628"/>
      </dataBar>
      <extLst>
        <ext xmlns:x14="http://schemas.microsoft.com/office/spreadsheetml/2009/9/main" uri="{B025F937-C7B1-47D3-B67F-A62EFF666E3E}">
          <x14:id>{726CFD64-13FC-4694-B3A7-ABF52D4EBB63}</x14:id>
        </ext>
      </extLst>
    </cfRule>
    <cfRule type="dataBar" priority="16">
      <dataBar>
        <cfvo type="min"/>
        <cfvo type="max"/>
        <color rgb="FFFF555A"/>
      </dataBar>
      <extLst>
        <ext xmlns:x14="http://schemas.microsoft.com/office/spreadsheetml/2009/9/main" uri="{B025F937-C7B1-47D3-B67F-A62EFF666E3E}">
          <x14:id>{D5BF0442-0A72-4010-8B13-64A4403B32C0}</x14:id>
        </ext>
      </extLst>
    </cfRule>
  </conditionalFormatting>
  <conditionalFormatting sqref="Q23:AA33">
    <cfRule type="dataBar" priority="13">
      <dataBar>
        <cfvo type="min"/>
        <cfvo type="max"/>
        <color rgb="FFFFB628"/>
      </dataBar>
      <extLst>
        <ext xmlns:x14="http://schemas.microsoft.com/office/spreadsheetml/2009/9/main" uri="{B025F937-C7B1-47D3-B67F-A62EFF666E3E}">
          <x14:id>{A67742C6-8BC2-4A9A-BD28-04334EC41654}</x14:id>
        </ext>
      </extLst>
    </cfRule>
    <cfRule type="dataBar" priority="14">
      <dataBar>
        <cfvo type="min"/>
        <cfvo type="max"/>
        <color rgb="FFFF555A"/>
      </dataBar>
      <extLst>
        <ext xmlns:x14="http://schemas.microsoft.com/office/spreadsheetml/2009/9/main" uri="{B025F937-C7B1-47D3-B67F-A62EFF666E3E}">
          <x14:id>{4FC819FE-2F38-4E7E-BF62-03822FCC62A8}</x14:id>
        </ext>
      </extLst>
    </cfRule>
  </conditionalFormatting>
  <conditionalFormatting sqref="Q41:AA51">
    <cfRule type="dataBar" priority="11">
      <dataBar>
        <cfvo type="min"/>
        <cfvo type="max"/>
        <color rgb="FFFFB628"/>
      </dataBar>
      <extLst>
        <ext xmlns:x14="http://schemas.microsoft.com/office/spreadsheetml/2009/9/main" uri="{B025F937-C7B1-47D3-B67F-A62EFF666E3E}">
          <x14:id>{D5321857-F382-4704-A664-04C116ADC8BD}</x14:id>
        </ext>
      </extLst>
    </cfRule>
    <cfRule type="dataBar" priority="12">
      <dataBar>
        <cfvo type="min"/>
        <cfvo type="max"/>
        <color rgb="FFFF555A"/>
      </dataBar>
      <extLst>
        <ext xmlns:x14="http://schemas.microsoft.com/office/spreadsheetml/2009/9/main" uri="{B025F937-C7B1-47D3-B67F-A62EFF666E3E}">
          <x14:id>{620CE53C-8EE1-4706-87F3-0EA96D091F0C}</x14:id>
        </ext>
      </extLst>
    </cfRule>
  </conditionalFormatting>
  <conditionalFormatting sqref="Q59:AA69">
    <cfRule type="dataBar" priority="9">
      <dataBar>
        <cfvo type="min"/>
        <cfvo type="max"/>
        <color rgb="FFFFB628"/>
      </dataBar>
      <extLst>
        <ext xmlns:x14="http://schemas.microsoft.com/office/spreadsheetml/2009/9/main" uri="{B025F937-C7B1-47D3-B67F-A62EFF666E3E}">
          <x14:id>{DDD78E61-0A0B-42AC-9C76-6E884E3736C5}</x14:id>
        </ext>
      </extLst>
    </cfRule>
    <cfRule type="dataBar" priority="10">
      <dataBar>
        <cfvo type="min"/>
        <cfvo type="max"/>
        <color rgb="FFFF555A"/>
      </dataBar>
      <extLst>
        <ext xmlns:x14="http://schemas.microsoft.com/office/spreadsheetml/2009/9/main" uri="{B025F937-C7B1-47D3-B67F-A62EFF666E3E}">
          <x14:id>{36213A14-84B4-4614-87C0-3F22D2D4130D}</x14:id>
        </ext>
      </extLst>
    </cfRule>
  </conditionalFormatting>
  <conditionalFormatting sqref="Q79:AA89">
    <cfRule type="dataBar" priority="7">
      <dataBar>
        <cfvo type="min"/>
        <cfvo type="max"/>
        <color rgb="FFFFB628"/>
      </dataBar>
      <extLst>
        <ext xmlns:x14="http://schemas.microsoft.com/office/spreadsheetml/2009/9/main" uri="{B025F937-C7B1-47D3-B67F-A62EFF666E3E}">
          <x14:id>{D18D777B-5F34-4FC1-8AF1-00769234321A}</x14:id>
        </ext>
      </extLst>
    </cfRule>
    <cfRule type="dataBar" priority="8">
      <dataBar>
        <cfvo type="min"/>
        <cfvo type="max"/>
        <color rgb="FFFF555A"/>
      </dataBar>
      <extLst>
        <ext xmlns:x14="http://schemas.microsoft.com/office/spreadsheetml/2009/9/main" uri="{B025F937-C7B1-47D3-B67F-A62EFF666E3E}">
          <x14:id>{0EB26C6D-BA1E-4280-B3A1-F6EF9332BD05}</x14:id>
        </ext>
      </extLst>
    </cfRule>
  </conditionalFormatting>
  <conditionalFormatting sqref="Q97:AA107">
    <cfRule type="dataBar" priority="5">
      <dataBar>
        <cfvo type="min"/>
        <cfvo type="max"/>
        <color rgb="FFFFB628"/>
      </dataBar>
      <extLst>
        <ext xmlns:x14="http://schemas.microsoft.com/office/spreadsheetml/2009/9/main" uri="{B025F937-C7B1-47D3-B67F-A62EFF666E3E}">
          <x14:id>{3EC49E1D-787B-4C46-AE5B-3D1C08878ED5}</x14:id>
        </ext>
      </extLst>
    </cfRule>
    <cfRule type="dataBar" priority="6">
      <dataBar>
        <cfvo type="min"/>
        <cfvo type="max"/>
        <color rgb="FFFF555A"/>
      </dataBar>
      <extLst>
        <ext xmlns:x14="http://schemas.microsoft.com/office/spreadsheetml/2009/9/main" uri="{B025F937-C7B1-47D3-B67F-A62EFF666E3E}">
          <x14:id>{AE556E24-8CBD-4134-960D-EB058BD5C6D6}</x14:id>
        </ext>
      </extLst>
    </cfRule>
  </conditionalFormatting>
  <conditionalFormatting sqref="Q115:AA125">
    <cfRule type="dataBar" priority="3">
      <dataBar>
        <cfvo type="min"/>
        <cfvo type="max"/>
        <color rgb="FFFFB628"/>
      </dataBar>
      <extLst>
        <ext xmlns:x14="http://schemas.microsoft.com/office/spreadsheetml/2009/9/main" uri="{B025F937-C7B1-47D3-B67F-A62EFF666E3E}">
          <x14:id>{93885B88-EC85-42EB-8784-777C9027B81B}</x14:id>
        </ext>
      </extLst>
    </cfRule>
    <cfRule type="dataBar" priority="4">
      <dataBar>
        <cfvo type="min"/>
        <cfvo type="max"/>
        <color rgb="FFFF555A"/>
      </dataBar>
      <extLst>
        <ext xmlns:x14="http://schemas.microsoft.com/office/spreadsheetml/2009/9/main" uri="{B025F937-C7B1-47D3-B67F-A62EFF666E3E}">
          <x14:id>{550AD3E3-63B9-42CE-A165-FF628614E977}</x14:id>
        </ext>
      </extLst>
    </cfRule>
  </conditionalFormatting>
  <conditionalFormatting sqref="Q133:AA143">
    <cfRule type="dataBar" priority="1">
      <dataBar>
        <cfvo type="min"/>
        <cfvo type="max"/>
        <color rgb="FFFFB628"/>
      </dataBar>
      <extLst>
        <ext xmlns:x14="http://schemas.microsoft.com/office/spreadsheetml/2009/9/main" uri="{B025F937-C7B1-47D3-B67F-A62EFF666E3E}">
          <x14:id>{DF345E42-4529-48AC-825E-ADF51300A7EC}</x14:id>
        </ext>
      </extLst>
    </cfRule>
    <cfRule type="dataBar" priority="2">
      <dataBar>
        <cfvo type="min"/>
        <cfvo type="max"/>
        <color rgb="FFFF555A"/>
      </dataBar>
      <extLst>
        <ext xmlns:x14="http://schemas.microsoft.com/office/spreadsheetml/2009/9/main" uri="{B025F937-C7B1-47D3-B67F-A62EFF666E3E}">
          <x14:id>{710C11E1-C643-4A0E-99AF-0B3DB457F66A}</x14:id>
        </ext>
      </extLst>
    </cfRule>
  </conditionalFormatting>
  <pageMargins left="0.7" right="0.7" top="0.75" bottom="0.75" header="0" footer="0"/>
  <pageSetup paperSize="9" orientation="portrait" r:id="rId1"/>
  <tableParts count="8">
    <tablePart r:id="rId2"/>
    <tablePart r:id="rId3"/>
    <tablePart r:id="rId4"/>
    <tablePart r:id="rId5"/>
    <tablePart r:id="rId6"/>
    <tablePart r:id="rId7"/>
    <tablePart r:id="rId8"/>
    <tablePart r:id="rId9"/>
  </tableParts>
  <extLst>
    <ext xmlns:x14="http://schemas.microsoft.com/office/spreadsheetml/2009/9/main" uri="{78C0D931-6437-407d-A8EE-F0AAD7539E65}">
      <x14:conditionalFormattings>
        <x14:conditionalFormatting xmlns:xm="http://schemas.microsoft.com/office/excel/2006/main">
          <x14:cfRule type="dataBar" id="{726CFD64-13FC-4694-B3A7-ABF52D4EBB63}">
            <x14:dataBar minLength="0" maxLength="100" gradient="0">
              <x14:cfvo type="autoMin"/>
              <x14:cfvo type="autoMax"/>
              <x14:negativeFillColor rgb="FFFF0000"/>
              <x14:axisColor rgb="FF000000"/>
            </x14:dataBar>
          </x14:cfRule>
          <x14:cfRule type="dataBar" id="{D5BF0442-0A72-4010-8B13-64A4403B32C0}">
            <x14:dataBar minLength="0" maxLength="100" border="1" negativeBarBorderColorSameAsPositive="0">
              <x14:cfvo type="autoMin"/>
              <x14:cfvo type="autoMax"/>
              <x14:borderColor rgb="FFFF555A"/>
              <x14:negativeFillColor rgb="FFFF0000"/>
              <x14:negativeBorderColor rgb="FFFF0000"/>
              <x14:axisColor rgb="FF000000"/>
            </x14:dataBar>
          </x14:cfRule>
          <xm:sqref>Q5:AA15</xm:sqref>
        </x14:conditionalFormatting>
        <x14:conditionalFormatting xmlns:xm="http://schemas.microsoft.com/office/excel/2006/main">
          <x14:cfRule type="dataBar" id="{A67742C6-8BC2-4A9A-BD28-04334EC41654}">
            <x14:dataBar minLength="0" maxLength="100" gradient="0">
              <x14:cfvo type="autoMin"/>
              <x14:cfvo type="autoMax"/>
              <x14:negativeFillColor rgb="FFFF0000"/>
              <x14:axisColor rgb="FF000000"/>
            </x14:dataBar>
          </x14:cfRule>
          <x14:cfRule type="dataBar" id="{4FC819FE-2F38-4E7E-BF62-03822FCC62A8}">
            <x14:dataBar minLength="0" maxLength="100" border="1" negativeBarBorderColorSameAsPositive="0">
              <x14:cfvo type="autoMin"/>
              <x14:cfvo type="autoMax"/>
              <x14:borderColor rgb="FFFF555A"/>
              <x14:negativeFillColor rgb="FFFF0000"/>
              <x14:negativeBorderColor rgb="FFFF0000"/>
              <x14:axisColor rgb="FF000000"/>
            </x14:dataBar>
          </x14:cfRule>
          <xm:sqref>Q23:AA33</xm:sqref>
        </x14:conditionalFormatting>
        <x14:conditionalFormatting xmlns:xm="http://schemas.microsoft.com/office/excel/2006/main">
          <x14:cfRule type="dataBar" id="{D5321857-F382-4704-A664-04C116ADC8BD}">
            <x14:dataBar minLength="0" maxLength="100" gradient="0">
              <x14:cfvo type="autoMin"/>
              <x14:cfvo type="autoMax"/>
              <x14:negativeFillColor rgb="FFFF0000"/>
              <x14:axisColor rgb="FF000000"/>
            </x14:dataBar>
          </x14:cfRule>
          <x14:cfRule type="dataBar" id="{620CE53C-8EE1-4706-87F3-0EA96D091F0C}">
            <x14:dataBar minLength="0" maxLength="100" border="1" negativeBarBorderColorSameAsPositive="0">
              <x14:cfvo type="autoMin"/>
              <x14:cfvo type="autoMax"/>
              <x14:borderColor rgb="FFFF555A"/>
              <x14:negativeFillColor rgb="FFFF0000"/>
              <x14:negativeBorderColor rgb="FFFF0000"/>
              <x14:axisColor rgb="FF000000"/>
            </x14:dataBar>
          </x14:cfRule>
          <xm:sqref>Q41:AA51</xm:sqref>
        </x14:conditionalFormatting>
        <x14:conditionalFormatting xmlns:xm="http://schemas.microsoft.com/office/excel/2006/main">
          <x14:cfRule type="dataBar" id="{DDD78E61-0A0B-42AC-9C76-6E884E3736C5}">
            <x14:dataBar minLength="0" maxLength="100" gradient="0">
              <x14:cfvo type="autoMin"/>
              <x14:cfvo type="autoMax"/>
              <x14:negativeFillColor rgb="FFFF0000"/>
              <x14:axisColor rgb="FF000000"/>
            </x14:dataBar>
          </x14:cfRule>
          <x14:cfRule type="dataBar" id="{36213A14-84B4-4614-87C0-3F22D2D4130D}">
            <x14:dataBar minLength="0" maxLength="100" border="1" negativeBarBorderColorSameAsPositive="0">
              <x14:cfvo type="autoMin"/>
              <x14:cfvo type="autoMax"/>
              <x14:borderColor rgb="FFFF555A"/>
              <x14:negativeFillColor rgb="FFFF0000"/>
              <x14:negativeBorderColor rgb="FFFF0000"/>
              <x14:axisColor rgb="FF000000"/>
            </x14:dataBar>
          </x14:cfRule>
          <xm:sqref>Q59:AA69</xm:sqref>
        </x14:conditionalFormatting>
        <x14:conditionalFormatting xmlns:xm="http://schemas.microsoft.com/office/excel/2006/main">
          <x14:cfRule type="dataBar" id="{D18D777B-5F34-4FC1-8AF1-00769234321A}">
            <x14:dataBar minLength="0" maxLength="100" gradient="0">
              <x14:cfvo type="autoMin"/>
              <x14:cfvo type="autoMax"/>
              <x14:negativeFillColor rgb="FFFF0000"/>
              <x14:axisColor rgb="FF000000"/>
            </x14:dataBar>
          </x14:cfRule>
          <x14:cfRule type="dataBar" id="{0EB26C6D-BA1E-4280-B3A1-F6EF9332BD05}">
            <x14:dataBar minLength="0" maxLength="100" border="1" negativeBarBorderColorSameAsPositive="0">
              <x14:cfvo type="autoMin"/>
              <x14:cfvo type="autoMax"/>
              <x14:borderColor rgb="FFFF555A"/>
              <x14:negativeFillColor rgb="FFFF0000"/>
              <x14:negativeBorderColor rgb="FFFF0000"/>
              <x14:axisColor rgb="FF000000"/>
            </x14:dataBar>
          </x14:cfRule>
          <xm:sqref>Q79:AA89</xm:sqref>
        </x14:conditionalFormatting>
        <x14:conditionalFormatting xmlns:xm="http://schemas.microsoft.com/office/excel/2006/main">
          <x14:cfRule type="dataBar" id="{3EC49E1D-787B-4C46-AE5B-3D1C08878ED5}">
            <x14:dataBar minLength="0" maxLength="100" gradient="0">
              <x14:cfvo type="autoMin"/>
              <x14:cfvo type="autoMax"/>
              <x14:negativeFillColor rgb="FFFF0000"/>
              <x14:axisColor rgb="FF000000"/>
            </x14:dataBar>
          </x14:cfRule>
          <x14:cfRule type="dataBar" id="{AE556E24-8CBD-4134-960D-EB058BD5C6D6}">
            <x14:dataBar minLength="0" maxLength="100" border="1" negativeBarBorderColorSameAsPositive="0">
              <x14:cfvo type="autoMin"/>
              <x14:cfvo type="autoMax"/>
              <x14:borderColor rgb="FFFF555A"/>
              <x14:negativeFillColor rgb="FFFF0000"/>
              <x14:negativeBorderColor rgb="FFFF0000"/>
              <x14:axisColor rgb="FF000000"/>
            </x14:dataBar>
          </x14:cfRule>
          <xm:sqref>Q97:AA107</xm:sqref>
        </x14:conditionalFormatting>
        <x14:conditionalFormatting xmlns:xm="http://schemas.microsoft.com/office/excel/2006/main">
          <x14:cfRule type="dataBar" id="{93885B88-EC85-42EB-8784-777C9027B81B}">
            <x14:dataBar minLength="0" maxLength="100" gradient="0">
              <x14:cfvo type="autoMin"/>
              <x14:cfvo type="autoMax"/>
              <x14:negativeFillColor rgb="FFFF0000"/>
              <x14:axisColor rgb="FF000000"/>
            </x14:dataBar>
          </x14:cfRule>
          <x14:cfRule type="dataBar" id="{550AD3E3-63B9-42CE-A165-FF628614E977}">
            <x14:dataBar minLength="0" maxLength="100" border="1" negativeBarBorderColorSameAsPositive="0">
              <x14:cfvo type="autoMin"/>
              <x14:cfvo type="autoMax"/>
              <x14:borderColor rgb="FFFF555A"/>
              <x14:negativeFillColor rgb="FFFF0000"/>
              <x14:negativeBorderColor rgb="FFFF0000"/>
              <x14:axisColor rgb="FF000000"/>
            </x14:dataBar>
          </x14:cfRule>
          <xm:sqref>Q115:AA125</xm:sqref>
        </x14:conditionalFormatting>
        <x14:conditionalFormatting xmlns:xm="http://schemas.microsoft.com/office/excel/2006/main">
          <x14:cfRule type="dataBar" id="{DF345E42-4529-48AC-825E-ADF51300A7EC}">
            <x14:dataBar minLength="0" maxLength="100" gradient="0">
              <x14:cfvo type="autoMin"/>
              <x14:cfvo type="autoMax"/>
              <x14:negativeFillColor rgb="FFFF0000"/>
              <x14:axisColor rgb="FF000000"/>
            </x14:dataBar>
          </x14:cfRule>
          <x14:cfRule type="dataBar" id="{710C11E1-C643-4A0E-99AF-0B3DB457F66A}">
            <x14:dataBar minLength="0" maxLength="100" border="1" negativeBarBorderColorSameAsPositive="0">
              <x14:cfvo type="autoMin"/>
              <x14:cfvo type="autoMax"/>
              <x14:borderColor rgb="FFFF555A"/>
              <x14:negativeFillColor rgb="FFFF0000"/>
              <x14:negativeBorderColor rgb="FFFF0000"/>
              <x14:axisColor rgb="FF000000"/>
            </x14:dataBar>
          </x14:cfRule>
          <xm:sqref>Q133:AA143</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61FE59-E772-41EB-AAFF-F42B00D38D55}">
  <dimension ref="A1:AE916"/>
  <sheetViews>
    <sheetView showGridLines="0" zoomScale="65" zoomScaleNormal="40" workbookViewId="0">
      <selection activeCell="P19" sqref="P19"/>
    </sheetView>
  </sheetViews>
  <sheetFormatPr defaultColWidth="12.6640625" defaultRowHeight="15" customHeight="1" x14ac:dyDescent="0.25"/>
  <cols>
    <col min="1" max="1" width="8.6640625" style="2" customWidth="1"/>
    <col min="2" max="2" width="12.6640625" style="2" customWidth="1"/>
    <col min="3" max="3" width="38.44140625" style="2" bestFit="1" customWidth="1"/>
    <col min="4" max="4" width="9.88671875" style="2" bestFit="1" customWidth="1"/>
    <col min="5" max="6" width="8.77734375" style="2" bestFit="1" customWidth="1"/>
    <col min="7" max="7" width="9" style="2" bestFit="1" customWidth="1"/>
    <col min="8" max="8" width="10.5546875" style="2" bestFit="1" customWidth="1"/>
    <col min="9" max="9" width="9" style="2" bestFit="1" customWidth="1"/>
    <col min="10" max="10" width="9.88671875" style="2" bestFit="1" customWidth="1"/>
    <col min="11" max="11" width="9.21875" style="2" customWidth="1"/>
    <col min="12" max="12" width="11.21875" style="2" customWidth="1"/>
    <col min="13" max="13" width="11.21875" style="2" bestFit="1" customWidth="1"/>
    <col min="14" max="14" width="9.6640625" style="2" bestFit="1" customWidth="1"/>
    <col min="15" max="15" width="8.6640625" style="2" customWidth="1"/>
    <col min="16" max="16" width="14.6640625" style="2" bestFit="1" customWidth="1"/>
    <col min="17" max="17" width="10" style="2" bestFit="1" customWidth="1"/>
    <col min="18" max="18" width="8.6640625" style="2" customWidth="1"/>
    <col min="19" max="19" width="7.33203125" style="2" bestFit="1" customWidth="1"/>
    <col min="20" max="20" width="8.33203125" style="2" bestFit="1" customWidth="1"/>
    <col min="21" max="21" width="10" style="2" bestFit="1" customWidth="1"/>
    <col min="22" max="22" width="8" style="2" customWidth="1"/>
    <col min="23" max="23" width="9.6640625" style="2" bestFit="1" customWidth="1"/>
    <col min="24" max="24" width="10.5546875" style="2" bestFit="1" customWidth="1"/>
    <col min="25" max="25" width="11.21875" style="2" bestFit="1" customWidth="1"/>
    <col min="26" max="26" width="11.109375" style="2" bestFit="1" customWidth="1"/>
    <col min="27" max="27" width="9.5546875" style="2" bestFit="1" customWidth="1"/>
    <col min="28" max="16384" width="12.6640625" style="2"/>
  </cols>
  <sheetData>
    <row r="1" spans="1:31" ht="25.05" customHeight="1" x14ac:dyDescent="0.25">
      <c r="A1" s="252" t="s">
        <v>81</v>
      </c>
      <c r="B1" s="252"/>
      <c r="C1" s="252"/>
      <c r="D1" s="252"/>
      <c r="E1" s="252"/>
      <c r="F1" s="252"/>
    </row>
    <row r="2" spans="1:31" ht="15" customHeight="1" x14ac:dyDescent="0.25">
      <c r="B2" s="5"/>
      <c r="C2" s="5"/>
      <c r="D2" s="5"/>
      <c r="E2" s="5"/>
      <c r="F2" s="5"/>
      <c r="G2" s="5"/>
      <c r="H2" s="5"/>
      <c r="I2" s="5"/>
      <c r="J2" s="5"/>
      <c r="K2" s="5"/>
      <c r="L2" s="5"/>
      <c r="M2" s="5"/>
      <c r="N2" s="5"/>
      <c r="O2" s="5"/>
      <c r="P2" s="5"/>
      <c r="Q2" s="5"/>
      <c r="R2" s="5"/>
      <c r="S2" s="5"/>
      <c r="T2" s="5"/>
      <c r="U2" s="5"/>
      <c r="V2" s="5"/>
      <c r="W2" s="5"/>
      <c r="X2" s="5"/>
      <c r="Y2" s="5"/>
      <c r="Z2" s="5"/>
      <c r="AA2" s="5"/>
    </row>
    <row r="3" spans="1:31" ht="15" customHeight="1" thickBot="1" x14ac:dyDescent="0.3">
      <c r="B3" s="253" t="s">
        <v>71</v>
      </c>
      <c r="C3" s="253"/>
      <c r="D3" s="253"/>
      <c r="E3" s="253"/>
      <c r="F3" s="253"/>
      <c r="G3" s="253"/>
      <c r="H3" s="253"/>
      <c r="I3" s="253"/>
      <c r="J3" s="253"/>
      <c r="K3" s="253"/>
      <c r="L3" s="253"/>
      <c r="M3" s="253"/>
      <c r="N3" s="253"/>
      <c r="P3" s="253" t="s">
        <v>76</v>
      </c>
      <c r="Q3" s="253"/>
      <c r="R3" s="253"/>
      <c r="S3" s="253"/>
      <c r="T3" s="253"/>
      <c r="U3" s="253"/>
      <c r="V3" s="253"/>
      <c r="W3" s="253"/>
      <c r="X3" s="253"/>
      <c r="Y3" s="253"/>
      <c r="Z3" s="253"/>
      <c r="AA3" s="253"/>
      <c r="AB3" s="10"/>
      <c r="AC3" s="3" t="s">
        <v>22</v>
      </c>
      <c r="AD3" s="13" t="s">
        <v>23</v>
      </c>
      <c r="AE3" s="15">
        <f t="array" ref="AE3">MIN(IF(D6:N16&gt;0,D6:N16))</f>
        <v>0.3703398224372112</v>
      </c>
    </row>
    <row r="4" spans="1:31" ht="15" customHeight="1" thickBot="1" x14ac:dyDescent="0.3">
      <c r="B4" s="75" t="s">
        <v>13</v>
      </c>
      <c r="C4" s="66" t="s">
        <v>14</v>
      </c>
      <c r="D4" s="67" t="s">
        <v>1</v>
      </c>
      <c r="E4" s="67" t="s">
        <v>195</v>
      </c>
      <c r="F4" s="67" t="s">
        <v>2</v>
      </c>
      <c r="G4" s="67" t="s">
        <v>3</v>
      </c>
      <c r="H4" s="67" t="s">
        <v>4</v>
      </c>
      <c r="I4" s="67" t="s">
        <v>5</v>
      </c>
      <c r="J4" s="67" t="s">
        <v>6</v>
      </c>
      <c r="K4" s="67" t="s">
        <v>7</v>
      </c>
      <c r="L4" s="67" t="s">
        <v>295</v>
      </c>
      <c r="M4" s="67" t="s">
        <v>9</v>
      </c>
      <c r="N4" s="67" t="s">
        <v>10</v>
      </c>
      <c r="P4" s="76" t="s">
        <v>19</v>
      </c>
      <c r="Q4" s="77" t="s">
        <v>1</v>
      </c>
      <c r="R4" s="77" t="s">
        <v>195</v>
      </c>
      <c r="S4" s="77" t="s">
        <v>2</v>
      </c>
      <c r="T4" s="77" t="s">
        <v>3</v>
      </c>
      <c r="U4" s="77" t="s">
        <v>4</v>
      </c>
      <c r="V4" s="77" t="s">
        <v>5</v>
      </c>
      <c r="W4" s="77" t="s">
        <v>6</v>
      </c>
      <c r="X4" s="77" t="s">
        <v>7</v>
      </c>
      <c r="Y4" s="77" t="s">
        <v>295</v>
      </c>
      <c r="Z4" s="77" t="s">
        <v>9</v>
      </c>
      <c r="AA4" s="77" t="s">
        <v>10</v>
      </c>
      <c r="AB4" s="254" t="s">
        <v>26</v>
      </c>
      <c r="AC4" s="254"/>
      <c r="AD4" s="13" t="s">
        <v>24</v>
      </c>
      <c r="AE4" s="20">
        <f>MAX(D6:N16)</f>
        <v>691.12110526208755</v>
      </c>
    </row>
    <row r="5" spans="1:31" ht="15.6" customHeight="1" x14ac:dyDescent="0.25">
      <c r="B5" s="93"/>
      <c r="C5" s="94" t="s">
        <v>69</v>
      </c>
      <c r="D5" s="95">
        <f>C6</f>
        <v>-15.415780033078491</v>
      </c>
      <c r="E5" s="95">
        <f>C7</f>
        <v>-27.754512416814098</v>
      </c>
      <c r="F5" s="95">
        <f>C8</f>
        <v>-2.1457326078006944</v>
      </c>
      <c r="G5" s="95">
        <f>C9</f>
        <v>-15.04544021064128</v>
      </c>
      <c r="H5" s="95">
        <f>C10</f>
        <v>-464.51326008597005</v>
      </c>
      <c r="I5" s="95">
        <f>C11</f>
        <v>-85.247203207566415</v>
      </c>
      <c r="J5" s="95">
        <f>C12</f>
        <v>-25.054728534889037</v>
      </c>
      <c r="K5" s="95">
        <f>C13</f>
        <v>-392.00098249833206</v>
      </c>
      <c r="L5" s="95">
        <f>C14</f>
        <v>-693.26683786988826</v>
      </c>
      <c r="M5" s="95">
        <f>C15</f>
        <v>-147.16372386002837</v>
      </c>
      <c r="N5" s="95">
        <f>C16</f>
        <v>-339.28628017850525</v>
      </c>
      <c r="P5" s="21" t="s">
        <v>1</v>
      </c>
      <c r="Q5" s="97">
        <f t="shared" ref="Q5:AA15" si="0">$AE$5+(D6-$AE$3)*($AE$6-$AE$5)/($AE$4-$AE$3)</f>
        <v>4.6439511742083254E-4</v>
      </c>
      <c r="R5" s="97">
        <f t="shared" si="0"/>
        <v>1.8309317292072854E-2</v>
      </c>
      <c r="S5" s="97">
        <f t="shared" si="0"/>
        <v>4.6439511742083254E-4</v>
      </c>
      <c r="T5" s="97">
        <f t="shared" si="0"/>
        <v>4.6439511742083254E-4</v>
      </c>
      <c r="U5" s="97">
        <f t="shared" si="0"/>
        <v>0.64997273447811943</v>
      </c>
      <c r="V5" s="97">
        <f t="shared" si="0"/>
        <v>0.10145826329925549</v>
      </c>
      <c r="W5" s="97">
        <f t="shared" si="0"/>
        <v>1.4404748186997027E-2</v>
      </c>
      <c r="X5" s="97">
        <f t="shared" si="0"/>
        <v>0.54510167398216214</v>
      </c>
      <c r="Y5" s="97">
        <f t="shared" si="0"/>
        <v>0.98080816114707481</v>
      </c>
      <c r="Z5" s="97">
        <f t="shared" si="0"/>
        <v>0.19100518416649503</v>
      </c>
      <c r="AA5" s="97">
        <f t="shared" si="0"/>
        <v>0.46886290559804239</v>
      </c>
      <c r="AD5" s="3" t="s">
        <v>25</v>
      </c>
      <c r="AE5" s="2">
        <v>1E-3</v>
      </c>
    </row>
    <row r="6" spans="1:31" ht="15" customHeight="1" x14ac:dyDescent="0.25">
      <c r="B6" s="21" t="s">
        <v>1</v>
      </c>
      <c r="C6" s="95">
        <f>Annual_sorted!M209</f>
        <v>-15.415780033078491</v>
      </c>
      <c r="D6" s="29">
        <f>IF(C6-Table_14631093846[Burundi]&gt;0, C6-Table_14631093846[Burundi], 0)</f>
        <v>0</v>
      </c>
      <c r="E6" s="29">
        <f>IF(C6-Table_14631093846[DRC]&gt;0, C6-Table_14631093846[DRC], 0)</f>
        <v>12.338732383735607</v>
      </c>
      <c r="F6" s="29">
        <f>IF(C6-Table_14631093846[Egypt]&gt;0, C6-Table_14631093846[Egypt], 0)</f>
        <v>0</v>
      </c>
      <c r="G6" s="29">
        <f>IF(C6-Table_14631093846[Eritrea]&gt;0, C6-Table_14631093846[Eritrea], 0)</f>
        <v>0</v>
      </c>
      <c r="H6" s="29">
        <f>IF(C6-Table_14631093846[Ethiopia]&gt;0, C6-Table_14631093846[Ethiopia], 0)</f>
        <v>449.09748005289157</v>
      </c>
      <c r="I6" s="29">
        <f>IF(C6-Table_14631093846[Kenya]&gt;0, C6-Table_14631093846[Kenya], 0)</f>
        <v>69.831423174487924</v>
      </c>
      <c r="J6" s="29">
        <f>IF(C6-Table_14631093846[Rwanda]&gt;0, C6-Table_14631093846[Rwanda], 0)</f>
        <v>9.6389485018105461</v>
      </c>
      <c r="K6" s="29">
        <f>IF(C6-Table_14631093846[Sudan]&gt;0, C6-Table_14631093846[Sudan], 0)</f>
        <v>376.58520246525359</v>
      </c>
      <c r="L6" s="29">
        <f>IF(C6-Table_14631093846[S. Sudan]&gt;0, C6-Table_14631093846[S. Sudan], 0)</f>
        <v>677.85105783680979</v>
      </c>
      <c r="M6" s="29">
        <f>IF(C6-Table_14631093846[Tanzania]&gt;0, C6-Table_14631093846[Tanzania], 0)</f>
        <v>131.74794382694989</v>
      </c>
      <c r="N6" s="29">
        <f>IF(C6-Table_14631093846[Uganda]&gt;0, C6-Table_14631093846[Uganda], 0)</f>
        <v>323.87050014542677</v>
      </c>
      <c r="P6" s="21" t="s">
        <v>195</v>
      </c>
      <c r="Q6" s="97">
        <f t="shared" si="0"/>
        <v>4.6439511742083254E-4</v>
      </c>
      <c r="R6" s="97">
        <f t="shared" si="0"/>
        <v>4.6439511742083254E-4</v>
      </c>
      <c r="S6" s="97">
        <f t="shared" si="0"/>
        <v>4.6439511742083254E-4</v>
      </c>
      <c r="T6" s="97">
        <f t="shared" si="0"/>
        <v>4.6439511742083254E-4</v>
      </c>
      <c r="U6" s="97">
        <f t="shared" si="0"/>
        <v>0.63212781230346737</v>
      </c>
      <c r="V6" s="97">
        <f t="shared" si="0"/>
        <v>8.3613341124603488E-2</v>
      </c>
      <c r="W6" s="97">
        <f t="shared" si="0"/>
        <v>4.6439511742083254E-4</v>
      </c>
      <c r="X6" s="97">
        <f t="shared" si="0"/>
        <v>0.52725675180751008</v>
      </c>
      <c r="Y6" s="97">
        <f t="shared" si="0"/>
        <v>0.96296323897242275</v>
      </c>
      <c r="Z6" s="97">
        <f t="shared" si="0"/>
        <v>0.17316026199184301</v>
      </c>
      <c r="AA6" s="97">
        <f t="shared" si="0"/>
        <v>0.45101798342339022</v>
      </c>
      <c r="AD6" s="3" t="s">
        <v>70</v>
      </c>
      <c r="AE6" s="2">
        <v>1</v>
      </c>
    </row>
    <row r="7" spans="1:31" ht="15" customHeight="1" x14ac:dyDescent="0.25">
      <c r="B7" s="21" t="s">
        <v>195</v>
      </c>
      <c r="C7" s="95">
        <f>Annual_sorted!M210</f>
        <v>-27.754512416814098</v>
      </c>
      <c r="D7" s="29">
        <f>IF(C7-Table_14631093846[Burundi]&gt;0, C7-Table_14631093846[Burundi], 0)</f>
        <v>0</v>
      </c>
      <c r="E7" s="29">
        <f>IF(C7-Table_14631093846[DRC]&gt;0, C7-Table_14631093846[DRC], 0)</f>
        <v>0</v>
      </c>
      <c r="F7" s="29">
        <f>IF(C7-Table_14631093846[Egypt]&gt;0, C7-Table_14631093846[Egypt], 0)</f>
        <v>0</v>
      </c>
      <c r="G7" s="29">
        <f>IF(C7-Table_14631093846[Eritrea]&gt;0, C7-Table_14631093846[Eritrea], 0)</f>
        <v>0</v>
      </c>
      <c r="H7" s="29">
        <f>IF(C7-Table_14631093846[Ethiopia]&gt;0, C7-Table_14631093846[Ethiopia], 0)</f>
        <v>436.75874766915592</v>
      </c>
      <c r="I7" s="29">
        <f>IF(C7-Table_14631093846[Kenya]&gt;0, C7-Table_14631093846[Kenya], 0)</f>
        <v>57.49269079075232</v>
      </c>
      <c r="J7" s="29">
        <f>IF(C7-Table_14631093846[Rwanda]&gt;0, C7-Table_14631093846[Rwanda], 0)</f>
        <v>0</v>
      </c>
      <c r="K7" s="29">
        <f>IF(C7-Table_14631093846[Sudan]&gt;0, C7-Table_14631093846[Sudan], 0)</f>
        <v>364.24647008151794</v>
      </c>
      <c r="L7" s="29">
        <f>IF(C7-Table_14631093846[S. Sudan]&gt;0, C7-Table_14631093846[S. Sudan], 0)</f>
        <v>665.51232545307414</v>
      </c>
      <c r="M7" s="29">
        <f>IF(C7-Table_14631093846[Tanzania]&gt;0, C7-Table_14631093846[Tanzania], 0)</f>
        <v>119.40921144321428</v>
      </c>
      <c r="N7" s="29">
        <f>IF(C7-Table_14631093846[Uganda]&gt;0, C7-Table_14631093846[Uganda], 0)</f>
        <v>311.53176776169113</v>
      </c>
      <c r="P7" s="21" t="s">
        <v>2</v>
      </c>
      <c r="Q7" s="97">
        <f t="shared" si="0"/>
        <v>1.9656233970346056E-2</v>
      </c>
      <c r="R7" s="97">
        <f t="shared" si="0"/>
        <v>3.750115614499807E-2</v>
      </c>
      <c r="S7" s="97">
        <f t="shared" si="0"/>
        <v>4.6439511742083254E-4</v>
      </c>
      <c r="T7" s="97">
        <f t="shared" si="0"/>
        <v>1.9120629087766888E-2</v>
      </c>
      <c r="U7" s="97">
        <f t="shared" si="0"/>
        <v>0.66916457333104462</v>
      </c>
      <c r="V7" s="97">
        <f t="shared" si="0"/>
        <v>0.12065010215218071</v>
      </c>
      <c r="W7" s="97">
        <f t="shared" si="0"/>
        <v>3.3596587039922257E-2</v>
      </c>
      <c r="X7" s="97">
        <f t="shared" si="0"/>
        <v>0.56429351283508733</v>
      </c>
      <c r="Y7" s="97">
        <f t="shared" si="0"/>
        <v>0.99999999999999989</v>
      </c>
      <c r="Z7" s="97">
        <f t="shared" si="0"/>
        <v>0.21019702301942025</v>
      </c>
      <c r="AA7" s="97">
        <f t="shared" si="0"/>
        <v>0.48805474445096753</v>
      </c>
    </row>
    <row r="8" spans="1:31" ht="15" customHeight="1" x14ac:dyDescent="0.25">
      <c r="B8" s="21" t="s">
        <v>2</v>
      </c>
      <c r="C8" s="95">
        <f>Annual_sorted!M211</f>
        <v>-2.1457326078006944</v>
      </c>
      <c r="D8" s="29">
        <f>IF(C8-Table_14631093846[Burundi]&gt;0, C8-Table_14631093846[Burundi], 0)</f>
        <v>13.270047425277797</v>
      </c>
      <c r="E8" s="29">
        <f>IF(C8-Table_14631093846[DRC]&gt;0, C8-Table_14631093846[DRC], 0)</f>
        <v>25.608779809013402</v>
      </c>
      <c r="F8" s="29">
        <f>IF(C8-Table_14631093846[Egypt]&gt;0, C8-Table_14631093846[Egypt], 0)</f>
        <v>0</v>
      </c>
      <c r="G8" s="29">
        <f>IF(C8-Table_14631093846[Eritrea]&gt;0, C8-Table_14631093846[Eritrea], 0)</f>
        <v>12.899707602840586</v>
      </c>
      <c r="H8" s="29">
        <f>IF(C8-Table_14631093846[Ethiopia]&gt;0, C8-Table_14631093846[Ethiopia], 0)</f>
        <v>462.36752747816934</v>
      </c>
      <c r="I8" s="29">
        <f>IF(C8-Table_14631093846[Kenya]&gt;0, C8-Table_14631093846[Kenya], 0)</f>
        <v>83.101470599765719</v>
      </c>
      <c r="J8" s="29">
        <f>IF(C8-Table_14631093846[Rwanda]&gt;0, C8-Table_14631093846[Rwanda], 0)</f>
        <v>22.908995927088341</v>
      </c>
      <c r="K8" s="29">
        <f>IF(C8-Table_14631093846[Sudan]&gt;0, C8-Table_14631093846[Sudan], 0)</f>
        <v>389.85524989053135</v>
      </c>
      <c r="L8" s="29">
        <f>IF(C8-Table_14631093846[S. Sudan]&gt;0, C8-Table_14631093846[S. Sudan], 0)</f>
        <v>691.12110526208755</v>
      </c>
      <c r="M8" s="29">
        <f>IF(C8-Table_14631093846[Tanzania]&gt;0, C8-Table_14631093846[Tanzania], 0)</f>
        <v>145.01799125222769</v>
      </c>
      <c r="N8" s="29">
        <f>IF(C8-Table_14631093846[Uganda]&gt;0, C8-Table_14631093846[Uganda], 0)</f>
        <v>337.14054757070454</v>
      </c>
      <c r="P8" s="21" t="s">
        <v>3</v>
      </c>
      <c r="Q8" s="97">
        <f t="shared" si="0"/>
        <v>1E-3</v>
      </c>
      <c r="R8" s="97">
        <f t="shared" si="0"/>
        <v>1.8844922174652019E-2</v>
      </c>
      <c r="S8" s="97">
        <f t="shared" si="0"/>
        <v>4.6439511742083254E-4</v>
      </c>
      <c r="T8" s="97">
        <f t="shared" si="0"/>
        <v>4.6439511742083254E-4</v>
      </c>
      <c r="U8" s="97">
        <f t="shared" si="0"/>
        <v>0.65050833936069852</v>
      </c>
      <c r="V8" s="97">
        <f t="shared" si="0"/>
        <v>0.10199386818183466</v>
      </c>
      <c r="W8" s="97">
        <f t="shared" si="0"/>
        <v>1.4940353069576195E-2</v>
      </c>
      <c r="X8" s="97">
        <f t="shared" si="0"/>
        <v>0.54563727886474134</v>
      </c>
      <c r="Y8" s="97">
        <f t="shared" si="0"/>
        <v>0.98134376602965401</v>
      </c>
      <c r="Z8" s="97">
        <f t="shared" si="0"/>
        <v>0.19154078904907415</v>
      </c>
      <c r="AA8" s="97">
        <f t="shared" si="0"/>
        <v>0.46939851048062148</v>
      </c>
    </row>
    <row r="9" spans="1:31" ht="15" customHeight="1" x14ac:dyDescent="0.25">
      <c r="B9" s="21" t="s">
        <v>3</v>
      </c>
      <c r="C9" s="95">
        <f>Annual_sorted!M212</f>
        <v>-15.04544021064128</v>
      </c>
      <c r="D9" s="29">
        <f>IF(C9-Table_14631093846[Burundi]&gt;0, C9-Table_14631093846[Burundi], 0)</f>
        <v>0.3703398224372112</v>
      </c>
      <c r="E9" s="29">
        <f>IF(C9-Table_14631093846[DRC]&gt;0, C9-Table_14631093846[DRC], 0)</f>
        <v>12.709072206172818</v>
      </c>
      <c r="F9" s="29">
        <f>IF(C9-Table_14631093846[Egypt]&gt;0, C9-Table_14631093846[Egypt], 0)</f>
        <v>0</v>
      </c>
      <c r="G9" s="29">
        <f>IF(C9-Table_14631093846[Eritrea]&gt;0, C9-Table_14631093846[Eritrea], 0)</f>
        <v>0</v>
      </c>
      <c r="H9" s="29">
        <f>IF(C9-Table_14631093846[Ethiopia]&gt;0, C9-Table_14631093846[Ethiopia], 0)</f>
        <v>449.46781987532876</v>
      </c>
      <c r="I9" s="29">
        <f>IF(C9-Table_14631093846[Kenya]&gt;0, C9-Table_14631093846[Kenya], 0)</f>
        <v>70.20176299692514</v>
      </c>
      <c r="J9" s="29">
        <f>IF(C9-Table_14631093846[Rwanda]&gt;0, C9-Table_14631093846[Rwanda], 0)</f>
        <v>10.009288324247757</v>
      </c>
      <c r="K9" s="29">
        <f>IF(C9-Table_14631093846[Sudan]&gt;0, C9-Table_14631093846[Sudan], 0)</f>
        <v>376.95554228769078</v>
      </c>
      <c r="L9" s="29">
        <f>IF(C9-Table_14631093846[S. Sudan]&gt;0, C9-Table_14631093846[S. Sudan], 0)</f>
        <v>678.22139765924703</v>
      </c>
      <c r="M9" s="29">
        <f>IF(C9-Table_14631093846[Tanzania]&gt;0, C9-Table_14631093846[Tanzania], 0)</f>
        <v>132.11828364938708</v>
      </c>
      <c r="N9" s="29">
        <f>IF(C9-Table_14631093846[Uganda]&gt;0, C9-Table_14631093846[Uganda], 0)</f>
        <v>324.24083996786396</v>
      </c>
      <c r="P9" s="21" t="s">
        <v>4</v>
      </c>
      <c r="Q9" s="97">
        <f t="shared" si="0"/>
        <v>4.6439511742083254E-4</v>
      </c>
      <c r="R9" s="97">
        <f t="shared" si="0"/>
        <v>4.6439511742083254E-4</v>
      </c>
      <c r="S9" s="97">
        <f t="shared" si="0"/>
        <v>4.6439511742083254E-4</v>
      </c>
      <c r="T9" s="97">
        <f t="shared" si="0"/>
        <v>4.6439511742083254E-4</v>
      </c>
      <c r="U9" s="97">
        <f t="shared" si="0"/>
        <v>4.6439511742083254E-4</v>
      </c>
      <c r="V9" s="97">
        <f t="shared" si="0"/>
        <v>4.6439511742083254E-4</v>
      </c>
      <c r="W9" s="97">
        <f t="shared" si="0"/>
        <v>4.6439511742083254E-4</v>
      </c>
      <c r="X9" s="97">
        <f t="shared" si="0"/>
        <v>4.6439511742083254E-4</v>
      </c>
      <c r="Y9" s="97">
        <f t="shared" si="0"/>
        <v>0.33129982178637629</v>
      </c>
      <c r="Z9" s="97">
        <f t="shared" si="0"/>
        <v>4.6439511742083254E-4</v>
      </c>
      <c r="AA9" s="97">
        <f t="shared" si="0"/>
        <v>4.6439511742083254E-4</v>
      </c>
    </row>
    <row r="10" spans="1:31" ht="15" customHeight="1" x14ac:dyDescent="0.25">
      <c r="B10" s="21" t="s">
        <v>4</v>
      </c>
      <c r="C10" s="95">
        <f>Annual_sorted!M213</f>
        <v>-464.51326008597005</v>
      </c>
      <c r="D10" s="29">
        <f>IF(C10-Table_14631093846[Burundi]&gt;0, C10-Table_14631093846[Burundi], 0)</f>
        <v>0</v>
      </c>
      <c r="E10" s="29">
        <f>IF(C10-Table_14631093846[DRC]&gt;0, C10-Table_14631093846[DRC], 0)</f>
        <v>0</v>
      </c>
      <c r="F10" s="29">
        <f>IF(C10-Table_14631093846[Egypt]&gt;0, C10-Table_14631093846[Egypt], 0)</f>
        <v>0</v>
      </c>
      <c r="G10" s="29">
        <f>IF(C10-Table_14631093846[Eritrea]&gt;0, C10-Table_14631093846[Eritrea], 0)</f>
        <v>0</v>
      </c>
      <c r="H10" s="29">
        <f>IF(C10-Table_14631093846[Ethiopia]&gt;0, C10-Table_14631093846[Ethiopia], 0)</f>
        <v>0</v>
      </c>
      <c r="I10" s="29">
        <f>IF(C10-Table_14631093846[Kenya]&gt;0, C10-Table_14631093846[Kenya], 0)</f>
        <v>0</v>
      </c>
      <c r="J10" s="29">
        <f>IF(C10-Table_14631093846[Rwanda]&gt;0, C10-Table_14631093846[Rwanda], 0)</f>
        <v>0</v>
      </c>
      <c r="K10" s="29">
        <f>IF(C10-Table_14631093846[Sudan]&gt;0, C10-Table_14631093846[Sudan], 0)</f>
        <v>0</v>
      </c>
      <c r="L10" s="29">
        <f>IF(C10-Table_14631093846[S. Sudan]&gt;0, C10-Table_14631093846[S. Sudan], 0)</f>
        <v>228.75357778391822</v>
      </c>
      <c r="M10" s="29">
        <f>IF(C10-Table_14631093846[Tanzania]&gt;0, C10-Table_14631093846[Tanzania], 0)</f>
        <v>0</v>
      </c>
      <c r="N10" s="29">
        <f>IF(C10-Table_14631093846[Uganda]&gt;0, C10-Table_14631093846[Uganda], 0)</f>
        <v>0</v>
      </c>
      <c r="P10" s="21" t="s">
        <v>5</v>
      </c>
      <c r="Q10" s="97">
        <f t="shared" si="0"/>
        <v>4.6439511742083254E-4</v>
      </c>
      <c r="R10" s="97">
        <f t="shared" si="0"/>
        <v>4.6439511742083254E-4</v>
      </c>
      <c r="S10" s="97">
        <f t="shared" si="0"/>
        <v>4.6439511742083254E-4</v>
      </c>
      <c r="T10" s="97">
        <f t="shared" si="0"/>
        <v>4.6439511742083254E-4</v>
      </c>
      <c r="U10" s="97">
        <f t="shared" si="0"/>
        <v>0.54897886629628467</v>
      </c>
      <c r="V10" s="97">
        <f t="shared" si="0"/>
        <v>4.6439511742083254E-4</v>
      </c>
      <c r="W10" s="97">
        <f t="shared" si="0"/>
        <v>4.6439511742083254E-4</v>
      </c>
      <c r="X10" s="97">
        <f t="shared" si="0"/>
        <v>0.44410780580032744</v>
      </c>
      <c r="Y10" s="97">
        <f t="shared" si="0"/>
        <v>0.87981429296524016</v>
      </c>
      <c r="Z10" s="97">
        <f t="shared" si="0"/>
        <v>9.0011315984660348E-2</v>
      </c>
      <c r="AA10" s="97">
        <f t="shared" si="0"/>
        <v>0.36786903741620758</v>
      </c>
    </row>
    <row r="11" spans="1:31" ht="15" customHeight="1" x14ac:dyDescent="0.25">
      <c r="B11" s="21" t="s">
        <v>5</v>
      </c>
      <c r="C11" s="95">
        <f>Annual_sorted!M214</f>
        <v>-85.247203207566415</v>
      </c>
      <c r="D11" s="29">
        <f>IF(C11-Table_14631093846[Burundi]&gt;0, C11-Table_14631093846[Burundi], 0)</f>
        <v>0</v>
      </c>
      <c r="E11" s="29">
        <f>IF(C11-Table_14631093846[DRC]&gt;0, C11-Table_14631093846[DRC], 0)</f>
        <v>0</v>
      </c>
      <c r="F11" s="29">
        <f>IF(C11-Table_14631093846[Egypt]&gt;0, C11-Table_14631093846[Egypt], 0)</f>
        <v>0</v>
      </c>
      <c r="G11" s="29">
        <f>IF(C11-Table_14631093846[Eritrea]&gt;0, C11-Table_14631093846[Eritrea], 0)</f>
        <v>0</v>
      </c>
      <c r="H11" s="29">
        <f>IF(C11-Table_14631093846[Ethiopia]&gt;0, C11-Table_14631093846[Ethiopia], 0)</f>
        <v>379.26605687840362</v>
      </c>
      <c r="I11" s="29">
        <f>IF(C11-Table_14631093846[Kenya]&gt;0, C11-Table_14631093846[Kenya], 0)</f>
        <v>0</v>
      </c>
      <c r="J11" s="29">
        <f>IF(C11-Table_14631093846[Rwanda]&gt;0, C11-Table_14631093846[Rwanda], 0)</f>
        <v>0</v>
      </c>
      <c r="K11" s="29">
        <f>IF(C11-Table_14631093846[Sudan]&gt;0, C11-Table_14631093846[Sudan], 0)</f>
        <v>306.75377929076564</v>
      </c>
      <c r="L11" s="29">
        <f>IF(C11-Table_14631093846[S. Sudan]&gt;0, C11-Table_14631093846[S. Sudan], 0)</f>
        <v>608.01963466232189</v>
      </c>
      <c r="M11" s="29">
        <f>IF(C11-Table_14631093846[Tanzania]&gt;0, C11-Table_14631093846[Tanzania], 0)</f>
        <v>61.916520652461955</v>
      </c>
      <c r="N11" s="29">
        <f>IF(C11-Table_14631093846[Uganda]&gt;0, C11-Table_14631093846[Uganda], 0)</f>
        <v>254.03907697093882</v>
      </c>
      <c r="P11" s="21" t="s">
        <v>6</v>
      </c>
      <c r="Q11" s="97">
        <f t="shared" si="0"/>
        <v>4.6439511742083254E-4</v>
      </c>
      <c r="R11" s="97">
        <f t="shared" si="0"/>
        <v>4.3689642224966569E-3</v>
      </c>
      <c r="S11" s="97">
        <f t="shared" si="0"/>
        <v>4.6439511742083254E-4</v>
      </c>
      <c r="T11" s="97">
        <f t="shared" si="0"/>
        <v>4.6439511742083254E-4</v>
      </c>
      <c r="U11" s="97">
        <f t="shared" si="0"/>
        <v>0.63603238140854323</v>
      </c>
      <c r="V11" s="97">
        <f t="shared" si="0"/>
        <v>8.7517910229679294E-2</v>
      </c>
      <c r="W11" s="97">
        <f t="shared" si="0"/>
        <v>4.6439511742083254E-4</v>
      </c>
      <c r="X11" s="97">
        <f t="shared" si="0"/>
        <v>0.53116132091258605</v>
      </c>
      <c r="Y11" s="97">
        <f t="shared" si="0"/>
        <v>0.96686780807749872</v>
      </c>
      <c r="Z11" s="97">
        <f t="shared" si="0"/>
        <v>0.17706483109691881</v>
      </c>
      <c r="AA11" s="97">
        <f t="shared" si="0"/>
        <v>0.45492255252846614</v>
      </c>
    </row>
    <row r="12" spans="1:31" ht="15" customHeight="1" x14ac:dyDescent="0.25">
      <c r="B12" s="21" t="s">
        <v>6</v>
      </c>
      <c r="C12" s="95">
        <f>Annual_sorted!M215</f>
        <v>-25.054728534889037</v>
      </c>
      <c r="D12" s="29">
        <f>IF(C12-Table_14631093846[Burundi]&gt;0, C12-Table_14631093846[Burundi], 0)</f>
        <v>0</v>
      </c>
      <c r="E12" s="29">
        <f>IF(C12-Table_14631093846[DRC]&gt;0, C12-Table_14631093846[DRC], 0)</f>
        <v>2.699783881925061</v>
      </c>
      <c r="F12" s="29">
        <f>IF(C12-Table_14631093846[Egypt]&gt;0, C12-Table_14631093846[Egypt], 0)</f>
        <v>0</v>
      </c>
      <c r="G12" s="29">
        <f>IF(C12-Table_14631093846[Eritrea]&gt;0, C12-Table_14631093846[Eritrea], 0)</f>
        <v>0</v>
      </c>
      <c r="H12" s="29">
        <f>IF(C12-Table_14631093846[Ethiopia]&gt;0, C12-Table_14631093846[Ethiopia], 0)</f>
        <v>439.45853155108102</v>
      </c>
      <c r="I12" s="29">
        <f>IF(C12-Table_14631093846[Kenya]&gt;0, C12-Table_14631093846[Kenya], 0)</f>
        <v>60.192474672677378</v>
      </c>
      <c r="J12" s="29">
        <f>IF(C12-Table_14631093846[Rwanda]&gt;0, C12-Table_14631093846[Rwanda], 0)</f>
        <v>0</v>
      </c>
      <c r="K12" s="29">
        <f>IF(C12-Table_14631093846[Sudan]&gt;0, C12-Table_14631093846[Sudan], 0)</f>
        <v>366.94625396344304</v>
      </c>
      <c r="L12" s="29">
        <f>IF(C12-Table_14631093846[S. Sudan]&gt;0, C12-Table_14631093846[S. Sudan], 0)</f>
        <v>668.21210933499924</v>
      </c>
      <c r="M12" s="29">
        <f>IF(C12-Table_14631093846[Tanzania]&gt;0, C12-Table_14631093846[Tanzania], 0)</f>
        <v>122.10899532513933</v>
      </c>
      <c r="N12" s="29">
        <f>IF(C12-Table_14631093846[Uganda]&gt;0, C12-Table_14631093846[Uganda], 0)</f>
        <v>314.23155164361623</v>
      </c>
      <c r="P12" s="21" t="s">
        <v>7</v>
      </c>
      <c r="Q12" s="97">
        <f t="shared" si="0"/>
        <v>4.6439511742083254E-4</v>
      </c>
      <c r="R12" s="97">
        <f t="shared" si="0"/>
        <v>4.6439511742083254E-4</v>
      </c>
      <c r="S12" s="97">
        <f t="shared" si="0"/>
        <v>4.6439511742083254E-4</v>
      </c>
      <c r="T12" s="97">
        <f t="shared" si="0"/>
        <v>4.6439511742083254E-4</v>
      </c>
      <c r="U12" s="97">
        <f t="shared" si="0"/>
        <v>0.10533545561337808</v>
      </c>
      <c r="V12" s="97">
        <f t="shared" si="0"/>
        <v>4.6439511742083254E-4</v>
      </c>
      <c r="W12" s="97">
        <f t="shared" si="0"/>
        <v>4.6439511742083254E-4</v>
      </c>
      <c r="X12" s="97">
        <f t="shared" si="0"/>
        <v>4.6439511742083254E-4</v>
      </c>
      <c r="Y12" s="97">
        <f t="shared" si="0"/>
        <v>0.43617088228233358</v>
      </c>
      <c r="Z12" s="97">
        <f t="shared" si="0"/>
        <v>4.6439511742083254E-4</v>
      </c>
      <c r="AA12" s="97">
        <f t="shared" si="0"/>
        <v>4.6439511742083254E-4</v>
      </c>
    </row>
    <row r="13" spans="1:31" ht="15" customHeight="1" x14ac:dyDescent="0.25">
      <c r="B13" s="21" t="s">
        <v>7</v>
      </c>
      <c r="C13" s="95">
        <f>Annual_sorted!M216</f>
        <v>-392.00098249833206</v>
      </c>
      <c r="D13" s="29">
        <f>IF(C13-Table_14631093846[Burundi]&gt;0, C13-Table_14631093846[Burundi], 0)</f>
        <v>0</v>
      </c>
      <c r="E13" s="29">
        <f>IF(C13-Table_14631093846[DRC]&gt;0, C13-Table_14631093846[DRC], 0)</f>
        <v>0</v>
      </c>
      <c r="F13" s="29">
        <f>IF(C13-Table_14631093846[Egypt]&gt;0, C13-Table_14631093846[Egypt], 0)</f>
        <v>0</v>
      </c>
      <c r="G13" s="29">
        <f>IF(C13-Table_14631093846[Eritrea]&gt;0, C13-Table_14631093846[Eritrea], 0)</f>
        <v>0</v>
      </c>
      <c r="H13" s="29">
        <f>IF(C13-Table_14631093846[Ethiopia]&gt;0, C13-Table_14631093846[Ethiopia], 0)</f>
        <v>72.512277587637982</v>
      </c>
      <c r="I13" s="29">
        <f>IF(C13-Table_14631093846[Kenya]&gt;0, C13-Table_14631093846[Kenya], 0)</f>
        <v>0</v>
      </c>
      <c r="J13" s="29">
        <f>IF(C13-Table_14631093846[Rwanda]&gt;0, C13-Table_14631093846[Rwanda], 0)</f>
        <v>0</v>
      </c>
      <c r="K13" s="29">
        <f>IF(C13-Table_14631093846[Sudan]&gt;0, C13-Table_14631093846[Sudan], 0)</f>
        <v>0</v>
      </c>
      <c r="L13" s="29">
        <f>IF(C13-Table_14631093846[S. Sudan]&gt;0, C13-Table_14631093846[S. Sudan], 0)</f>
        <v>301.2658553715562</v>
      </c>
      <c r="M13" s="29">
        <f>IF(C13-Table_14631093846[Tanzania]&gt;0, C13-Table_14631093846[Tanzania], 0)</f>
        <v>0</v>
      </c>
      <c r="N13" s="29">
        <f>IF(C13-Table_14631093846[Uganda]&gt;0, C13-Table_14631093846[Uganda], 0)</f>
        <v>0</v>
      </c>
      <c r="P13" s="21" t="s">
        <v>8</v>
      </c>
      <c r="Q13" s="97">
        <f t="shared" si="0"/>
        <v>4.6439511742083254E-4</v>
      </c>
      <c r="R13" s="97">
        <f t="shared" si="0"/>
        <v>4.6439511742083254E-4</v>
      </c>
      <c r="S13" s="97">
        <f t="shared" si="0"/>
        <v>4.6439511742083254E-4</v>
      </c>
      <c r="T13" s="97">
        <f t="shared" si="0"/>
        <v>4.6439511742083254E-4</v>
      </c>
      <c r="U13" s="97">
        <f t="shared" si="0"/>
        <v>4.6439511742083254E-4</v>
      </c>
      <c r="V13" s="97">
        <f t="shared" si="0"/>
        <v>4.6439511742083254E-4</v>
      </c>
      <c r="W13" s="97">
        <f t="shared" si="0"/>
        <v>4.6439511742083254E-4</v>
      </c>
      <c r="X13" s="97">
        <f t="shared" si="0"/>
        <v>4.6439511742083254E-4</v>
      </c>
      <c r="Y13" s="97">
        <f t="shared" si="0"/>
        <v>4.6439511742083254E-4</v>
      </c>
      <c r="Z13" s="97">
        <f t="shared" si="0"/>
        <v>4.6439511742083254E-4</v>
      </c>
      <c r="AA13" s="97">
        <f t="shared" si="0"/>
        <v>4.6439511742083254E-4</v>
      </c>
    </row>
    <row r="14" spans="1:31" ht="15" customHeight="1" x14ac:dyDescent="0.25">
      <c r="B14" s="21" t="s">
        <v>8</v>
      </c>
      <c r="C14" s="95">
        <f>Annual_sorted!M217</f>
        <v>-693.26683786988826</v>
      </c>
      <c r="D14" s="29">
        <f>IF(C14-Table_14631093846[Burundi]&gt;0, C14-Table_14631093846[Burundi], 0)</f>
        <v>0</v>
      </c>
      <c r="E14" s="29">
        <f>IF(C14-Table_14631093846[DRC]&gt;0, C14-Table_14631093846[DRC], 0)</f>
        <v>0</v>
      </c>
      <c r="F14" s="29">
        <f>IF(C14-Table_14631093846[Egypt]&gt;0, C14-Table_14631093846[Egypt], 0)</f>
        <v>0</v>
      </c>
      <c r="G14" s="29">
        <f>IF(C14-Table_14631093846[Eritrea]&gt;0, C14-Table_14631093846[Eritrea], 0)</f>
        <v>0</v>
      </c>
      <c r="H14" s="29">
        <f>IF(C14-Table_14631093846[Ethiopia]&gt;0, C14-Table_14631093846[Ethiopia], 0)</f>
        <v>0</v>
      </c>
      <c r="I14" s="29">
        <f>IF(C14-Table_14631093846[Kenya]&gt;0, C14-Table_14631093846[Kenya], 0)</f>
        <v>0</v>
      </c>
      <c r="J14" s="29">
        <f>IF(C14-Table_14631093846[Rwanda]&gt;0, C14-Table_14631093846[Rwanda], 0)</f>
        <v>0</v>
      </c>
      <c r="K14" s="29">
        <f>IF(C14-Table_14631093846[Sudan]&gt;0, C14-Table_14631093846[Sudan], 0)</f>
        <v>0</v>
      </c>
      <c r="L14" s="29">
        <f>IF(C14-Table_14631093846[S. Sudan]&gt;0, C14-Table_14631093846[S. Sudan], 0)</f>
        <v>0</v>
      </c>
      <c r="M14" s="29">
        <f>IF(C14-Table_14631093846[Tanzania]&gt;0, C14-Table_14631093846[Tanzania], 0)</f>
        <v>0</v>
      </c>
      <c r="N14" s="29">
        <f>IF(C14-Table_14631093846[Uganda]&gt;0, C14-Table_14631093846[Uganda], 0)</f>
        <v>0</v>
      </c>
      <c r="P14" s="21" t="s">
        <v>9</v>
      </c>
      <c r="Q14" s="97">
        <f t="shared" si="0"/>
        <v>4.6439511742083254E-4</v>
      </c>
      <c r="R14" s="97">
        <f t="shared" si="0"/>
        <v>4.6439511742083254E-4</v>
      </c>
      <c r="S14" s="97">
        <f t="shared" si="0"/>
        <v>4.6439511742083254E-4</v>
      </c>
      <c r="T14" s="97">
        <f t="shared" si="0"/>
        <v>4.6439511742083254E-4</v>
      </c>
      <c r="U14" s="97">
        <f t="shared" si="0"/>
        <v>0.4594319454290452</v>
      </c>
      <c r="V14" s="97">
        <f t="shared" si="0"/>
        <v>4.6439511742083254E-4</v>
      </c>
      <c r="W14" s="97">
        <f t="shared" si="0"/>
        <v>4.6439511742083254E-4</v>
      </c>
      <c r="X14" s="97">
        <f t="shared" si="0"/>
        <v>0.35456088493308791</v>
      </c>
      <c r="Y14" s="97">
        <f t="shared" si="0"/>
        <v>0.79026737209800058</v>
      </c>
      <c r="Z14" s="97">
        <f t="shared" si="0"/>
        <v>4.6439511742083254E-4</v>
      </c>
      <c r="AA14" s="97">
        <f t="shared" si="0"/>
        <v>0.2783221165489681</v>
      </c>
    </row>
    <row r="15" spans="1:31" ht="15" customHeight="1" thickBot="1" x14ac:dyDescent="0.3">
      <c r="B15" s="21" t="s">
        <v>9</v>
      </c>
      <c r="C15" s="95">
        <f>Annual_sorted!M218</f>
        <v>-147.16372386002837</v>
      </c>
      <c r="D15" s="29">
        <f>IF(C15-Table_14631093846[Burundi]&gt;0, C15-Table_14631093846[Burundi], 0)</f>
        <v>0</v>
      </c>
      <c r="E15" s="29">
        <f>IF(C15-Table_14631093846[DRC]&gt;0, C15-Table_14631093846[DRC], 0)</f>
        <v>0</v>
      </c>
      <c r="F15" s="29">
        <f>IF(C15-Table_14631093846[Egypt]&gt;0, C15-Table_14631093846[Egypt], 0)</f>
        <v>0</v>
      </c>
      <c r="G15" s="29">
        <f>IF(C15-Table_14631093846[Eritrea]&gt;0, C15-Table_14631093846[Eritrea], 0)</f>
        <v>0</v>
      </c>
      <c r="H15" s="29">
        <f>IF(C15-Table_14631093846[Ethiopia]&gt;0, C15-Table_14631093846[Ethiopia], 0)</f>
        <v>317.34953622594168</v>
      </c>
      <c r="I15" s="29">
        <f>IF(C15-Table_14631093846[Kenya]&gt;0, C15-Table_14631093846[Kenya], 0)</f>
        <v>0</v>
      </c>
      <c r="J15" s="29">
        <f>IF(C15-Table_14631093846[Rwanda]&gt;0, C15-Table_14631093846[Rwanda], 0)</f>
        <v>0</v>
      </c>
      <c r="K15" s="29">
        <f>IF(C15-Table_14631093846[Sudan]&gt;0, C15-Table_14631093846[Sudan], 0)</f>
        <v>244.83725863830369</v>
      </c>
      <c r="L15" s="29">
        <f>IF(C15-Table_14631093846[S. Sudan]&gt;0, C15-Table_14631093846[S. Sudan], 0)</f>
        <v>546.10311400985984</v>
      </c>
      <c r="M15" s="29">
        <f>IF(C15-Table_14631093846[Tanzania]&gt;0, C15-Table_14631093846[Tanzania], 0)</f>
        <v>0</v>
      </c>
      <c r="N15" s="29">
        <f>IF(C15-Table_14631093846[Uganda]&gt;0, C15-Table_14631093846[Uganda], 0)</f>
        <v>192.12255631847688</v>
      </c>
      <c r="P15" s="22" t="s">
        <v>10</v>
      </c>
      <c r="Q15" s="98">
        <f t="shared" si="0"/>
        <v>4.6439511742083254E-4</v>
      </c>
      <c r="R15" s="98">
        <f t="shared" si="0"/>
        <v>4.6439511742083254E-4</v>
      </c>
      <c r="S15" s="98">
        <f t="shared" si="0"/>
        <v>4.6439511742083254E-4</v>
      </c>
      <c r="T15" s="98">
        <f t="shared" si="0"/>
        <v>4.6439511742083254E-4</v>
      </c>
      <c r="U15" s="98">
        <f t="shared" si="0"/>
        <v>0.1815742239974979</v>
      </c>
      <c r="V15" s="98">
        <f t="shared" si="0"/>
        <v>4.6439511742083254E-4</v>
      </c>
      <c r="W15" s="98">
        <f t="shared" si="0"/>
        <v>4.6439511742083254E-4</v>
      </c>
      <c r="X15" s="98">
        <f t="shared" si="0"/>
        <v>7.6703163501540675E-2</v>
      </c>
      <c r="Y15" s="98">
        <f t="shared" si="0"/>
        <v>0.51240965066645339</v>
      </c>
      <c r="Z15" s="98">
        <f t="shared" si="0"/>
        <v>4.6439511742083254E-4</v>
      </c>
      <c r="AA15" s="98">
        <f t="shared" si="0"/>
        <v>4.6439511742083254E-4</v>
      </c>
    </row>
    <row r="16" spans="1:31" ht="15" customHeight="1" thickBot="1" x14ac:dyDescent="0.3">
      <c r="B16" s="22" t="s">
        <v>10</v>
      </c>
      <c r="C16" s="96">
        <f>Annual_sorted!M219</f>
        <v>-339.28628017850525</v>
      </c>
      <c r="D16" s="32">
        <f>IF(C16-Table_14631093846[Burundi]&gt;0, C16-Table_14631093846[Burundi], 0)</f>
        <v>0</v>
      </c>
      <c r="E16" s="32">
        <f>IF(C16-Table_14631093846[DRC]&gt;0, C16-Table_14631093846[DRC], 0)</f>
        <v>0</v>
      </c>
      <c r="F16" s="32">
        <f>IF(C16-Table_14631093846[Egypt]&gt;0, C16-Table_14631093846[Egypt], 0)</f>
        <v>0</v>
      </c>
      <c r="G16" s="32">
        <f>IF(C16-Table_14631093846[Eritrea]&gt;0, C16-Table_14631093846[Eritrea], 0)</f>
        <v>0</v>
      </c>
      <c r="H16" s="32">
        <f>IF(C16-Table_14631093846[Ethiopia]&gt;0, C16-Table_14631093846[Ethiopia], 0)</f>
        <v>125.22697990746479</v>
      </c>
      <c r="I16" s="32">
        <f>IF(C16-Table_14631093846[Kenya]&gt;0, C16-Table_14631093846[Kenya], 0)</f>
        <v>0</v>
      </c>
      <c r="J16" s="32">
        <f>IF(C16-Table_14631093846[Rwanda]&gt;0, C16-Table_14631093846[Rwanda], 0)</f>
        <v>0</v>
      </c>
      <c r="K16" s="32">
        <f>IF(C16-Table_14631093846[Sudan]&gt;0, C16-Table_14631093846[Sudan], 0)</f>
        <v>52.714702319826813</v>
      </c>
      <c r="L16" s="32">
        <f>IF(C16-Table_14631093846[S. Sudan]&gt;0, C16-Table_14631093846[S. Sudan], 0)</f>
        <v>353.98055769138301</v>
      </c>
      <c r="M16" s="32">
        <f>IF(C16-Table_14631093846[Tanzania]&gt;0, C16-Table_14631093846[Tanzania], 0)</f>
        <v>0</v>
      </c>
      <c r="N16" s="32">
        <f>IF(C16-Table_14631093846[Uganda]&gt;0, C16-Table_14631093846[Uganda], 0)</f>
        <v>0</v>
      </c>
      <c r="Q16" s="186">
        <f t="shared" ref="Q16:X16" si="1">SUM(Q5:Q15)</f>
        <v>2.4835790027133552E-2</v>
      </c>
      <c r="R16" s="186">
        <f t="shared" si="1"/>
        <v>8.2275125656165418E-2</v>
      </c>
      <c r="S16" s="186">
        <f t="shared" si="1"/>
        <v>5.108346291629158E-3</v>
      </c>
      <c r="T16" s="186">
        <f t="shared" si="1"/>
        <v>2.3764580261975216E-2</v>
      </c>
      <c r="U16" s="186">
        <f t="shared" si="1"/>
        <v>4.534055122452922</v>
      </c>
      <c r="V16" s="186">
        <f t="shared" si="1"/>
        <v>0.49801985569207879</v>
      </c>
      <c r="W16" s="186">
        <f t="shared" si="1"/>
        <v>6.6656849235862126E-2</v>
      </c>
      <c r="X16" s="186">
        <f t="shared" si="1"/>
        <v>3.5902155779893059</v>
      </c>
      <c r="Y16" s="186">
        <f>SUM(Y5:Y15)</f>
        <v>7.8424093891424738</v>
      </c>
      <c r="Z16" s="186">
        <f t="shared" ref="Z16:AA16" si="2">SUM(Z5:Z15)</f>
        <v>1.0353013808955156</v>
      </c>
      <c r="AA16" s="186">
        <f t="shared" si="2"/>
        <v>2.980305430916347</v>
      </c>
      <c r="AB16" s="186">
        <f>SUM(Q5:AA15)</f>
        <v>20.68294744856145</v>
      </c>
    </row>
    <row r="18" spans="2:31" ht="12.75" customHeight="1" x14ac:dyDescent="0.25">
      <c r="B18" s="5"/>
      <c r="C18" s="5"/>
      <c r="D18" s="5"/>
      <c r="E18" s="5"/>
      <c r="F18" s="5"/>
      <c r="G18" s="5"/>
      <c r="H18" s="5"/>
      <c r="I18" s="5"/>
      <c r="J18" s="5"/>
      <c r="K18" s="5"/>
      <c r="L18" s="5"/>
      <c r="M18" s="5"/>
      <c r="N18" s="5"/>
    </row>
    <row r="19" spans="2:31" ht="12.75" customHeight="1" x14ac:dyDescent="0.25">
      <c r="B19" s="5"/>
      <c r="C19" s="5"/>
      <c r="D19" s="5"/>
      <c r="E19" s="5"/>
      <c r="F19" s="5"/>
      <c r="G19" s="5"/>
      <c r="H19" s="5"/>
      <c r="I19" s="5"/>
      <c r="J19" s="5"/>
      <c r="K19" s="5"/>
      <c r="L19" s="5"/>
      <c r="M19" s="5"/>
      <c r="N19" s="44"/>
      <c r="O19" s="5"/>
      <c r="P19" s="5"/>
      <c r="Q19" s="5"/>
      <c r="R19" s="5"/>
      <c r="S19" s="5"/>
      <c r="T19" s="5"/>
      <c r="U19" s="5"/>
      <c r="V19" s="5"/>
      <c r="W19" s="5"/>
      <c r="X19" s="5"/>
      <c r="Y19" s="5"/>
      <c r="Z19" s="5"/>
      <c r="AA19" s="5"/>
    </row>
    <row r="20" spans="2:31" ht="12.75" customHeight="1" x14ac:dyDescent="0.25">
      <c r="B20" s="5"/>
      <c r="C20" s="5"/>
      <c r="D20" s="5"/>
      <c r="E20" s="5"/>
      <c r="F20" s="5"/>
      <c r="G20" s="5"/>
      <c r="H20" s="5"/>
      <c r="I20" s="5"/>
      <c r="J20" s="5"/>
      <c r="K20" s="5"/>
      <c r="L20" s="5"/>
      <c r="M20" s="5"/>
      <c r="N20" s="44"/>
      <c r="O20" s="5"/>
      <c r="P20" s="5"/>
      <c r="Q20" s="5"/>
      <c r="R20" s="5"/>
      <c r="S20" s="5"/>
      <c r="T20" s="5"/>
      <c r="U20" s="5"/>
      <c r="V20" s="5"/>
      <c r="W20" s="5"/>
      <c r="X20" s="5"/>
      <c r="Y20" s="5"/>
      <c r="Z20" s="5"/>
      <c r="AA20" s="5"/>
    </row>
    <row r="21" spans="2:31" ht="12.75" customHeight="1" thickBot="1" x14ac:dyDescent="0.3">
      <c r="B21" s="253" t="s">
        <v>102</v>
      </c>
      <c r="C21" s="253"/>
      <c r="D21" s="253"/>
      <c r="E21" s="253"/>
      <c r="F21" s="253"/>
      <c r="G21" s="253"/>
      <c r="H21" s="253"/>
      <c r="I21" s="253"/>
      <c r="J21" s="253"/>
      <c r="K21" s="253"/>
      <c r="L21" s="253"/>
      <c r="M21" s="253"/>
      <c r="N21" s="253"/>
      <c r="P21" s="253" t="s">
        <v>103</v>
      </c>
      <c r="Q21" s="253"/>
      <c r="R21" s="253"/>
      <c r="S21" s="253"/>
      <c r="T21" s="253"/>
      <c r="U21" s="253"/>
      <c r="V21" s="253"/>
      <c r="W21" s="253"/>
      <c r="X21" s="253"/>
      <c r="Y21" s="253"/>
      <c r="Z21" s="253"/>
      <c r="AA21" s="253"/>
      <c r="AB21" s="10"/>
      <c r="AC21" s="3" t="s">
        <v>22</v>
      </c>
      <c r="AD21" s="13" t="s">
        <v>23</v>
      </c>
      <c r="AE21" s="74">
        <f t="array" ref="AE21">MIN(IF(D24:N34&gt;0,D24:N34))</f>
        <v>1.2188767333157813</v>
      </c>
    </row>
    <row r="22" spans="2:31" ht="12.75" customHeight="1" thickBot="1" x14ac:dyDescent="0.3">
      <c r="B22" s="75" t="s">
        <v>13</v>
      </c>
      <c r="C22" s="66" t="s">
        <v>14</v>
      </c>
      <c r="D22" s="67" t="s">
        <v>1</v>
      </c>
      <c r="E22" s="67" t="s">
        <v>195</v>
      </c>
      <c r="F22" s="67" t="s">
        <v>2</v>
      </c>
      <c r="G22" s="67" t="s">
        <v>3</v>
      </c>
      <c r="H22" s="67" t="s">
        <v>4</v>
      </c>
      <c r="I22" s="67" t="s">
        <v>5</v>
      </c>
      <c r="J22" s="67" t="s">
        <v>6</v>
      </c>
      <c r="K22" s="67" t="s">
        <v>7</v>
      </c>
      <c r="L22" s="67" t="s">
        <v>295</v>
      </c>
      <c r="M22" s="67" t="s">
        <v>9</v>
      </c>
      <c r="N22" s="67" t="s">
        <v>10</v>
      </c>
      <c r="P22" s="76" t="s">
        <v>19</v>
      </c>
      <c r="Q22" s="77" t="s">
        <v>1</v>
      </c>
      <c r="R22" s="77" t="s">
        <v>195</v>
      </c>
      <c r="S22" s="77" t="s">
        <v>2</v>
      </c>
      <c r="T22" s="77" t="s">
        <v>3</v>
      </c>
      <c r="U22" s="77" t="s">
        <v>4</v>
      </c>
      <c r="V22" s="77" t="s">
        <v>5</v>
      </c>
      <c r="W22" s="77" t="s">
        <v>6</v>
      </c>
      <c r="X22" s="77" t="s">
        <v>7</v>
      </c>
      <c r="Y22" s="77" t="s">
        <v>295</v>
      </c>
      <c r="Z22" s="77" t="s">
        <v>9</v>
      </c>
      <c r="AA22" s="77" t="s">
        <v>10</v>
      </c>
      <c r="AB22" s="254" t="s">
        <v>26</v>
      </c>
      <c r="AC22" s="254"/>
      <c r="AD22" s="13" t="s">
        <v>24</v>
      </c>
      <c r="AE22" s="20">
        <f>MAX(D24:N34)</f>
        <v>697.852140215958</v>
      </c>
    </row>
    <row r="23" spans="2:31" ht="13.2" x14ac:dyDescent="0.25">
      <c r="B23" s="93"/>
      <c r="C23" s="94" t="s">
        <v>258</v>
      </c>
      <c r="D23" s="95">
        <f>C24</f>
        <v>-14.664691974804953</v>
      </c>
      <c r="E23" s="95">
        <f>C25</f>
        <v>-25.40290975381636</v>
      </c>
      <c r="F23" s="95">
        <f>C26</f>
        <v>-59.850818494165942</v>
      </c>
      <c r="G23" s="95">
        <f>C27</f>
        <v>-12.096342909491103</v>
      </c>
      <c r="H23" s="95">
        <f>C28</f>
        <v>-356.58305232014982</v>
      </c>
      <c r="I23" s="95">
        <f>C29</f>
        <v>-61.069695227481724</v>
      </c>
      <c r="J23" s="95">
        <f>C30</f>
        <v>-21.58260121913974</v>
      </c>
      <c r="K23" s="95">
        <f>C31</f>
        <v>-437.67086998592629</v>
      </c>
      <c r="L23" s="95">
        <f>C32</f>
        <v>-709.94848312544912</v>
      </c>
      <c r="M23" s="95">
        <f>C33</f>
        <v>-132.36270643489922</v>
      </c>
      <c r="N23" s="95">
        <f>C34</f>
        <v>-298.07871436736303</v>
      </c>
      <c r="P23" s="21" t="s">
        <v>1</v>
      </c>
      <c r="Q23" s="97">
        <f>AE23+(D24-AE21)*(AE24-AE23)/(AE22-AE21)</f>
        <v>-7.479180515944533E-4</v>
      </c>
      <c r="R23" s="97">
        <f t="shared" ref="R23:AA33" si="3">$AE$23+(E24-$AE$21)*($AE$24-$AE$23)/($AE$22-$AE$21)</f>
        <v>1.465111630918681E-2</v>
      </c>
      <c r="S23" s="97">
        <f t="shared" si="3"/>
        <v>6.4050797081775565E-2</v>
      </c>
      <c r="T23" s="97">
        <f t="shared" si="3"/>
        <v>-7.479180515944533E-4</v>
      </c>
      <c r="U23" s="97">
        <f t="shared" si="3"/>
        <v>0.4895767045157724</v>
      </c>
      <c r="V23" s="97">
        <f t="shared" si="3"/>
        <v>6.5798715133370017E-2</v>
      </c>
      <c r="W23" s="97">
        <f t="shared" si="3"/>
        <v>9.172640867083498E-3</v>
      </c>
      <c r="X23" s="97">
        <f t="shared" si="3"/>
        <v>0.60585988261602275</v>
      </c>
      <c r="Y23" s="97">
        <f t="shared" si="3"/>
        <v>0.99631688457794632</v>
      </c>
      <c r="Z23" s="97">
        <f t="shared" si="3"/>
        <v>0.16803574849028305</v>
      </c>
      <c r="AA23" s="97">
        <f t="shared" si="3"/>
        <v>0.40567914079243139</v>
      </c>
      <c r="AD23" s="3" t="s">
        <v>25</v>
      </c>
      <c r="AE23" s="2">
        <v>1E-3</v>
      </c>
    </row>
    <row r="24" spans="2:31" ht="12.75" customHeight="1" x14ac:dyDescent="0.25">
      <c r="B24" s="21" t="s">
        <v>1</v>
      </c>
      <c r="C24" s="95">
        <f>Annual_sorted!N209</f>
        <v>-14.664691974804953</v>
      </c>
      <c r="D24" s="29">
        <f>IF(C24-Table_1463412113947[Burundi]&gt;0, C24-Table_1463412113947[Burundi], 0)</f>
        <v>0</v>
      </c>
      <c r="E24" s="29">
        <f>IF(C24-Table_1463412113947[DRC]&gt;0, C24-Table_1463412113947[DRC], 0)</f>
        <v>10.738217779011407</v>
      </c>
      <c r="F24" s="29">
        <f>IF(C24-Table_1463412113947[Egypt]&gt;0, C24-Table_1463412113947[Egypt], 0)</f>
        <v>45.18612651936099</v>
      </c>
      <c r="G24" s="29">
        <f>IF(C24-Table_1463412113947[Eritrea]&gt;0, C24-Table_1463412113947[Eritrea], 0)</f>
        <v>0</v>
      </c>
      <c r="H24" s="29">
        <f>IF(C24-Table_1463412113947[Ethiopia]&gt;0, C24-Table_1463412113947[Ethiopia], 0)</f>
        <v>341.91836034534487</v>
      </c>
      <c r="I24" s="29">
        <f>IF(C24-Table_1463412113947[Kenya]&gt;0, C24-Table_1463412113947[Kenya], 0)</f>
        <v>46.405003252676771</v>
      </c>
      <c r="J24" s="29">
        <f>IF(C24-Table_1463412113947[Rwanda]&gt;0, C24-Table_1463412113947[Rwanda], 0)</f>
        <v>6.9179092443347869</v>
      </c>
      <c r="K24" s="29">
        <f>IF(C24-Table_1463412113947[Sudan]&gt;0, C24-Table_1463412113947[Sudan], 0)</f>
        <v>423.00617801112134</v>
      </c>
      <c r="L24" s="29">
        <f>IF(C24-Table_1463412113947[S. Sudan]&gt;0, C24-Table_1463412113947[S. Sudan], 0)</f>
        <v>695.28379115064422</v>
      </c>
      <c r="M24" s="29">
        <f>IF(C24-Table_1463412113947[Tanzania]&gt;0, C24-Table_1463412113947[Tanzania], 0)</f>
        <v>117.69801446009427</v>
      </c>
      <c r="N24" s="29">
        <f>IF(C24-Table_1463412113947[Uganda]&gt;0, C24-Table_1463412113947[Uganda], 0)</f>
        <v>283.41402239255808</v>
      </c>
      <c r="P24" s="21" t="s">
        <v>195</v>
      </c>
      <c r="Q24" s="97">
        <f t="shared" ref="Q24:Q33" si="4">$AE$23+(D25-$AE$21)*($AE$24-$AE$23)/($AE$22-$AE$21)</f>
        <v>-7.479180515944533E-4</v>
      </c>
      <c r="R24" s="97">
        <f t="shared" si="3"/>
        <v>-7.479180515944533E-4</v>
      </c>
      <c r="S24" s="97">
        <f t="shared" si="3"/>
        <v>4.86517627209943E-2</v>
      </c>
      <c r="T24" s="97">
        <f t="shared" si="3"/>
        <v>-7.479180515944533E-4</v>
      </c>
      <c r="U24" s="97">
        <f t="shared" si="3"/>
        <v>0.47417767015499118</v>
      </c>
      <c r="V24" s="97">
        <f t="shared" si="3"/>
        <v>5.0399680772588759E-2</v>
      </c>
      <c r="W24" s="97">
        <f t="shared" si="3"/>
        <v>-7.479180515944533E-4</v>
      </c>
      <c r="X24" s="97">
        <f t="shared" si="3"/>
        <v>0.59046084825524148</v>
      </c>
      <c r="Y24" s="97">
        <f t="shared" si="3"/>
        <v>0.98091785021716493</v>
      </c>
      <c r="Z24" s="97">
        <f t="shared" si="3"/>
        <v>0.1526367141295018</v>
      </c>
      <c r="AA24" s="97">
        <f t="shared" si="3"/>
        <v>0.39028010643165006</v>
      </c>
      <c r="AD24" s="3" t="s">
        <v>70</v>
      </c>
      <c r="AE24" s="2">
        <v>1</v>
      </c>
    </row>
    <row r="25" spans="2:31" ht="12.75" customHeight="1" x14ac:dyDescent="0.25">
      <c r="B25" s="21" t="s">
        <v>195</v>
      </c>
      <c r="C25" s="95">
        <f>Annual_sorted!N210</f>
        <v>-25.40290975381636</v>
      </c>
      <c r="D25" s="29">
        <f>IF(C25-Table_1463412113947[Burundi]&gt;0, C25-Table_1463412113947[Burundi], 0)</f>
        <v>0</v>
      </c>
      <c r="E25" s="29">
        <f>IF(C25-Table_1463412113947[DRC]&gt;0, C25-Table_1463412113947[DRC], 0)</f>
        <v>0</v>
      </c>
      <c r="F25" s="29">
        <f>IF(C25-Table_1463412113947[Egypt]&gt;0, C25-Table_1463412113947[Egypt], 0)</f>
        <v>34.447908740349583</v>
      </c>
      <c r="G25" s="29">
        <f>IF(C25-Table_1463412113947[Eritrea]&gt;0, C25-Table_1463412113947[Eritrea], 0)</f>
        <v>0</v>
      </c>
      <c r="H25" s="29">
        <f>IF(C25-Table_1463412113947[Ethiopia]&gt;0, C25-Table_1463412113947[Ethiopia], 0)</f>
        <v>331.18014256633347</v>
      </c>
      <c r="I25" s="29">
        <f>IF(C25-Table_1463412113947[Kenya]&gt;0, C25-Table_1463412113947[Kenya], 0)</f>
        <v>35.666785473665364</v>
      </c>
      <c r="J25" s="29">
        <f>IF(C25-Table_1463412113947[Rwanda]&gt;0, C25-Table_1463412113947[Rwanda], 0)</f>
        <v>0</v>
      </c>
      <c r="K25" s="29">
        <f>IF(C25-Table_1463412113947[Sudan]&gt;0, C25-Table_1463412113947[Sudan], 0)</f>
        <v>412.26796023210994</v>
      </c>
      <c r="L25" s="29">
        <f>IF(C25-Table_1463412113947[S. Sudan]&gt;0, C25-Table_1463412113947[S. Sudan], 0)</f>
        <v>684.54557337163271</v>
      </c>
      <c r="M25" s="29">
        <f>IF(C25-Table_1463412113947[Tanzania]&gt;0, C25-Table_1463412113947[Tanzania], 0)</f>
        <v>106.95979668108286</v>
      </c>
      <c r="N25" s="29">
        <f>IF(C25-Table_1463412113947[Uganda]&gt;0, C25-Table_1463412113947[Uganda], 0)</f>
        <v>272.67580461354669</v>
      </c>
      <c r="P25" s="21" t="s">
        <v>2</v>
      </c>
      <c r="Q25" s="97">
        <f t="shared" si="4"/>
        <v>-7.479180515944533E-4</v>
      </c>
      <c r="R25" s="97">
        <f t="shared" si="3"/>
        <v>-7.479180515944533E-4</v>
      </c>
      <c r="S25" s="97">
        <f t="shared" si="3"/>
        <v>-7.479180515944533E-4</v>
      </c>
      <c r="T25" s="97">
        <f t="shared" si="3"/>
        <v>-7.479180515944533E-4</v>
      </c>
      <c r="U25" s="97">
        <f t="shared" si="3"/>
        <v>0.42477798938240235</v>
      </c>
      <c r="V25" s="97">
        <f t="shared" si="3"/>
        <v>1E-3</v>
      </c>
      <c r="W25" s="97">
        <f t="shared" si="3"/>
        <v>-7.479180515944533E-4</v>
      </c>
      <c r="X25" s="97">
        <f t="shared" si="3"/>
        <v>0.54106116748265276</v>
      </c>
      <c r="Y25" s="97">
        <f t="shared" si="3"/>
        <v>0.93151816944457622</v>
      </c>
      <c r="Z25" s="97">
        <f t="shared" si="3"/>
        <v>0.10323703335691306</v>
      </c>
      <c r="AA25" s="97">
        <f t="shared" si="3"/>
        <v>0.34088042565906135</v>
      </c>
    </row>
    <row r="26" spans="2:31" ht="12.75" customHeight="1" x14ac:dyDescent="0.25">
      <c r="B26" s="21" t="s">
        <v>2</v>
      </c>
      <c r="C26" s="95">
        <f>Annual_sorted!N211</f>
        <v>-59.850818494165942</v>
      </c>
      <c r="D26" s="29">
        <f>IF(C26-Table_1463412113947[Burundi]&gt;0, C26-Table_1463412113947[Burundi], 0)</f>
        <v>0</v>
      </c>
      <c r="E26" s="29">
        <f>IF(C26-Table_1463412113947[DRC]&gt;0, C26-Table_1463412113947[DRC], 0)</f>
        <v>0</v>
      </c>
      <c r="F26" s="29">
        <f>IF(C26-Table_1463412113947[Egypt]&gt;0, C26-Table_1463412113947[Egypt], 0)</f>
        <v>0</v>
      </c>
      <c r="G26" s="29">
        <f>IF(C26-Table_1463412113947[Eritrea]&gt;0, C26-Table_1463412113947[Eritrea], 0)</f>
        <v>0</v>
      </c>
      <c r="H26" s="29">
        <f>IF(C26-Table_1463412113947[Ethiopia]&gt;0, C26-Table_1463412113947[Ethiopia], 0)</f>
        <v>296.73223382598388</v>
      </c>
      <c r="I26" s="29">
        <f>IF(C26-Table_1463412113947[Kenya]&gt;0, C26-Table_1463412113947[Kenya], 0)</f>
        <v>1.2188767333157813</v>
      </c>
      <c r="J26" s="29">
        <f>IF(C26-Table_1463412113947[Rwanda]&gt;0, C26-Table_1463412113947[Rwanda], 0)</f>
        <v>0</v>
      </c>
      <c r="K26" s="29">
        <f>IF(C26-Table_1463412113947[Sudan]&gt;0, C26-Table_1463412113947[Sudan], 0)</f>
        <v>377.82005149176035</v>
      </c>
      <c r="L26" s="29">
        <f>IF(C26-Table_1463412113947[S. Sudan]&gt;0, C26-Table_1463412113947[S. Sudan], 0)</f>
        <v>650.09766463128312</v>
      </c>
      <c r="M26" s="29">
        <f>IF(C26-Table_1463412113947[Tanzania]&gt;0, C26-Table_1463412113947[Tanzania], 0)</f>
        <v>72.511887940733288</v>
      </c>
      <c r="N26" s="29">
        <f>IF(C26-Table_1463412113947[Uganda]&gt;0, C26-Table_1463412113947[Uganda], 0)</f>
        <v>238.2278958731971</v>
      </c>
      <c r="P26" s="21" t="s">
        <v>3</v>
      </c>
      <c r="Q26" s="97">
        <f t="shared" si="4"/>
        <v>2.9351973704592723E-3</v>
      </c>
      <c r="R26" s="97">
        <f t="shared" si="3"/>
        <v>1.833423173124054E-2</v>
      </c>
      <c r="S26" s="97">
        <f t="shared" si="3"/>
        <v>6.7733912503829291E-2</v>
      </c>
      <c r="T26" s="97">
        <f t="shared" si="3"/>
        <v>-7.479180515944533E-4</v>
      </c>
      <c r="U26" s="97">
        <f t="shared" si="3"/>
        <v>0.49325981993782608</v>
      </c>
      <c r="V26" s="97">
        <f t="shared" si="3"/>
        <v>6.9481830555423743E-2</v>
      </c>
      <c r="W26" s="97">
        <f t="shared" si="3"/>
        <v>1.2855756289137221E-2</v>
      </c>
      <c r="X26" s="97">
        <f t="shared" si="3"/>
        <v>0.60954299803807643</v>
      </c>
      <c r="Y26" s="97">
        <f>$AE$23+(L27-$AE$21)*($AE$24-$AE$23)/($AE$22-$AE$21)</f>
        <v>1</v>
      </c>
      <c r="Z26" s="97">
        <f t="shared" si="3"/>
        <v>0.17171886391233679</v>
      </c>
      <c r="AA26" s="97">
        <f t="shared" si="3"/>
        <v>0.40936225621448508</v>
      </c>
    </row>
    <row r="27" spans="2:31" ht="12.75" customHeight="1" x14ac:dyDescent="0.25">
      <c r="B27" s="21" t="s">
        <v>3</v>
      </c>
      <c r="C27" s="95">
        <f>Annual_sorted!N212</f>
        <v>-12.096342909491103</v>
      </c>
      <c r="D27" s="29">
        <f>IF(C27-Table_1463412113947[Burundi]&gt;0, C27-Table_1463412113947[Burundi], 0)</f>
        <v>2.5683490653138499</v>
      </c>
      <c r="E27" s="29">
        <f>IF(C27-Table_1463412113947[DRC]&gt;0, C27-Table_1463412113947[DRC], 0)</f>
        <v>13.306566844325257</v>
      </c>
      <c r="F27" s="29">
        <f>IF(C27-Table_1463412113947[Egypt]&gt;0, C27-Table_1463412113947[Egypt], 0)</f>
        <v>47.754475584674836</v>
      </c>
      <c r="G27" s="29">
        <f>IF(C27-Table_1463412113947[Eritrea]&gt;0, C27-Table_1463412113947[Eritrea], 0)</f>
        <v>0</v>
      </c>
      <c r="H27" s="29">
        <f>IF(C27-Table_1463412113947[Ethiopia]&gt;0, C27-Table_1463412113947[Ethiopia], 0)</f>
        <v>344.4867094106587</v>
      </c>
      <c r="I27" s="29">
        <f>IF(C27-Table_1463412113947[Kenya]&gt;0, C27-Table_1463412113947[Kenya], 0)</f>
        <v>48.973352317990617</v>
      </c>
      <c r="J27" s="29">
        <f>IF(C27-Table_1463412113947[Rwanda]&gt;0, C27-Table_1463412113947[Rwanda], 0)</f>
        <v>9.4862583096486368</v>
      </c>
      <c r="K27" s="29">
        <f>IF(C27-Table_1463412113947[Sudan]&gt;0, C27-Table_1463412113947[Sudan], 0)</f>
        <v>425.57452707643517</v>
      </c>
      <c r="L27" s="29">
        <f>IF(C27-Table_1463412113947[S. Sudan]&gt;0, C27-Table_1463412113947[S. Sudan], 0)</f>
        <v>697.852140215958</v>
      </c>
      <c r="M27" s="29">
        <f>IF(C27-Table_1463412113947[Tanzania]&gt;0, C27-Table_1463412113947[Tanzania], 0)</f>
        <v>120.26636352540812</v>
      </c>
      <c r="N27" s="29">
        <f>IF(C27-Table_1463412113947[Uganda]&gt;0, C27-Table_1463412113947[Uganda], 0)</f>
        <v>285.98237145787192</v>
      </c>
      <c r="P27" s="21" t="s">
        <v>4</v>
      </c>
      <c r="Q27" s="97">
        <f t="shared" si="4"/>
        <v>-7.479180515944533E-4</v>
      </c>
      <c r="R27" s="97">
        <f t="shared" si="3"/>
        <v>-7.479180515944533E-4</v>
      </c>
      <c r="S27" s="97">
        <f t="shared" si="3"/>
        <v>-7.479180515944533E-4</v>
      </c>
      <c r="T27" s="97">
        <f t="shared" si="3"/>
        <v>-7.479180515944533E-4</v>
      </c>
      <c r="U27" s="97">
        <f t="shared" si="3"/>
        <v>-7.479180515944533E-4</v>
      </c>
      <c r="V27" s="97">
        <f t="shared" si="3"/>
        <v>-7.479180515944533E-4</v>
      </c>
      <c r="W27" s="97">
        <f t="shared" si="3"/>
        <v>-7.479180515944533E-4</v>
      </c>
      <c r="X27" s="97">
        <f t="shared" si="3"/>
        <v>0.11553526004865589</v>
      </c>
      <c r="Y27" s="97">
        <f t="shared" si="3"/>
        <v>0.50599226201057956</v>
      </c>
      <c r="Z27" s="97">
        <f t="shared" si="3"/>
        <v>-7.479180515944533E-4</v>
      </c>
      <c r="AA27" s="97">
        <f t="shared" si="3"/>
        <v>-7.479180515944533E-4</v>
      </c>
    </row>
    <row r="28" spans="2:31" ht="12.75" customHeight="1" x14ac:dyDescent="0.25">
      <c r="B28" s="21" t="s">
        <v>4</v>
      </c>
      <c r="C28" s="95">
        <f>Annual_sorted!N213</f>
        <v>-356.58305232014982</v>
      </c>
      <c r="D28" s="29">
        <f>IF(C28-Table_1463412113947[Burundi]&gt;0, C28-Table_1463412113947[Burundi], 0)</f>
        <v>0</v>
      </c>
      <c r="E28" s="29">
        <f>IF(C28-Table_1463412113947[DRC]&gt;0, C28-Table_1463412113947[DRC], 0)</f>
        <v>0</v>
      </c>
      <c r="F28" s="29">
        <f>IF(C28-Table_1463412113947[Egypt]&gt;0, C28-Table_1463412113947[Egypt], 0)</f>
        <v>0</v>
      </c>
      <c r="G28" s="29">
        <f>IF(C28-Table_1463412113947[Eritrea]&gt;0, C28-Table_1463412113947[Eritrea], 0)</f>
        <v>0</v>
      </c>
      <c r="H28" s="29">
        <f>IF(C28-Table_1463412113947[Ethiopia]&gt;0, C28-Table_1463412113947[Ethiopia], 0)</f>
        <v>0</v>
      </c>
      <c r="I28" s="29">
        <f>IF(C28-Table_1463412113947[Kenya]&gt;0, C28-Table_1463412113947[Kenya], 0)</f>
        <v>0</v>
      </c>
      <c r="J28" s="29">
        <f>IF(C28-Table_1463412113947[Rwanda]&gt;0, C28-Table_1463412113947[Rwanda], 0)</f>
        <v>0</v>
      </c>
      <c r="K28" s="29">
        <f>IF(C28-Table_1463412113947[Sudan]&gt;0, C28-Table_1463412113947[Sudan], 0)</f>
        <v>81.08781766577647</v>
      </c>
      <c r="L28" s="29">
        <f>IF(C28-Table_1463412113947[S. Sudan]&gt;0, C28-Table_1463412113947[S. Sudan], 0)</f>
        <v>353.3654308052993</v>
      </c>
      <c r="M28" s="29">
        <f>IF(C28-Table_1463412113947[Tanzania]&gt;0, C28-Table_1463412113947[Tanzania], 0)</f>
        <v>0</v>
      </c>
      <c r="N28" s="29">
        <f>IF(C28-Table_1463412113947[Uganda]&gt;0, C28-Table_1463412113947[Uganda], 0)</f>
        <v>0</v>
      </c>
      <c r="P28" s="21" t="s">
        <v>5</v>
      </c>
      <c r="Q28" s="97">
        <f t="shared" si="4"/>
        <v>-7.479180515944533E-4</v>
      </c>
      <c r="R28" s="97">
        <f t="shared" si="3"/>
        <v>-7.479180515944533E-4</v>
      </c>
      <c r="S28" s="97">
        <f t="shared" si="3"/>
        <v>-7.479180515944533E-4</v>
      </c>
      <c r="T28" s="97">
        <f t="shared" si="3"/>
        <v>-7.479180515944533E-4</v>
      </c>
      <c r="U28" s="97">
        <f t="shared" si="3"/>
        <v>0.423030071330808</v>
      </c>
      <c r="V28" s="97">
        <f t="shared" si="3"/>
        <v>-7.479180515944533E-4</v>
      </c>
      <c r="W28" s="97">
        <f t="shared" si="3"/>
        <v>-7.479180515944533E-4</v>
      </c>
      <c r="X28" s="97">
        <f t="shared" si="3"/>
        <v>0.53931324943105829</v>
      </c>
      <c r="Y28" s="97">
        <f t="shared" si="3"/>
        <v>0.92977025139298186</v>
      </c>
      <c r="Z28" s="97">
        <f t="shared" si="3"/>
        <v>0.10148911530531859</v>
      </c>
      <c r="AA28" s="97">
        <f t="shared" si="3"/>
        <v>0.33913250760746683</v>
      </c>
    </row>
    <row r="29" spans="2:31" ht="12.75" customHeight="1" x14ac:dyDescent="0.25">
      <c r="B29" s="21" t="s">
        <v>5</v>
      </c>
      <c r="C29" s="95">
        <f>Annual_sorted!N214</f>
        <v>-61.069695227481724</v>
      </c>
      <c r="D29" s="29">
        <f>IF(C29-Table_1463412113947[Burundi]&gt;0, C29-Table_1463412113947[Burundi], 0)</f>
        <v>0</v>
      </c>
      <c r="E29" s="29">
        <f>IF(C29-Table_1463412113947[DRC]&gt;0, C29-Table_1463412113947[DRC], 0)</f>
        <v>0</v>
      </c>
      <c r="F29" s="29">
        <f>IF(C29-Table_1463412113947[Egypt]&gt;0, C29-Table_1463412113947[Egypt], 0)</f>
        <v>0</v>
      </c>
      <c r="G29" s="29">
        <f>IF(C29-Table_1463412113947[Eritrea]&gt;0, C29-Table_1463412113947[Eritrea], 0)</f>
        <v>0</v>
      </c>
      <c r="H29" s="29">
        <f>IF(C29-Table_1463412113947[Ethiopia]&gt;0, C29-Table_1463412113947[Ethiopia], 0)</f>
        <v>295.51335709266812</v>
      </c>
      <c r="I29" s="29">
        <f>IF(C29-Table_1463412113947[Kenya]&gt;0, C29-Table_1463412113947[Kenya], 0)</f>
        <v>0</v>
      </c>
      <c r="J29" s="29">
        <f>IF(C29-Table_1463412113947[Rwanda]&gt;0, C29-Table_1463412113947[Rwanda], 0)</f>
        <v>0</v>
      </c>
      <c r="K29" s="29">
        <f>IF(C29-Table_1463412113947[Sudan]&gt;0, C29-Table_1463412113947[Sudan], 0)</f>
        <v>376.60117475844459</v>
      </c>
      <c r="L29" s="29">
        <f>IF(C29-Table_1463412113947[S. Sudan]&gt;0, C29-Table_1463412113947[S. Sudan], 0)</f>
        <v>648.87878789796741</v>
      </c>
      <c r="M29" s="29">
        <f>IF(C29-Table_1463412113947[Tanzania]&gt;0, C29-Table_1463412113947[Tanzania], 0)</f>
        <v>71.293011207417493</v>
      </c>
      <c r="N29" s="29">
        <f>IF(C29-Table_1463412113947[Uganda]&gt;0, C29-Table_1463412113947[Uganda], 0)</f>
        <v>237.0090191398813</v>
      </c>
      <c r="P29" s="21" t="s">
        <v>6</v>
      </c>
      <c r="Q29" s="97">
        <f t="shared" si="4"/>
        <v>-7.479180515944533E-4</v>
      </c>
      <c r="R29" s="97">
        <f t="shared" si="3"/>
        <v>4.730557390508862E-3</v>
      </c>
      <c r="S29" s="97">
        <f t="shared" si="3"/>
        <v>5.4130238163097609E-2</v>
      </c>
      <c r="T29" s="97">
        <f t="shared" si="3"/>
        <v>-7.479180515944533E-4</v>
      </c>
      <c r="U29" s="97">
        <f t="shared" si="3"/>
        <v>0.47965614559709435</v>
      </c>
      <c r="V29" s="97">
        <f t="shared" si="3"/>
        <v>5.5878156214692068E-2</v>
      </c>
      <c r="W29" s="97">
        <f t="shared" si="3"/>
        <v>-7.479180515944533E-4</v>
      </c>
      <c r="X29" s="97">
        <f t="shared" si="3"/>
        <v>0.5959393236973447</v>
      </c>
      <c r="Y29" s="97">
        <f t="shared" si="3"/>
        <v>0.98639632565926838</v>
      </c>
      <c r="Z29" s="97">
        <f t="shared" si="3"/>
        <v>0.15811518957160509</v>
      </c>
      <c r="AA29" s="97">
        <f t="shared" si="3"/>
        <v>0.39575858187375335</v>
      </c>
    </row>
    <row r="30" spans="2:31" ht="12.75" customHeight="1" x14ac:dyDescent="0.25">
      <c r="B30" s="21" t="s">
        <v>6</v>
      </c>
      <c r="C30" s="95">
        <f>Annual_sorted!N215</f>
        <v>-21.58260121913974</v>
      </c>
      <c r="D30" s="29">
        <f>IF(C30-Table_1463412113947[Burundi]&gt;0, C30-Table_1463412113947[Burundi], 0)</f>
        <v>0</v>
      </c>
      <c r="E30" s="29">
        <f>IF(C30-Table_1463412113947[DRC]&gt;0, C30-Table_1463412113947[DRC], 0)</f>
        <v>3.8203085346766201</v>
      </c>
      <c r="F30" s="29">
        <f>IF(C30-Table_1463412113947[Egypt]&gt;0, C30-Table_1463412113947[Egypt], 0)</f>
        <v>38.268217275026203</v>
      </c>
      <c r="G30" s="29">
        <f>IF(C30-Table_1463412113947[Eritrea]&gt;0, C30-Table_1463412113947[Eritrea], 0)</f>
        <v>0</v>
      </c>
      <c r="H30" s="29">
        <f>IF(C30-Table_1463412113947[Ethiopia]&gt;0, C30-Table_1463412113947[Ethiopia], 0)</f>
        <v>335.00045110101007</v>
      </c>
      <c r="I30" s="29">
        <f>IF(C30-Table_1463412113947[Kenya]&gt;0, C30-Table_1463412113947[Kenya], 0)</f>
        <v>39.487094008341984</v>
      </c>
      <c r="J30" s="29">
        <f>IF(C30-Table_1463412113947[Rwanda]&gt;0, C30-Table_1463412113947[Rwanda], 0)</f>
        <v>0</v>
      </c>
      <c r="K30" s="29">
        <f>IF(C30-Table_1463412113947[Sudan]&gt;0, C30-Table_1463412113947[Sudan], 0)</f>
        <v>416.08826876678654</v>
      </c>
      <c r="L30" s="29">
        <f>IF(C30-Table_1463412113947[S. Sudan]&gt;0, C30-Table_1463412113947[S. Sudan], 0)</f>
        <v>688.36588190630937</v>
      </c>
      <c r="M30" s="29">
        <f>IF(C30-Table_1463412113947[Tanzania]&gt;0, C30-Table_1463412113947[Tanzania], 0)</f>
        <v>110.78010521575948</v>
      </c>
      <c r="N30" s="29">
        <f>IF(C30-Table_1463412113947[Uganda]&gt;0, C30-Table_1463412113947[Uganda], 0)</f>
        <v>276.49611314822329</v>
      </c>
      <c r="P30" s="21" t="s">
        <v>7</v>
      </c>
      <c r="Q30" s="97">
        <f t="shared" si="4"/>
        <v>-7.479180515944533E-4</v>
      </c>
      <c r="R30" s="97">
        <f t="shared" si="3"/>
        <v>-7.479180515944533E-4</v>
      </c>
      <c r="S30" s="97">
        <f t="shared" si="3"/>
        <v>-7.479180515944533E-4</v>
      </c>
      <c r="T30" s="97">
        <f t="shared" si="3"/>
        <v>-7.479180515944533E-4</v>
      </c>
      <c r="U30" s="97">
        <f t="shared" si="3"/>
        <v>-7.479180515944533E-4</v>
      </c>
      <c r="V30" s="97">
        <f t="shared" si="3"/>
        <v>-7.479180515944533E-4</v>
      </c>
      <c r="W30" s="97">
        <f t="shared" si="3"/>
        <v>-7.479180515944533E-4</v>
      </c>
      <c r="X30" s="97">
        <f t="shared" si="3"/>
        <v>-7.479180515944533E-4</v>
      </c>
      <c r="Y30" s="97">
        <f t="shared" si="3"/>
        <v>0.38970908391032927</v>
      </c>
      <c r="Z30" s="97">
        <f t="shared" si="3"/>
        <v>-7.479180515944533E-4</v>
      </c>
      <c r="AA30" s="97">
        <f t="shared" si="3"/>
        <v>-7.479180515944533E-4</v>
      </c>
    </row>
    <row r="31" spans="2:31" ht="12.75" customHeight="1" x14ac:dyDescent="0.25">
      <c r="B31" s="21" t="s">
        <v>7</v>
      </c>
      <c r="C31" s="95">
        <f>Annual_sorted!N216</f>
        <v>-437.67086998592629</v>
      </c>
      <c r="D31" s="29">
        <f>IF(C31-Table_1463412113947[Burundi]&gt;0, C31-Table_1463412113947[Burundi], 0)</f>
        <v>0</v>
      </c>
      <c r="E31" s="29">
        <f>IF(C31-Table_1463412113947[DRC]&gt;0, C31-Table_1463412113947[DRC], 0)</f>
        <v>0</v>
      </c>
      <c r="F31" s="29">
        <f>IF(C31-Table_1463412113947[Egypt]&gt;0, C31-Table_1463412113947[Egypt], 0)</f>
        <v>0</v>
      </c>
      <c r="G31" s="29">
        <f>IF(C31-Table_1463412113947[Eritrea]&gt;0, C31-Table_1463412113947[Eritrea], 0)</f>
        <v>0</v>
      </c>
      <c r="H31" s="29">
        <f>IF(C31-Table_1463412113947[Ethiopia]&gt;0, C31-Table_1463412113947[Ethiopia], 0)</f>
        <v>0</v>
      </c>
      <c r="I31" s="29">
        <f>IF(C31-Table_1463412113947[Kenya]&gt;0, C31-Table_1463412113947[Kenya], 0)</f>
        <v>0</v>
      </c>
      <c r="J31" s="29">
        <f>IF(C31-Table_1463412113947[Rwanda]&gt;0, C31-Table_1463412113947[Rwanda], 0)</f>
        <v>0</v>
      </c>
      <c r="K31" s="29">
        <f>IF(C31-Table_1463412113947[Sudan]&gt;0, C31-Table_1463412113947[Sudan], 0)</f>
        <v>0</v>
      </c>
      <c r="L31" s="29">
        <f>IF(C31-Table_1463412113947[S. Sudan]&gt;0, C31-Table_1463412113947[S. Sudan], 0)</f>
        <v>272.27761313952283</v>
      </c>
      <c r="M31" s="29">
        <f>IF(C31-Table_1463412113947[Tanzania]&gt;0, C31-Table_1463412113947[Tanzania], 0)</f>
        <v>0</v>
      </c>
      <c r="N31" s="29">
        <f>IF(C31-Table_1463412113947[Uganda]&gt;0, C31-Table_1463412113947[Uganda], 0)</f>
        <v>0</v>
      </c>
      <c r="P31" s="21" t="s">
        <v>8</v>
      </c>
      <c r="Q31" s="97">
        <f t="shared" si="4"/>
        <v>-7.479180515944533E-4</v>
      </c>
      <c r="R31" s="97">
        <f t="shared" si="3"/>
        <v>-7.479180515944533E-4</v>
      </c>
      <c r="S31" s="97">
        <f t="shared" si="3"/>
        <v>-7.479180515944533E-4</v>
      </c>
      <c r="T31" s="97">
        <f t="shared" si="3"/>
        <v>-7.479180515944533E-4</v>
      </c>
      <c r="U31" s="97">
        <f t="shared" si="3"/>
        <v>-7.479180515944533E-4</v>
      </c>
      <c r="V31" s="97">
        <f t="shared" si="3"/>
        <v>-7.479180515944533E-4</v>
      </c>
      <c r="W31" s="97">
        <f t="shared" si="3"/>
        <v>-7.479180515944533E-4</v>
      </c>
      <c r="X31" s="97">
        <f t="shared" si="3"/>
        <v>-7.479180515944533E-4</v>
      </c>
      <c r="Y31" s="97">
        <f t="shared" si="3"/>
        <v>-7.479180515944533E-4</v>
      </c>
      <c r="Z31" s="97">
        <f t="shared" si="3"/>
        <v>-7.479180515944533E-4</v>
      </c>
      <c r="AA31" s="97">
        <f t="shared" si="3"/>
        <v>-7.479180515944533E-4</v>
      </c>
    </row>
    <row r="32" spans="2:31" ht="12.75" customHeight="1" x14ac:dyDescent="0.25">
      <c r="B32" s="21" t="s">
        <v>8</v>
      </c>
      <c r="C32" s="95">
        <f>Annual_sorted!N217</f>
        <v>-709.94848312544912</v>
      </c>
      <c r="D32" s="29">
        <f>IF(C32-Table_1463412113947[Burundi]&gt;0, C32-Table_1463412113947[Burundi], 0)</f>
        <v>0</v>
      </c>
      <c r="E32" s="29">
        <f>IF(C32-Table_1463412113947[DRC]&gt;0, C32-Table_1463412113947[DRC], 0)</f>
        <v>0</v>
      </c>
      <c r="F32" s="29">
        <f>IF(C32-Table_1463412113947[Egypt]&gt;0, C32-Table_1463412113947[Egypt], 0)</f>
        <v>0</v>
      </c>
      <c r="G32" s="29">
        <f>IF(C32-Table_1463412113947[Eritrea]&gt;0, C32-Table_1463412113947[Eritrea], 0)</f>
        <v>0</v>
      </c>
      <c r="H32" s="29">
        <f>IF(C32-Table_1463412113947[Ethiopia]&gt;0, C32-Table_1463412113947[Ethiopia], 0)</f>
        <v>0</v>
      </c>
      <c r="I32" s="29">
        <f>IF(C32-Table_1463412113947[Kenya]&gt;0, C32-Table_1463412113947[Kenya], 0)</f>
        <v>0</v>
      </c>
      <c r="J32" s="29">
        <f>IF(C32-Table_1463412113947[Rwanda]&gt;0, C32-Table_1463412113947[Rwanda], 0)</f>
        <v>0</v>
      </c>
      <c r="K32" s="29">
        <f>IF(C32-Table_1463412113947[Sudan]&gt;0, C32-Table_1463412113947[Sudan], 0)</f>
        <v>0</v>
      </c>
      <c r="L32" s="29">
        <f>IF(C32-Table_1463412113947[S. Sudan]&gt;0, C32-Table_1463412113947[S. Sudan], 0)</f>
        <v>0</v>
      </c>
      <c r="M32" s="29">
        <f>IF(C32-Table_1463412113947[Tanzania]&gt;0, C32-Table_1463412113947[Tanzania], 0)</f>
        <v>0</v>
      </c>
      <c r="N32" s="29">
        <f>IF(C32-Table_1463412113947[Uganda]&gt;0, C32-Table_1463412113947[Uganda], 0)</f>
        <v>0</v>
      </c>
      <c r="P32" s="21" t="s">
        <v>9</v>
      </c>
      <c r="Q32" s="97">
        <f t="shared" si="4"/>
        <v>-7.479180515944533E-4</v>
      </c>
      <c r="R32" s="97">
        <f t="shared" si="3"/>
        <v>-7.479180515944533E-4</v>
      </c>
      <c r="S32" s="97">
        <f t="shared" si="3"/>
        <v>-7.479180515944533E-4</v>
      </c>
      <c r="T32" s="97">
        <f t="shared" si="3"/>
        <v>-7.479180515944533E-4</v>
      </c>
      <c r="U32" s="97">
        <f t="shared" si="3"/>
        <v>0.32079303797389486</v>
      </c>
      <c r="V32" s="97">
        <f t="shared" si="3"/>
        <v>-7.479180515944533E-4</v>
      </c>
      <c r="W32" s="97">
        <f t="shared" si="3"/>
        <v>-7.479180515944533E-4</v>
      </c>
      <c r="X32" s="97">
        <f t="shared" si="3"/>
        <v>0.43707621607414521</v>
      </c>
      <c r="Y32" s="97">
        <f t="shared" si="3"/>
        <v>0.82753321803606883</v>
      </c>
      <c r="Z32" s="97">
        <f t="shared" si="3"/>
        <v>-7.479180515944533E-4</v>
      </c>
      <c r="AA32" s="97">
        <f t="shared" si="3"/>
        <v>0.23689547425055382</v>
      </c>
    </row>
    <row r="33" spans="2:31" ht="12.75" customHeight="1" thickBot="1" x14ac:dyDescent="0.3">
      <c r="B33" s="21" t="s">
        <v>9</v>
      </c>
      <c r="C33" s="95">
        <f>Annual_sorted!N218</f>
        <v>-132.36270643489922</v>
      </c>
      <c r="D33" s="29">
        <f>IF(C33-Table_1463412113947[Burundi]&gt;0, C33-Table_1463412113947[Burundi], 0)</f>
        <v>0</v>
      </c>
      <c r="E33" s="29">
        <f>IF(C33-Table_1463412113947[DRC]&gt;0, C33-Table_1463412113947[DRC], 0)</f>
        <v>0</v>
      </c>
      <c r="F33" s="29">
        <f>IF(C33-Table_1463412113947[Egypt]&gt;0, C33-Table_1463412113947[Egypt], 0)</f>
        <v>0</v>
      </c>
      <c r="G33" s="29">
        <f>IF(C33-Table_1463412113947[Eritrea]&gt;0, C33-Table_1463412113947[Eritrea], 0)</f>
        <v>0</v>
      </c>
      <c r="H33" s="29">
        <f>IF(C33-Table_1463412113947[Ethiopia]&gt;0, C33-Table_1463412113947[Ethiopia], 0)</f>
        <v>224.22034588525059</v>
      </c>
      <c r="I33" s="29">
        <f>IF(C33-Table_1463412113947[Kenya]&gt;0, C33-Table_1463412113947[Kenya], 0)</f>
        <v>0</v>
      </c>
      <c r="J33" s="29">
        <f>IF(C33-Table_1463412113947[Rwanda]&gt;0, C33-Table_1463412113947[Rwanda], 0)</f>
        <v>0</v>
      </c>
      <c r="K33" s="29">
        <f>IF(C33-Table_1463412113947[Sudan]&gt;0, C33-Table_1463412113947[Sudan], 0)</f>
        <v>305.30816355102706</v>
      </c>
      <c r="L33" s="29">
        <f>IF(C33-Table_1463412113947[S. Sudan]&gt;0, C33-Table_1463412113947[S. Sudan], 0)</f>
        <v>577.58577669054989</v>
      </c>
      <c r="M33" s="29">
        <f>IF(C33-Table_1463412113947[Tanzania]&gt;0, C33-Table_1463412113947[Tanzania], 0)</f>
        <v>0</v>
      </c>
      <c r="N33" s="29">
        <f>IF(C33-Table_1463412113947[Uganda]&gt;0, C33-Table_1463412113947[Uganda], 0)</f>
        <v>165.71600793246381</v>
      </c>
      <c r="P33" s="22" t="s">
        <v>10</v>
      </c>
      <c r="Q33" s="98">
        <f t="shared" si="4"/>
        <v>-7.479180515944533E-4</v>
      </c>
      <c r="R33" s="98">
        <f t="shared" si="3"/>
        <v>-7.479180515944533E-4</v>
      </c>
      <c r="S33" s="98">
        <f t="shared" si="3"/>
        <v>-7.479180515944533E-4</v>
      </c>
      <c r="T33" s="98">
        <f t="shared" si="3"/>
        <v>-7.479180515944533E-4</v>
      </c>
      <c r="U33" s="98">
        <f t="shared" si="3"/>
        <v>8.3149645671746583E-2</v>
      </c>
      <c r="V33" s="98">
        <f t="shared" si="3"/>
        <v>-7.479180515944533E-4</v>
      </c>
      <c r="W33" s="98">
        <f t="shared" si="3"/>
        <v>-7.479180515944533E-4</v>
      </c>
      <c r="X33" s="98">
        <f t="shared" si="3"/>
        <v>0.19943282377199695</v>
      </c>
      <c r="Y33" s="98">
        <f t="shared" si="3"/>
        <v>0.58988982573392057</v>
      </c>
      <c r="Z33" s="98">
        <f t="shared" si="3"/>
        <v>-7.479180515944533E-4</v>
      </c>
      <c r="AA33" s="98">
        <f t="shared" si="3"/>
        <v>-7.479180515944533E-4</v>
      </c>
      <c r="AB33" s="186">
        <f>SUM(Q23:AA33)</f>
        <v>19.424349884256085</v>
      </c>
    </row>
    <row r="34" spans="2:31" ht="12.75" customHeight="1" thickBot="1" x14ac:dyDescent="0.3">
      <c r="B34" s="22" t="s">
        <v>10</v>
      </c>
      <c r="C34" s="96">
        <f>Annual_sorted!N219</f>
        <v>-298.07871436736303</v>
      </c>
      <c r="D34" s="32">
        <f>IF(C34-Table_1463412113947[Burundi]&gt;0, C34-Table_1463412113947[Burundi], 0)</f>
        <v>0</v>
      </c>
      <c r="E34" s="32">
        <f>IF(C34-Table_1463412113947[DRC]&gt;0, C34-Table_1463412113947[DRC], 0)</f>
        <v>0</v>
      </c>
      <c r="F34" s="32">
        <f>IF(C34-Table_1463412113947[Egypt]&gt;0, C34-Table_1463412113947[Egypt], 0)</f>
        <v>0</v>
      </c>
      <c r="G34" s="32">
        <f>IF(C34-Table_1463412113947[Eritrea]&gt;0, C34-Table_1463412113947[Eritrea], 0)</f>
        <v>0</v>
      </c>
      <c r="H34" s="32">
        <f>IF(C34-Table_1463412113947[Ethiopia]&gt;0, C34-Table_1463412113947[Ethiopia], 0)</f>
        <v>58.504337952786784</v>
      </c>
      <c r="I34" s="32">
        <f>IF(C34-Table_1463412113947[Kenya]&gt;0, C34-Table_1463412113947[Kenya], 0)</f>
        <v>0</v>
      </c>
      <c r="J34" s="32">
        <f>IF(C34-Table_1463412113947[Rwanda]&gt;0, C34-Table_1463412113947[Rwanda], 0)</f>
        <v>0</v>
      </c>
      <c r="K34" s="32">
        <f>IF(C34-Table_1463412113947[Sudan]&gt;0, C34-Table_1463412113947[Sudan], 0)</f>
        <v>139.59215561856325</v>
      </c>
      <c r="L34" s="32">
        <f>IF(C34-Table_1463412113947[S. Sudan]&gt;0, C34-Table_1463412113947[S. Sudan], 0)</f>
        <v>411.86976875808608</v>
      </c>
      <c r="M34" s="32">
        <f>IF(C34-Table_1463412113947[Tanzania]&gt;0, C34-Table_1463412113947[Tanzania], 0)</f>
        <v>0</v>
      </c>
      <c r="N34" s="32">
        <f>IF(C34-Table_1463412113947[Uganda]&gt;0, C34-Table_1463412113947[Uganda], 0)</f>
        <v>0</v>
      </c>
    </row>
    <row r="35" spans="2:31" ht="12.75" customHeight="1" x14ac:dyDescent="0.25">
      <c r="C35" s="19"/>
    </row>
    <row r="36" spans="2:31" ht="12.75" customHeight="1" x14ac:dyDescent="0.25"/>
    <row r="37" spans="2:31" ht="12.75" customHeight="1" x14ac:dyDescent="0.25">
      <c r="B37" s="5"/>
      <c r="C37" s="5"/>
      <c r="D37" s="5"/>
      <c r="E37" s="5"/>
      <c r="F37" s="5"/>
      <c r="G37" s="5"/>
      <c r="H37" s="5"/>
      <c r="I37" s="5"/>
      <c r="J37" s="5"/>
      <c r="K37" s="5"/>
      <c r="L37" s="5"/>
      <c r="M37" s="5"/>
      <c r="N37" s="5"/>
      <c r="O37" s="5"/>
      <c r="P37" s="5"/>
      <c r="Q37" s="5"/>
      <c r="R37" s="5"/>
      <c r="S37" s="5"/>
      <c r="T37" s="5"/>
      <c r="U37" s="5"/>
      <c r="V37" s="5"/>
      <c r="W37" s="5"/>
      <c r="X37" s="5"/>
      <c r="Y37" s="5"/>
      <c r="Z37" s="5"/>
      <c r="AA37" s="5"/>
    </row>
    <row r="38" spans="2:31" ht="12.75" customHeight="1" x14ac:dyDescent="0.25">
      <c r="B38" s="5"/>
      <c r="C38" s="5"/>
      <c r="D38" s="5"/>
      <c r="E38" s="5"/>
      <c r="F38" s="5"/>
      <c r="G38" s="5"/>
      <c r="H38" s="5"/>
      <c r="I38" s="5"/>
      <c r="J38" s="5"/>
      <c r="K38" s="5"/>
      <c r="L38" s="5"/>
      <c r="M38" s="5"/>
      <c r="N38" s="44"/>
      <c r="O38" s="5"/>
      <c r="P38" s="5"/>
      <c r="Q38" s="5"/>
      <c r="R38" s="5"/>
      <c r="S38" s="5"/>
      <c r="T38" s="5"/>
      <c r="U38" s="5"/>
      <c r="V38" s="5"/>
      <c r="W38" s="5"/>
      <c r="X38" s="5"/>
      <c r="Y38" s="5"/>
      <c r="Z38" s="5"/>
      <c r="AA38" s="5"/>
    </row>
    <row r="39" spans="2:31" ht="12.75" customHeight="1" thickBot="1" x14ac:dyDescent="0.3">
      <c r="B39" s="253" t="s">
        <v>77</v>
      </c>
      <c r="C39" s="253"/>
      <c r="D39" s="253"/>
      <c r="E39" s="253"/>
      <c r="F39" s="253"/>
      <c r="G39" s="253"/>
      <c r="H39" s="253"/>
      <c r="I39" s="253"/>
      <c r="J39" s="253"/>
      <c r="K39" s="253"/>
      <c r="L39" s="253"/>
      <c r="M39" s="253"/>
      <c r="N39" s="253"/>
      <c r="O39" s="5"/>
      <c r="P39" s="253" t="s">
        <v>78</v>
      </c>
      <c r="Q39" s="253"/>
      <c r="R39" s="253"/>
      <c r="S39" s="253"/>
      <c r="T39" s="253"/>
      <c r="U39" s="253"/>
      <c r="V39" s="253"/>
      <c r="W39" s="253"/>
      <c r="X39" s="253"/>
      <c r="Y39" s="253"/>
      <c r="Z39" s="253"/>
      <c r="AA39" s="253"/>
      <c r="AB39" s="10"/>
      <c r="AC39" s="3" t="s">
        <v>22</v>
      </c>
      <c r="AD39" s="13" t="s">
        <v>23</v>
      </c>
      <c r="AE39" s="74">
        <f t="array" ref="AE39">MIN(IF(D42:N52&gt;0,D42:N52))</f>
        <v>0.38152013488739378</v>
      </c>
    </row>
    <row r="40" spans="2:31" ht="12.75" customHeight="1" thickBot="1" x14ac:dyDescent="0.3">
      <c r="B40" s="75" t="s">
        <v>13</v>
      </c>
      <c r="C40" s="66" t="s">
        <v>14</v>
      </c>
      <c r="D40" s="67" t="s">
        <v>1</v>
      </c>
      <c r="E40" s="67" t="s">
        <v>195</v>
      </c>
      <c r="F40" s="67" t="s">
        <v>2</v>
      </c>
      <c r="G40" s="67" t="s">
        <v>3</v>
      </c>
      <c r="H40" s="67" t="s">
        <v>4</v>
      </c>
      <c r="I40" s="67" t="s">
        <v>5</v>
      </c>
      <c r="J40" s="67" t="s">
        <v>6</v>
      </c>
      <c r="K40" s="67" t="s">
        <v>7</v>
      </c>
      <c r="L40" s="67" t="s">
        <v>295</v>
      </c>
      <c r="M40" s="67" t="s">
        <v>9</v>
      </c>
      <c r="N40" s="67" t="s">
        <v>10</v>
      </c>
      <c r="P40" s="76" t="s">
        <v>19</v>
      </c>
      <c r="Q40" s="77" t="s">
        <v>1</v>
      </c>
      <c r="R40" s="77" t="s">
        <v>195</v>
      </c>
      <c r="S40" s="77" t="s">
        <v>2</v>
      </c>
      <c r="T40" s="77" t="s">
        <v>3</v>
      </c>
      <c r="U40" s="77" t="s">
        <v>4</v>
      </c>
      <c r="V40" s="77" t="s">
        <v>5</v>
      </c>
      <c r="W40" s="77" t="s">
        <v>6</v>
      </c>
      <c r="X40" s="77" t="s">
        <v>7</v>
      </c>
      <c r="Y40" s="77" t="s">
        <v>295</v>
      </c>
      <c r="Z40" s="77" t="s">
        <v>9</v>
      </c>
      <c r="AA40" s="77" t="s">
        <v>10</v>
      </c>
      <c r="AB40" s="254" t="s">
        <v>26</v>
      </c>
      <c r="AC40" s="254"/>
      <c r="AD40" s="13" t="s">
        <v>24</v>
      </c>
      <c r="AE40" s="20">
        <f>MAX(D42:N52)</f>
        <v>109.22727058923952</v>
      </c>
    </row>
    <row r="41" spans="2:31" ht="12.75" customHeight="1" x14ac:dyDescent="0.25">
      <c r="B41" s="93"/>
      <c r="C41" s="94" t="s">
        <v>259</v>
      </c>
      <c r="D41" s="95">
        <f>C42</f>
        <v>-0.68004040625631845</v>
      </c>
      <c r="E41" s="95">
        <f>C43</f>
        <v>-2.4232013855052803</v>
      </c>
      <c r="F41" s="95">
        <f>C44</f>
        <v>1.3317341652844297</v>
      </c>
      <c r="G41" s="95">
        <f>C45</f>
        <v>-2.9768259295153667</v>
      </c>
      <c r="H41" s="95">
        <f>C46</f>
        <v>-107.89553642395509</v>
      </c>
      <c r="I41" s="95">
        <f>C47</f>
        <v>-25.016387335072533</v>
      </c>
      <c r="J41" s="95">
        <f>C48</f>
        <v>-3.3586301537906453</v>
      </c>
      <c r="K41" s="95">
        <f>C49</f>
        <v>0.56505879484200006</v>
      </c>
      <c r="L41" s="95">
        <f>C50</f>
        <v>0.18353865995460625</v>
      </c>
      <c r="M41" s="95">
        <f>C51</f>
        <v>-26.039424868321721</v>
      </c>
      <c r="N41" s="95">
        <f>C52</f>
        <v>-47.425169232324969</v>
      </c>
      <c r="P41" s="21" t="s">
        <v>1</v>
      </c>
      <c r="Q41" s="97">
        <f>$AE$41+(D42-$AE$39)*($AE$42-$AE$41)/($AE$40-$AE$39)</f>
        <v>-2.5016398266494455E-3</v>
      </c>
      <c r="R41" s="97">
        <f t="shared" ref="R41:AA51" si="5">$AE$41+(E42-$AE$39)*($AE$42-$AE$41)/($AE$40-$AE$39)</f>
        <v>1.3497311083244194E-2</v>
      </c>
      <c r="S41" s="97">
        <f t="shared" si="5"/>
        <v>-2.5016398266494455E-3</v>
      </c>
      <c r="T41" s="97">
        <f t="shared" si="5"/>
        <v>1.8578546842632191E-2</v>
      </c>
      <c r="U41" s="97">
        <f t="shared" si="5"/>
        <v>0.98153567972493272</v>
      </c>
      <c r="V41" s="97">
        <f t="shared" si="5"/>
        <v>0.22086041593025771</v>
      </c>
      <c r="W41" s="97">
        <f t="shared" si="5"/>
        <v>2.2082794077446975E-2</v>
      </c>
      <c r="X41" s="97">
        <f t="shared" si="5"/>
        <v>-2.5016398266494455E-3</v>
      </c>
      <c r="Y41" s="97">
        <f t="shared" si="5"/>
        <v>-2.5016398266494455E-3</v>
      </c>
      <c r="Z41" s="97">
        <f t="shared" si="5"/>
        <v>0.23024998319815534</v>
      </c>
      <c r="AA41" s="97">
        <f t="shared" si="5"/>
        <v>0.42653103717094276</v>
      </c>
      <c r="AD41" s="3" t="s">
        <v>25</v>
      </c>
      <c r="AE41" s="2">
        <v>1E-3</v>
      </c>
    </row>
    <row r="42" spans="2:31" ht="12.75" customHeight="1" x14ac:dyDescent="0.25">
      <c r="B42" s="21" t="s">
        <v>1</v>
      </c>
      <c r="C42" s="95">
        <f>Annual_sorted!O209</f>
        <v>-0.68004040625631845</v>
      </c>
      <c r="D42" s="29">
        <f>IF(C42-Table_14634515204149[Burundi]&gt;0, C42-Table_14634515204149[Burundi], 0)</f>
        <v>0</v>
      </c>
      <c r="E42" s="29">
        <f>IF(C42-Table_14634515204149[DRC]&gt;0, C42-Table_14634515204149[DRC], 0)</f>
        <v>1.743160979248962</v>
      </c>
      <c r="F42" s="29">
        <f>IF(C42-Table_14634515204149[Egypt]&gt;0, C42-Table_14634515204149[Egypt], 0)</f>
        <v>0</v>
      </c>
      <c r="G42" s="29">
        <f>IF(C42-Table_14634515204149[Eritrea]&gt;0, C42-Table_14634515204149[Eritrea], 0)</f>
        <v>2.2967855232590484</v>
      </c>
      <c r="H42" s="29">
        <f>IF(C42-Table_14634515204149[Ethiopia]&gt;0, C42-Table_14634515204149[Ethiopia], 0)</f>
        <v>107.21549601769877</v>
      </c>
      <c r="I42" s="29">
        <f>IF(C42-Table_14634515204149[Kenya]&gt;0, C42-Table_14634515204149[Kenya], 0)</f>
        <v>24.336346928816216</v>
      </c>
      <c r="J42" s="29">
        <f>IF(C42-Table_14634515204149[Rwanda]&gt;0, C42-Table_14634515204149[Rwanda], 0)</f>
        <v>2.678589747534327</v>
      </c>
      <c r="K42" s="29">
        <f>IF(C42-Table_14634515204149[Sudan]&gt;0, C42-Table_14634515204149[Sudan], 0)</f>
        <v>0</v>
      </c>
      <c r="L42" s="29">
        <f>IF(C42-Table_14634515204149[S. Sudan]&gt;0, C42-Table_14634515204149[S. Sudan], 0)</f>
        <v>0</v>
      </c>
      <c r="M42" s="29">
        <f>IF(C42-Table_14634515204149[Tanzania]&gt;0, C42-Table_14634515204149[Tanzania], 0)</f>
        <v>25.359384462065403</v>
      </c>
      <c r="N42" s="29">
        <f>IF(C42-Table_14634515204149[Uganda]&gt;0, C42-Table_14634515204149[Uganda], 0)</f>
        <v>46.745128826068651</v>
      </c>
      <c r="P42" s="21" t="s">
        <v>195</v>
      </c>
      <c r="Q42" s="97">
        <f t="shared" ref="Q42:Q51" si="6">$AE$41+(D43-$AE$39)*($AE$42-$AE$41)/($AE$40-$AE$39)</f>
        <v>-2.5016398266494455E-3</v>
      </c>
      <c r="R42" s="97">
        <f t="shared" si="5"/>
        <v>-2.5016398266494455E-3</v>
      </c>
      <c r="S42" s="97">
        <f t="shared" si="5"/>
        <v>-2.5016398266494455E-3</v>
      </c>
      <c r="T42" s="97">
        <f t="shared" si="5"/>
        <v>2.5795959327385514E-3</v>
      </c>
      <c r="U42" s="97">
        <f t="shared" si="5"/>
        <v>0.96553672881503905</v>
      </c>
      <c r="V42" s="97">
        <f t="shared" si="5"/>
        <v>0.20486146502036406</v>
      </c>
      <c r="W42" s="97">
        <f t="shared" si="5"/>
        <v>6.0838431675533343E-3</v>
      </c>
      <c r="X42" s="97">
        <f t="shared" si="5"/>
        <v>-2.5016398266494455E-3</v>
      </c>
      <c r="Y42" s="97">
        <f t="shared" si="5"/>
        <v>-2.5016398266494455E-3</v>
      </c>
      <c r="Z42" s="97">
        <f t="shared" si="5"/>
        <v>0.2142510322882617</v>
      </c>
      <c r="AA42" s="97">
        <f t="shared" si="5"/>
        <v>0.41053208626104909</v>
      </c>
      <c r="AD42" s="3" t="s">
        <v>70</v>
      </c>
      <c r="AE42" s="2">
        <v>1</v>
      </c>
    </row>
    <row r="43" spans="2:31" ht="12.75" customHeight="1" x14ac:dyDescent="0.25">
      <c r="B43" s="21" t="s">
        <v>195</v>
      </c>
      <c r="C43" s="95">
        <f>Annual_sorted!O210</f>
        <v>-2.4232013855052803</v>
      </c>
      <c r="D43" s="29">
        <f>IF(C43-Table_14634515204149[Burundi]&gt;0, C43-Table_14634515204149[Burundi], 0)</f>
        <v>0</v>
      </c>
      <c r="E43" s="29">
        <f>IF(C43-Table_14634515204149[DRC]&gt;0, C43-Table_14634515204149[DRC], 0)</f>
        <v>0</v>
      </c>
      <c r="F43" s="29">
        <f>IF(C43-Table_14634515204149[Egypt]&gt;0, C43-Table_14634515204149[Egypt], 0)</f>
        <v>0</v>
      </c>
      <c r="G43" s="29">
        <f>IF(C43-Table_14634515204149[Eritrea]&gt;0, C43-Table_14634515204149[Eritrea], 0)</f>
        <v>0.55362454401008643</v>
      </c>
      <c r="H43" s="29">
        <f>IF(C43-Table_14634515204149[Ethiopia]&gt;0, C43-Table_14634515204149[Ethiopia], 0)</f>
        <v>105.47233503844981</v>
      </c>
      <c r="I43" s="29">
        <f>IF(C43-Table_14634515204149[Kenya]&gt;0, C43-Table_14634515204149[Kenya], 0)</f>
        <v>22.593185949567253</v>
      </c>
      <c r="J43" s="29">
        <f>IF(C43-Table_14634515204149[Rwanda]&gt;0, C43-Table_14634515204149[Rwanda], 0)</f>
        <v>0.93542876828536503</v>
      </c>
      <c r="K43" s="29">
        <f>IF(C43-Table_14634515204149[Sudan]&gt;0, C43-Table_14634515204149[Sudan], 0)</f>
        <v>0</v>
      </c>
      <c r="L43" s="29">
        <f>IF(C43-Table_14634515204149[S. Sudan]&gt;0, C43-Table_14634515204149[S. Sudan], 0)</f>
        <v>0</v>
      </c>
      <c r="M43" s="29">
        <f>IF(C43-Table_14634515204149[Tanzania]&gt;0, C43-Table_14634515204149[Tanzania], 0)</f>
        <v>23.616223482816441</v>
      </c>
      <c r="N43" s="29">
        <f>IF(C43-Table_14634515204149[Uganda]&gt;0, C43-Table_14634515204149[Uganda], 0)</f>
        <v>45.001967846819689</v>
      </c>
      <c r="P43" s="21" t="s">
        <v>2</v>
      </c>
      <c r="Q43" s="97">
        <f t="shared" si="6"/>
        <v>1.5962680448417831E-2</v>
      </c>
      <c r="R43" s="97">
        <f t="shared" si="5"/>
        <v>3.1961631358311468E-2</v>
      </c>
      <c r="S43" s="97">
        <f t="shared" si="5"/>
        <v>-2.5016398266494455E-3</v>
      </c>
      <c r="T43" s="97">
        <f t="shared" si="5"/>
        <v>3.7042867117699468E-2</v>
      </c>
      <c r="U43" s="97">
        <f t="shared" si="5"/>
        <v>1</v>
      </c>
      <c r="V43" s="97">
        <f t="shared" si="5"/>
        <v>0.23932473620532499</v>
      </c>
      <c r="W43" s="97">
        <f t="shared" si="5"/>
        <v>4.0547114352514249E-2</v>
      </c>
      <c r="X43" s="97">
        <f t="shared" si="5"/>
        <v>4.5350032381911518E-3</v>
      </c>
      <c r="Y43" s="97">
        <f t="shared" si="5"/>
        <v>8.0366430648405977E-3</v>
      </c>
      <c r="Z43" s="97">
        <f t="shared" si="5"/>
        <v>0.2487143034732226</v>
      </c>
      <c r="AA43" s="97">
        <f t="shared" si="5"/>
        <v>0.44499535744601004</v>
      </c>
    </row>
    <row r="44" spans="2:31" ht="12.75" customHeight="1" x14ac:dyDescent="0.25">
      <c r="B44" s="21" t="s">
        <v>2</v>
      </c>
      <c r="C44" s="95">
        <f>Annual_sorted!O211</f>
        <v>1.3317341652844297</v>
      </c>
      <c r="D44" s="29">
        <f>IF(C44-Table_14634515204149[Burundi]&gt;0, C44-Table_14634515204149[Burundi], 0)</f>
        <v>2.011774571540748</v>
      </c>
      <c r="E44" s="29">
        <f>IF(C44-Table_14634515204149[DRC]&gt;0, C44-Table_14634515204149[DRC], 0)</f>
        <v>3.75493555078971</v>
      </c>
      <c r="F44" s="29">
        <f>IF(C44-Table_14634515204149[Egypt]&gt;0, C44-Table_14634515204149[Egypt], 0)</f>
        <v>0</v>
      </c>
      <c r="G44" s="29">
        <f>IF(C44-Table_14634515204149[Eritrea]&gt;0, C44-Table_14634515204149[Eritrea], 0)</f>
        <v>4.3085600947997964</v>
      </c>
      <c r="H44" s="29">
        <f>IF(C44-Table_14634515204149[Ethiopia]&gt;0, C44-Table_14634515204149[Ethiopia], 0)</f>
        <v>109.22727058923952</v>
      </c>
      <c r="I44" s="29">
        <f>IF(C44-Table_14634515204149[Kenya]&gt;0, C44-Table_14634515204149[Kenya], 0)</f>
        <v>26.348121500356964</v>
      </c>
      <c r="J44" s="29">
        <f>IF(C44-Table_14634515204149[Rwanda]&gt;0, C44-Table_14634515204149[Rwanda], 0)</f>
        <v>4.6903643190750746</v>
      </c>
      <c r="K44" s="29">
        <f>IF(C44-Table_14634515204149[Sudan]&gt;0, C44-Table_14634515204149[Sudan], 0)</f>
        <v>0.76667537044242962</v>
      </c>
      <c r="L44" s="29">
        <f>IF(C44-Table_14634515204149[S. Sudan]&gt;0, C44-Table_14634515204149[S. Sudan], 0)</f>
        <v>1.1481955053298234</v>
      </c>
      <c r="M44" s="29">
        <f>IF(C44-Table_14634515204149[Tanzania]&gt;0, C44-Table_14634515204149[Tanzania], 0)</f>
        <v>27.371159033606151</v>
      </c>
      <c r="N44" s="29">
        <f>IF(C44-Table_14634515204149[Uganda]&gt;0, C44-Table_14634515204149[Uganda], 0)</f>
        <v>48.756903397609399</v>
      </c>
      <c r="P44" s="21" t="s">
        <v>3</v>
      </c>
      <c r="Q44" s="97">
        <f t="shared" si="6"/>
        <v>-2.5016398266494455E-3</v>
      </c>
      <c r="R44" s="97">
        <f t="shared" si="5"/>
        <v>-2.5016398266494455E-3</v>
      </c>
      <c r="S44" s="97">
        <f t="shared" si="5"/>
        <v>-2.5016398266494455E-3</v>
      </c>
      <c r="T44" s="97">
        <f t="shared" si="5"/>
        <v>-2.5016398266494455E-3</v>
      </c>
      <c r="U44" s="97">
        <f t="shared" si="5"/>
        <v>0.96045549305565103</v>
      </c>
      <c r="V44" s="97">
        <f t="shared" si="5"/>
        <v>0.19978022926097602</v>
      </c>
      <c r="W44" s="97">
        <f t="shared" si="5"/>
        <v>1.0026074081653372E-3</v>
      </c>
      <c r="X44" s="97">
        <f t="shared" si="5"/>
        <v>-2.5016398266494455E-3</v>
      </c>
      <c r="Y44" s="97">
        <f t="shared" si="5"/>
        <v>-2.5016398266494455E-3</v>
      </c>
      <c r="Z44" s="97">
        <f t="shared" si="5"/>
        <v>0.20916979652887363</v>
      </c>
      <c r="AA44" s="97">
        <f t="shared" si="5"/>
        <v>0.40545085050166113</v>
      </c>
    </row>
    <row r="45" spans="2:31" ht="12.75" customHeight="1" x14ac:dyDescent="0.25">
      <c r="B45" s="21" t="s">
        <v>3</v>
      </c>
      <c r="C45" s="95">
        <f>Annual_sorted!O212</f>
        <v>-2.9768259295153667</v>
      </c>
      <c r="D45" s="29">
        <f>IF(C45-Table_14634515204149[Burundi]&gt;0, C45-Table_14634515204149[Burundi], 0)</f>
        <v>0</v>
      </c>
      <c r="E45" s="29">
        <f>IF(C45-Table_14634515204149[DRC]&gt;0, C45-Table_14634515204149[DRC], 0)</f>
        <v>0</v>
      </c>
      <c r="F45" s="29">
        <f>IF(C45-Table_14634515204149[Egypt]&gt;0, C45-Table_14634515204149[Egypt], 0)</f>
        <v>0</v>
      </c>
      <c r="G45" s="29">
        <f>IF(C45-Table_14634515204149[Eritrea]&gt;0, C45-Table_14634515204149[Eritrea], 0)</f>
        <v>0</v>
      </c>
      <c r="H45" s="29">
        <f>IF(C45-Table_14634515204149[Ethiopia]&gt;0, C45-Table_14634515204149[Ethiopia], 0)</f>
        <v>104.91871049443972</v>
      </c>
      <c r="I45" s="29">
        <f>IF(C45-Table_14634515204149[Kenya]&gt;0, C45-Table_14634515204149[Kenya], 0)</f>
        <v>22.039561405557166</v>
      </c>
      <c r="J45" s="29">
        <f>IF(C45-Table_14634515204149[Rwanda]&gt;0, C45-Table_14634515204149[Rwanda], 0)</f>
        <v>0.3818042242752786</v>
      </c>
      <c r="K45" s="29">
        <f>IF(C45-Table_14634515204149[Sudan]&gt;0, C45-Table_14634515204149[Sudan], 0)</f>
        <v>0</v>
      </c>
      <c r="L45" s="29">
        <f>IF(C45-Table_14634515204149[S. Sudan]&gt;0, C45-Table_14634515204149[S. Sudan], 0)</f>
        <v>0</v>
      </c>
      <c r="M45" s="29">
        <f>IF(C45-Table_14634515204149[Tanzania]&gt;0, C45-Table_14634515204149[Tanzania], 0)</f>
        <v>23.062598938806353</v>
      </c>
      <c r="N45" s="29">
        <f>IF(C45-Table_14634515204149[Uganda]&gt;0, C45-Table_14634515204149[Uganda], 0)</f>
        <v>44.448343302809604</v>
      </c>
      <c r="P45" s="21" t="s">
        <v>4</v>
      </c>
      <c r="Q45" s="97">
        <f t="shared" si="6"/>
        <v>-2.5016398266494455E-3</v>
      </c>
      <c r="R45" s="97">
        <f t="shared" si="5"/>
        <v>-2.5016398266494455E-3</v>
      </c>
      <c r="S45" s="97">
        <f t="shared" si="5"/>
        <v>-2.5016398266494455E-3</v>
      </c>
      <c r="T45" s="97">
        <f t="shared" si="5"/>
        <v>-2.5016398266494455E-3</v>
      </c>
      <c r="U45" s="97">
        <f t="shared" si="5"/>
        <v>-2.5016398266494455E-3</v>
      </c>
      <c r="V45" s="97">
        <f t="shared" si="5"/>
        <v>-2.5016398266494455E-3</v>
      </c>
      <c r="W45" s="97">
        <f t="shared" si="5"/>
        <v>-2.5016398266494455E-3</v>
      </c>
      <c r="X45" s="97">
        <f t="shared" si="5"/>
        <v>-2.5016398266494455E-3</v>
      </c>
      <c r="Y45" s="97">
        <f t="shared" si="5"/>
        <v>-2.5016398266494455E-3</v>
      </c>
      <c r="Z45" s="97">
        <f t="shared" si="5"/>
        <v>-2.5016398266494455E-3</v>
      </c>
      <c r="AA45" s="97">
        <f t="shared" si="5"/>
        <v>-2.5016398266494455E-3</v>
      </c>
    </row>
    <row r="46" spans="2:31" ht="12.75" customHeight="1" x14ac:dyDescent="0.25">
      <c r="B46" s="21" t="s">
        <v>4</v>
      </c>
      <c r="C46" s="95">
        <f>Annual_sorted!O213</f>
        <v>-107.89553642395509</v>
      </c>
      <c r="D46" s="29">
        <f>IF(C46-Table_14634515204149[Burundi]&gt;0, C46-Table_14634515204149[Burundi], 0)</f>
        <v>0</v>
      </c>
      <c r="E46" s="29">
        <f>IF(C46-Table_14634515204149[DRC]&gt;0, C46-Table_14634515204149[DRC], 0)</f>
        <v>0</v>
      </c>
      <c r="F46" s="29">
        <f>IF(C46-Table_14634515204149[Egypt]&gt;0, C46-Table_14634515204149[Egypt], 0)</f>
        <v>0</v>
      </c>
      <c r="G46" s="29">
        <f>IF(C46-Table_14634515204149[Eritrea]&gt;0, C46-Table_14634515204149[Eritrea], 0)</f>
        <v>0</v>
      </c>
      <c r="H46" s="29">
        <f>IF(C46-Table_14634515204149[Ethiopia]&gt;0, C46-Table_14634515204149[Ethiopia], 0)</f>
        <v>0</v>
      </c>
      <c r="I46" s="29">
        <f>IF(C46-Table_14634515204149[Kenya]&gt;0, C46-Table_14634515204149[Kenya], 0)</f>
        <v>0</v>
      </c>
      <c r="J46" s="29">
        <f>IF(C46-Table_14634515204149[Rwanda]&gt;0, C46-Table_14634515204149[Rwanda], 0)</f>
        <v>0</v>
      </c>
      <c r="K46" s="29">
        <f>IF(C46-Table_14634515204149[Sudan]&gt;0, C46-Table_14634515204149[Sudan], 0)</f>
        <v>0</v>
      </c>
      <c r="L46" s="29">
        <f>IF(C46-Table_14634515204149[S. Sudan]&gt;0, C46-Table_14634515204149[S. Sudan], 0)</f>
        <v>0</v>
      </c>
      <c r="M46" s="29">
        <f>IF(C46-Table_14634515204149[Tanzania]&gt;0, C46-Table_14634515204149[Tanzania], 0)</f>
        <v>0</v>
      </c>
      <c r="N46" s="29">
        <f>IF(C46-Table_14634515204149[Uganda]&gt;0, C46-Table_14634515204149[Uganda], 0)</f>
        <v>0</v>
      </c>
      <c r="P46" s="21" t="s">
        <v>5</v>
      </c>
      <c r="Q46" s="97">
        <f t="shared" si="6"/>
        <v>-2.5016398266494455E-3</v>
      </c>
      <c r="R46" s="97">
        <f t="shared" si="5"/>
        <v>-2.5016398266494455E-3</v>
      </c>
      <c r="S46" s="97">
        <f t="shared" si="5"/>
        <v>-2.5016398266494455E-3</v>
      </c>
      <c r="T46" s="97">
        <f t="shared" si="5"/>
        <v>-2.5016398266494455E-3</v>
      </c>
      <c r="U46" s="97">
        <f t="shared" si="5"/>
        <v>0.75817362396802546</v>
      </c>
      <c r="V46" s="97">
        <f t="shared" si="5"/>
        <v>-2.5016398266494455E-3</v>
      </c>
      <c r="W46" s="97">
        <f t="shared" si="5"/>
        <v>-2.5016398266494455E-3</v>
      </c>
      <c r="X46" s="97">
        <f t="shared" si="5"/>
        <v>-2.5016398266494455E-3</v>
      </c>
      <c r="Y46" s="97">
        <f t="shared" si="5"/>
        <v>-2.5016398266494455E-3</v>
      </c>
      <c r="Z46" s="97">
        <f t="shared" si="5"/>
        <v>6.8879274412481832E-3</v>
      </c>
      <c r="AA46" s="97">
        <f t="shared" si="5"/>
        <v>0.20316898141403567</v>
      </c>
    </row>
    <row r="47" spans="2:31" ht="12.75" customHeight="1" x14ac:dyDescent="0.25">
      <c r="B47" s="21" t="s">
        <v>5</v>
      </c>
      <c r="C47" s="95">
        <f>Annual_sorted!O214</f>
        <v>-25.016387335072533</v>
      </c>
      <c r="D47" s="29">
        <f>IF(C47-Table_14634515204149[Burundi]&gt;0, C47-Table_14634515204149[Burundi], 0)</f>
        <v>0</v>
      </c>
      <c r="E47" s="29">
        <f>IF(C47-Table_14634515204149[DRC]&gt;0, C47-Table_14634515204149[DRC], 0)</f>
        <v>0</v>
      </c>
      <c r="F47" s="29">
        <f>IF(C47-Table_14634515204149[Egypt]&gt;0, C47-Table_14634515204149[Egypt], 0)</f>
        <v>0</v>
      </c>
      <c r="G47" s="29">
        <f>IF(C47-Table_14634515204149[Eritrea]&gt;0, C47-Table_14634515204149[Eritrea], 0)</f>
        <v>0</v>
      </c>
      <c r="H47" s="29">
        <f>IF(C47-Table_14634515204149[Ethiopia]&gt;0, C47-Table_14634515204149[Ethiopia], 0)</f>
        <v>82.879149088882556</v>
      </c>
      <c r="I47" s="29">
        <f>IF(C47-Table_14634515204149[Kenya]&gt;0, C47-Table_14634515204149[Kenya], 0)</f>
        <v>0</v>
      </c>
      <c r="J47" s="29">
        <f>IF(C47-Table_14634515204149[Rwanda]&gt;0, C47-Table_14634515204149[Rwanda], 0)</f>
        <v>0</v>
      </c>
      <c r="K47" s="29">
        <f>IF(C47-Table_14634515204149[Sudan]&gt;0, C47-Table_14634515204149[Sudan], 0)</f>
        <v>0</v>
      </c>
      <c r="L47" s="29">
        <f>IF(C47-Table_14634515204149[S. Sudan]&gt;0, C47-Table_14634515204149[S. Sudan], 0)</f>
        <v>0</v>
      </c>
      <c r="M47" s="29">
        <f>IF(C47-Table_14634515204149[Tanzania]&gt;0, C47-Table_14634515204149[Tanzania], 0)</f>
        <v>1.0230375332491874</v>
      </c>
      <c r="N47" s="29">
        <f>IF(C47-Table_14634515204149[Uganda]&gt;0, C47-Table_14634515204149[Uganda], 0)</f>
        <v>22.408781897252435</v>
      </c>
      <c r="P47" s="21" t="s">
        <v>6</v>
      </c>
      <c r="Q47" s="97">
        <f t="shared" si="6"/>
        <v>-2.5016398266494455E-3</v>
      </c>
      <c r="R47" s="97">
        <f t="shared" si="5"/>
        <v>-2.5016398266494455E-3</v>
      </c>
      <c r="S47" s="97">
        <f t="shared" si="5"/>
        <v>-2.5016398266494455E-3</v>
      </c>
      <c r="T47" s="97">
        <f t="shared" si="5"/>
        <v>-2.5016398266494455E-3</v>
      </c>
      <c r="U47" s="97">
        <f t="shared" si="5"/>
        <v>0.95695124582083635</v>
      </c>
      <c r="V47" s="97">
        <f t="shared" si="5"/>
        <v>0.19627598202616126</v>
      </c>
      <c r="W47" s="97">
        <f t="shared" si="5"/>
        <v>-2.5016398266494455E-3</v>
      </c>
      <c r="X47" s="97">
        <f t="shared" si="5"/>
        <v>-2.5016398266494455E-3</v>
      </c>
      <c r="Y47" s="97">
        <f t="shared" si="5"/>
        <v>-2.5016398266494455E-3</v>
      </c>
      <c r="Z47" s="97">
        <f t="shared" si="5"/>
        <v>0.20566554929405886</v>
      </c>
      <c r="AA47" s="97">
        <f t="shared" si="5"/>
        <v>0.40194660326684634</v>
      </c>
    </row>
    <row r="48" spans="2:31" ht="12.75" customHeight="1" x14ac:dyDescent="0.25">
      <c r="B48" s="21" t="s">
        <v>6</v>
      </c>
      <c r="C48" s="95">
        <f>Annual_sorted!O215</f>
        <v>-3.3586301537906453</v>
      </c>
      <c r="D48" s="29">
        <f>IF(C48-Table_14634515204149[Burundi]&gt;0, C48-Table_14634515204149[Burundi], 0)</f>
        <v>0</v>
      </c>
      <c r="E48" s="29">
        <f>IF(C48-Table_14634515204149[DRC]&gt;0, C48-Table_14634515204149[DRC], 0)</f>
        <v>0</v>
      </c>
      <c r="F48" s="29">
        <f>IF(C48-Table_14634515204149[Egypt]&gt;0, C48-Table_14634515204149[Egypt], 0)</f>
        <v>0</v>
      </c>
      <c r="G48" s="29">
        <f>IF(C48-Table_14634515204149[Eritrea]&gt;0, C48-Table_14634515204149[Eritrea], 0)</f>
        <v>0</v>
      </c>
      <c r="H48" s="29">
        <f>IF(C48-Table_14634515204149[Ethiopia]&gt;0, C48-Table_14634515204149[Ethiopia], 0)</f>
        <v>104.53690627016445</v>
      </c>
      <c r="I48" s="29">
        <f>IF(C48-Table_14634515204149[Kenya]&gt;0, C48-Table_14634515204149[Kenya], 0)</f>
        <v>21.657757181281887</v>
      </c>
      <c r="J48" s="29">
        <f>IF(C48-Table_14634515204149[Rwanda]&gt;0, C48-Table_14634515204149[Rwanda], 0)</f>
        <v>0</v>
      </c>
      <c r="K48" s="29">
        <f>IF(C48-Table_14634515204149[Sudan]&gt;0, C48-Table_14634515204149[Sudan], 0)</f>
        <v>0</v>
      </c>
      <c r="L48" s="29">
        <f>IF(C48-Table_14634515204149[S. Sudan]&gt;0, C48-Table_14634515204149[S. Sudan], 0)</f>
        <v>0</v>
      </c>
      <c r="M48" s="29">
        <f>IF(C48-Table_14634515204149[Tanzania]&gt;0, C48-Table_14634515204149[Tanzania], 0)</f>
        <v>22.680794714531075</v>
      </c>
      <c r="N48" s="29">
        <f>IF(C48-Table_14634515204149[Uganda]&gt;0, C48-Table_14634515204149[Uganda], 0)</f>
        <v>44.066539078534326</v>
      </c>
      <c r="P48" s="21" t="s">
        <v>7</v>
      </c>
      <c r="Q48" s="97">
        <f t="shared" si="6"/>
        <v>8.9260373835772372E-3</v>
      </c>
      <c r="R48" s="97">
        <f t="shared" si="5"/>
        <v>2.4924988293470878E-2</v>
      </c>
      <c r="S48" s="97">
        <f t="shared" si="5"/>
        <v>-2.5016398266494455E-3</v>
      </c>
      <c r="T48" s="97">
        <f t="shared" si="5"/>
        <v>3.0006224052858868E-2</v>
      </c>
      <c r="U48" s="97">
        <f t="shared" si="5"/>
        <v>0.99296335693515947</v>
      </c>
      <c r="V48" s="97">
        <f t="shared" si="5"/>
        <v>0.23228809314048432</v>
      </c>
      <c r="W48" s="97">
        <f t="shared" si="5"/>
        <v>3.3510471287673656E-2</v>
      </c>
      <c r="X48" s="97">
        <f t="shared" si="5"/>
        <v>-2.5016398266494455E-3</v>
      </c>
      <c r="Y48" s="97">
        <f t="shared" si="5"/>
        <v>1E-3</v>
      </c>
      <c r="Z48" s="97">
        <f t="shared" si="5"/>
        <v>0.24167766040838196</v>
      </c>
      <c r="AA48" s="97">
        <f t="shared" si="5"/>
        <v>0.43795871438116946</v>
      </c>
    </row>
    <row r="49" spans="2:31" ht="12.75" customHeight="1" x14ac:dyDescent="0.25">
      <c r="B49" s="21" t="s">
        <v>7</v>
      </c>
      <c r="C49" s="95">
        <f>Annual_sorted!O216</f>
        <v>0.56505879484200006</v>
      </c>
      <c r="D49" s="29">
        <f>IF(C49-Table_14634515204149[Burundi]&gt;0, C49-Table_14634515204149[Burundi], 0)</f>
        <v>1.2450992010983186</v>
      </c>
      <c r="E49" s="29">
        <f>IF(C49-Table_14634515204149[DRC]&gt;0, C49-Table_14634515204149[DRC], 0)</f>
        <v>2.9882601803472806</v>
      </c>
      <c r="F49" s="29">
        <f>IF(C49-Table_14634515204149[Egypt]&gt;0, C49-Table_14634515204149[Egypt], 0)</f>
        <v>0</v>
      </c>
      <c r="G49" s="29">
        <f>IF(C49-Table_14634515204149[Eritrea]&gt;0, C49-Table_14634515204149[Eritrea], 0)</f>
        <v>3.5418847243573666</v>
      </c>
      <c r="H49" s="29">
        <f>IF(C49-Table_14634515204149[Ethiopia]&gt;0, C49-Table_14634515204149[Ethiopia], 0)</f>
        <v>108.4605952187971</v>
      </c>
      <c r="I49" s="29">
        <f>IF(C49-Table_14634515204149[Kenya]&gt;0, C49-Table_14634515204149[Kenya], 0)</f>
        <v>25.581446129914532</v>
      </c>
      <c r="J49" s="29">
        <f>IF(C49-Table_14634515204149[Rwanda]&gt;0, C49-Table_14634515204149[Rwanda], 0)</f>
        <v>3.9236889486326456</v>
      </c>
      <c r="K49" s="29">
        <f>IF(C49-Table_14634515204149[Sudan]&gt;0, C49-Table_14634515204149[Sudan], 0)</f>
        <v>0</v>
      </c>
      <c r="L49" s="29">
        <f>IF(C49-Table_14634515204149[S. Sudan]&gt;0, C49-Table_14634515204149[S. Sudan], 0)</f>
        <v>0.38152013488739378</v>
      </c>
      <c r="M49" s="29">
        <f>IF(C49-Table_14634515204149[Tanzania]&gt;0, C49-Table_14634515204149[Tanzania], 0)</f>
        <v>26.60448366316372</v>
      </c>
      <c r="N49" s="29">
        <f>IF(C49-Table_14634515204149[Uganda]&gt;0, C49-Table_14634515204149[Uganda], 0)</f>
        <v>47.990228027166971</v>
      </c>
      <c r="P49" s="21" t="s">
        <v>8</v>
      </c>
      <c r="Q49" s="97">
        <f t="shared" si="6"/>
        <v>5.4243975569277895E-3</v>
      </c>
      <c r="R49" s="97">
        <f t="shared" si="5"/>
        <v>2.1423348466821427E-2</v>
      </c>
      <c r="S49" s="97">
        <f t="shared" si="5"/>
        <v>-2.5016398266494455E-3</v>
      </c>
      <c r="T49" s="97">
        <f t="shared" si="5"/>
        <v>2.6504584226209424E-2</v>
      </c>
      <c r="U49" s="97">
        <f t="shared" si="5"/>
        <v>0.98946171710850994</v>
      </c>
      <c r="V49" s="97">
        <f t="shared" si="5"/>
        <v>0.22878645331383496</v>
      </c>
      <c r="W49" s="97">
        <f t="shared" si="5"/>
        <v>3.0008831461024205E-2</v>
      </c>
      <c r="X49" s="97">
        <f t="shared" si="5"/>
        <v>-2.5016398266494455E-3</v>
      </c>
      <c r="Y49" s="97">
        <f t="shared" si="5"/>
        <v>-2.5016398266494455E-3</v>
      </c>
      <c r="Z49" s="97">
        <f t="shared" si="5"/>
        <v>0.23817602058173257</v>
      </c>
      <c r="AA49" s="97">
        <f t="shared" si="5"/>
        <v>0.43445707455451998</v>
      </c>
    </row>
    <row r="50" spans="2:31" ht="12.75" customHeight="1" x14ac:dyDescent="0.25">
      <c r="B50" s="21" t="s">
        <v>8</v>
      </c>
      <c r="C50" s="95">
        <f>Annual_sorted!O217</f>
        <v>0.18353865995460625</v>
      </c>
      <c r="D50" s="29">
        <f>IF(C50-Table_14634515204149[Burundi]&gt;0, C50-Table_14634515204149[Burundi], 0)</f>
        <v>0.86357906621092473</v>
      </c>
      <c r="E50" s="29">
        <f>IF(C50-Table_14634515204149[DRC]&gt;0, C50-Table_14634515204149[DRC], 0)</f>
        <v>2.6067400454598864</v>
      </c>
      <c r="F50" s="29">
        <f>IF(C50-Table_14634515204149[Egypt]&gt;0, C50-Table_14634515204149[Egypt], 0)</f>
        <v>0</v>
      </c>
      <c r="G50" s="29">
        <f>IF(C50-Table_14634515204149[Eritrea]&gt;0, C50-Table_14634515204149[Eritrea], 0)</f>
        <v>3.1603645894699728</v>
      </c>
      <c r="H50" s="29">
        <f>IF(C50-Table_14634515204149[Ethiopia]&gt;0, C50-Table_14634515204149[Ethiopia], 0)</f>
        <v>108.0790750839097</v>
      </c>
      <c r="I50" s="29">
        <f>IF(C50-Table_14634515204149[Kenya]&gt;0, C50-Table_14634515204149[Kenya], 0)</f>
        <v>25.19992599502714</v>
      </c>
      <c r="J50" s="29">
        <f>IF(C50-Table_14634515204149[Rwanda]&gt;0, C50-Table_14634515204149[Rwanda], 0)</f>
        <v>3.5421688137452514</v>
      </c>
      <c r="K50" s="29">
        <f>IF(C50-Table_14634515204149[Sudan]&gt;0, C50-Table_14634515204149[Sudan], 0)</f>
        <v>0</v>
      </c>
      <c r="L50" s="29">
        <f>IF(C50-Table_14634515204149[S. Sudan]&gt;0, C50-Table_14634515204149[S. Sudan], 0)</f>
        <v>0</v>
      </c>
      <c r="M50" s="29">
        <f>IF(C50-Table_14634515204149[Tanzania]&gt;0, C50-Table_14634515204149[Tanzania], 0)</f>
        <v>26.222963528276328</v>
      </c>
      <c r="N50" s="29">
        <f>IF(C50-Table_14634515204149[Uganda]&gt;0, C50-Table_14634515204149[Uganda], 0)</f>
        <v>47.608707892279575</v>
      </c>
      <c r="P50" s="21" t="s">
        <v>9</v>
      </c>
      <c r="Q50" s="97">
        <f t="shared" si="6"/>
        <v>-2.5016398266494455E-3</v>
      </c>
      <c r="R50" s="97">
        <f t="shared" si="5"/>
        <v>-2.5016398266494455E-3</v>
      </c>
      <c r="S50" s="97">
        <f t="shared" si="5"/>
        <v>-2.5016398266494455E-3</v>
      </c>
      <c r="T50" s="97">
        <f t="shared" si="5"/>
        <v>-2.5016398266494455E-3</v>
      </c>
      <c r="U50" s="97">
        <f t="shared" si="5"/>
        <v>0.74878405670012804</v>
      </c>
      <c r="V50" s="97">
        <f t="shared" si="5"/>
        <v>-2.5016398266494455E-3</v>
      </c>
      <c r="W50" s="97">
        <f t="shared" si="5"/>
        <v>-2.5016398266494455E-3</v>
      </c>
      <c r="X50" s="97">
        <f t="shared" si="5"/>
        <v>-2.5016398266494455E-3</v>
      </c>
      <c r="Y50" s="97">
        <f t="shared" si="5"/>
        <v>-2.5016398266494455E-3</v>
      </c>
      <c r="Z50" s="97">
        <f t="shared" si="5"/>
        <v>-2.5016398266494455E-3</v>
      </c>
      <c r="AA50" s="97">
        <f t="shared" si="5"/>
        <v>0.19377941414613803</v>
      </c>
    </row>
    <row r="51" spans="2:31" ht="12.75" customHeight="1" thickBot="1" x14ac:dyDescent="0.3">
      <c r="B51" s="21" t="s">
        <v>9</v>
      </c>
      <c r="C51" s="95">
        <f>Annual_sorted!O218</f>
        <v>-26.039424868321721</v>
      </c>
      <c r="D51" s="29">
        <f>IF(C51-Table_14634515204149[Burundi]&gt;0, C51-Table_14634515204149[Burundi], 0)</f>
        <v>0</v>
      </c>
      <c r="E51" s="29">
        <f>IF(C51-Table_14634515204149[DRC]&gt;0, C51-Table_14634515204149[DRC], 0)</f>
        <v>0</v>
      </c>
      <c r="F51" s="29">
        <f>IF(C51-Table_14634515204149[Egypt]&gt;0, C51-Table_14634515204149[Egypt], 0)</f>
        <v>0</v>
      </c>
      <c r="G51" s="29">
        <f>IF(C51-Table_14634515204149[Eritrea]&gt;0, C51-Table_14634515204149[Eritrea], 0)</f>
        <v>0</v>
      </c>
      <c r="H51" s="29">
        <f>IF(C51-Table_14634515204149[Ethiopia]&gt;0, C51-Table_14634515204149[Ethiopia], 0)</f>
        <v>81.856111555633376</v>
      </c>
      <c r="I51" s="29">
        <f>IF(C51-Table_14634515204149[Kenya]&gt;0, C51-Table_14634515204149[Kenya], 0)</f>
        <v>0</v>
      </c>
      <c r="J51" s="29">
        <f>IF(C51-Table_14634515204149[Rwanda]&gt;0, C51-Table_14634515204149[Rwanda], 0)</f>
        <v>0</v>
      </c>
      <c r="K51" s="29">
        <f>IF(C51-Table_14634515204149[Sudan]&gt;0, C51-Table_14634515204149[Sudan], 0)</f>
        <v>0</v>
      </c>
      <c r="L51" s="29">
        <f>IF(C51-Table_14634515204149[S. Sudan]&gt;0, C51-Table_14634515204149[S. Sudan], 0)</f>
        <v>0</v>
      </c>
      <c r="M51" s="29">
        <f>IF(C51-Table_14634515204149[Tanzania]&gt;0, C51-Table_14634515204149[Tanzania], 0)</f>
        <v>0</v>
      </c>
      <c r="N51" s="29">
        <f>IF(C51-Table_14634515204149[Uganda]&gt;0, C51-Table_14634515204149[Uganda], 0)</f>
        <v>21.385744364003248</v>
      </c>
      <c r="P51" s="22" t="s">
        <v>10</v>
      </c>
      <c r="Q51" s="98">
        <f t="shared" si="6"/>
        <v>-2.5016398266494455E-3</v>
      </c>
      <c r="R51" s="98">
        <f t="shared" si="5"/>
        <v>-2.5016398266494455E-3</v>
      </c>
      <c r="S51" s="98">
        <f t="shared" si="5"/>
        <v>-2.5016398266494455E-3</v>
      </c>
      <c r="T51" s="98">
        <f t="shared" si="5"/>
        <v>-2.5016398266494455E-3</v>
      </c>
      <c r="U51" s="98">
        <f t="shared" si="5"/>
        <v>0.55250300272734054</v>
      </c>
      <c r="V51" s="98">
        <f t="shared" si="5"/>
        <v>-2.5016398266494455E-3</v>
      </c>
      <c r="W51" s="98">
        <f t="shared" si="5"/>
        <v>-2.5016398266494455E-3</v>
      </c>
      <c r="X51" s="98">
        <f t="shared" si="5"/>
        <v>-2.5016398266494455E-3</v>
      </c>
      <c r="Y51" s="98">
        <f t="shared" si="5"/>
        <v>-2.5016398266494455E-3</v>
      </c>
      <c r="Z51" s="98">
        <f t="shared" si="5"/>
        <v>-2.5016398266494455E-3</v>
      </c>
      <c r="AA51" s="98">
        <f t="shared" si="5"/>
        <v>-2.5016398266494455E-3</v>
      </c>
      <c r="AB51" s="186">
        <f>SUM(Q41:AA51)</f>
        <v>15.600685964370808</v>
      </c>
    </row>
    <row r="52" spans="2:31" ht="12.75" customHeight="1" thickBot="1" x14ac:dyDescent="0.3">
      <c r="B52" s="22" t="s">
        <v>10</v>
      </c>
      <c r="C52" s="96">
        <f>Annual_sorted!O219</f>
        <v>-47.425169232324969</v>
      </c>
      <c r="D52" s="32">
        <f>IF(C52-Table_14634515204149[Burundi]&gt;0, C52-Table_14634515204149[Burundi], 0)</f>
        <v>0</v>
      </c>
      <c r="E52" s="32">
        <f>IF(C52-Table_14634515204149[DRC]&gt;0, C52-Table_14634515204149[DRC], 0)</f>
        <v>0</v>
      </c>
      <c r="F52" s="32">
        <f>IF(C52-Table_14634515204149[Egypt]&gt;0, C52-Table_14634515204149[Egypt], 0)</f>
        <v>0</v>
      </c>
      <c r="G52" s="32">
        <f>IF(C52-Table_14634515204149[Eritrea]&gt;0, C52-Table_14634515204149[Eritrea], 0)</f>
        <v>0</v>
      </c>
      <c r="H52" s="32">
        <f>IF(C52-Table_14634515204149[Ethiopia]&gt;0, C52-Table_14634515204149[Ethiopia], 0)</f>
        <v>60.470367191630125</v>
      </c>
      <c r="I52" s="32">
        <f>IF(C52-Table_14634515204149[Kenya]&gt;0, C52-Table_14634515204149[Kenya], 0)</f>
        <v>0</v>
      </c>
      <c r="J52" s="32">
        <f>IF(C52-Table_14634515204149[Rwanda]&gt;0, C52-Table_14634515204149[Rwanda], 0)</f>
        <v>0</v>
      </c>
      <c r="K52" s="32">
        <f>IF(C52-Table_14634515204149[Sudan]&gt;0, C52-Table_14634515204149[Sudan], 0)</f>
        <v>0</v>
      </c>
      <c r="L52" s="32">
        <f>IF(C52-Table_14634515204149[S. Sudan]&gt;0, C52-Table_14634515204149[S. Sudan], 0)</f>
        <v>0</v>
      </c>
      <c r="M52" s="32">
        <f>IF(C52-Table_14634515204149[Tanzania]&gt;0, C52-Table_14634515204149[Tanzania], 0)</f>
        <v>0</v>
      </c>
      <c r="N52" s="32">
        <f>IF(C52-Table_14634515204149[Uganda]&gt;0, C52-Table_14634515204149[Uganda], 0)</f>
        <v>0</v>
      </c>
    </row>
    <row r="53" spans="2:31" ht="12.75" customHeight="1" x14ac:dyDescent="0.25"/>
    <row r="54" spans="2:31" ht="12.75" customHeight="1" x14ac:dyDescent="0.25"/>
    <row r="55" spans="2:31" ht="12.75" customHeight="1" x14ac:dyDescent="0.25"/>
    <row r="56" spans="2:31" ht="12.75" customHeight="1" x14ac:dyDescent="0.25">
      <c r="B56" s="5"/>
      <c r="C56" s="5"/>
      <c r="D56" s="5"/>
      <c r="E56" s="5"/>
      <c r="F56" s="5"/>
      <c r="G56" s="5"/>
      <c r="H56" s="5"/>
      <c r="I56" s="5"/>
      <c r="J56" s="5"/>
      <c r="K56" s="5"/>
      <c r="L56" s="5"/>
      <c r="M56" s="5"/>
      <c r="N56" s="44"/>
      <c r="O56" s="5"/>
      <c r="P56" s="5"/>
      <c r="Q56" s="5"/>
      <c r="R56" s="5"/>
      <c r="S56" s="5"/>
      <c r="T56" s="5"/>
      <c r="U56" s="5"/>
      <c r="V56" s="5"/>
      <c r="W56" s="5"/>
      <c r="X56" s="5"/>
      <c r="Y56" s="5"/>
      <c r="Z56" s="5"/>
      <c r="AA56" s="5"/>
    </row>
    <row r="57" spans="2:31" ht="12.75" customHeight="1" thickBot="1" x14ac:dyDescent="0.3">
      <c r="B57" s="253" t="s">
        <v>79</v>
      </c>
      <c r="C57" s="253"/>
      <c r="D57" s="253"/>
      <c r="E57" s="253"/>
      <c r="F57" s="253"/>
      <c r="G57" s="253"/>
      <c r="H57" s="253"/>
      <c r="I57" s="253"/>
      <c r="J57" s="253"/>
      <c r="K57" s="253"/>
      <c r="L57" s="253"/>
      <c r="M57" s="253"/>
      <c r="N57" s="253"/>
      <c r="O57" s="5"/>
      <c r="P57" s="253" t="s">
        <v>80</v>
      </c>
      <c r="Q57" s="253"/>
      <c r="R57" s="253"/>
      <c r="S57" s="253"/>
      <c r="T57" s="253"/>
      <c r="U57" s="253"/>
      <c r="V57" s="253"/>
      <c r="W57" s="253"/>
      <c r="X57" s="253"/>
      <c r="Y57" s="253"/>
      <c r="Z57" s="253"/>
      <c r="AA57" s="253"/>
      <c r="AB57" s="10"/>
      <c r="AC57" s="3" t="s">
        <v>22</v>
      </c>
      <c r="AD57" s="13" t="s">
        <v>23</v>
      </c>
      <c r="AE57" s="74">
        <f t="array" ref="AE57">MIN(IF(D60:N70&gt;0,D60:N70))</f>
        <v>0.55362454401008643</v>
      </c>
    </row>
    <row r="58" spans="2:31" ht="12.75" customHeight="1" thickBot="1" x14ac:dyDescent="0.3">
      <c r="B58" s="75" t="s">
        <v>13</v>
      </c>
      <c r="C58" s="66" t="s">
        <v>14</v>
      </c>
      <c r="D58" s="67" t="s">
        <v>1</v>
      </c>
      <c r="E58" s="67" t="s">
        <v>195</v>
      </c>
      <c r="F58" s="67" t="s">
        <v>2</v>
      </c>
      <c r="G58" s="67" t="s">
        <v>3</v>
      </c>
      <c r="H58" s="67" t="s">
        <v>4</v>
      </c>
      <c r="I58" s="67" t="s">
        <v>5</v>
      </c>
      <c r="J58" s="67" t="s">
        <v>6</v>
      </c>
      <c r="K58" s="67" t="s">
        <v>7</v>
      </c>
      <c r="L58" s="67" t="s">
        <v>295</v>
      </c>
      <c r="M58" s="67" t="s">
        <v>9</v>
      </c>
      <c r="N58" s="67" t="s">
        <v>10</v>
      </c>
      <c r="P58" s="128" t="s">
        <v>19</v>
      </c>
      <c r="Q58" s="123" t="s">
        <v>1</v>
      </c>
      <c r="R58" s="123" t="s">
        <v>195</v>
      </c>
      <c r="S58" s="123" t="s">
        <v>2</v>
      </c>
      <c r="T58" s="123" t="s">
        <v>3</v>
      </c>
      <c r="U58" s="123" t="s">
        <v>4</v>
      </c>
      <c r="V58" s="123" t="s">
        <v>5</v>
      </c>
      <c r="W58" s="123" t="s">
        <v>6</v>
      </c>
      <c r="X58" s="123" t="s">
        <v>7</v>
      </c>
      <c r="Y58" s="123" t="s">
        <v>295</v>
      </c>
      <c r="Z58" s="123" t="s">
        <v>9</v>
      </c>
      <c r="AA58" s="123" t="s">
        <v>10</v>
      </c>
      <c r="AB58" s="254" t="s">
        <v>26</v>
      </c>
      <c r="AC58" s="254"/>
      <c r="AD58" s="13" t="s">
        <v>24</v>
      </c>
      <c r="AE58" s="20">
        <f>MAX(D60:N70)</f>
        <v>107.21549601769877</v>
      </c>
    </row>
    <row r="59" spans="2:31" ht="12.75" customHeight="1" x14ac:dyDescent="0.25">
      <c r="B59" s="93"/>
      <c r="C59" s="94" t="s">
        <v>260</v>
      </c>
      <c r="D59" s="95">
        <f>C60</f>
        <v>-0.68004040625631845</v>
      </c>
      <c r="E59" s="95">
        <f>C61</f>
        <v>-2.4232013855052803</v>
      </c>
      <c r="F59" s="95">
        <f>C62</f>
        <v>-55.168265834715569</v>
      </c>
      <c r="G59" s="95">
        <f>C63</f>
        <v>-2.9768259295153667</v>
      </c>
      <c r="H59" s="95">
        <f>C64</f>
        <v>-107.89553642395509</v>
      </c>
      <c r="I59" s="95">
        <f>C65</f>
        <v>-25.016387335072533</v>
      </c>
      <c r="J59" s="95">
        <f>C66</f>
        <v>-7.1586301537906447</v>
      </c>
      <c r="K59" s="95">
        <f>C67</f>
        <v>-33.234941205157995</v>
      </c>
      <c r="L59" s="95">
        <f>C68</f>
        <v>-23.316461340045393</v>
      </c>
      <c r="M59" s="95">
        <f>C69</f>
        <v>-26.039424868321721</v>
      </c>
      <c r="N59" s="95">
        <f>C70</f>
        <v>-68.52516923232497</v>
      </c>
      <c r="P59" s="21" t="s">
        <v>1</v>
      </c>
      <c r="Q59" s="97">
        <f>$AE$59+(D60-$AE$57)*($AE$60-$AE$59)/($AE$58-$AE$57)</f>
        <v>-4.1852729735996404E-3</v>
      </c>
      <c r="R59" s="97">
        <f t="shared" ref="R59:AA69" si="7">$AE$59+(E60-$AE$57)*($AE$60-$AE$59)/($AE$58-$AE$57)</f>
        <v>1.214125303058064E-2</v>
      </c>
      <c r="S59" s="97">
        <f t="shared" si="7"/>
        <v>0.50615395557123699</v>
      </c>
      <c r="T59" s="97">
        <f t="shared" si="7"/>
        <v>1.7326526004180283E-2</v>
      </c>
      <c r="U59" s="97">
        <f t="shared" si="7"/>
        <v>1</v>
      </c>
      <c r="V59" s="97">
        <f t="shared" si="7"/>
        <v>0.22375007305006994</v>
      </c>
      <c r="W59" s="97">
        <f t="shared" si="7"/>
        <v>5.6493496940758461E-2</v>
      </c>
      <c r="X59" s="97">
        <f t="shared" si="7"/>
        <v>0.3007254270615613</v>
      </c>
      <c r="Y59" s="97">
        <f t="shared" si="7"/>
        <v>0.20782848789908154</v>
      </c>
      <c r="Z59" s="97">
        <f t="shared" si="7"/>
        <v>0.23333188969734342</v>
      </c>
      <c r="AA59" s="97">
        <f t="shared" si="7"/>
        <v>0.63125532787842886</v>
      </c>
      <c r="AD59" s="3" t="s">
        <v>25</v>
      </c>
      <c r="AE59" s="2">
        <v>1E-3</v>
      </c>
    </row>
    <row r="60" spans="2:31" ht="12.75" customHeight="1" x14ac:dyDescent="0.25">
      <c r="B60" s="21" t="s">
        <v>1</v>
      </c>
      <c r="C60" s="95">
        <f>Annual_sorted!P209</f>
        <v>-0.68004040625631845</v>
      </c>
      <c r="D60" s="29">
        <f>IF(C60-Table_146345714194048[Burundi]&gt;0, C60-Table_146345714194048[Burundi], 0)</f>
        <v>0</v>
      </c>
      <c r="E60" s="29">
        <f>IF(C60-Table_146345714194048[DRC]&gt;0, C60-Table_146345714194048[DRC], 0)</f>
        <v>1.743160979248962</v>
      </c>
      <c r="F60" s="29">
        <f>IF(C60-Table_146345714194048[Egypt]&gt;0, C60-Table_146345714194048[Egypt], 0)</f>
        <v>54.488225428459252</v>
      </c>
      <c r="G60" s="29">
        <f>IF(C60-Table_146345714194048[Eritrea]&gt;0, C60-Table_146345714194048[Eritrea], 0)</f>
        <v>2.2967855232590484</v>
      </c>
      <c r="H60" s="29">
        <f>IF(C60-Table_146345714194048[Ethiopia]&gt;0, C60-Table_146345714194048[Ethiopia], 0)</f>
        <v>107.21549601769877</v>
      </c>
      <c r="I60" s="29">
        <f>IF(C60-Table_146345714194048[Kenya]&gt;0, C60-Table_146345714194048[Kenya], 0)</f>
        <v>24.336346928816216</v>
      </c>
      <c r="J60" s="29">
        <f>IF(C60-Table_146345714194048[Rwanda]&gt;0, C60-Table_146345714194048[Rwanda], 0)</f>
        <v>6.4785897475343264</v>
      </c>
      <c r="K60" s="29">
        <f>IF(C60-Table_146345714194048[Sudan]&gt;0, C60-Table_146345714194048[Sudan], 0)</f>
        <v>32.554900798901677</v>
      </c>
      <c r="L60" s="29">
        <f>IF(C60-Table_146345714194048[S. Sudan]&gt;0, C60-Table_146345714194048[S. Sudan], 0)</f>
        <v>22.636420933789076</v>
      </c>
      <c r="M60" s="29">
        <f>IF(C60-Table_146345714194048[Tanzania]&gt;0, C60-Table_146345714194048[Tanzania], 0)</f>
        <v>25.359384462065403</v>
      </c>
      <c r="N60" s="29">
        <f>IF(C60-Table_146345714194048[Uganda]&gt;0, C60-Table_146345714194048[Uganda], 0)</f>
        <v>67.845128826068645</v>
      </c>
      <c r="P60" s="21" t="s">
        <v>195</v>
      </c>
      <c r="Q60" s="97">
        <f t="shared" ref="Q60:Q69" si="8">$AE$59+(D61-$AE$57)*($AE$60-$AE$59)/($AE$58-$AE$57)</f>
        <v>-4.1852729735996404E-3</v>
      </c>
      <c r="R60" s="97">
        <f t="shared" si="7"/>
        <v>-4.1852729735996404E-3</v>
      </c>
      <c r="S60" s="97">
        <f t="shared" si="7"/>
        <v>0.48982742956705666</v>
      </c>
      <c r="T60" s="97">
        <f t="shared" si="7"/>
        <v>1E-3</v>
      </c>
      <c r="U60" s="97">
        <f t="shared" si="7"/>
        <v>0.98367347399581972</v>
      </c>
      <c r="V60" s="97">
        <f t="shared" si="7"/>
        <v>0.20742354704588964</v>
      </c>
      <c r="W60" s="97">
        <f t="shared" si="7"/>
        <v>4.0166970936578193E-2</v>
      </c>
      <c r="X60" s="97">
        <f t="shared" si="7"/>
        <v>0.28439890105738097</v>
      </c>
      <c r="Y60" s="97">
        <f t="shared" si="7"/>
        <v>0.19150196189490126</v>
      </c>
      <c r="Z60" s="97">
        <f t="shared" si="7"/>
        <v>0.21700536369316314</v>
      </c>
      <c r="AA60" s="97">
        <f t="shared" si="7"/>
        <v>0.6149288018742487</v>
      </c>
      <c r="AD60" s="3" t="s">
        <v>70</v>
      </c>
      <c r="AE60" s="2">
        <v>1</v>
      </c>
    </row>
    <row r="61" spans="2:31" ht="12.75" customHeight="1" x14ac:dyDescent="0.25">
      <c r="B61" s="21" t="s">
        <v>195</v>
      </c>
      <c r="C61" s="95">
        <f>Annual_sorted!P210</f>
        <v>-2.4232013855052803</v>
      </c>
      <c r="D61" s="29">
        <f>IF(C61-Table_146345714194048[Burundi]&gt;0, C61-Table_146345714194048[Burundi], 0)</f>
        <v>0</v>
      </c>
      <c r="E61" s="29">
        <f>IF(C61-Table_146345714194048[DRC]&gt;0, C61-Table_146345714194048[DRC], 0)</f>
        <v>0</v>
      </c>
      <c r="F61" s="29">
        <f>IF(C61-Table_146345714194048[Egypt]&gt;0, C61-Table_146345714194048[Egypt], 0)</f>
        <v>52.74506444921029</v>
      </c>
      <c r="G61" s="29">
        <f>IF(C61-Table_146345714194048[Eritrea]&gt;0, C61-Table_146345714194048[Eritrea], 0)</f>
        <v>0.55362454401008643</v>
      </c>
      <c r="H61" s="29">
        <f>IF(C61-Table_146345714194048[Ethiopia]&gt;0, C61-Table_146345714194048[Ethiopia], 0)</f>
        <v>105.47233503844981</v>
      </c>
      <c r="I61" s="29">
        <f>IF(C61-Table_146345714194048[Kenya]&gt;0, C61-Table_146345714194048[Kenya], 0)</f>
        <v>22.593185949567253</v>
      </c>
      <c r="J61" s="29">
        <f>IF(C61-Table_146345714194048[Rwanda]&gt;0, C61-Table_146345714194048[Rwanda], 0)</f>
        <v>4.7354287682853649</v>
      </c>
      <c r="K61" s="29">
        <f>IF(C61-Table_146345714194048[Sudan]&gt;0, C61-Table_146345714194048[Sudan], 0)</f>
        <v>30.811739819652715</v>
      </c>
      <c r="L61" s="29">
        <f>IF(C61-Table_146345714194048[S. Sudan]&gt;0, C61-Table_146345714194048[S. Sudan], 0)</f>
        <v>20.893259954540113</v>
      </c>
      <c r="M61" s="29">
        <f>IF(C61-Table_146345714194048[Tanzania]&gt;0, C61-Table_146345714194048[Tanzania], 0)</f>
        <v>23.616223482816441</v>
      </c>
      <c r="N61" s="29">
        <f>IF(C61-Table_146345714194048[Uganda]&gt;0, C61-Table_146345714194048[Uganda], 0)</f>
        <v>66.10196784681969</v>
      </c>
      <c r="P61" s="21" t="s">
        <v>2</v>
      </c>
      <c r="Q61" s="97">
        <f t="shared" si="8"/>
        <v>-4.1852729735996404E-3</v>
      </c>
      <c r="R61" s="97">
        <f t="shared" si="7"/>
        <v>-4.1852729735996404E-3</v>
      </c>
      <c r="S61" s="97">
        <f t="shared" si="7"/>
        <v>-4.1852729735996404E-3</v>
      </c>
      <c r="T61" s="97">
        <f t="shared" si="7"/>
        <v>-4.1852729735996404E-3</v>
      </c>
      <c r="U61" s="97">
        <f t="shared" si="7"/>
        <v>0.48966077145516357</v>
      </c>
      <c r="V61" s="97">
        <f t="shared" si="7"/>
        <v>-4.1852729735996404E-3</v>
      </c>
      <c r="W61" s="97">
        <f t="shared" si="7"/>
        <v>-4.1852729735996404E-3</v>
      </c>
      <c r="X61" s="97">
        <f t="shared" si="7"/>
        <v>-4.1852729735996404E-3</v>
      </c>
      <c r="Y61" s="97">
        <f t="shared" si="7"/>
        <v>-4.1852729735996404E-3</v>
      </c>
      <c r="Z61" s="97">
        <f t="shared" si="7"/>
        <v>-4.1852729735996404E-3</v>
      </c>
      <c r="AA61" s="97">
        <f t="shared" si="7"/>
        <v>0.12091609933359238</v>
      </c>
    </row>
    <row r="62" spans="2:31" ht="12.75" customHeight="1" x14ac:dyDescent="0.25">
      <c r="B62" s="21" t="s">
        <v>2</v>
      </c>
      <c r="C62" s="95">
        <f>Annual_sorted!P211</f>
        <v>-55.168265834715569</v>
      </c>
      <c r="D62" s="29">
        <f>IF(C62-Table_146345714194048[Burundi]&gt;0, C62-Table_146345714194048[Burundi], 0)</f>
        <v>0</v>
      </c>
      <c r="E62" s="29">
        <f>IF(C62-Table_146345714194048[DRC]&gt;0, C62-Table_146345714194048[DRC], 0)</f>
        <v>0</v>
      </c>
      <c r="F62" s="29">
        <f>IF(C62-Table_146345714194048[Egypt]&gt;0, C62-Table_146345714194048[Egypt], 0)</f>
        <v>0</v>
      </c>
      <c r="G62" s="29">
        <f>IF(C62-Table_146345714194048[Eritrea]&gt;0, C62-Table_146345714194048[Eritrea], 0)</f>
        <v>0</v>
      </c>
      <c r="H62" s="29">
        <f>IF(C62-Table_146345714194048[Ethiopia]&gt;0, C62-Table_146345714194048[Ethiopia], 0)</f>
        <v>52.727270589239524</v>
      </c>
      <c r="I62" s="29">
        <f>IF(C62-Table_146345714194048[Kenya]&gt;0, C62-Table_146345714194048[Kenya], 0)</f>
        <v>0</v>
      </c>
      <c r="J62" s="29">
        <f>IF(C62-Table_146345714194048[Rwanda]&gt;0, C62-Table_146345714194048[Rwanda], 0)</f>
        <v>0</v>
      </c>
      <c r="K62" s="29">
        <f>IF(C62-Table_146345714194048[Sudan]&gt;0, C62-Table_146345714194048[Sudan], 0)</f>
        <v>0</v>
      </c>
      <c r="L62" s="29">
        <f>IF(C62-Table_146345714194048[S. Sudan]&gt;0, C62-Table_146345714194048[S. Sudan], 0)</f>
        <v>0</v>
      </c>
      <c r="M62" s="29">
        <f>IF(C62-Table_146345714194048[Tanzania]&gt;0, C62-Table_146345714194048[Tanzania], 0)</f>
        <v>0</v>
      </c>
      <c r="N62" s="29">
        <f>IF(C62-Table_146345714194048[Uganda]&gt;0, C62-Table_146345714194048[Uganda], 0)</f>
        <v>13.3569033976094</v>
      </c>
      <c r="P62" s="21" t="s">
        <v>3</v>
      </c>
      <c r="Q62" s="97">
        <f t="shared" si="8"/>
        <v>-4.1852729735996404E-3</v>
      </c>
      <c r="R62" s="97">
        <f t="shared" si="7"/>
        <v>-4.1852729735996404E-3</v>
      </c>
      <c r="S62" s="97">
        <f t="shared" si="7"/>
        <v>0.48464215659345705</v>
      </c>
      <c r="T62" s="97">
        <f t="shared" si="7"/>
        <v>-4.1852729735996404E-3</v>
      </c>
      <c r="U62" s="97">
        <f t="shared" si="7"/>
        <v>0.97848820102222001</v>
      </c>
      <c r="V62" s="97">
        <f t="shared" si="7"/>
        <v>0.20223827407228998</v>
      </c>
      <c r="W62" s="97">
        <f t="shared" si="7"/>
        <v>3.498169796297855E-2</v>
      </c>
      <c r="X62" s="97">
        <f t="shared" si="7"/>
        <v>0.27921362808378136</v>
      </c>
      <c r="Y62" s="97">
        <f t="shared" si="7"/>
        <v>0.18631668892130163</v>
      </c>
      <c r="Z62" s="97">
        <f t="shared" si="7"/>
        <v>0.21182009071956351</v>
      </c>
      <c r="AA62" s="97">
        <f t="shared" si="7"/>
        <v>0.60974352890064898</v>
      </c>
    </row>
    <row r="63" spans="2:31" ht="12.75" customHeight="1" x14ac:dyDescent="0.25">
      <c r="B63" s="21" t="s">
        <v>3</v>
      </c>
      <c r="C63" s="95">
        <f>Annual_sorted!P212</f>
        <v>-2.9768259295153667</v>
      </c>
      <c r="D63" s="29">
        <f>IF(C63-Table_146345714194048[Burundi]&gt;0, C63-Table_146345714194048[Burundi], 0)</f>
        <v>0</v>
      </c>
      <c r="E63" s="29">
        <f>IF(C63-Table_146345714194048[DRC]&gt;0, C63-Table_146345714194048[DRC], 0)</f>
        <v>0</v>
      </c>
      <c r="F63" s="29">
        <f>IF(C63-Table_146345714194048[Egypt]&gt;0, C63-Table_146345714194048[Egypt], 0)</f>
        <v>52.191439905200205</v>
      </c>
      <c r="G63" s="29">
        <f>IF(C63-Table_146345714194048[Eritrea]&gt;0, C63-Table_146345714194048[Eritrea], 0)</f>
        <v>0</v>
      </c>
      <c r="H63" s="29">
        <f>IF(C63-Table_146345714194048[Ethiopia]&gt;0, C63-Table_146345714194048[Ethiopia], 0)</f>
        <v>104.91871049443972</v>
      </c>
      <c r="I63" s="29">
        <f>IF(C63-Table_146345714194048[Kenya]&gt;0, C63-Table_146345714194048[Kenya], 0)</f>
        <v>22.039561405557166</v>
      </c>
      <c r="J63" s="29">
        <f>IF(C63-Table_146345714194048[Rwanda]&gt;0, C63-Table_146345714194048[Rwanda], 0)</f>
        <v>4.181804224275278</v>
      </c>
      <c r="K63" s="29">
        <f>IF(C63-Table_146345714194048[Sudan]&gt;0, C63-Table_146345714194048[Sudan], 0)</f>
        <v>30.258115275642627</v>
      </c>
      <c r="L63" s="29">
        <f>IF(C63-Table_146345714194048[S. Sudan]&gt;0, C63-Table_146345714194048[S. Sudan], 0)</f>
        <v>20.339635410530025</v>
      </c>
      <c r="M63" s="29">
        <f>IF(C63-Table_146345714194048[Tanzania]&gt;0, C63-Table_146345714194048[Tanzania], 0)</f>
        <v>23.062598938806353</v>
      </c>
      <c r="N63" s="29">
        <f>IF(C63-Table_146345714194048[Uganda]&gt;0, C63-Table_146345714194048[Uganda], 0)</f>
        <v>65.548343302809599</v>
      </c>
      <c r="P63" s="21" t="s">
        <v>4</v>
      </c>
      <c r="Q63" s="97">
        <f t="shared" si="8"/>
        <v>-4.1852729735996404E-3</v>
      </c>
      <c r="R63" s="97">
        <f t="shared" si="7"/>
        <v>-4.1852729735996404E-3</v>
      </c>
      <c r="S63" s="97">
        <f t="shared" si="7"/>
        <v>-4.1852729735996404E-3</v>
      </c>
      <c r="T63" s="97">
        <f t="shared" si="7"/>
        <v>-4.1852729735996404E-3</v>
      </c>
      <c r="U63" s="97">
        <f t="shared" si="7"/>
        <v>-4.1852729735996404E-3</v>
      </c>
      <c r="V63" s="97">
        <f t="shared" si="7"/>
        <v>-4.1852729735996404E-3</v>
      </c>
      <c r="W63" s="97">
        <f t="shared" si="7"/>
        <v>-4.1852729735996404E-3</v>
      </c>
      <c r="X63" s="97">
        <f t="shared" si="7"/>
        <v>-4.1852729735996404E-3</v>
      </c>
      <c r="Y63" s="97">
        <f t="shared" si="7"/>
        <v>-4.1852729735996404E-3</v>
      </c>
      <c r="Z63" s="97">
        <f t="shared" si="7"/>
        <v>-4.1852729735996404E-3</v>
      </c>
      <c r="AA63" s="97">
        <f t="shared" si="7"/>
        <v>-4.1852729735996404E-3</v>
      </c>
    </row>
    <row r="64" spans="2:31" ht="12.75" customHeight="1" x14ac:dyDescent="0.25">
      <c r="B64" s="21" t="s">
        <v>4</v>
      </c>
      <c r="C64" s="95">
        <f>Annual_sorted!P213</f>
        <v>-107.89553642395509</v>
      </c>
      <c r="D64" s="29">
        <f>IF(C64-Table_146345714194048[Burundi]&gt;0, C64-Table_146345714194048[Burundi], 0)</f>
        <v>0</v>
      </c>
      <c r="E64" s="29">
        <f>IF(C64-Table_146345714194048[DRC]&gt;0, C64-Table_146345714194048[DRC], 0)</f>
        <v>0</v>
      </c>
      <c r="F64" s="29">
        <f>IF(C64-Table_146345714194048[Egypt]&gt;0, C64-Table_146345714194048[Egypt], 0)</f>
        <v>0</v>
      </c>
      <c r="G64" s="29">
        <f>IF(C64-Table_146345714194048[Eritrea]&gt;0, C64-Table_146345714194048[Eritrea], 0)</f>
        <v>0</v>
      </c>
      <c r="H64" s="29">
        <f>IF(C64-Table_146345714194048[Ethiopia]&gt;0, C64-Table_146345714194048[Ethiopia], 0)</f>
        <v>0</v>
      </c>
      <c r="I64" s="29">
        <f>IF(C64-Table_146345714194048[Kenya]&gt;0, C64-Table_146345714194048[Kenya], 0)</f>
        <v>0</v>
      </c>
      <c r="J64" s="29">
        <f>IF(C64-Table_146345714194048[Rwanda]&gt;0, C64-Table_146345714194048[Rwanda], 0)</f>
        <v>0</v>
      </c>
      <c r="K64" s="29">
        <f>IF(C64-Table_146345714194048[Sudan]&gt;0, C64-Table_146345714194048[Sudan], 0)</f>
        <v>0</v>
      </c>
      <c r="L64" s="29">
        <f>IF(C64-Table_146345714194048[S. Sudan]&gt;0, C64-Table_146345714194048[S. Sudan], 0)</f>
        <v>0</v>
      </c>
      <c r="M64" s="29">
        <f>IF(C64-Table_146345714194048[Tanzania]&gt;0, C64-Table_146345714194048[Tanzania], 0)</f>
        <v>0</v>
      </c>
      <c r="N64" s="29">
        <f>IF(C64-Table_146345714194048[Uganda]&gt;0, C64-Table_146345714194048[Uganda], 0)</f>
        <v>0</v>
      </c>
      <c r="P64" s="21" t="s">
        <v>5</v>
      </c>
      <c r="Q64" s="97">
        <f t="shared" si="8"/>
        <v>-4.1852729735996404E-3</v>
      </c>
      <c r="R64" s="97">
        <f t="shared" si="7"/>
        <v>-4.1852729735996404E-3</v>
      </c>
      <c r="S64" s="97">
        <f t="shared" si="7"/>
        <v>0.27821860954756739</v>
      </c>
      <c r="T64" s="97">
        <f t="shared" si="7"/>
        <v>-4.1852729735996404E-3</v>
      </c>
      <c r="U64" s="97">
        <f t="shared" si="7"/>
        <v>0.77206465397633051</v>
      </c>
      <c r="V64" s="97">
        <f t="shared" si="7"/>
        <v>-4.1852729735996404E-3</v>
      </c>
      <c r="W64" s="97">
        <f t="shared" si="7"/>
        <v>-4.1852729735996404E-3</v>
      </c>
      <c r="X64" s="97">
        <f t="shared" si="7"/>
        <v>7.279008103789171E-2</v>
      </c>
      <c r="Y64" s="97">
        <f t="shared" si="7"/>
        <v>-4.1852729735996404E-3</v>
      </c>
      <c r="Z64" s="97">
        <f t="shared" si="7"/>
        <v>5.3965436736738755E-3</v>
      </c>
      <c r="AA64" s="97">
        <f t="shared" si="7"/>
        <v>0.40331998185475942</v>
      </c>
    </row>
    <row r="65" spans="1:31" ht="12.75" customHeight="1" x14ac:dyDescent="0.25">
      <c r="B65" s="21" t="s">
        <v>5</v>
      </c>
      <c r="C65" s="95">
        <f>Annual_sorted!P214</f>
        <v>-25.016387335072533</v>
      </c>
      <c r="D65" s="29">
        <f>IF(C65-Table_146345714194048[Burundi]&gt;0, C65-Table_146345714194048[Burundi], 0)</f>
        <v>0</v>
      </c>
      <c r="E65" s="29">
        <f>IF(C65-Table_146345714194048[DRC]&gt;0, C65-Table_146345714194048[DRC], 0)</f>
        <v>0</v>
      </c>
      <c r="F65" s="29">
        <f>IF(C65-Table_146345714194048[Egypt]&gt;0, C65-Table_146345714194048[Egypt], 0)</f>
        <v>30.151878499643036</v>
      </c>
      <c r="G65" s="29">
        <f>IF(C65-Table_146345714194048[Eritrea]&gt;0, C65-Table_146345714194048[Eritrea], 0)</f>
        <v>0</v>
      </c>
      <c r="H65" s="29">
        <f>IF(C65-Table_146345714194048[Ethiopia]&gt;0, C65-Table_146345714194048[Ethiopia], 0)</f>
        <v>82.879149088882556</v>
      </c>
      <c r="I65" s="29">
        <f>IF(C65-Table_146345714194048[Kenya]&gt;0, C65-Table_146345714194048[Kenya], 0)</f>
        <v>0</v>
      </c>
      <c r="J65" s="29">
        <f>IF(C65-Table_146345714194048[Rwanda]&gt;0, C65-Table_146345714194048[Rwanda], 0)</f>
        <v>0</v>
      </c>
      <c r="K65" s="29">
        <f>IF(C65-Table_146345714194048[Sudan]&gt;0, C65-Table_146345714194048[Sudan], 0)</f>
        <v>8.2185538700854615</v>
      </c>
      <c r="L65" s="29">
        <f>IF(C65-Table_146345714194048[S. Sudan]&gt;0, C65-Table_146345714194048[S. Sudan], 0)</f>
        <v>0</v>
      </c>
      <c r="M65" s="29">
        <f>IF(C65-Table_146345714194048[Tanzania]&gt;0, C65-Table_146345714194048[Tanzania], 0)</f>
        <v>1.0230375332491874</v>
      </c>
      <c r="N65" s="29">
        <f>IF(C65-Table_146345714194048[Uganda]&gt;0, C65-Table_146345714194048[Uganda], 0)</f>
        <v>43.508781897252433</v>
      </c>
      <c r="P65" s="21" t="s">
        <v>6</v>
      </c>
      <c r="Q65" s="97">
        <f t="shared" si="8"/>
        <v>-4.1852729735996404E-3</v>
      </c>
      <c r="R65" s="97">
        <f t="shared" si="7"/>
        <v>-4.1852729735996404E-3</v>
      </c>
      <c r="S65" s="97">
        <f t="shared" si="7"/>
        <v>0.44547518565687882</v>
      </c>
      <c r="T65" s="97">
        <f t="shared" si="7"/>
        <v>-4.1852729735996404E-3</v>
      </c>
      <c r="U65" s="97">
        <f t="shared" si="7"/>
        <v>0.93932123008564194</v>
      </c>
      <c r="V65" s="97">
        <f t="shared" si="7"/>
        <v>0.16307130313571183</v>
      </c>
      <c r="W65" s="97">
        <f t="shared" si="7"/>
        <v>-4.1852729735996404E-3</v>
      </c>
      <c r="X65" s="97">
        <f t="shared" si="7"/>
        <v>0.24004665714720314</v>
      </c>
      <c r="Y65" s="97">
        <f t="shared" si="7"/>
        <v>0.14714971798472343</v>
      </c>
      <c r="Z65" s="97">
        <f t="shared" si="7"/>
        <v>0.17265311978298531</v>
      </c>
      <c r="AA65" s="97">
        <f t="shared" si="7"/>
        <v>0.57057655796407092</v>
      </c>
    </row>
    <row r="66" spans="1:31" ht="12.75" customHeight="1" x14ac:dyDescent="0.25">
      <c r="B66" s="21" t="s">
        <v>6</v>
      </c>
      <c r="C66" s="95">
        <f>Annual_sorted!P215</f>
        <v>-7.1586301537906447</v>
      </c>
      <c r="D66" s="29">
        <f>IF(C66-Table_146345714194048[Burundi]&gt;0, C66-Table_146345714194048[Burundi], 0)</f>
        <v>0</v>
      </c>
      <c r="E66" s="29">
        <f>IF(C66-Table_146345714194048[DRC]&gt;0, C66-Table_146345714194048[DRC], 0)</f>
        <v>0</v>
      </c>
      <c r="F66" s="29">
        <f>IF(C66-Table_146345714194048[Egypt]&gt;0, C66-Table_146345714194048[Egypt], 0)</f>
        <v>48.009635680924923</v>
      </c>
      <c r="G66" s="29">
        <f>IF(C66-Table_146345714194048[Eritrea]&gt;0, C66-Table_146345714194048[Eritrea], 0)</f>
        <v>0</v>
      </c>
      <c r="H66" s="29">
        <f>IF(C66-Table_146345714194048[Ethiopia]&gt;0, C66-Table_146345714194048[Ethiopia], 0)</f>
        <v>100.73690627016445</v>
      </c>
      <c r="I66" s="29">
        <f>IF(C66-Table_146345714194048[Kenya]&gt;0, C66-Table_146345714194048[Kenya], 0)</f>
        <v>17.85775718128189</v>
      </c>
      <c r="J66" s="29">
        <f>IF(C66-Table_146345714194048[Rwanda]&gt;0, C66-Table_146345714194048[Rwanda], 0)</f>
        <v>0</v>
      </c>
      <c r="K66" s="29">
        <f>IF(C66-Table_146345714194048[Sudan]&gt;0, C66-Table_146345714194048[Sudan], 0)</f>
        <v>26.076311051367348</v>
      </c>
      <c r="L66" s="29">
        <f>IF(C66-Table_146345714194048[S. Sudan]&gt;0, C66-Table_146345714194048[S. Sudan], 0)</f>
        <v>16.157831186254747</v>
      </c>
      <c r="M66" s="29">
        <f>IF(C66-Table_146345714194048[Tanzania]&gt;0, C66-Table_146345714194048[Tanzania], 0)</f>
        <v>18.880794714531078</v>
      </c>
      <c r="N66" s="29">
        <f>IF(C66-Table_146345714194048[Uganda]&gt;0, C66-Table_146345714194048[Uganda], 0)</f>
        <v>61.366539078534323</v>
      </c>
      <c r="P66" s="21" t="s">
        <v>7</v>
      </c>
      <c r="Q66" s="97">
        <f t="shared" si="8"/>
        <v>-4.1852729735996404E-3</v>
      </c>
      <c r="R66" s="97">
        <f t="shared" si="7"/>
        <v>-4.1852729735996404E-3</v>
      </c>
      <c r="S66" s="97">
        <f t="shared" si="7"/>
        <v>0.20124325553607603</v>
      </c>
      <c r="T66" s="97">
        <f t="shared" si="7"/>
        <v>-4.1852729735996404E-3</v>
      </c>
      <c r="U66" s="97">
        <f t="shared" si="7"/>
        <v>0.69508929996483915</v>
      </c>
      <c r="V66" s="97">
        <f t="shared" si="7"/>
        <v>-4.1852729735996404E-3</v>
      </c>
      <c r="W66" s="97">
        <f t="shared" si="7"/>
        <v>-4.1852729735996404E-3</v>
      </c>
      <c r="X66" s="97">
        <f t="shared" si="7"/>
        <v>-4.1852729735996404E-3</v>
      </c>
      <c r="Y66" s="97">
        <f t="shared" si="7"/>
        <v>-4.1852729735996404E-3</v>
      </c>
      <c r="Z66" s="97">
        <f t="shared" si="7"/>
        <v>-4.1852729735996404E-3</v>
      </c>
      <c r="AA66" s="97">
        <f t="shared" si="7"/>
        <v>0.32634462784326812</v>
      </c>
    </row>
    <row r="67" spans="1:31" ht="12.75" customHeight="1" x14ac:dyDescent="0.25">
      <c r="B67" s="21" t="s">
        <v>7</v>
      </c>
      <c r="C67" s="95">
        <f>Annual_sorted!P216</f>
        <v>-33.234941205157995</v>
      </c>
      <c r="D67" s="29">
        <f>IF(C67-Table_146345714194048[Burundi]&gt;0, C67-Table_146345714194048[Burundi], 0)</f>
        <v>0</v>
      </c>
      <c r="E67" s="29">
        <f>IF(C67-Table_146345714194048[DRC]&gt;0, C67-Table_146345714194048[DRC], 0)</f>
        <v>0</v>
      </c>
      <c r="F67" s="29">
        <f>IF(C67-Table_146345714194048[Egypt]&gt;0, C67-Table_146345714194048[Egypt], 0)</f>
        <v>21.933324629557575</v>
      </c>
      <c r="G67" s="29">
        <f>IF(C67-Table_146345714194048[Eritrea]&gt;0, C67-Table_146345714194048[Eritrea], 0)</f>
        <v>0</v>
      </c>
      <c r="H67" s="29">
        <f>IF(C67-Table_146345714194048[Ethiopia]&gt;0, C67-Table_146345714194048[Ethiopia], 0)</f>
        <v>74.660595218797098</v>
      </c>
      <c r="I67" s="29">
        <f>IF(C67-Table_146345714194048[Kenya]&gt;0, C67-Table_146345714194048[Kenya], 0)</f>
        <v>0</v>
      </c>
      <c r="J67" s="29">
        <f>IF(C67-Table_146345714194048[Rwanda]&gt;0, C67-Table_146345714194048[Rwanda], 0)</f>
        <v>0</v>
      </c>
      <c r="K67" s="29">
        <f>IF(C67-Table_146345714194048[Sudan]&gt;0, C67-Table_146345714194048[Sudan], 0)</f>
        <v>0</v>
      </c>
      <c r="L67" s="29">
        <f>IF(C67-Table_146345714194048[S. Sudan]&gt;0, C67-Table_146345714194048[S. Sudan], 0)</f>
        <v>0</v>
      </c>
      <c r="M67" s="29">
        <f>IF(C67-Table_146345714194048[Tanzania]&gt;0, C67-Table_146345714194048[Tanzania], 0)</f>
        <v>0</v>
      </c>
      <c r="N67" s="29">
        <f>IF(C67-Table_146345714194048[Uganda]&gt;0, C67-Table_146345714194048[Uganda], 0)</f>
        <v>35.290228027166975</v>
      </c>
      <c r="P67" s="21" t="s">
        <v>8</v>
      </c>
      <c r="Q67" s="97">
        <f t="shared" si="8"/>
        <v>-4.1852729735996404E-3</v>
      </c>
      <c r="R67" s="97">
        <f t="shared" si="7"/>
        <v>-4.1852729735996404E-3</v>
      </c>
      <c r="S67" s="97">
        <f t="shared" si="7"/>
        <v>0.29414019469855573</v>
      </c>
      <c r="T67" s="97">
        <f t="shared" si="7"/>
        <v>-4.1852729735996404E-3</v>
      </c>
      <c r="U67" s="97">
        <f t="shared" si="7"/>
        <v>0.78798623912731891</v>
      </c>
      <c r="V67" s="97">
        <f t="shared" si="7"/>
        <v>1.1736312177388741E-2</v>
      </c>
      <c r="W67" s="97">
        <f t="shared" si="7"/>
        <v>-4.1852729735996404E-3</v>
      </c>
      <c r="X67" s="97">
        <f t="shared" si="7"/>
        <v>8.8711666188880087E-2</v>
      </c>
      <c r="Y67" s="97">
        <f t="shared" si="7"/>
        <v>-4.1852729735996404E-3</v>
      </c>
      <c r="Z67" s="97">
        <f t="shared" si="7"/>
        <v>2.1318128824662257E-2</v>
      </c>
      <c r="AA67" s="97">
        <f>$AE$59+(N68-$AE$57)*($AE$60-$AE$59)/($AE$58-$AE$57)</f>
        <v>0.41924156700574783</v>
      </c>
    </row>
    <row r="68" spans="1:31" ht="12.75" customHeight="1" x14ac:dyDescent="0.25">
      <c r="B68" s="21" t="s">
        <v>8</v>
      </c>
      <c r="C68" s="95">
        <f>Annual_sorted!P217</f>
        <v>-23.316461340045393</v>
      </c>
      <c r="D68" s="29">
        <f>IF(C68-Table_146345714194048[Burundi]&gt;0, C68-Table_146345714194048[Burundi], 0)</f>
        <v>0</v>
      </c>
      <c r="E68" s="29">
        <f>IF(C68-Table_146345714194048[DRC]&gt;0, C68-Table_146345714194048[DRC], 0)</f>
        <v>0</v>
      </c>
      <c r="F68" s="29">
        <f>IF(C68-Table_146345714194048[Egypt]&gt;0, C68-Table_146345714194048[Egypt], 0)</f>
        <v>31.851804494670176</v>
      </c>
      <c r="G68" s="29">
        <f>IF(C68-Table_146345714194048[Eritrea]&gt;0, C68-Table_146345714194048[Eritrea], 0)</f>
        <v>0</v>
      </c>
      <c r="H68" s="29">
        <f>IF(C68-Table_146345714194048[Ethiopia]&gt;0, C68-Table_146345714194048[Ethiopia], 0)</f>
        <v>84.5790750839097</v>
      </c>
      <c r="I68" s="29">
        <f>IF(C68-Table_146345714194048[Kenya]&gt;0, C68-Table_146345714194048[Kenya], 0)</f>
        <v>1.6999259950271401</v>
      </c>
      <c r="J68" s="29">
        <f>IF(C68-Table_146345714194048[Rwanda]&gt;0, C68-Table_146345714194048[Rwanda], 0)</f>
        <v>0</v>
      </c>
      <c r="K68" s="29">
        <f>IF(C68-Table_146345714194048[Sudan]&gt;0, C68-Table_146345714194048[Sudan], 0)</f>
        <v>9.9184798651126016</v>
      </c>
      <c r="L68" s="29">
        <f>IF(C68-Table_146345714194048[S. Sudan]&gt;0, C68-Table_146345714194048[S. Sudan], 0)</f>
        <v>0</v>
      </c>
      <c r="M68" s="29">
        <f>IF(C68-Table_146345714194048[Tanzania]&gt;0, C68-Table_146345714194048[Tanzania], 0)</f>
        <v>2.7229635282763276</v>
      </c>
      <c r="N68" s="29">
        <f>IF(C68-Table_146345714194048[Uganda]&gt;0, C68-Table_146345714194048[Uganda], 0)</f>
        <v>45.208707892279577</v>
      </c>
      <c r="P68" s="21" t="s">
        <v>9</v>
      </c>
      <c r="Q68" s="97">
        <f t="shared" si="8"/>
        <v>-4.1852729735996404E-3</v>
      </c>
      <c r="R68" s="97">
        <f t="shared" si="7"/>
        <v>-4.1852729735996404E-3</v>
      </c>
      <c r="S68" s="97">
        <f t="shared" si="7"/>
        <v>0.26863679290029385</v>
      </c>
      <c r="T68" s="97">
        <f t="shared" si="7"/>
        <v>-4.1852729735996404E-3</v>
      </c>
      <c r="U68" s="97">
        <f t="shared" si="7"/>
        <v>0.76248283732905697</v>
      </c>
      <c r="V68" s="97">
        <f t="shared" si="7"/>
        <v>-4.1852729735996404E-3</v>
      </c>
      <c r="W68" s="97">
        <f t="shared" si="7"/>
        <v>-4.1852729735996404E-3</v>
      </c>
      <c r="X68" s="97">
        <f t="shared" si="7"/>
        <v>6.3208264390618191E-2</v>
      </c>
      <c r="Y68" s="97">
        <f t="shared" si="7"/>
        <v>-4.1852729735996404E-3</v>
      </c>
      <c r="Z68" s="97">
        <f t="shared" si="7"/>
        <v>-4.1852729735996404E-3</v>
      </c>
      <c r="AA68" s="97">
        <f t="shared" si="7"/>
        <v>0.39373816520748589</v>
      </c>
    </row>
    <row r="69" spans="1:31" ht="12.75" customHeight="1" thickBot="1" x14ac:dyDescent="0.3">
      <c r="B69" s="21" t="s">
        <v>9</v>
      </c>
      <c r="C69" s="95">
        <f>Annual_sorted!P218</f>
        <v>-26.039424868321721</v>
      </c>
      <c r="D69" s="29">
        <f>IF(C69-Table_146345714194048[Burundi]&gt;0, C69-Table_146345714194048[Burundi], 0)</f>
        <v>0</v>
      </c>
      <c r="E69" s="29">
        <f>IF(C69-Table_146345714194048[DRC]&gt;0, C69-Table_146345714194048[DRC], 0)</f>
        <v>0</v>
      </c>
      <c r="F69" s="29">
        <f>IF(C69-Table_146345714194048[Egypt]&gt;0, C69-Table_146345714194048[Egypt], 0)</f>
        <v>29.128840966393849</v>
      </c>
      <c r="G69" s="29">
        <f>IF(C69-Table_146345714194048[Eritrea]&gt;0, C69-Table_146345714194048[Eritrea], 0)</f>
        <v>0</v>
      </c>
      <c r="H69" s="29">
        <f>IF(C69-Table_146345714194048[Ethiopia]&gt;0, C69-Table_146345714194048[Ethiopia], 0)</f>
        <v>81.856111555633376</v>
      </c>
      <c r="I69" s="29">
        <f>IF(C69-Table_146345714194048[Kenya]&gt;0, C69-Table_146345714194048[Kenya], 0)</f>
        <v>0</v>
      </c>
      <c r="J69" s="29">
        <f>IF(C69-Table_146345714194048[Rwanda]&gt;0, C69-Table_146345714194048[Rwanda], 0)</f>
        <v>0</v>
      </c>
      <c r="K69" s="29">
        <f>IF(C69-Table_146345714194048[Sudan]&gt;0, C69-Table_146345714194048[Sudan], 0)</f>
        <v>7.195516336836274</v>
      </c>
      <c r="L69" s="29">
        <f>IF(C69-Table_146345714194048[S. Sudan]&gt;0, C69-Table_146345714194048[S. Sudan], 0)</f>
        <v>0</v>
      </c>
      <c r="M69" s="29">
        <f>IF(C69-Table_146345714194048[Tanzania]&gt;0, C69-Table_146345714194048[Tanzania], 0)</f>
        <v>0</v>
      </c>
      <c r="N69" s="29">
        <f>IF(C69-Table_146345714194048[Uganda]&gt;0, C69-Table_146345714194048[Uganda], 0)</f>
        <v>42.485744364003253</v>
      </c>
      <c r="P69" s="22" t="s">
        <v>10</v>
      </c>
      <c r="Q69" s="98">
        <f t="shared" si="8"/>
        <v>-4.1852729735996404E-3</v>
      </c>
      <c r="R69" s="98">
        <f t="shared" si="7"/>
        <v>-4.1852729735996404E-3</v>
      </c>
      <c r="S69" s="98">
        <f t="shared" si="7"/>
        <v>-4.1852729735996404E-3</v>
      </c>
      <c r="T69" s="98">
        <f t="shared" si="7"/>
        <v>-4.1852729735996404E-3</v>
      </c>
      <c r="U69" s="98">
        <f t="shared" si="7"/>
        <v>0.36455939914797153</v>
      </c>
      <c r="V69" s="98">
        <f t="shared" si="7"/>
        <v>-4.1852729735996404E-3</v>
      </c>
      <c r="W69" s="98">
        <f t="shared" si="7"/>
        <v>-4.1852729735996404E-3</v>
      </c>
      <c r="X69" s="98">
        <f t="shared" si="7"/>
        <v>-4.1852729735996404E-3</v>
      </c>
      <c r="Y69" s="98">
        <f t="shared" si="7"/>
        <v>-4.1852729735996404E-3</v>
      </c>
      <c r="Z69" s="98">
        <f t="shared" si="7"/>
        <v>-4.1852729735996404E-3</v>
      </c>
      <c r="AA69" s="98">
        <f t="shared" si="7"/>
        <v>-4.1852729735996404E-3</v>
      </c>
      <c r="AB69" s="186">
        <f>SUM(Q59:AA69)</f>
        <v>18.449246400195307</v>
      </c>
    </row>
    <row r="70" spans="1:31" ht="12.75" customHeight="1" thickBot="1" x14ac:dyDescent="0.3">
      <c r="B70" s="22" t="s">
        <v>10</v>
      </c>
      <c r="C70" s="96">
        <f>Annual_sorted!P219</f>
        <v>-68.52516923232497</v>
      </c>
      <c r="D70" s="32">
        <f>IF(C70-Table_146345714194048[Burundi]&gt;0, C70-Table_146345714194048[Burundi], 0)</f>
        <v>0</v>
      </c>
      <c r="E70" s="32">
        <f>IF(C70-Table_146345714194048[DRC]&gt;0, C70-Table_146345714194048[DRC], 0)</f>
        <v>0</v>
      </c>
      <c r="F70" s="32">
        <f>IF(C70-Table_146345714194048[Egypt]&gt;0, C70-Table_146345714194048[Egypt], 0)</f>
        <v>0</v>
      </c>
      <c r="G70" s="32">
        <f>IF(C70-Table_146345714194048[Eritrea]&gt;0, C70-Table_146345714194048[Eritrea], 0)</f>
        <v>0</v>
      </c>
      <c r="H70" s="32">
        <f>IF(C70-Table_146345714194048[Ethiopia]&gt;0, C70-Table_146345714194048[Ethiopia], 0)</f>
        <v>39.370367191630123</v>
      </c>
      <c r="I70" s="32">
        <f>IF(C70-Table_146345714194048[Kenya]&gt;0, C70-Table_146345714194048[Kenya], 0)</f>
        <v>0</v>
      </c>
      <c r="J70" s="32">
        <f>IF(C70-Table_146345714194048[Rwanda]&gt;0, C70-Table_146345714194048[Rwanda], 0)</f>
        <v>0</v>
      </c>
      <c r="K70" s="32">
        <f>IF(C70-Table_146345714194048[Sudan]&gt;0, C70-Table_146345714194048[Sudan], 0)</f>
        <v>0</v>
      </c>
      <c r="L70" s="32">
        <f>IF(C70-Table_146345714194048[S. Sudan]&gt;0, C70-Table_146345714194048[S. Sudan], 0)</f>
        <v>0</v>
      </c>
      <c r="M70" s="32">
        <f>IF(C70-Table_146345714194048[Tanzania]&gt;0, C70-Table_146345714194048[Tanzania], 0)</f>
        <v>0</v>
      </c>
      <c r="N70" s="32">
        <f>IF(C70-Table_146345714194048[Uganda]&gt;0, C70-Table_146345714194048[Uganda], 0)</f>
        <v>0</v>
      </c>
    </row>
    <row r="71" spans="1:31" ht="12.75" customHeight="1" x14ac:dyDescent="0.25"/>
    <row r="72" spans="1:31" ht="12.75" customHeight="1" x14ac:dyDescent="0.25"/>
    <row r="73" spans="1:31" ht="12.75" customHeight="1" x14ac:dyDescent="0.25"/>
    <row r="74" spans="1:31" ht="24" customHeight="1" x14ac:dyDescent="0.25">
      <c r="A74" s="252" t="s">
        <v>82</v>
      </c>
      <c r="B74" s="252"/>
      <c r="C74" s="252"/>
      <c r="D74" s="252"/>
      <c r="E74" s="252"/>
      <c r="F74" s="252"/>
    </row>
    <row r="75" spans="1:31" ht="12.75" customHeight="1" x14ac:dyDescent="0.25"/>
    <row r="76" spans="1:31" ht="12.75" customHeight="1" x14ac:dyDescent="0.25">
      <c r="B76" s="5"/>
      <c r="C76" s="5"/>
      <c r="D76" s="5"/>
      <c r="E76" s="5"/>
      <c r="F76" s="5"/>
      <c r="G76" s="5"/>
      <c r="H76" s="5"/>
      <c r="I76" s="5"/>
      <c r="J76" s="5"/>
      <c r="K76" s="5"/>
      <c r="L76" s="5"/>
      <c r="M76" s="5"/>
      <c r="N76" s="5"/>
      <c r="O76" s="5"/>
      <c r="P76" s="5"/>
      <c r="Q76" s="5"/>
      <c r="R76" s="5"/>
      <c r="S76" s="5"/>
      <c r="T76" s="5"/>
      <c r="U76" s="5"/>
      <c r="V76" s="5"/>
      <c r="W76" s="5"/>
      <c r="X76" s="5"/>
      <c r="Y76" s="5"/>
      <c r="Z76" s="5"/>
      <c r="AA76" s="5"/>
    </row>
    <row r="77" spans="1:31" ht="12.75" customHeight="1" thickBot="1" x14ac:dyDescent="0.3">
      <c r="B77" s="253" t="s">
        <v>83</v>
      </c>
      <c r="C77" s="253"/>
      <c r="D77" s="253"/>
      <c r="E77" s="253"/>
      <c r="F77" s="253"/>
      <c r="G77" s="253"/>
      <c r="H77" s="253"/>
      <c r="I77" s="253"/>
      <c r="J77" s="253"/>
      <c r="K77" s="253"/>
      <c r="L77" s="253"/>
      <c r="M77" s="253"/>
      <c r="N77" s="253"/>
      <c r="O77" s="5"/>
      <c r="P77" s="253" t="s">
        <v>84</v>
      </c>
      <c r="Q77" s="253"/>
      <c r="R77" s="253"/>
      <c r="S77" s="253"/>
      <c r="T77" s="253"/>
      <c r="U77" s="253"/>
      <c r="V77" s="253"/>
      <c r="W77" s="253"/>
      <c r="X77" s="253"/>
      <c r="Y77" s="253"/>
      <c r="Z77" s="253"/>
      <c r="AA77" s="253"/>
      <c r="AB77" s="10"/>
      <c r="AC77" s="3" t="s">
        <v>22</v>
      </c>
      <c r="AD77" s="13" t="s">
        <v>23</v>
      </c>
      <c r="AE77" s="74">
        <f t="array" ref="AE77">MIN(IF(D80:N90&gt;0,D80:N90))</f>
        <v>16.263417386592565</v>
      </c>
    </row>
    <row r="78" spans="1:31" ht="12.75" customHeight="1" thickBot="1" x14ac:dyDescent="0.3">
      <c r="B78" s="75" t="s">
        <v>13</v>
      </c>
      <c r="C78" s="66" t="s">
        <v>14</v>
      </c>
      <c r="D78" s="67" t="s">
        <v>1</v>
      </c>
      <c r="E78" s="67" t="s">
        <v>195</v>
      </c>
      <c r="F78" s="67" t="s">
        <v>2</v>
      </c>
      <c r="G78" s="67" t="s">
        <v>3</v>
      </c>
      <c r="H78" s="67" t="s">
        <v>4</v>
      </c>
      <c r="I78" s="67" t="s">
        <v>5</v>
      </c>
      <c r="J78" s="67" t="s">
        <v>6</v>
      </c>
      <c r="K78" s="67" t="s">
        <v>7</v>
      </c>
      <c r="L78" s="67" t="s">
        <v>295</v>
      </c>
      <c r="M78" s="67" t="s">
        <v>9</v>
      </c>
      <c r="N78" s="67" t="s">
        <v>10</v>
      </c>
      <c r="P78" s="76" t="s">
        <v>19</v>
      </c>
      <c r="Q78" s="77" t="s">
        <v>1</v>
      </c>
      <c r="R78" s="77" t="s">
        <v>195</v>
      </c>
      <c r="S78" s="77" t="s">
        <v>2</v>
      </c>
      <c r="T78" s="77" t="s">
        <v>3</v>
      </c>
      <c r="U78" s="77" t="s">
        <v>4</v>
      </c>
      <c r="V78" s="77" t="s">
        <v>5</v>
      </c>
      <c r="W78" s="77" t="s">
        <v>6</v>
      </c>
      <c r="X78" s="77" t="s">
        <v>7</v>
      </c>
      <c r="Y78" s="77" t="s">
        <v>295</v>
      </c>
      <c r="Z78" s="77" t="s">
        <v>9</v>
      </c>
      <c r="AA78" s="77" t="s">
        <v>10</v>
      </c>
      <c r="AB78" s="254" t="s">
        <v>26</v>
      </c>
      <c r="AC78" s="254"/>
      <c r="AD78" s="13" t="s">
        <v>24</v>
      </c>
      <c r="AE78" s="20">
        <f>MAX(D80:N90)</f>
        <v>1716.5495209638752</v>
      </c>
    </row>
    <row r="79" spans="1:31" ht="12.75" customHeight="1" x14ac:dyDescent="0.25">
      <c r="B79" s="93"/>
      <c r="C79" s="94" t="s">
        <v>261</v>
      </c>
      <c r="D79" s="95">
        <f>C80</f>
        <v>59.303911973491502</v>
      </c>
      <c r="E79" s="95">
        <f>C81</f>
        <v>13.148226076669097</v>
      </c>
      <c r="F79" s="95">
        <f>C82</f>
        <v>-3.1151913099234672</v>
      </c>
      <c r="G79" s="95">
        <f>C83</f>
        <v>30.651559780514706</v>
      </c>
      <c r="H79" s="95">
        <f>C84</f>
        <v>1023.3612836227188</v>
      </c>
      <c r="I79" s="95">
        <f>C85</f>
        <v>258.2653910040072</v>
      </c>
      <c r="J79" s="95">
        <f>C86</f>
        <v>100.6998134284658</v>
      </c>
      <c r="K79" s="95">
        <f>C87</f>
        <v>1096.7567017482061</v>
      </c>
      <c r="L79" s="95">
        <f>C88</f>
        <v>-619.79281921566906</v>
      </c>
      <c r="M79" s="95">
        <f>C89</f>
        <v>282.03530607176856</v>
      </c>
      <c r="N79" s="95">
        <f>C90</f>
        <v>336.68644766864759</v>
      </c>
      <c r="P79" s="21" t="s">
        <v>1</v>
      </c>
      <c r="Q79" s="97">
        <f>$AE$79+(D80-$AE$77)*($AE$80-$AE$79)/($AE$78-$AE$77)</f>
        <v>-8.5555412321626917E-3</v>
      </c>
      <c r="R79" s="97">
        <f t="shared" ref="R79:AA89" si="9">$AE$79+(E80-$AE$77)*($AE$80-$AE$79)/($AE$78-$AE$77)</f>
        <v>1.8563147860169691E-2</v>
      </c>
      <c r="S79" s="97">
        <f t="shared" si="9"/>
        <v>2.8118689092332387E-2</v>
      </c>
      <c r="T79" s="97">
        <f t="shared" si="9"/>
        <v>8.2790960565627542E-3</v>
      </c>
      <c r="U79" s="97">
        <f t="shared" si="9"/>
        <v>-8.5555412321626917E-3</v>
      </c>
      <c r="V79" s="97">
        <f t="shared" si="9"/>
        <v>-8.5555412321626917E-3</v>
      </c>
      <c r="W79" s="97">
        <f t="shared" si="9"/>
        <v>-8.5555412321626917E-3</v>
      </c>
      <c r="X79" s="97">
        <f t="shared" si="9"/>
        <v>-8.5555412321626917E-3</v>
      </c>
      <c r="Y79" s="97">
        <f t="shared" si="9"/>
        <v>0.39044650497090178</v>
      </c>
      <c r="Z79" s="97">
        <f t="shared" si="9"/>
        <v>-8.5555412321626917E-3</v>
      </c>
      <c r="AA79" s="97">
        <f t="shared" si="9"/>
        <v>-8.5555412321626917E-3</v>
      </c>
      <c r="AD79" s="3" t="s">
        <v>25</v>
      </c>
      <c r="AE79" s="2">
        <v>1E-3</v>
      </c>
    </row>
    <row r="80" spans="1:31" ht="12.75" customHeight="1" x14ac:dyDescent="0.25">
      <c r="B80" s="21" t="s">
        <v>1</v>
      </c>
      <c r="C80" s="95">
        <f>Annual_sorted!F209</f>
        <v>59.303911973491502</v>
      </c>
      <c r="D80" s="29">
        <f>IF(C80-Table_1463457813244553[Burundi]&gt;0, C80-Table_1463457813244553[Burundi], 0)</f>
        <v>0</v>
      </c>
      <c r="E80" s="29">
        <f>IF(C80-Table_1463457813244553[DRC]&gt;0, C80-Table_1463457813244553[DRC], 0)</f>
        <v>46.155685896822405</v>
      </c>
      <c r="F80" s="29">
        <f>IF(C80-Table_1463457813244553[Egypt]&gt;0, C80-Table_1463457813244553[Egypt], 0)</f>
        <v>62.419103283414969</v>
      </c>
      <c r="G80" s="29">
        <f>IF(C80-Table_1463457813244553[Eritrea]&gt;0, C80-Table_1463457813244553[Eritrea], 0)</f>
        <v>28.652352192976796</v>
      </c>
      <c r="H80" s="29">
        <f>IF(C80-Table_1463457813244553[Ethiopia]&gt;0, C80-Table_1463457813244553[Ethiopia], 0)</f>
        <v>0</v>
      </c>
      <c r="I80" s="29">
        <f>IF(C80-Table_1463457813244553[Kenya]&gt;0, C80-Table_1463457813244553[Kenya], 0)</f>
        <v>0</v>
      </c>
      <c r="J80" s="29">
        <f>IF(C80-Table_1463457813244553[Rwanda]&gt;0, C80-Table_1463457813244553[Rwanda], 0)</f>
        <v>0</v>
      </c>
      <c r="K80" s="29">
        <f>IF(C80-Table_1463457813244553[Sudan]&gt;0, C80-Table_1463457813244553[Sudan], 0)</f>
        <v>0</v>
      </c>
      <c r="L80" s="29">
        <f>IF(C80-Table_1463457813244553[S. Sudan]&gt;0, C80-Table_1463457813244553[S. Sudan], 0)</f>
        <v>679.09673118916055</v>
      </c>
      <c r="M80" s="29">
        <f>IF(C80-Table_1463457813244553[Tanzania]&gt;0, C80-Table_1463457813244553[Tanzania], 0)</f>
        <v>0</v>
      </c>
      <c r="N80" s="29">
        <f>IF(C80-Table_1463457813244553[Uganda]&gt;0, C80-Table_1463457813244553[Uganda], 0)</f>
        <v>0</v>
      </c>
      <c r="P80" s="21" t="s">
        <v>195</v>
      </c>
      <c r="Q80" s="97">
        <f t="shared" ref="Q80:Q89" si="10">$AE$79+(D81-$AE$77)*($AE$80-$AE$79)/($AE$78-$AE$77)</f>
        <v>-8.5555412321626917E-3</v>
      </c>
      <c r="R80" s="97">
        <f t="shared" si="9"/>
        <v>-8.5555412321626917E-3</v>
      </c>
      <c r="S80" s="97">
        <f t="shared" si="9"/>
        <v>1E-3</v>
      </c>
      <c r="T80" s="97">
        <f t="shared" si="9"/>
        <v>-8.5555412321626917E-3</v>
      </c>
      <c r="U80" s="97">
        <f t="shared" si="9"/>
        <v>-8.5555412321626917E-3</v>
      </c>
      <c r="V80" s="97">
        <f t="shared" si="9"/>
        <v>-8.5555412321626917E-3</v>
      </c>
      <c r="W80" s="97">
        <f t="shared" si="9"/>
        <v>-8.5555412321626917E-3</v>
      </c>
      <c r="X80" s="97">
        <f t="shared" si="9"/>
        <v>-8.5555412321626917E-3</v>
      </c>
      <c r="Y80" s="97">
        <f t="shared" si="9"/>
        <v>0.36332781587856938</v>
      </c>
      <c r="Z80" s="97">
        <f t="shared" si="9"/>
        <v>-8.5555412321626917E-3</v>
      </c>
      <c r="AA80" s="97">
        <f t="shared" si="9"/>
        <v>-8.5555412321626917E-3</v>
      </c>
      <c r="AD80" s="3" t="s">
        <v>70</v>
      </c>
      <c r="AE80" s="2">
        <v>1</v>
      </c>
    </row>
    <row r="81" spans="2:31" ht="12.75" customHeight="1" x14ac:dyDescent="0.25">
      <c r="B81" s="21" t="s">
        <v>195</v>
      </c>
      <c r="C81" s="95">
        <f>Annual_sorted!F210</f>
        <v>13.148226076669097</v>
      </c>
      <c r="D81" s="29">
        <f>IF(C81-Table_1463457813244553[Burundi]&gt;0, C81-Table_1463457813244553[Burundi], 0)</f>
        <v>0</v>
      </c>
      <c r="E81" s="29">
        <f>IF(C81-Table_1463457813244553[DRC]&gt;0, C81-Table_1463457813244553[DRC], 0)</f>
        <v>0</v>
      </c>
      <c r="F81" s="29">
        <f>IF(C81-Table_1463457813244553[Egypt]&gt;0, C81-Table_1463457813244553[Egypt], 0)</f>
        <v>16.263417386592565</v>
      </c>
      <c r="G81" s="29">
        <f>IF(C81-Table_1463457813244553[Eritrea]&gt;0, C81-Table_1463457813244553[Eritrea], 0)</f>
        <v>0</v>
      </c>
      <c r="H81" s="29">
        <f>IF(C81-Table_1463457813244553[Ethiopia]&gt;0, C81-Table_1463457813244553[Ethiopia], 0)</f>
        <v>0</v>
      </c>
      <c r="I81" s="29">
        <f>IF(C81-Table_1463457813244553[Kenya]&gt;0, C81-Table_1463457813244553[Kenya], 0)</f>
        <v>0</v>
      </c>
      <c r="J81" s="29">
        <f>IF(C81-Table_1463457813244553[Rwanda]&gt;0, C81-Table_1463457813244553[Rwanda], 0)</f>
        <v>0</v>
      </c>
      <c r="K81" s="29">
        <f>IF(C81-Table_1463457813244553[Sudan]&gt;0, C81-Table_1463457813244553[Sudan], 0)</f>
        <v>0</v>
      </c>
      <c r="L81" s="29">
        <f>IF(C81-Table_1463457813244553[S. Sudan]&gt;0, C81-Table_1463457813244553[S. Sudan], 0)</f>
        <v>632.94104529233812</v>
      </c>
      <c r="M81" s="29">
        <f>IF(C81-Table_1463457813244553[Tanzania]&gt;0, C81-Table_1463457813244553[Tanzania], 0)</f>
        <v>0</v>
      </c>
      <c r="N81" s="29">
        <f>IF(C81-Table_1463457813244553[Uganda]&gt;0, C81-Table_1463457813244553[Uganda], 0)</f>
        <v>0</v>
      </c>
      <c r="P81" s="21" t="s">
        <v>2</v>
      </c>
      <c r="Q81" s="97">
        <f t="shared" si="10"/>
        <v>-8.5555412321626917E-3</v>
      </c>
      <c r="R81" s="97">
        <f t="shared" si="9"/>
        <v>-8.5555412321626917E-3</v>
      </c>
      <c r="S81" s="97">
        <f t="shared" si="9"/>
        <v>-8.5555412321626917E-3</v>
      </c>
      <c r="T81" s="97">
        <f t="shared" si="9"/>
        <v>-8.5555412321626917E-3</v>
      </c>
      <c r="U81" s="97">
        <f t="shared" si="9"/>
        <v>-8.5555412321626917E-3</v>
      </c>
      <c r="V81" s="97">
        <f t="shared" si="9"/>
        <v>-8.5555412321626917E-3</v>
      </c>
      <c r="W81" s="97">
        <f t="shared" si="9"/>
        <v>-8.5555412321626917E-3</v>
      </c>
      <c r="X81" s="97">
        <f t="shared" si="9"/>
        <v>-8.5555412321626917E-3</v>
      </c>
      <c r="Y81" s="97">
        <f t="shared" si="9"/>
        <v>0.3537722746464067</v>
      </c>
      <c r="Z81" s="97">
        <f t="shared" si="9"/>
        <v>-8.5555412321626917E-3</v>
      </c>
      <c r="AA81" s="97">
        <f t="shared" si="9"/>
        <v>-8.5555412321626917E-3</v>
      </c>
    </row>
    <row r="82" spans="2:31" ht="12.75" customHeight="1" x14ac:dyDescent="0.25">
      <c r="B82" s="21" t="s">
        <v>2</v>
      </c>
      <c r="C82" s="95">
        <f>Annual_sorted!F211</f>
        <v>-3.1151913099234672</v>
      </c>
      <c r="D82" s="29">
        <f>IF(C82-Table_1463457813244553[Burundi]&gt;0, C82-Table_1463457813244553[Burundi], 0)</f>
        <v>0</v>
      </c>
      <c r="E82" s="29">
        <f>IF(C82-Table_1463457813244553[DRC]&gt;0, C82-Table_1463457813244553[DRC], 0)</f>
        <v>0</v>
      </c>
      <c r="F82" s="29">
        <f>IF(C82-Table_1463457813244553[Egypt]&gt;0, C82-Table_1463457813244553[Egypt], 0)</f>
        <v>0</v>
      </c>
      <c r="G82" s="29">
        <f>IF(C82-Table_1463457813244553[Eritrea]&gt;0, C82-Table_1463457813244553[Eritrea], 0)</f>
        <v>0</v>
      </c>
      <c r="H82" s="29">
        <f>IF(C82-Table_1463457813244553[Ethiopia]&gt;0, C82-Table_1463457813244553[Ethiopia], 0)</f>
        <v>0</v>
      </c>
      <c r="I82" s="29">
        <f>IF(C82-Table_1463457813244553[Kenya]&gt;0, C82-Table_1463457813244553[Kenya], 0)</f>
        <v>0</v>
      </c>
      <c r="J82" s="29">
        <f>IF(C82-Table_1463457813244553[Rwanda]&gt;0, C82-Table_1463457813244553[Rwanda], 0)</f>
        <v>0</v>
      </c>
      <c r="K82" s="29">
        <f>IF(C82-Table_1463457813244553[Sudan]&gt;0, C82-Table_1463457813244553[Sudan], 0)</f>
        <v>0</v>
      </c>
      <c r="L82" s="29">
        <f>IF(C82-Table_1463457813244553[S. Sudan]&gt;0, C82-Table_1463457813244553[S. Sudan], 0)</f>
        <v>616.67762790574557</v>
      </c>
      <c r="M82" s="29">
        <f>IF(C82-Table_1463457813244553[Tanzania]&gt;0, C82-Table_1463457813244553[Tanzania], 0)</f>
        <v>0</v>
      </c>
      <c r="N82" s="29">
        <f>IF(C82-Table_1463457813244553[Uganda]&gt;0, C82-Table_1463457813244553[Uganda], 0)</f>
        <v>0</v>
      </c>
      <c r="P82" s="21" t="s">
        <v>3</v>
      </c>
      <c r="Q82" s="97">
        <f t="shared" si="10"/>
        <v>-8.5555412321626917E-3</v>
      </c>
      <c r="R82" s="97">
        <f t="shared" si="9"/>
        <v>1.728510571444243E-3</v>
      </c>
      <c r="S82" s="97">
        <f t="shared" si="9"/>
        <v>1.1284051803606934E-2</v>
      </c>
      <c r="T82" s="97">
        <f t="shared" si="9"/>
        <v>-8.5555412321626917E-3</v>
      </c>
      <c r="U82" s="97">
        <f t="shared" si="9"/>
        <v>-8.5555412321626917E-3</v>
      </c>
      <c r="V82" s="97">
        <f t="shared" si="9"/>
        <v>-8.5555412321626917E-3</v>
      </c>
      <c r="W82" s="97">
        <f t="shared" si="9"/>
        <v>-8.5555412321626917E-3</v>
      </c>
      <c r="X82" s="97">
        <f t="shared" si="9"/>
        <v>-8.5555412321626917E-3</v>
      </c>
      <c r="Y82" s="97">
        <f t="shared" si="9"/>
        <v>0.37361186768217641</v>
      </c>
      <c r="Z82" s="97">
        <f t="shared" si="9"/>
        <v>-8.5555412321626917E-3</v>
      </c>
      <c r="AA82" s="97">
        <f t="shared" si="9"/>
        <v>-8.5555412321626917E-3</v>
      </c>
    </row>
    <row r="83" spans="2:31" ht="12.75" customHeight="1" x14ac:dyDescent="0.25">
      <c r="B83" s="21" t="s">
        <v>3</v>
      </c>
      <c r="C83" s="95">
        <f>Annual_sorted!F212</f>
        <v>30.651559780514706</v>
      </c>
      <c r="D83" s="29">
        <f>IF(C83-Table_1463457813244553[Burundi]&gt;0, C83-Table_1463457813244553[Burundi], 0)</f>
        <v>0</v>
      </c>
      <c r="E83" s="29">
        <f>IF(C83-Table_1463457813244553[DRC]&gt;0, C83-Table_1463457813244553[DRC], 0)</f>
        <v>17.503333703845609</v>
      </c>
      <c r="F83" s="29">
        <f>IF(C83-Table_1463457813244553[Egypt]&gt;0, C83-Table_1463457813244553[Egypt], 0)</f>
        <v>33.76675109043817</v>
      </c>
      <c r="G83" s="29">
        <f>IF(C83-Table_1463457813244553[Eritrea]&gt;0, C83-Table_1463457813244553[Eritrea], 0)</f>
        <v>0</v>
      </c>
      <c r="H83" s="29">
        <f>IF(C83-Table_1463457813244553[Ethiopia]&gt;0, C83-Table_1463457813244553[Ethiopia], 0)</f>
        <v>0</v>
      </c>
      <c r="I83" s="29">
        <f>IF(C83-Table_1463457813244553[Kenya]&gt;0, C83-Table_1463457813244553[Kenya], 0)</f>
        <v>0</v>
      </c>
      <c r="J83" s="29">
        <f>IF(C83-Table_1463457813244553[Rwanda]&gt;0, C83-Table_1463457813244553[Rwanda], 0)</f>
        <v>0</v>
      </c>
      <c r="K83" s="29">
        <f>IF(C83-Table_1463457813244553[Sudan]&gt;0, C83-Table_1463457813244553[Sudan], 0)</f>
        <v>0</v>
      </c>
      <c r="L83" s="29">
        <f>IF(C83-Table_1463457813244553[S. Sudan]&gt;0, C83-Table_1463457813244553[S. Sudan], 0)</f>
        <v>650.44437899618379</v>
      </c>
      <c r="M83" s="29">
        <f>IF(C83-Table_1463457813244553[Tanzania]&gt;0, C83-Table_1463457813244553[Tanzania], 0)</f>
        <v>0</v>
      </c>
      <c r="N83" s="29">
        <f>IF(C83-Table_1463457813244553[Uganda]&gt;0, C83-Table_1463457813244553[Uganda], 0)</f>
        <v>0</v>
      </c>
      <c r="P83" s="21" t="s">
        <v>4</v>
      </c>
      <c r="Q83" s="97">
        <f t="shared" si="10"/>
        <v>0.55787460970025826</v>
      </c>
      <c r="R83" s="97">
        <f t="shared" si="9"/>
        <v>0.58499329879259065</v>
      </c>
      <c r="S83" s="97">
        <f t="shared" si="9"/>
        <v>0.59454884002475339</v>
      </c>
      <c r="T83" s="97">
        <f t="shared" si="9"/>
        <v>0.57470924698898374</v>
      </c>
      <c r="U83" s="97">
        <f t="shared" si="9"/>
        <v>-8.5555412321626917E-3</v>
      </c>
      <c r="V83" s="97">
        <f t="shared" si="9"/>
        <v>0.44097515546528987</v>
      </c>
      <c r="W83" s="97">
        <f t="shared" si="9"/>
        <v>0.53355252327814828</v>
      </c>
      <c r="X83" s="97">
        <f t="shared" si="9"/>
        <v>-8.5555412321626917E-3</v>
      </c>
      <c r="Y83" s="97">
        <f t="shared" si="9"/>
        <v>0.95687665590332271</v>
      </c>
      <c r="Z83" s="97">
        <f t="shared" si="9"/>
        <v>0.42700918520726489</v>
      </c>
      <c r="AA83" s="97">
        <f t="shared" si="9"/>
        <v>0.39489900660825444</v>
      </c>
    </row>
    <row r="84" spans="2:31" ht="12.75" customHeight="1" x14ac:dyDescent="0.25">
      <c r="B84" s="21" t="s">
        <v>4</v>
      </c>
      <c r="C84" s="95">
        <f>Annual_sorted!F213</f>
        <v>1023.3612836227188</v>
      </c>
      <c r="D84" s="29">
        <f>IF(C84-Table_1463457813244553[Burundi]&gt;0, C84-Table_1463457813244553[Burundi], 0)</f>
        <v>964.05737164922732</v>
      </c>
      <c r="E84" s="29">
        <f>IF(C84-Table_1463457813244553[DRC]&gt;0, C84-Table_1463457813244553[DRC], 0)</f>
        <v>1010.2130575460498</v>
      </c>
      <c r="F84" s="29">
        <f>IF(C84-Table_1463457813244553[Egypt]&gt;0, C84-Table_1463457813244553[Egypt], 0)</f>
        <v>1026.4764749326423</v>
      </c>
      <c r="G84" s="29">
        <f>IF(C84-Table_1463457813244553[Eritrea]&gt;0, C84-Table_1463457813244553[Eritrea], 0)</f>
        <v>992.70972384220408</v>
      </c>
      <c r="H84" s="29">
        <f>IF(C84-Table_1463457813244553[Ethiopia]&gt;0, C84-Table_1463457813244553[Ethiopia], 0)</f>
        <v>0</v>
      </c>
      <c r="I84" s="29">
        <f>IF(C84-Table_1463457813244553[Kenya]&gt;0, C84-Table_1463457813244553[Kenya], 0)</f>
        <v>765.09589261871156</v>
      </c>
      <c r="J84" s="29">
        <f>IF(C84-Table_1463457813244553[Rwanda]&gt;0, C84-Table_1463457813244553[Rwanda], 0)</f>
        <v>922.66147019425307</v>
      </c>
      <c r="K84" s="29">
        <f>IF(C84-Table_1463457813244553[Sudan]&gt;0, C84-Table_1463457813244553[Sudan], 0)</f>
        <v>0</v>
      </c>
      <c r="L84" s="29">
        <f>IF(C84-Table_1463457813244553[S. Sudan]&gt;0, C84-Table_1463457813244553[S. Sudan], 0)</f>
        <v>1643.1541028383879</v>
      </c>
      <c r="M84" s="29">
        <f>IF(C84-Table_1463457813244553[Tanzania]&gt;0, C84-Table_1463457813244553[Tanzania], 0)</f>
        <v>741.32597755095026</v>
      </c>
      <c r="N84" s="29">
        <f>IF(C84-Table_1463457813244553[Uganda]&gt;0, C84-Table_1463457813244553[Uganda], 0)</f>
        <v>686.67483595407123</v>
      </c>
      <c r="P84" s="21" t="s">
        <v>5</v>
      </c>
      <c r="Q84" s="97">
        <f t="shared" si="10"/>
        <v>0.10834391300280566</v>
      </c>
      <c r="R84" s="97">
        <f t="shared" si="9"/>
        <v>0.13546260209513802</v>
      </c>
      <c r="S84" s="97">
        <f t="shared" si="9"/>
        <v>0.14501814332730076</v>
      </c>
      <c r="T84" s="97">
        <f t="shared" si="9"/>
        <v>0.12517855029153108</v>
      </c>
      <c r="U84" s="97">
        <f t="shared" si="9"/>
        <v>-8.5555412321626917E-3</v>
      </c>
      <c r="V84" s="97">
        <f t="shared" si="9"/>
        <v>-8.5555412321626917E-3</v>
      </c>
      <c r="W84" s="97">
        <f t="shared" si="9"/>
        <v>8.4021826580695666E-2</v>
      </c>
      <c r="X84" s="97">
        <f t="shared" si="9"/>
        <v>-8.5555412321626917E-3</v>
      </c>
      <c r="Y84" s="97">
        <f t="shared" si="9"/>
        <v>0.50734595920587022</v>
      </c>
      <c r="Z84" s="97">
        <f t="shared" si="9"/>
        <v>-8.5555412321626917E-3</v>
      </c>
      <c r="AA84" s="97">
        <f t="shared" si="9"/>
        <v>-8.5555412321626917E-3</v>
      </c>
    </row>
    <row r="85" spans="2:31" ht="12.75" customHeight="1" x14ac:dyDescent="0.25">
      <c r="B85" s="21" t="s">
        <v>5</v>
      </c>
      <c r="C85" s="95">
        <f>Annual_sorted!F214</f>
        <v>258.2653910040072</v>
      </c>
      <c r="D85" s="29">
        <f>IF(C85-Table_1463457813244553[Burundi]&gt;0, C85-Table_1463457813244553[Burundi], 0)</f>
        <v>198.9614790305157</v>
      </c>
      <c r="E85" s="29">
        <f>IF(C85-Table_1463457813244553[DRC]&gt;0, C85-Table_1463457813244553[DRC], 0)</f>
        <v>245.11716492733811</v>
      </c>
      <c r="F85" s="29">
        <f>IF(C85-Table_1463457813244553[Egypt]&gt;0, C85-Table_1463457813244553[Egypt], 0)</f>
        <v>261.38058231393069</v>
      </c>
      <c r="G85" s="29">
        <f>IF(C85-Table_1463457813244553[Eritrea]&gt;0, C85-Table_1463457813244553[Eritrea], 0)</f>
        <v>227.6138312234925</v>
      </c>
      <c r="H85" s="29">
        <f>IF(C85-Table_1463457813244553[Ethiopia]&gt;0, C85-Table_1463457813244553[Ethiopia], 0)</f>
        <v>0</v>
      </c>
      <c r="I85" s="29">
        <f>IF(C85-Table_1463457813244553[Kenya]&gt;0, C85-Table_1463457813244553[Kenya], 0)</f>
        <v>0</v>
      </c>
      <c r="J85" s="29">
        <f>IF(C85-Table_1463457813244553[Rwanda]&gt;0, C85-Table_1463457813244553[Rwanda], 0)</f>
        <v>157.5655775755414</v>
      </c>
      <c r="K85" s="29">
        <f>IF(C85-Table_1463457813244553[Sudan]&gt;0, C85-Table_1463457813244553[Sudan], 0)</f>
        <v>0</v>
      </c>
      <c r="L85" s="29">
        <f>IF(C85-Table_1463457813244553[S. Sudan]&gt;0, C85-Table_1463457813244553[S. Sudan], 0)</f>
        <v>878.05821021967631</v>
      </c>
      <c r="M85" s="29">
        <f>IF(C85-Table_1463457813244553[Tanzania]&gt;0, C85-Table_1463457813244553[Tanzania], 0)</f>
        <v>0</v>
      </c>
      <c r="N85" s="29">
        <f>IF(C85-Table_1463457813244553[Uganda]&gt;0, C85-Table_1463457813244553[Uganda], 0)</f>
        <v>0</v>
      </c>
      <c r="P85" s="21" t="s">
        <v>6</v>
      </c>
      <c r="Q85" s="97">
        <f t="shared" si="10"/>
        <v>1.5766545189947297E-2</v>
      </c>
      <c r="R85" s="97">
        <f t="shared" si="9"/>
        <v>4.2885234282279687E-2</v>
      </c>
      <c r="S85" s="97">
        <f t="shared" si="9"/>
        <v>5.2440775514442373E-2</v>
      </c>
      <c r="T85" s="97">
        <f t="shared" si="9"/>
        <v>3.2601182478672747E-2</v>
      </c>
      <c r="U85" s="97">
        <f t="shared" si="9"/>
        <v>-8.5555412321626917E-3</v>
      </c>
      <c r="V85" s="97">
        <f t="shared" si="9"/>
        <v>-8.5555412321626917E-3</v>
      </c>
      <c r="W85" s="97">
        <f t="shared" si="9"/>
        <v>-8.5555412321626917E-3</v>
      </c>
      <c r="X85" s="97">
        <f t="shared" si="9"/>
        <v>-8.5555412321626917E-3</v>
      </c>
      <c r="Y85" s="97">
        <f t="shared" si="9"/>
        <v>0.41476859139301175</v>
      </c>
      <c r="Z85" s="97">
        <f t="shared" si="9"/>
        <v>-8.5555412321626917E-3</v>
      </c>
      <c r="AA85" s="97">
        <f t="shared" si="9"/>
        <v>-8.5555412321626917E-3</v>
      </c>
    </row>
    <row r="86" spans="2:31" ht="12.75" customHeight="1" x14ac:dyDescent="0.25">
      <c r="B86" s="21" t="s">
        <v>6</v>
      </c>
      <c r="C86" s="95">
        <f>Annual_sorted!F215</f>
        <v>100.6998134284658</v>
      </c>
      <c r="D86" s="29">
        <f>IF(C86-Table_1463457813244553[Burundi]&gt;0, C86-Table_1463457813244553[Burundi], 0)</f>
        <v>41.3959014549743</v>
      </c>
      <c r="E86" s="29">
        <f>IF(C86-Table_1463457813244553[DRC]&gt;0, C86-Table_1463457813244553[DRC], 0)</f>
        <v>87.551587351796712</v>
      </c>
      <c r="F86" s="29">
        <f>IF(C86-Table_1463457813244553[Egypt]&gt;0, C86-Table_1463457813244553[Egypt], 0)</f>
        <v>103.81500473838926</v>
      </c>
      <c r="G86" s="29">
        <f>IF(C86-Table_1463457813244553[Eritrea]&gt;0, C86-Table_1463457813244553[Eritrea], 0)</f>
        <v>70.0482536479511</v>
      </c>
      <c r="H86" s="29">
        <f>IF(C86-Table_1463457813244553[Ethiopia]&gt;0, C86-Table_1463457813244553[Ethiopia], 0)</f>
        <v>0</v>
      </c>
      <c r="I86" s="29">
        <f>IF(C86-Table_1463457813244553[Kenya]&gt;0, C86-Table_1463457813244553[Kenya], 0)</f>
        <v>0</v>
      </c>
      <c r="J86" s="29">
        <f>IF(C86-Table_1463457813244553[Rwanda]&gt;0, C86-Table_1463457813244553[Rwanda], 0)</f>
        <v>0</v>
      </c>
      <c r="K86" s="29">
        <f>IF(C86-Table_1463457813244553[Sudan]&gt;0, C86-Table_1463457813244553[Sudan], 0)</f>
        <v>0</v>
      </c>
      <c r="L86" s="29">
        <f>IF(C86-Table_1463457813244553[S. Sudan]&gt;0, C86-Table_1463457813244553[S. Sudan], 0)</f>
        <v>720.4926326441348</v>
      </c>
      <c r="M86" s="29">
        <f>IF(C86-Table_1463457813244553[Tanzania]&gt;0, C86-Table_1463457813244553[Tanzania], 0)</f>
        <v>0</v>
      </c>
      <c r="N86" s="29">
        <f>IF(C86-Table_1463457813244553[Uganda]&gt;0, C86-Table_1463457813244553[Uganda], 0)</f>
        <v>0</v>
      </c>
      <c r="P86" s="21" t="s">
        <v>7</v>
      </c>
      <c r="Q86" s="97">
        <f t="shared" si="10"/>
        <v>0.60099795379693555</v>
      </c>
      <c r="R86" s="97">
        <f t="shared" si="9"/>
        <v>0.62811664288926783</v>
      </c>
      <c r="S86" s="97">
        <f t="shared" si="9"/>
        <v>0.63767218412143045</v>
      </c>
      <c r="T86" s="97">
        <f t="shared" si="9"/>
        <v>0.61783259108566102</v>
      </c>
      <c r="U86" s="97">
        <f t="shared" si="9"/>
        <v>3.4567802864514552E-2</v>
      </c>
      <c r="V86" s="97">
        <f t="shared" si="9"/>
        <v>0.48409849956196715</v>
      </c>
      <c r="W86" s="97">
        <f t="shared" si="9"/>
        <v>0.57667586737482546</v>
      </c>
      <c r="X86" s="97">
        <f t="shared" si="9"/>
        <v>-8.5555412321626917E-3</v>
      </c>
      <c r="Y86" s="97">
        <f t="shared" si="9"/>
        <v>1</v>
      </c>
      <c r="Z86" s="97">
        <f t="shared" si="9"/>
        <v>0.47013252930394211</v>
      </c>
      <c r="AA86" s="97">
        <f t="shared" si="9"/>
        <v>0.43802235070493167</v>
      </c>
    </row>
    <row r="87" spans="2:31" ht="12.75" customHeight="1" x14ac:dyDescent="0.25">
      <c r="B87" s="21" t="s">
        <v>7</v>
      </c>
      <c r="C87" s="95">
        <f>Annual_sorted!F216</f>
        <v>1096.7567017482061</v>
      </c>
      <c r="D87" s="29">
        <f>IF(C87-Table_1463457813244553[Burundi]&gt;0, C87-Table_1463457813244553[Burundi], 0)</f>
        <v>1037.4527897747146</v>
      </c>
      <c r="E87" s="29">
        <f>IF(C87-Table_1463457813244553[DRC]&gt;0, C87-Table_1463457813244553[DRC], 0)</f>
        <v>1083.608475671537</v>
      </c>
      <c r="F87" s="29">
        <f>IF(C87-Table_1463457813244553[Egypt]&gt;0, C87-Table_1463457813244553[Egypt], 0)</f>
        <v>1099.8718930581294</v>
      </c>
      <c r="G87" s="29">
        <f>IF(C87-Table_1463457813244553[Eritrea]&gt;0, C87-Table_1463457813244553[Eritrea], 0)</f>
        <v>1066.1051419676915</v>
      </c>
      <c r="H87" s="29">
        <f>IF(C87-Table_1463457813244553[Ethiopia]&gt;0, C87-Table_1463457813244553[Ethiopia], 0)</f>
        <v>73.395418125487254</v>
      </c>
      <c r="I87" s="29">
        <f>IF(C87-Table_1463457813244553[Kenya]&gt;0, C87-Table_1463457813244553[Kenya], 0)</f>
        <v>838.49131074419893</v>
      </c>
      <c r="J87" s="29">
        <f>IF(C87-Table_1463457813244553[Rwanda]&gt;0, C87-Table_1463457813244553[Rwanda], 0)</f>
        <v>996.05688831974021</v>
      </c>
      <c r="K87" s="29">
        <f>IF(C87-Table_1463457813244553[Sudan]&gt;0, C87-Table_1463457813244553[Sudan], 0)</f>
        <v>0</v>
      </c>
      <c r="L87" s="29">
        <f>IF(C87-Table_1463457813244553[S. Sudan]&gt;0, C87-Table_1463457813244553[S. Sudan], 0)</f>
        <v>1716.5495209638752</v>
      </c>
      <c r="M87" s="29">
        <f>IF(C87-Table_1463457813244553[Tanzania]&gt;0, C87-Table_1463457813244553[Tanzania], 0)</f>
        <v>814.72139567643751</v>
      </c>
      <c r="N87" s="29">
        <f>IF(C87-Table_1463457813244553[Uganda]&gt;0, C87-Table_1463457813244553[Uganda], 0)</f>
        <v>760.07025407955848</v>
      </c>
      <c r="P87" s="21" t="s">
        <v>8</v>
      </c>
      <c r="Q87" s="97">
        <f t="shared" si="10"/>
        <v>-8.5555412321626917E-3</v>
      </c>
      <c r="R87" s="97">
        <f t="shared" si="9"/>
        <v>-8.5555412321626917E-3</v>
      </c>
      <c r="S87" s="97">
        <f t="shared" si="9"/>
        <v>-8.5555412321626917E-3</v>
      </c>
      <c r="T87" s="97">
        <f t="shared" si="9"/>
        <v>-8.5555412321626917E-3</v>
      </c>
      <c r="U87" s="97">
        <f t="shared" si="9"/>
        <v>-8.5555412321626917E-3</v>
      </c>
      <c r="V87" s="97">
        <f t="shared" si="9"/>
        <v>-8.5555412321626917E-3</v>
      </c>
      <c r="W87" s="97">
        <f t="shared" si="9"/>
        <v>-8.5555412321626917E-3</v>
      </c>
      <c r="X87" s="97">
        <f t="shared" si="9"/>
        <v>-8.5555412321626917E-3</v>
      </c>
      <c r="Y87" s="97">
        <f t="shared" si="9"/>
        <v>-8.5555412321626917E-3</v>
      </c>
      <c r="Z87" s="97">
        <f t="shared" si="9"/>
        <v>-8.5555412321626917E-3</v>
      </c>
      <c r="AA87" s="97">
        <f t="shared" si="9"/>
        <v>-8.5555412321626917E-3</v>
      </c>
    </row>
    <row r="88" spans="2:31" ht="12.75" customHeight="1" x14ac:dyDescent="0.25">
      <c r="B88" s="21" t="s">
        <v>8</v>
      </c>
      <c r="C88" s="95">
        <f>Annual_sorted!F217</f>
        <v>-619.79281921566906</v>
      </c>
      <c r="D88" s="29">
        <f>IF(C88-Table_1463457813244553[Burundi]&gt;0, C88-Table_1463457813244553[Burundi], 0)</f>
        <v>0</v>
      </c>
      <c r="E88" s="29">
        <f>IF(C88-Table_1463457813244553[DRC]&gt;0, C88-Table_1463457813244553[DRC], 0)</f>
        <v>0</v>
      </c>
      <c r="F88" s="29">
        <f>IF(C88-Table_1463457813244553[Egypt]&gt;0, C88-Table_1463457813244553[Egypt], 0)</f>
        <v>0</v>
      </c>
      <c r="G88" s="29">
        <f>IF(C88-Table_1463457813244553[Eritrea]&gt;0, C88-Table_1463457813244553[Eritrea], 0)</f>
        <v>0</v>
      </c>
      <c r="H88" s="29">
        <f>IF(C88-Table_1463457813244553[Ethiopia]&gt;0, C88-Table_1463457813244553[Ethiopia], 0)</f>
        <v>0</v>
      </c>
      <c r="I88" s="29">
        <f>IF(C88-Table_1463457813244553[Kenya]&gt;0, C88-Table_1463457813244553[Kenya], 0)</f>
        <v>0</v>
      </c>
      <c r="J88" s="29">
        <f>IF(C88-Table_1463457813244553[Rwanda]&gt;0, C88-Table_1463457813244553[Rwanda], 0)</f>
        <v>0</v>
      </c>
      <c r="K88" s="29">
        <f>IF(C88-Table_1463457813244553[Sudan]&gt;0, C88-Table_1463457813244553[Sudan], 0)</f>
        <v>0</v>
      </c>
      <c r="L88" s="29">
        <f>IF(C88-Table_1463457813244553[S. Sudan]&gt;0, C88-Table_1463457813244553[S. Sudan], 0)</f>
        <v>0</v>
      </c>
      <c r="M88" s="29">
        <f>IF(C88-Table_1463457813244553[Tanzania]&gt;0, C88-Table_1463457813244553[Tanzania], 0)</f>
        <v>0</v>
      </c>
      <c r="N88" s="29">
        <f>IF(C88-Table_1463457813244553[Uganda]&gt;0, C88-Table_1463457813244553[Uganda], 0)</f>
        <v>0</v>
      </c>
      <c r="P88" s="21" t="s">
        <v>9</v>
      </c>
      <c r="Q88" s="97">
        <f t="shared" si="10"/>
        <v>0.1223098832608307</v>
      </c>
      <c r="R88" s="97">
        <f t="shared" si="9"/>
        <v>0.14942857235316306</v>
      </c>
      <c r="S88" s="97">
        <f t="shared" si="9"/>
        <v>0.15898411358532577</v>
      </c>
      <c r="T88" s="97">
        <f t="shared" si="9"/>
        <v>0.13914452054955612</v>
      </c>
      <c r="U88" s="97">
        <f t="shared" si="9"/>
        <v>-8.5555412321626917E-3</v>
      </c>
      <c r="V88" s="97">
        <f t="shared" si="9"/>
        <v>5.4104290258623396E-3</v>
      </c>
      <c r="W88" s="97">
        <f t="shared" si="9"/>
        <v>9.7987796838720692E-2</v>
      </c>
      <c r="X88" s="97">
        <f t="shared" si="9"/>
        <v>-8.5555412321626917E-3</v>
      </c>
      <c r="Y88" s="97">
        <f t="shared" si="9"/>
        <v>0.52131192946389515</v>
      </c>
      <c r="Z88" s="97">
        <f t="shared" si="9"/>
        <v>-8.5555412321626917E-3</v>
      </c>
      <c r="AA88" s="97">
        <f t="shared" si="9"/>
        <v>-8.5555412321626917E-3</v>
      </c>
      <c r="AB88" s="186">
        <f>SUM(Q79:AA89)</f>
        <v>15.840334881988104</v>
      </c>
    </row>
    <row r="89" spans="2:31" ht="12.75" customHeight="1" thickBot="1" x14ac:dyDescent="0.3">
      <c r="B89" s="21" t="s">
        <v>9</v>
      </c>
      <c r="C89" s="95">
        <f>Annual_sorted!F218</f>
        <v>282.03530607176856</v>
      </c>
      <c r="D89" s="29">
        <f>IF(C89-Table_1463457813244553[Burundi]&gt;0, C89-Table_1463457813244553[Burundi], 0)</f>
        <v>222.73139409827706</v>
      </c>
      <c r="E89" s="29">
        <f>IF(C89-Table_1463457813244553[DRC]&gt;0, C89-Table_1463457813244553[DRC], 0)</f>
        <v>268.88707999509944</v>
      </c>
      <c r="F89" s="29">
        <f>IF(C89-Table_1463457813244553[Egypt]&gt;0, C89-Table_1463457813244553[Egypt], 0)</f>
        <v>285.15049738169205</v>
      </c>
      <c r="G89" s="29">
        <f>IF(C89-Table_1463457813244553[Eritrea]&gt;0, C89-Table_1463457813244553[Eritrea], 0)</f>
        <v>251.38374629125386</v>
      </c>
      <c r="H89" s="29">
        <f>IF(C89-Table_1463457813244553[Ethiopia]&gt;0, C89-Table_1463457813244553[Ethiopia], 0)</f>
        <v>0</v>
      </c>
      <c r="I89" s="29">
        <f>IF(C89-Table_1463457813244553[Kenya]&gt;0, C89-Table_1463457813244553[Kenya], 0)</f>
        <v>23.76991506776136</v>
      </c>
      <c r="J89" s="29">
        <f>IF(C89-Table_1463457813244553[Rwanda]&gt;0, C89-Table_1463457813244553[Rwanda], 0)</f>
        <v>181.33549264330276</v>
      </c>
      <c r="K89" s="29">
        <f>IF(C89-Table_1463457813244553[Sudan]&gt;0, C89-Table_1463457813244553[Sudan], 0)</f>
        <v>0</v>
      </c>
      <c r="L89" s="29">
        <f>IF(C89-Table_1463457813244553[S. Sudan]&gt;0, C89-Table_1463457813244553[S. Sudan], 0)</f>
        <v>901.82812528743762</v>
      </c>
      <c r="M89" s="29">
        <f>IF(C89-Table_1463457813244553[Tanzania]&gt;0, C89-Table_1463457813244553[Tanzania], 0)</f>
        <v>0</v>
      </c>
      <c r="N89" s="29">
        <f>IF(C89-Table_1463457813244553[Uganda]&gt;0, C89-Table_1463457813244553[Uganda], 0)</f>
        <v>0</v>
      </c>
      <c r="P89" s="22" t="s">
        <v>10</v>
      </c>
      <c r="Q89" s="98">
        <f t="shared" si="10"/>
        <v>0.15442006185984117</v>
      </c>
      <c r="R89" s="98">
        <f t="shared" si="9"/>
        <v>0.18153875095217351</v>
      </c>
      <c r="S89" s="98">
        <f t="shared" si="9"/>
        <v>0.19109429218433624</v>
      </c>
      <c r="T89" s="98">
        <f t="shared" si="9"/>
        <v>0.17125469914856659</v>
      </c>
      <c r="U89" s="98">
        <f t="shared" si="9"/>
        <v>-8.5555412321626917E-3</v>
      </c>
      <c r="V89" s="98">
        <f t="shared" si="9"/>
        <v>3.7520607624872804E-2</v>
      </c>
      <c r="W89" s="98">
        <f t="shared" si="9"/>
        <v>0.13009797543773116</v>
      </c>
      <c r="X89" s="98">
        <f t="shared" si="9"/>
        <v>-8.5555412321626917E-3</v>
      </c>
      <c r="Y89" s="98">
        <f t="shared" si="9"/>
        <v>0.5534221080629057</v>
      </c>
      <c r="Z89" s="98">
        <f t="shared" si="9"/>
        <v>2.3554637366847771E-2</v>
      </c>
      <c r="AA89" s="98">
        <f t="shared" si="9"/>
        <v>-8.5555412321626917E-3</v>
      </c>
    </row>
    <row r="90" spans="2:31" ht="12.75" customHeight="1" thickBot="1" x14ac:dyDescent="0.3">
      <c r="B90" s="22" t="s">
        <v>10</v>
      </c>
      <c r="C90" s="96">
        <f>Annual_sorted!F219</f>
        <v>336.68644766864759</v>
      </c>
      <c r="D90" s="32">
        <f>IF(C90-Table_1463457813244553[Burundi]&gt;0, C90-Table_1463457813244553[Burundi], 0)</f>
        <v>277.38253569515609</v>
      </c>
      <c r="E90" s="32">
        <f>IF(C90-Table_1463457813244553[DRC]&gt;0, C90-Table_1463457813244553[DRC], 0)</f>
        <v>323.53822159197847</v>
      </c>
      <c r="F90" s="32">
        <f>IF(C90-Table_1463457813244553[Egypt]&gt;0, C90-Table_1463457813244553[Egypt], 0)</f>
        <v>339.80163897857108</v>
      </c>
      <c r="G90" s="32">
        <f>IF(C90-Table_1463457813244553[Eritrea]&gt;0, C90-Table_1463457813244553[Eritrea], 0)</f>
        <v>306.03488788813286</v>
      </c>
      <c r="H90" s="32">
        <f>IF(C90-Table_1463457813244553[Ethiopia]&gt;0, C90-Table_1463457813244553[Ethiopia], 0)</f>
        <v>0</v>
      </c>
      <c r="I90" s="32">
        <f>IF(C90-Table_1463457813244553[Kenya]&gt;0, C90-Table_1463457813244553[Kenya], 0)</f>
        <v>78.421056664640389</v>
      </c>
      <c r="J90" s="32">
        <f>IF(C90-Table_1463457813244553[Rwanda]&gt;0, C90-Table_1463457813244553[Rwanda], 0)</f>
        <v>235.98663424018179</v>
      </c>
      <c r="K90" s="32">
        <f>IF(C90-Table_1463457813244553[Sudan]&gt;0, C90-Table_1463457813244553[Sudan], 0)</f>
        <v>0</v>
      </c>
      <c r="L90" s="32">
        <f>IF(C90-Table_1463457813244553[S. Sudan]&gt;0, C90-Table_1463457813244553[S. Sudan], 0)</f>
        <v>956.47926688431664</v>
      </c>
      <c r="M90" s="32">
        <f>IF(C90-Table_1463457813244553[Tanzania]&gt;0, C90-Table_1463457813244553[Tanzania], 0)</f>
        <v>54.651141596879029</v>
      </c>
      <c r="N90" s="32">
        <f>IF(C90-Table_1463457813244553[Uganda]&gt;0, C90-Table_1463457813244553[Uganda], 0)</f>
        <v>0</v>
      </c>
    </row>
    <row r="91" spans="2:31" ht="12.75" customHeight="1" x14ac:dyDescent="0.25"/>
    <row r="92" spans="2:31" ht="12.75" customHeight="1" x14ac:dyDescent="0.25"/>
    <row r="93" spans="2:31" ht="12.75" customHeight="1" x14ac:dyDescent="0.25">
      <c r="B93" s="5"/>
      <c r="C93" s="5"/>
      <c r="D93" s="5"/>
      <c r="E93" s="5"/>
      <c r="F93" s="5"/>
      <c r="G93" s="5"/>
      <c r="H93" s="5"/>
      <c r="I93" s="5"/>
      <c r="J93" s="5"/>
      <c r="K93" s="5"/>
      <c r="L93" s="5"/>
      <c r="M93" s="5"/>
      <c r="N93" s="5"/>
      <c r="O93" s="5"/>
      <c r="P93" s="5"/>
      <c r="Q93" s="5"/>
      <c r="R93" s="5"/>
      <c r="S93" s="5"/>
      <c r="T93" s="5"/>
      <c r="U93" s="5"/>
      <c r="V93" s="5"/>
      <c r="W93" s="5"/>
      <c r="X93" s="5"/>
      <c r="Y93" s="5"/>
      <c r="Z93" s="5"/>
      <c r="AA93" s="5"/>
    </row>
    <row r="94" spans="2:31" ht="12.75" customHeight="1" x14ac:dyDescent="0.25">
      <c r="B94" s="5"/>
      <c r="C94" s="5"/>
      <c r="D94" s="5"/>
      <c r="E94" s="5"/>
      <c r="F94" s="5"/>
      <c r="G94" s="5"/>
      <c r="H94" s="5"/>
      <c r="I94" s="5"/>
      <c r="J94" s="5"/>
      <c r="K94" s="5"/>
      <c r="L94" s="5"/>
      <c r="M94" s="5"/>
      <c r="N94" s="5"/>
      <c r="O94" s="5"/>
      <c r="P94" s="5"/>
      <c r="Q94" s="5"/>
      <c r="R94" s="5"/>
      <c r="S94" s="5"/>
      <c r="T94" s="5"/>
      <c r="U94" s="5"/>
      <c r="V94" s="5"/>
      <c r="W94" s="5"/>
      <c r="X94" s="5"/>
      <c r="Y94" s="5"/>
      <c r="Z94" s="5"/>
      <c r="AA94" s="5"/>
    </row>
    <row r="95" spans="2:31" ht="12.75" customHeight="1" thickBot="1" x14ac:dyDescent="0.3">
      <c r="B95" s="253" t="s">
        <v>85</v>
      </c>
      <c r="C95" s="253"/>
      <c r="D95" s="253"/>
      <c r="E95" s="253"/>
      <c r="F95" s="253"/>
      <c r="G95" s="253"/>
      <c r="H95" s="253"/>
      <c r="I95" s="253"/>
      <c r="J95" s="253"/>
      <c r="K95" s="253"/>
      <c r="L95" s="253"/>
      <c r="M95" s="253"/>
      <c r="N95" s="253"/>
      <c r="O95" s="5"/>
      <c r="P95" s="253" t="s">
        <v>87</v>
      </c>
      <c r="Q95" s="253"/>
      <c r="R95" s="253"/>
      <c r="S95" s="253"/>
      <c r="T95" s="253"/>
      <c r="U95" s="253"/>
      <c r="V95" s="253"/>
      <c r="W95" s="253"/>
      <c r="X95" s="253"/>
      <c r="Y95" s="253"/>
      <c r="Z95" s="253"/>
      <c r="AA95" s="253"/>
      <c r="AB95" s="10"/>
      <c r="AC95" s="3" t="s">
        <v>22</v>
      </c>
      <c r="AD95" s="13" t="s">
        <v>23</v>
      </c>
      <c r="AE95" s="74">
        <f t="array" ref="AE95">MIN(IF(D98:N108&gt;0,D98:N108))</f>
        <v>0.7849800386784942</v>
      </c>
    </row>
    <row r="96" spans="2:31" ht="12.75" customHeight="1" thickBot="1" x14ac:dyDescent="0.3">
      <c r="B96" s="75" t="s">
        <v>13</v>
      </c>
      <c r="C96" s="66" t="s">
        <v>14</v>
      </c>
      <c r="D96" s="67" t="s">
        <v>1</v>
      </c>
      <c r="E96" s="67" t="s">
        <v>195</v>
      </c>
      <c r="F96" s="67" t="s">
        <v>2</v>
      </c>
      <c r="G96" s="67" t="s">
        <v>3</v>
      </c>
      <c r="H96" s="67" t="s">
        <v>4</v>
      </c>
      <c r="I96" s="67" t="s">
        <v>5</v>
      </c>
      <c r="J96" s="67" t="s">
        <v>6</v>
      </c>
      <c r="K96" s="67" t="s">
        <v>7</v>
      </c>
      <c r="L96" s="67" t="s">
        <v>295</v>
      </c>
      <c r="M96" s="67" t="s">
        <v>9</v>
      </c>
      <c r="N96" s="67" t="s">
        <v>10</v>
      </c>
      <c r="P96" s="76" t="s">
        <v>19</v>
      </c>
      <c r="Q96" s="77" t="s">
        <v>1</v>
      </c>
      <c r="R96" s="77" t="s">
        <v>195</v>
      </c>
      <c r="S96" s="77" t="s">
        <v>2</v>
      </c>
      <c r="T96" s="77" t="s">
        <v>3</v>
      </c>
      <c r="U96" s="77" t="s">
        <v>4</v>
      </c>
      <c r="V96" s="77" t="s">
        <v>5</v>
      </c>
      <c r="W96" s="77" t="s">
        <v>6</v>
      </c>
      <c r="X96" s="77" t="s">
        <v>7</v>
      </c>
      <c r="Y96" s="77" t="s">
        <v>295</v>
      </c>
      <c r="Z96" s="77" t="s">
        <v>9</v>
      </c>
      <c r="AA96" s="77" t="s">
        <v>10</v>
      </c>
      <c r="AB96" s="254" t="s">
        <v>26</v>
      </c>
      <c r="AC96" s="254"/>
      <c r="AD96" s="13" t="s">
        <v>24</v>
      </c>
      <c r="AE96" s="20">
        <f>MAX(D98:N108)</f>
        <v>1006.8340827620298</v>
      </c>
    </row>
    <row r="97" spans="2:31" ht="12.75" customHeight="1" x14ac:dyDescent="0.25">
      <c r="B97" s="93"/>
      <c r="C97" s="94" t="s">
        <v>262</v>
      </c>
      <c r="D97" s="95">
        <f>C98</f>
        <v>-15.331778341539067</v>
      </c>
      <c r="E97" s="95">
        <f>C99</f>
        <v>-23.278573748221515</v>
      </c>
      <c r="F97" s="95">
        <f>C100</f>
        <v>323.85221414598692</v>
      </c>
      <c r="G97" s="95">
        <f>C101</f>
        <v>-13.390095269248459</v>
      </c>
      <c r="H97" s="95">
        <f>C102</f>
        <v>-455.81359319957573</v>
      </c>
      <c r="I97" s="95">
        <f>C103</f>
        <v>-83.93838585402365</v>
      </c>
      <c r="J97" s="95">
        <f>C104</f>
        <v>-24.063553786900009</v>
      </c>
      <c r="K97" s="95">
        <f>C105</f>
        <v>-92.910192041596076</v>
      </c>
      <c r="L97" s="95">
        <f>C106</f>
        <v>-682.98186861604279</v>
      </c>
      <c r="M97" s="95">
        <f>C107</f>
        <v>-144.44438389185444</v>
      </c>
      <c r="N97" s="95">
        <f>C108</f>
        <v>-322.34515029125504</v>
      </c>
      <c r="P97" s="21" t="s">
        <v>1</v>
      </c>
      <c r="Q97" s="97">
        <f>$AE$97+(D98-$AE$95)*($AE$98-$AE$97)/($AE$96-$AE$95)</f>
        <v>2.2052009537405467E-4</v>
      </c>
      <c r="R97" s="97">
        <f t="shared" ref="R97:AA107" si="11">$AE$97+(E98-$AE$95)*($AE$98-$AE$97)/($AE$96-$AE$95)</f>
        <v>8.1116345447438606E-3</v>
      </c>
      <c r="S97" s="97">
        <f t="shared" si="11"/>
        <v>2.2052009537405467E-4</v>
      </c>
      <c r="T97" s="97">
        <f t="shared" si="11"/>
        <v>2.2052009537405467E-4</v>
      </c>
      <c r="U97" s="97">
        <f t="shared" si="11"/>
        <v>0.4376160029321432</v>
      </c>
      <c r="V97" s="97">
        <f t="shared" si="11"/>
        <v>6.8346420431094582E-2</v>
      </c>
      <c r="W97" s="97">
        <f t="shared" si="11"/>
        <v>8.8911144493698038E-3</v>
      </c>
      <c r="X97" s="97">
        <f t="shared" si="11"/>
        <v>7.7255363699492388E-2</v>
      </c>
      <c r="Y97" s="97">
        <f t="shared" si="11"/>
        <v>0.66319257422148326</v>
      </c>
      <c r="Z97" s="97">
        <f t="shared" si="11"/>
        <v>0.1284284699813287</v>
      </c>
      <c r="AA97" s="97">
        <f t="shared" si="11"/>
        <v>0.30508273581379114</v>
      </c>
      <c r="AD97" s="3" t="s">
        <v>25</v>
      </c>
      <c r="AE97" s="2">
        <v>1E-3</v>
      </c>
    </row>
    <row r="98" spans="2:31" ht="12.75" customHeight="1" x14ac:dyDescent="0.25">
      <c r="B98" s="21" t="s">
        <v>1</v>
      </c>
      <c r="C98" s="95">
        <f>Annual_sorted!G209</f>
        <v>-15.331778341539067</v>
      </c>
      <c r="D98" s="29">
        <f>IF(C98-Table_146345781116234452[Burundi]&gt;0, C98-Table_146345781116234452[Burundi], 0)</f>
        <v>0</v>
      </c>
      <c r="E98" s="29">
        <f>IF(C98-Table_146345781116234452[DRC]&gt;0, C98-Table_146345781116234452[DRC], 0)</f>
        <v>7.9467954066824475</v>
      </c>
      <c r="F98" s="29">
        <f>IF(C98-Table_146345781116234452[Egypt]&gt;0, C98-Table_146345781116234452[Egypt], 0)</f>
        <v>0</v>
      </c>
      <c r="G98" s="29">
        <f>IF(C98-Table_146345781116234452[Eritrea]&gt;0, C98-Table_146345781116234452[Eritrea], 0)</f>
        <v>0</v>
      </c>
      <c r="H98" s="29">
        <f>IF(C98-Table_146345781116234452[Ethiopia]&gt;0, C98-Table_146345781116234452[Ethiopia], 0)</f>
        <v>440.48181485803667</v>
      </c>
      <c r="I98" s="29">
        <f>IF(C98-Table_146345781116234452[Kenya]&gt;0, C98-Table_146345781116234452[Kenya], 0)</f>
        <v>68.606607512484587</v>
      </c>
      <c r="J98" s="29">
        <f>IF(C98-Table_146345781116234452[Rwanda]&gt;0, C98-Table_146345781116234452[Rwanda], 0)</f>
        <v>8.7317754453609417</v>
      </c>
      <c r="K98" s="29">
        <f>IF(C98-Table_146345781116234452[Sudan]&gt;0, C98-Table_146345781116234452[Sudan], 0)</f>
        <v>77.578413700057013</v>
      </c>
      <c r="L98" s="29">
        <f>IF(C98-Table_146345781116234452[S. Sudan]&gt;0, C98-Table_146345781116234452[S. Sudan], 0)</f>
        <v>667.65009027450367</v>
      </c>
      <c r="M98" s="29">
        <f>IF(C98-Table_146345781116234452[Tanzania]&gt;0, C98-Table_146345781116234452[Tanzania], 0)</f>
        <v>129.11260555031538</v>
      </c>
      <c r="N98" s="29">
        <f>IF(C98-Table_146345781116234452[Uganda]&gt;0, C98-Table_146345781116234452[Uganda], 0)</f>
        <v>307.01337194971597</v>
      </c>
      <c r="P98" s="21" t="s">
        <v>195</v>
      </c>
      <c r="Q98" s="97">
        <f t="shared" ref="Q98:Q107" si="12">$AE$97+(D99-$AE$95)*($AE$98-$AE$97)/($AE$96-$AE$95)</f>
        <v>2.2052009537405467E-4</v>
      </c>
      <c r="R98" s="97">
        <f t="shared" si="11"/>
        <v>2.2052009537405467E-4</v>
      </c>
      <c r="S98" s="97">
        <f t="shared" si="11"/>
        <v>2.2052009537405467E-4</v>
      </c>
      <c r="T98" s="97">
        <f t="shared" si="11"/>
        <v>2.2052009537405467E-4</v>
      </c>
      <c r="U98" s="97">
        <f t="shared" si="11"/>
        <v>0.4297248884827734</v>
      </c>
      <c r="V98" s="97">
        <f t="shared" si="11"/>
        <v>6.0455305981724772E-2</v>
      </c>
      <c r="W98" s="97">
        <f t="shared" si="11"/>
        <v>1E-3</v>
      </c>
      <c r="X98" s="97">
        <f t="shared" si="11"/>
        <v>6.9364249250122578E-2</v>
      </c>
      <c r="Y98" s="97">
        <f t="shared" si="11"/>
        <v>0.6553014597721134</v>
      </c>
      <c r="Z98" s="97">
        <f t="shared" si="11"/>
        <v>0.12053735553195889</v>
      </c>
      <c r="AA98" s="97">
        <f t="shared" si="11"/>
        <v>0.29719162136442134</v>
      </c>
      <c r="AD98" s="3" t="s">
        <v>70</v>
      </c>
      <c r="AE98" s="2">
        <v>1</v>
      </c>
    </row>
    <row r="99" spans="2:31" ht="12.75" customHeight="1" x14ac:dyDescent="0.25">
      <c r="B99" s="21" t="s">
        <v>195</v>
      </c>
      <c r="C99" s="95">
        <f>Annual_sorted!G210</f>
        <v>-23.278573748221515</v>
      </c>
      <c r="D99" s="29">
        <f>IF(C99-Table_146345781116234452[Burundi]&gt;0, C99-Table_146345781116234452[Burundi], 0)</f>
        <v>0</v>
      </c>
      <c r="E99" s="29">
        <f>IF(C99-Table_146345781116234452[DRC]&gt;0, C99-Table_146345781116234452[DRC], 0)</f>
        <v>0</v>
      </c>
      <c r="F99" s="29">
        <f>IF(C99-Table_146345781116234452[Egypt]&gt;0, C99-Table_146345781116234452[Egypt], 0)</f>
        <v>0</v>
      </c>
      <c r="G99" s="29">
        <f>IF(C99-Table_146345781116234452[Eritrea]&gt;0, C99-Table_146345781116234452[Eritrea], 0)</f>
        <v>0</v>
      </c>
      <c r="H99" s="29">
        <f>IF(C99-Table_146345781116234452[Ethiopia]&gt;0, C99-Table_146345781116234452[Ethiopia], 0)</f>
        <v>432.53501945135423</v>
      </c>
      <c r="I99" s="29">
        <f>IF(C99-Table_146345781116234452[Kenya]&gt;0, C99-Table_146345781116234452[Kenya], 0)</f>
        <v>60.659812105802132</v>
      </c>
      <c r="J99" s="29">
        <f>IF(C99-Table_146345781116234452[Rwanda]&gt;0, C99-Table_146345781116234452[Rwanda], 0)</f>
        <v>0.7849800386784942</v>
      </c>
      <c r="K99" s="29">
        <f>IF(C99-Table_146345781116234452[Sudan]&gt;0, C99-Table_146345781116234452[Sudan], 0)</f>
        <v>69.631618293374558</v>
      </c>
      <c r="L99" s="29">
        <f>IF(C99-Table_146345781116234452[S. Sudan]&gt;0, C99-Table_146345781116234452[S. Sudan], 0)</f>
        <v>659.70329486782123</v>
      </c>
      <c r="M99" s="29">
        <f>IF(C99-Table_146345781116234452[Tanzania]&gt;0, C99-Table_146345781116234452[Tanzania], 0)</f>
        <v>121.16581014363292</v>
      </c>
      <c r="N99" s="29">
        <f>IF(C99-Table_146345781116234452[Uganda]&gt;0, C99-Table_146345781116234452[Uganda], 0)</f>
        <v>299.06657654303353</v>
      </c>
      <c r="P99" s="21" t="s">
        <v>2</v>
      </c>
      <c r="Q99" s="97">
        <f t="shared" si="12"/>
        <v>0.33702794587389073</v>
      </c>
      <c r="R99" s="97">
        <f t="shared" si="11"/>
        <v>0.34491906032326053</v>
      </c>
      <c r="S99" s="97">
        <f t="shared" si="11"/>
        <v>2.2052009537405467E-4</v>
      </c>
      <c r="T99" s="97">
        <f t="shared" si="11"/>
        <v>0.33509986762804017</v>
      </c>
      <c r="U99" s="97">
        <f t="shared" si="11"/>
        <v>0.77442342871065983</v>
      </c>
      <c r="V99" s="97">
        <f t="shared" si="11"/>
        <v>0.40515384620961126</v>
      </c>
      <c r="W99" s="97">
        <f t="shared" si="11"/>
        <v>0.34569854022788649</v>
      </c>
      <c r="X99" s="97">
        <f t="shared" si="11"/>
        <v>0.41406278947800906</v>
      </c>
      <c r="Y99" s="97">
        <f t="shared" si="11"/>
        <v>1</v>
      </c>
      <c r="Z99" s="97">
        <f t="shared" si="11"/>
        <v>0.46523589575984542</v>
      </c>
      <c r="AA99" s="97">
        <f t="shared" si="11"/>
        <v>0.64189016159230783</v>
      </c>
    </row>
    <row r="100" spans="2:31" ht="12.75" customHeight="1" x14ac:dyDescent="0.25">
      <c r="B100" s="21" t="s">
        <v>2</v>
      </c>
      <c r="C100" s="95">
        <f>Annual_sorted!G211</f>
        <v>323.85221414598692</v>
      </c>
      <c r="D100" s="29">
        <f>IF(C100-Table_146345781116234452[Burundi]&gt;0, C100-Table_146345781116234452[Burundi], 0)</f>
        <v>339.18399248752598</v>
      </c>
      <c r="E100" s="29">
        <f>IF(C100-Table_146345781116234452[DRC]&gt;0, C100-Table_146345781116234452[DRC], 0)</f>
        <v>347.13078789420842</v>
      </c>
      <c r="F100" s="29">
        <f>IF(C100-Table_146345781116234452[Egypt]&gt;0, C100-Table_146345781116234452[Egypt], 0)</f>
        <v>0</v>
      </c>
      <c r="G100" s="29">
        <f>IF(C100-Table_146345781116234452[Eritrea]&gt;0, C100-Table_146345781116234452[Eritrea], 0)</f>
        <v>337.24230941523535</v>
      </c>
      <c r="H100" s="29">
        <f>IF(C100-Table_146345781116234452[Ethiopia]&gt;0, C100-Table_146345781116234452[Ethiopia], 0)</f>
        <v>779.6658073455626</v>
      </c>
      <c r="I100" s="29">
        <f>IF(C100-Table_146345781116234452[Kenya]&gt;0, C100-Table_146345781116234452[Kenya], 0)</f>
        <v>407.79060000001056</v>
      </c>
      <c r="J100" s="29">
        <f>IF(C100-Table_146345781116234452[Rwanda]&gt;0, C100-Table_146345781116234452[Rwanda], 0)</f>
        <v>347.91576793288692</v>
      </c>
      <c r="K100" s="29">
        <f>IF(C100-Table_146345781116234452[Sudan]&gt;0, C100-Table_146345781116234452[Sudan], 0)</f>
        <v>416.762406187583</v>
      </c>
      <c r="L100" s="29">
        <f>IF(C100-Table_146345781116234452[S. Sudan]&gt;0, C100-Table_146345781116234452[S. Sudan], 0)</f>
        <v>1006.8340827620298</v>
      </c>
      <c r="M100" s="29">
        <f>IF(C100-Table_146345781116234452[Tanzania]&gt;0, C100-Table_146345781116234452[Tanzania], 0)</f>
        <v>468.29659803784136</v>
      </c>
      <c r="N100" s="29">
        <f>IF(C100-Table_146345781116234452[Uganda]&gt;0, C100-Table_146345781116234452[Uganda], 0)</f>
        <v>646.19736443724196</v>
      </c>
      <c r="P100" s="21" t="s">
        <v>3</v>
      </c>
      <c r="Q100" s="97">
        <f t="shared" si="12"/>
        <v>2.1485983412245641E-3</v>
      </c>
      <c r="R100" s="97">
        <f t="shared" si="11"/>
        <v>1.0039712790594367E-2</v>
      </c>
      <c r="S100" s="97">
        <f t="shared" si="11"/>
        <v>2.2052009537405467E-4</v>
      </c>
      <c r="T100" s="97">
        <f t="shared" si="11"/>
        <v>2.2052009537405467E-4</v>
      </c>
      <c r="U100" s="97">
        <f t="shared" si="11"/>
        <v>0.43954408117799376</v>
      </c>
      <c r="V100" s="97">
        <f t="shared" si="11"/>
        <v>7.0274498676945088E-2</v>
      </c>
      <c r="W100" s="97">
        <f t="shared" si="11"/>
        <v>1.0819192695220314E-2</v>
      </c>
      <c r="X100" s="97">
        <f t="shared" si="11"/>
        <v>7.9183441945342894E-2</v>
      </c>
      <c r="Y100" s="97">
        <f t="shared" si="11"/>
        <v>0.66512065246733376</v>
      </c>
      <c r="Z100" s="97">
        <f t="shared" si="11"/>
        <v>0.13035654822717918</v>
      </c>
      <c r="AA100" s="97">
        <f t="shared" si="11"/>
        <v>0.30701081405964165</v>
      </c>
    </row>
    <row r="101" spans="2:31" ht="12.75" customHeight="1" x14ac:dyDescent="0.25">
      <c r="B101" s="21" t="s">
        <v>3</v>
      </c>
      <c r="C101" s="95">
        <f>Annual_sorted!G212</f>
        <v>-13.390095269248459</v>
      </c>
      <c r="D101" s="29">
        <f>IF(C101-Table_146345781116234452[Burundi]&gt;0, C101-Table_146345781116234452[Burundi], 0)</f>
        <v>1.9416830722906084</v>
      </c>
      <c r="E101" s="29">
        <f>IF(C101-Table_146345781116234452[DRC]&gt;0, C101-Table_146345781116234452[DRC], 0)</f>
        <v>9.888478478973056</v>
      </c>
      <c r="F101" s="29">
        <f>IF(C101-Table_146345781116234452[Egypt]&gt;0, C101-Table_146345781116234452[Egypt], 0)</f>
        <v>0</v>
      </c>
      <c r="G101" s="29">
        <f>IF(C101-Table_146345781116234452[Eritrea]&gt;0, C101-Table_146345781116234452[Eritrea], 0)</f>
        <v>0</v>
      </c>
      <c r="H101" s="29">
        <f>IF(C101-Table_146345781116234452[Ethiopia]&gt;0, C101-Table_146345781116234452[Ethiopia], 0)</f>
        <v>442.4234979303273</v>
      </c>
      <c r="I101" s="29">
        <f>IF(C101-Table_146345781116234452[Kenya]&gt;0, C101-Table_146345781116234452[Kenya], 0)</f>
        <v>70.548290584775188</v>
      </c>
      <c r="J101" s="29">
        <f>IF(C101-Table_146345781116234452[Rwanda]&gt;0, C101-Table_146345781116234452[Rwanda], 0)</f>
        <v>10.67345851765155</v>
      </c>
      <c r="K101" s="29">
        <f>IF(C101-Table_146345781116234452[Sudan]&gt;0, C101-Table_146345781116234452[Sudan], 0)</f>
        <v>79.520096772347614</v>
      </c>
      <c r="L101" s="29">
        <f>IF(C101-Table_146345781116234452[S. Sudan]&gt;0, C101-Table_146345781116234452[S. Sudan], 0)</f>
        <v>669.5917733467943</v>
      </c>
      <c r="M101" s="29">
        <f>IF(C101-Table_146345781116234452[Tanzania]&gt;0, C101-Table_146345781116234452[Tanzania], 0)</f>
        <v>131.05428862260598</v>
      </c>
      <c r="N101" s="29">
        <f>IF(C101-Table_146345781116234452[Uganda]&gt;0, C101-Table_146345781116234452[Uganda], 0)</f>
        <v>308.9550550220066</v>
      </c>
      <c r="P101" s="21" t="s">
        <v>4</v>
      </c>
      <c r="Q101" s="97">
        <f t="shared" si="12"/>
        <v>2.2052009537405467E-4</v>
      </c>
      <c r="R101" s="97">
        <f t="shared" si="11"/>
        <v>2.2052009537405467E-4</v>
      </c>
      <c r="S101" s="97">
        <f t="shared" si="11"/>
        <v>2.2052009537405467E-4</v>
      </c>
      <c r="T101" s="97">
        <f t="shared" si="11"/>
        <v>2.2052009537405467E-4</v>
      </c>
      <c r="U101" s="97">
        <f t="shared" si="11"/>
        <v>2.2052009537405467E-4</v>
      </c>
      <c r="V101" s="97">
        <f t="shared" si="11"/>
        <v>2.2052009537405467E-4</v>
      </c>
      <c r="W101" s="97">
        <f t="shared" si="11"/>
        <v>2.2052009537405467E-4</v>
      </c>
      <c r="X101" s="97">
        <f t="shared" si="11"/>
        <v>2.2052009537405467E-4</v>
      </c>
      <c r="Y101" s="97">
        <f t="shared" si="11"/>
        <v>0.22579709138471404</v>
      </c>
      <c r="Z101" s="97">
        <f t="shared" si="11"/>
        <v>2.2052009537405467E-4</v>
      </c>
      <c r="AA101" s="97">
        <f t="shared" si="11"/>
        <v>2.2052009537405467E-4</v>
      </c>
    </row>
    <row r="102" spans="2:31" ht="12.75" customHeight="1" x14ac:dyDescent="0.25">
      <c r="B102" s="21" t="s">
        <v>4</v>
      </c>
      <c r="C102" s="95">
        <f>Annual_sorted!G213</f>
        <v>-455.81359319957573</v>
      </c>
      <c r="D102" s="29">
        <f>IF(C102-Table_146345781116234452[Burundi]&gt;0, C102-Table_146345781116234452[Burundi], 0)</f>
        <v>0</v>
      </c>
      <c r="E102" s="29">
        <f>IF(C102-Table_146345781116234452[DRC]&gt;0, C102-Table_146345781116234452[DRC], 0)</f>
        <v>0</v>
      </c>
      <c r="F102" s="29">
        <f>IF(C102-Table_146345781116234452[Egypt]&gt;0, C102-Table_146345781116234452[Egypt], 0)</f>
        <v>0</v>
      </c>
      <c r="G102" s="29">
        <f>IF(C102-Table_146345781116234452[Eritrea]&gt;0, C102-Table_146345781116234452[Eritrea], 0)</f>
        <v>0</v>
      </c>
      <c r="H102" s="29">
        <f>IF(C102-Table_146345781116234452[Ethiopia]&gt;0, C102-Table_146345781116234452[Ethiopia], 0)</f>
        <v>0</v>
      </c>
      <c r="I102" s="29">
        <f>IF(C102-Table_146345781116234452[Kenya]&gt;0, C102-Table_146345781116234452[Kenya], 0)</f>
        <v>0</v>
      </c>
      <c r="J102" s="29">
        <f>IF(C102-Table_146345781116234452[Rwanda]&gt;0, C102-Table_146345781116234452[Rwanda], 0)</f>
        <v>0</v>
      </c>
      <c r="K102" s="29">
        <f>IF(C102-Table_146345781116234452[Sudan]&gt;0, C102-Table_146345781116234452[Sudan], 0)</f>
        <v>0</v>
      </c>
      <c r="L102" s="29">
        <f>IF(C102-Table_146345781116234452[S. Sudan]&gt;0, C102-Table_146345781116234452[S. Sudan], 0)</f>
        <v>227.16827541646705</v>
      </c>
      <c r="M102" s="29">
        <f>IF(C102-Table_146345781116234452[Tanzania]&gt;0, C102-Table_146345781116234452[Tanzania], 0)</f>
        <v>0</v>
      </c>
      <c r="N102" s="29">
        <f>IF(C102-Table_146345781116234452[Uganda]&gt;0, C102-Table_146345781116234452[Uganda], 0)</f>
        <v>0</v>
      </c>
      <c r="P102" s="21" t="s">
        <v>5</v>
      </c>
      <c r="Q102" s="97">
        <f t="shared" si="12"/>
        <v>2.2052009537405467E-4</v>
      </c>
      <c r="R102" s="97">
        <f t="shared" si="11"/>
        <v>2.2052009537405467E-4</v>
      </c>
      <c r="S102" s="97">
        <f t="shared" si="11"/>
        <v>2.2052009537405467E-4</v>
      </c>
      <c r="T102" s="97">
        <f t="shared" si="11"/>
        <v>2.2052009537405467E-4</v>
      </c>
      <c r="U102" s="97">
        <f t="shared" si="11"/>
        <v>0.36949010259642273</v>
      </c>
      <c r="V102" s="97">
        <f t="shared" si="11"/>
        <v>2.2052009537405467E-4</v>
      </c>
      <c r="W102" s="97">
        <f t="shared" si="11"/>
        <v>2.2052009537405467E-4</v>
      </c>
      <c r="X102" s="97">
        <f t="shared" si="11"/>
        <v>9.1294633637718607E-3</v>
      </c>
      <c r="Y102" s="97">
        <f t="shared" si="11"/>
        <v>0.59506667388576273</v>
      </c>
      <c r="Z102" s="97">
        <f t="shared" si="11"/>
        <v>6.0302569645608164E-2</v>
      </c>
      <c r="AA102" s="97">
        <f t="shared" si="11"/>
        <v>0.23695683547807059</v>
      </c>
    </row>
    <row r="103" spans="2:31" ht="12.75" customHeight="1" x14ac:dyDescent="0.25">
      <c r="B103" s="21" t="s">
        <v>5</v>
      </c>
      <c r="C103" s="95">
        <f>Annual_sorted!G214</f>
        <v>-83.93838585402365</v>
      </c>
      <c r="D103" s="29">
        <f>IF(C103-Table_146345781116234452[Burundi]&gt;0, C103-Table_146345781116234452[Burundi], 0)</f>
        <v>0</v>
      </c>
      <c r="E103" s="29">
        <f>IF(C103-Table_146345781116234452[DRC]&gt;0, C103-Table_146345781116234452[DRC], 0)</f>
        <v>0</v>
      </c>
      <c r="F103" s="29">
        <f>IF(C103-Table_146345781116234452[Egypt]&gt;0, C103-Table_146345781116234452[Egypt], 0)</f>
        <v>0</v>
      </c>
      <c r="G103" s="29">
        <f>IF(C103-Table_146345781116234452[Eritrea]&gt;0, C103-Table_146345781116234452[Eritrea], 0)</f>
        <v>0</v>
      </c>
      <c r="H103" s="29">
        <f>IF(C103-Table_146345781116234452[Ethiopia]&gt;0, C103-Table_146345781116234452[Ethiopia], 0)</f>
        <v>371.8752073455521</v>
      </c>
      <c r="I103" s="29">
        <f>IF(C103-Table_146345781116234452[Kenya]&gt;0, C103-Table_146345781116234452[Kenya], 0)</f>
        <v>0</v>
      </c>
      <c r="J103" s="29">
        <f>IF(C103-Table_146345781116234452[Rwanda]&gt;0, C103-Table_146345781116234452[Rwanda], 0)</f>
        <v>0</v>
      </c>
      <c r="K103" s="29">
        <f>IF(C103-Table_146345781116234452[Sudan]&gt;0, C103-Table_146345781116234452[Sudan], 0)</f>
        <v>8.971806187572426</v>
      </c>
      <c r="L103" s="29">
        <f>IF(C103-Table_146345781116234452[S. Sudan]&gt;0, C103-Table_146345781116234452[S. Sudan], 0)</f>
        <v>599.04348276201915</v>
      </c>
      <c r="M103" s="29">
        <f>IF(C103-Table_146345781116234452[Tanzania]&gt;0, C103-Table_146345781116234452[Tanzania], 0)</f>
        <v>60.505998037830793</v>
      </c>
      <c r="N103" s="29">
        <f>IF(C103-Table_146345781116234452[Uganda]&gt;0, C103-Table_146345781116234452[Uganda], 0)</f>
        <v>238.4067644372314</v>
      </c>
      <c r="P103" s="21" t="s">
        <v>6</v>
      </c>
      <c r="Q103" s="97">
        <f t="shared" si="12"/>
        <v>2.2052009537405467E-4</v>
      </c>
      <c r="R103" s="97">
        <f t="shared" si="11"/>
        <v>2.2052009537405467E-4</v>
      </c>
      <c r="S103" s="97">
        <f t="shared" si="11"/>
        <v>2.2052009537405467E-4</v>
      </c>
      <c r="T103" s="97">
        <f t="shared" si="11"/>
        <v>2.2052009537405467E-4</v>
      </c>
      <c r="U103" s="97">
        <f t="shared" si="11"/>
        <v>0.4289454085781475</v>
      </c>
      <c r="V103" s="97">
        <f t="shared" si="11"/>
        <v>5.9675826077098842E-2</v>
      </c>
      <c r="W103" s="97">
        <f t="shared" si="11"/>
        <v>2.2052009537405467E-4</v>
      </c>
      <c r="X103" s="97">
        <f t="shared" si="11"/>
        <v>6.8584769345496635E-2</v>
      </c>
      <c r="Y103" s="97">
        <f t="shared" si="11"/>
        <v>0.6545219798674875</v>
      </c>
      <c r="Z103" s="97">
        <f t="shared" si="11"/>
        <v>0.11975787562733295</v>
      </c>
      <c r="AA103" s="97">
        <f t="shared" si="11"/>
        <v>0.29641214145979539</v>
      </c>
    </row>
    <row r="104" spans="2:31" ht="12.75" customHeight="1" x14ac:dyDescent="0.25">
      <c r="B104" s="21" t="s">
        <v>6</v>
      </c>
      <c r="C104" s="95">
        <f>Annual_sorted!G215</f>
        <v>-24.063553786900009</v>
      </c>
      <c r="D104" s="29">
        <f>IF(C104-Table_146345781116234452[Burundi]&gt;0, C104-Table_146345781116234452[Burundi], 0)</f>
        <v>0</v>
      </c>
      <c r="E104" s="29">
        <f>IF(C104-Table_146345781116234452[DRC]&gt;0, C104-Table_146345781116234452[DRC], 0)</f>
        <v>0</v>
      </c>
      <c r="F104" s="29">
        <f>IF(C104-Table_146345781116234452[Egypt]&gt;0, C104-Table_146345781116234452[Egypt], 0)</f>
        <v>0</v>
      </c>
      <c r="G104" s="29">
        <f>IF(C104-Table_146345781116234452[Eritrea]&gt;0, C104-Table_146345781116234452[Eritrea], 0)</f>
        <v>0</v>
      </c>
      <c r="H104" s="29">
        <f>IF(C104-Table_146345781116234452[Ethiopia]&gt;0, C104-Table_146345781116234452[Ethiopia], 0)</f>
        <v>431.75003941267573</v>
      </c>
      <c r="I104" s="29">
        <f>IF(C104-Table_146345781116234452[Kenya]&gt;0, C104-Table_146345781116234452[Kenya], 0)</f>
        <v>59.874832067123641</v>
      </c>
      <c r="J104" s="29">
        <f>IF(C104-Table_146345781116234452[Rwanda]&gt;0, C104-Table_146345781116234452[Rwanda], 0)</f>
        <v>0</v>
      </c>
      <c r="K104" s="29">
        <f>IF(C104-Table_146345781116234452[Sudan]&gt;0, C104-Table_146345781116234452[Sudan], 0)</f>
        <v>68.846638254696074</v>
      </c>
      <c r="L104" s="29">
        <f>IF(C104-Table_146345781116234452[S. Sudan]&gt;0, C104-Table_146345781116234452[S. Sudan], 0)</f>
        <v>658.91831482914279</v>
      </c>
      <c r="M104" s="29">
        <f>IF(C104-Table_146345781116234452[Tanzania]&gt;0, C104-Table_146345781116234452[Tanzania], 0)</f>
        <v>120.38083010495444</v>
      </c>
      <c r="N104" s="29">
        <f>IF(C104-Table_146345781116234452[Uganda]&gt;0, C104-Table_146345781116234452[Uganda], 0)</f>
        <v>298.28159650435504</v>
      </c>
      <c r="P104" s="21" t="s">
        <v>7</v>
      </c>
      <c r="Q104" s="97">
        <f t="shared" si="12"/>
        <v>2.2052009537405467E-4</v>
      </c>
      <c r="R104" s="97">
        <f t="shared" si="11"/>
        <v>2.2052009537405467E-4</v>
      </c>
      <c r="S104" s="97">
        <f t="shared" si="11"/>
        <v>2.2052009537405467E-4</v>
      </c>
      <c r="T104" s="97">
        <f t="shared" si="11"/>
        <v>2.2052009537405467E-4</v>
      </c>
      <c r="U104" s="97">
        <f t="shared" si="11"/>
        <v>0.36058115932802487</v>
      </c>
      <c r="V104" s="97">
        <f t="shared" si="11"/>
        <v>2.2052009537405467E-4</v>
      </c>
      <c r="W104" s="97">
        <f t="shared" si="11"/>
        <v>2.2052009537405467E-4</v>
      </c>
      <c r="X104" s="97">
        <f t="shared" si="11"/>
        <v>2.2052009537405467E-4</v>
      </c>
      <c r="Y104" s="97">
        <f t="shared" si="11"/>
        <v>0.58615773061736487</v>
      </c>
      <c r="Z104" s="97">
        <f t="shared" si="11"/>
        <v>5.1393626377210358E-2</v>
      </c>
      <c r="AA104" s="97">
        <f t="shared" si="11"/>
        <v>0.22804789220967278</v>
      </c>
    </row>
    <row r="105" spans="2:31" ht="12.75" customHeight="1" x14ac:dyDescent="0.25">
      <c r="B105" s="21" t="s">
        <v>7</v>
      </c>
      <c r="C105" s="95">
        <f>Annual_sorted!G216</f>
        <v>-92.910192041596076</v>
      </c>
      <c r="D105" s="29">
        <f>IF(C105-Table_146345781116234452[Burundi]&gt;0, C105-Table_146345781116234452[Burundi], 0)</f>
        <v>0</v>
      </c>
      <c r="E105" s="29">
        <f>IF(C105-Table_146345781116234452[DRC]&gt;0, C105-Table_146345781116234452[DRC], 0)</f>
        <v>0</v>
      </c>
      <c r="F105" s="29">
        <f>IF(C105-Table_146345781116234452[Egypt]&gt;0, C105-Table_146345781116234452[Egypt], 0)</f>
        <v>0</v>
      </c>
      <c r="G105" s="29">
        <f>IF(C105-Table_146345781116234452[Eritrea]&gt;0, C105-Table_146345781116234452[Eritrea], 0)</f>
        <v>0</v>
      </c>
      <c r="H105" s="29">
        <f>IF(C105-Table_146345781116234452[Ethiopia]&gt;0, C105-Table_146345781116234452[Ethiopia], 0)</f>
        <v>362.90340115797966</v>
      </c>
      <c r="I105" s="29">
        <f>IF(C105-Table_146345781116234452[Kenya]&gt;0, C105-Table_146345781116234452[Kenya], 0)</f>
        <v>0</v>
      </c>
      <c r="J105" s="29">
        <f>IF(C105-Table_146345781116234452[Rwanda]&gt;0, C105-Table_146345781116234452[Rwanda], 0)</f>
        <v>0</v>
      </c>
      <c r="K105" s="29">
        <f>IF(C105-Table_146345781116234452[Sudan]&gt;0, C105-Table_146345781116234452[Sudan], 0)</f>
        <v>0</v>
      </c>
      <c r="L105" s="29">
        <f>IF(C105-Table_146345781116234452[S. Sudan]&gt;0, C105-Table_146345781116234452[S. Sudan], 0)</f>
        <v>590.07167657444666</v>
      </c>
      <c r="M105" s="29">
        <f>IF(C105-Table_146345781116234452[Tanzania]&gt;0, C105-Table_146345781116234452[Tanzania], 0)</f>
        <v>51.534191850258367</v>
      </c>
      <c r="N105" s="29">
        <f>IF(C105-Table_146345781116234452[Uganda]&gt;0, C105-Table_146345781116234452[Uganda], 0)</f>
        <v>229.43495824965896</v>
      </c>
      <c r="P105" s="21" t="s">
        <v>8</v>
      </c>
      <c r="Q105" s="97">
        <f t="shared" si="12"/>
        <v>2.2052009537405467E-4</v>
      </c>
      <c r="R105" s="97">
        <f t="shared" si="11"/>
        <v>2.2052009537405467E-4</v>
      </c>
      <c r="S105" s="97">
        <f t="shared" si="11"/>
        <v>2.2052009537405467E-4</v>
      </c>
      <c r="T105" s="97">
        <f t="shared" si="11"/>
        <v>2.2052009537405467E-4</v>
      </c>
      <c r="U105" s="97">
        <f t="shared" si="11"/>
        <v>2.2052009537405467E-4</v>
      </c>
      <c r="V105" s="97">
        <f t="shared" si="11"/>
        <v>2.2052009537405467E-4</v>
      </c>
      <c r="W105" s="97">
        <f t="shared" si="11"/>
        <v>2.2052009537405467E-4</v>
      </c>
      <c r="X105" s="97">
        <f t="shared" si="11"/>
        <v>2.2052009537405467E-4</v>
      </c>
      <c r="Y105" s="97">
        <f t="shared" si="11"/>
        <v>2.2052009537405467E-4</v>
      </c>
      <c r="Z105" s="97">
        <f t="shared" si="11"/>
        <v>2.2052009537405467E-4</v>
      </c>
      <c r="AA105" s="97">
        <f t="shared" si="11"/>
        <v>2.2052009537405467E-4</v>
      </c>
    </row>
    <row r="106" spans="2:31" ht="12.75" customHeight="1" x14ac:dyDescent="0.25">
      <c r="B106" s="21" t="s">
        <v>8</v>
      </c>
      <c r="C106" s="95">
        <f>Annual_sorted!G217</f>
        <v>-682.98186861604279</v>
      </c>
      <c r="D106" s="29">
        <f>IF(C106-Table_146345781116234452[Burundi]&gt;0, C106-Table_146345781116234452[Burundi], 0)</f>
        <v>0</v>
      </c>
      <c r="E106" s="29">
        <f>IF(C106-Table_146345781116234452[DRC]&gt;0, C106-Table_146345781116234452[DRC], 0)</f>
        <v>0</v>
      </c>
      <c r="F106" s="29">
        <f>IF(C106-Table_146345781116234452[Egypt]&gt;0, C106-Table_146345781116234452[Egypt], 0)</f>
        <v>0</v>
      </c>
      <c r="G106" s="29">
        <f>IF(C106-Table_146345781116234452[Eritrea]&gt;0, C106-Table_146345781116234452[Eritrea], 0)</f>
        <v>0</v>
      </c>
      <c r="H106" s="29">
        <f>IF(C106-Table_146345781116234452[Ethiopia]&gt;0, C106-Table_146345781116234452[Ethiopia], 0)</f>
        <v>0</v>
      </c>
      <c r="I106" s="29">
        <f>IF(C106-Table_146345781116234452[Kenya]&gt;0, C106-Table_146345781116234452[Kenya], 0)</f>
        <v>0</v>
      </c>
      <c r="J106" s="29">
        <f>IF(C106-Table_146345781116234452[Rwanda]&gt;0, C106-Table_146345781116234452[Rwanda], 0)</f>
        <v>0</v>
      </c>
      <c r="K106" s="29">
        <f>IF(C106-Table_146345781116234452[Sudan]&gt;0, C106-Table_146345781116234452[Sudan], 0)</f>
        <v>0</v>
      </c>
      <c r="L106" s="29">
        <f>IF(C106-Table_146345781116234452[S. Sudan]&gt;0, C106-Table_146345781116234452[S. Sudan], 0)</f>
        <v>0</v>
      </c>
      <c r="M106" s="29">
        <f>IF(C106-Table_146345781116234452[Tanzania]&gt;0, C106-Table_146345781116234452[Tanzania], 0)</f>
        <v>0</v>
      </c>
      <c r="N106" s="29">
        <f>IF(C106-Table_146345781116234452[Uganda]&gt;0, C106-Table_146345781116234452[Uganda], 0)</f>
        <v>0</v>
      </c>
      <c r="P106" s="21" t="s">
        <v>9</v>
      </c>
      <c r="Q106" s="97">
        <f t="shared" si="12"/>
        <v>2.2052009537405467E-4</v>
      </c>
      <c r="R106" s="97">
        <f t="shared" si="11"/>
        <v>2.2052009537405467E-4</v>
      </c>
      <c r="S106" s="97">
        <f t="shared" si="11"/>
        <v>2.2052009537405467E-4</v>
      </c>
      <c r="T106" s="97">
        <f t="shared" si="11"/>
        <v>2.2052009537405467E-4</v>
      </c>
      <c r="U106" s="97">
        <f t="shared" si="11"/>
        <v>0.30940805304618857</v>
      </c>
      <c r="V106" s="97">
        <f t="shared" si="11"/>
        <v>2.2052009537405467E-4</v>
      </c>
      <c r="W106" s="97">
        <f t="shared" si="11"/>
        <v>2.2052009537405467E-4</v>
      </c>
      <c r="X106" s="97">
        <f t="shared" si="11"/>
        <v>2.2052009537405467E-4</v>
      </c>
      <c r="Y106" s="97">
        <f t="shared" si="11"/>
        <v>0.53498462433552851</v>
      </c>
      <c r="Z106" s="97">
        <f t="shared" si="11"/>
        <v>2.2052009537405467E-4</v>
      </c>
      <c r="AA106" s="97">
        <f t="shared" si="11"/>
        <v>0.17687478592783645</v>
      </c>
    </row>
    <row r="107" spans="2:31" ht="12.75" customHeight="1" thickBot="1" x14ac:dyDescent="0.3">
      <c r="B107" s="21" t="s">
        <v>9</v>
      </c>
      <c r="C107" s="95">
        <f>Annual_sorted!G218</f>
        <v>-144.44438389185444</v>
      </c>
      <c r="D107" s="29">
        <f>IF(C107-Table_146345781116234452[Burundi]&gt;0, C107-Table_146345781116234452[Burundi], 0)</f>
        <v>0</v>
      </c>
      <c r="E107" s="29">
        <f>IF(C107-Table_146345781116234452[DRC]&gt;0, C107-Table_146345781116234452[DRC], 0)</f>
        <v>0</v>
      </c>
      <c r="F107" s="29">
        <f>IF(C107-Table_146345781116234452[Egypt]&gt;0, C107-Table_146345781116234452[Egypt], 0)</f>
        <v>0</v>
      </c>
      <c r="G107" s="29">
        <f>IF(C107-Table_146345781116234452[Eritrea]&gt;0, C107-Table_146345781116234452[Eritrea], 0)</f>
        <v>0</v>
      </c>
      <c r="H107" s="29">
        <f>IF(C107-Table_146345781116234452[Ethiopia]&gt;0, C107-Table_146345781116234452[Ethiopia], 0)</f>
        <v>311.36920930772129</v>
      </c>
      <c r="I107" s="29">
        <f>IF(C107-Table_146345781116234452[Kenya]&gt;0, C107-Table_146345781116234452[Kenya], 0)</f>
        <v>0</v>
      </c>
      <c r="J107" s="29">
        <f>IF(C107-Table_146345781116234452[Rwanda]&gt;0, C107-Table_146345781116234452[Rwanda], 0)</f>
        <v>0</v>
      </c>
      <c r="K107" s="29">
        <f>IF(C107-Table_146345781116234452[Sudan]&gt;0, C107-Table_146345781116234452[Sudan], 0)</f>
        <v>0</v>
      </c>
      <c r="L107" s="29">
        <f>IF(C107-Table_146345781116234452[S. Sudan]&gt;0, C107-Table_146345781116234452[S. Sudan], 0)</f>
        <v>538.53748472418829</v>
      </c>
      <c r="M107" s="29">
        <f>IF(C107-Table_146345781116234452[Tanzania]&gt;0, C107-Table_146345781116234452[Tanzania], 0)</f>
        <v>0</v>
      </c>
      <c r="N107" s="29">
        <f>IF(C107-Table_146345781116234452[Uganda]&gt;0, C107-Table_146345781116234452[Uganda], 0)</f>
        <v>177.9007663994006</v>
      </c>
      <c r="P107" s="22" t="s">
        <v>10</v>
      </c>
      <c r="Q107" s="98">
        <f t="shared" si="12"/>
        <v>2.2052009537405467E-4</v>
      </c>
      <c r="R107" s="98">
        <f t="shared" si="11"/>
        <v>2.2052009537405467E-4</v>
      </c>
      <c r="S107" s="98">
        <f t="shared" si="11"/>
        <v>2.2052009537405467E-4</v>
      </c>
      <c r="T107" s="98">
        <f t="shared" si="11"/>
        <v>2.2052009537405467E-4</v>
      </c>
      <c r="U107" s="98">
        <f t="shared" si="11"/>
        <v>0.13275378721372616</v>
      </c>
      <c r="V107" s="98">
        <f t="shared" si="11"/>
        <v>2.2052009537405467E-4</v>
      </c>
      <c r="W107" s="98">
        <f t="shared" si="11"/>
        <v>2.2052009537405467E-4</v>
      </c>
      <c r="X107" s="98">
        <f t="shared" si="11"/>
        <v>2.2052009537405467E-4</v>
      </c>
      <c r="Y107" s="98">
        <f t="shared" si="11"/>
        <v>0.3583303585030661</v>
      </c>
      <c r="Z107" s="98">
        <f t="shared" si="11"/>
        <v>2.2052009537405467E-4</v>
      </c>
      <c r="AA107" s="98">
        <f t="shared" si="11"/>
        <v>2.2052009537405467E-4</v>
      </c>
      <c r="AB107" s="186">
        <f>SUM(Q97:AA107)</f>
        <v>15.986235353804533</v>
      </c>
    </row>
    <row r="108" spans="2:31" ht="12.75" customHeight="1" thickBot="1" x14ac:dyDescent="0.3">
      <c r="B108" s="22" t="s">
        <v>10</v>
      </c>
      <c r="C108" s="96">
        <f>Annual_sorted!G219</f>
        <v>-322.34515029125504</v>
      </c>
      <c r="D108" s="32">
        <f>IF(C108-Table_146345781116234452[Burundi]&gt;0, C108-Table_146345781116234452[Burundi], 0)</f>
        <v>0</v>
      </c>
      <c r="E108" s="32">
        <f>IF(C108-Table_146345781116234452[DRC]&gt;0, C108-Table_146345781116234452[DRC], 0)</f>
        <v>0</v>
      </c>
      <c r="F108" s="32">
        <f>IF(C108-Table_146345781116234452[Egypt]&gt;0, C108-Table_146345781116234452[Egypt], 0)</f>
        <v>0</v>
      </c>
      <c r="G108" s="32">
        <f>IF(C108-Table_146345781116234452[Eritrea]&gt;0, C108-Table_146345781116234452[Eritrea], 0)</f>
        <v>0</v>
      </c>
      <c r="H108" s="32">
        <f>IF(C108-Table_146345781116234452[Ethiopia]&gt;0, C108-Table_146345781116234452[Ethiopia], 0)</f>
        <v>133.4684429083207</v>
      </c>
      <c r="I108" s="32">
        <f>IF(C108-Table_146345781116234452[Kenya]&gt;0, C108-Table_146345781116234452[Kenya], 0)</f>
        <v>0</v>
      </c>
      <c r="J108" s="32">
        <f>IF(C108-Table_146345781116234452[Rwanda]&gt;0, C108-Table_146345781116234452[Rwanda], 0)</f>
        <v>0</v>
      </c>
      <c r="K108" s="32">
        <f>IF(C108-Table_146345781116234452[Sudan]&gt;0, C108-Table_146345781116234452[Sudan], 0)</f>
        <v>0</v>
      </c>
      <c r="L108" s="32">
        <f>IF(C108-Table_146345781116234452[S. Sudan]&gt;0, C108-Table_146345781116234452[S. Sudan], 0)</f>
        <v>360.63671832478775</v>
      </c>
      <c r="M108" s="32">
        <f>IF(C108-Table_146345781116234452[Tanzania]&gt;0, C108-Table_146345781116234452[Tanzania], 0)</f>
        <v>0</v>
      </c>
      <c r="N108" s="32">
        <f>IF(C108-Table_146345781116234452[Uganda]&gt;0, C108-Table_146345781116234452[Uganda], 0)</f>
        <v>0</v>
      </c>
      <c r="Y108" s="186">
        <f>SUM(Y97:Y107)</f>
        <v>5.9386936651502289</v>
      </c>
    </row>
    <row r="109" spans="2:31" ht="12.75" customHeight="1" x14ac:dyDescent="0.25"/>
    <row r="110" spans="2:31" ht="12.75" customHeight="1" x14ac:dyDescent="0.25"/>
    <row r="111" spans="2:31" ht="12.75" customHeight="1" x14ac:dyDescent="0.25">
      <c r="B111" s="5"/>
      <c r="C111" s="5"/>
      <c r="D111" s="5"/>
      <c r="E111" s="5"/>
      <c r="F111" s="5"/>
      <c r="G111" s="5"/>
      <c r="H111" s="5"/>
      <c r="I111" s="5"/>
      <c r="J111" s="5"/>
      <c r="K111" s="5"/>
      <c r="L111" s="5"/>
      <c r="M111" s="5"/>
      <c r="N111" s="5"/>
    </row>
    <row r="112" spans="2:31" ht="12.75" customHeight="1" x14ac:dyDescent="0.25">
      <c r="B112" s="5"/>
      <c r="C112" s="5"/>
      <c r="D112" s="5"/>
      <c r="E112" s="5"/>
      <c r="F112" s="5"/>
      <c r="G112" s="5"/>
      <c r="H112" s="5"/>
      <c r="I112" s="5"/>
      <c r="J112" s="5"/>
      <c r="K112" s="5"/>
      <c r="L112" s="5"/>
      <c r="M112" s="5"/>
      <c r="N112" s="5"/>
      <c r="P112" s="5"/>
      <c r="Q112" s="5"/>
      <c r="R112" s="5"/>
      <c r="S112" s="5"/>
      <c r="T112" s="5"/>
      <c r="U112" s="5"/>
      <c r="V112" s="5"/>
      <c r="W112" s="5"/>
      <c r="X112" s="5"/>
      <c r="Y112" s="5"/>
      <c r="Z112" s="5"/>
      <c r="AA112" s="5"/>
    </row>
    <row r="113" spans="2:31" ht="12.75" customHeight="1" thickBot="1" x14ac:dyDescent="0.3">
      <c r="B113" s="253" t="s">
        <v>86</v>
      </c>
      <c r="C113" s="253"/>
      <c r="D113" s="253"/>
      <c r="E113" s="253"/>
      <c r="F113" s="253"/>
      <c r="G113" s="253"/>
      <c r="H113" s="253"/>
      <c r="I113" s="253"/>
      <c r="J113" s="253"/>
      <c r="K113" s="253"/>
      <c r="L113" s="253"/>
      <c r="M113" s="253"/>
      <c r="N113" s="253"/>
      <c r="P113" s="253" t="s">
        <v>88</v>
      </c>
      <c r="Q113" s="253"/>
      <c r="R113" s="253"/>
      <c r="S113" s="253"/>
      <c r="T113" s="253"/>
      <c r="U113" s="253"/>
      <c r="V113" s="253"/>
      <c r="W113" s="253"/>
      <c r="X113" s="253"/>
      <c r="Y113" s="253"/>
      <c r="Z113" s="253"/>
      <c r="AA113" s="253"/>
      <c r="AB113" s="10"/>
      <c r="AC113" s="3" t="s">
        <v>22</v>
      </c>
      <c r="AD113" s="13" t="s">
        <v>23</v>
      </c>
      <c r="AE113" s="74">
        <f t="array" ref="AE113">MIN(IF(D116:N126&gt;0,D116:N126))</f>
        <v>0.38748508138197835</v>
      </c>
    </row>
    <row r="114" spans="2:31" ht="12.75" customHeight="1" thickBot="1" x14ac:dyDescent="0.3">
      <c r="B114" s="75" t="s">
        <v>13</v>
      </c>
      <c r="C114" s="66" t="s">
        <v>14</v>
      </c>
      <c r="D114" s="67" t="s">
        <v>1</v>
      </c>
      <c r="E114" s="67" t="s">
        <v>195</v>
      </c>
      <c r="F114" s="67" t="s">
        <v>2</v>
      </c>
      <c r="G114" s="67" t="s">
        <v>3</v>
      </c>
      <c r="H114" s="67" t="s">
        <v>4</v>
      </c>
      <c r="I114" s="67" t="s">
        <v>5</v>
      </c>
      <c r="J114" s="67" t="s">
        <v>6</v>
      </c>
      <c r="K114" s="67" t="s">
        <v>7</v>
      </c>
      <c r="L114" s="67" t="s">
        <v>295</v>
      </c>
      <c r="M114" s="67" t="s">
        <v>9</v>
      </c>
      <c r="N114" s="67" t="s">
        <v>10</v>
      </c>
      <c r="P114" s="76" t="s">
        <v>19</v>
      </c>
      <c r="Q114" s="77" t="s">
        <v>1</v>
      </c>
      <c r="R114" s="77" t="s">
        <v>195</v>
      </c>
      <c r="S114" s="77" t="s">
        <v>2</v>
      </c>
      <c r="T114" s="77" t="s">
        <v>3</v>
      </c>
      <c r="U114" s="77" t="s">
        <v>4</v>
      </c>
      <c r="V114" s="77" t="s">
        <v>5</v>
      </c>
      <c r="W114" s="77" t="s">
        <v>6</v>
      </c>
      <c r="X114" s="77" t="s">
        <v>7</v>
      </c>
      <c r="Y114" s="77" t="s">
        <v>295</v>
      </c>
      <c r="Z114" s="77" t="s">
        <v>9</v>
      </c>
      <c r="AA114" s="77" t="s">
        <v>10</v>
      </c>
      <c r="AB114" s="254" t="s">
        <v>26</v>
      </c>
      <c r="AC114" s="254"/>
      <c r="AD114" s="13" t="s">
        <v>24</v>
      </c>
      <c r="AE114" s="20">
        <f>MAX(D116:N126)</f>
        <v>426.5255504566328</v>
      </c>
    </row>
    <row r="115" spans="2:31" ht="12.75" customHeight="1" x14ac:dyDescent="0.25">
      <c r="B115" s="93"/>
      <c r="C115" s="94" t="s">
        <v>263</v>
      </c>
      <c r="D115" s="95">
        <f>C116</f>
        <v>-0.59603871471689596</v>
      </c>
      <c r="E115" s="95">
        <f>C117</f>
        <v>2.0527372830873034</v>
      </c>
      <c r="F115" s="95">
        <f>C118</f>
        <v>327.32968091907202</v>
      </c>
      <c r="G115" s="95">
        <f>C119</f>
        <v>-1.3214809881225456</v>
      </c>
      <c r="H115" s="95">
        <f>C120</f>
        <v>-99.195869537560753</v>
      </c>
      <c r="I115" s="95">
        <f>C121</f>
        <v>-23.70756998152978</v>
      </c>
      <c r="J115" s="95">
        <f>C122</f>
        <v>-2.3674554058016177</v>
      </c>
      <c r="K115" s="95">
        <f>C123</f>
        <v>299.65584925157799</v>
      </c>
      <c r="L115" s="95">
        <f>C124</f>
        <v>10.468507913800099</v>
      </c>
      <c r="M115" s="95">
        <f>C125</f>
        <v>-23.320084900147801</v>
      </c>
      <c r="N115" s="95">
        <f>C126</f>
        <v>-30.484039345074777</v>
      </c>
      <c r="P115" s="21" t="s">
        <v>1</v>
      </c>
      <c r="Q115" s="97">
        <f>$AE$115+(D116-$AE$113)*($AE$116-$AE$115)/($AE$114-$AE$113)</f>
        <v>9.1614601573497133E-5</v>
      </c>
      <c r="R115" s="97">
        <f t="shared" ref="R115:AA125" si="13">$AE$115+(E116-$AE$113)*($AE$116-$AE$115)/($AE$114-$AE$113)</f>
        <v>9.1614601573497133E-5</v>
      </c>
      <c r="S115" s="97">
        <f t="shared" si="13"/>
        <v>9.1614601573497133E-5</v>
      </c>
      <c r="T115" s="97">
        <f t="shared" si="13"/>
        <v>1.7922766405163667E-3</v>
      </c>
      <c r="U115" s="97">
        <f t="shared" si="13"/>
        <v>0.23124024692401643</v>
      </c>
      <c r="V115" s="97">
        <f t="shared" si="13"/>
        <v>5.4272223215391532E-2</v>
      </c>
      <c r="W115" s="97">
        <f t="shared" si="13"/>
        <v>4.2443655951635989E-3</v>
      </c>
      <c r="X115" s="97">
        <f t="shared" si="13"/>
        <v>9.1614601573497133E-5</v>
      </c>
      <c r="Y115" s="97">
        <f t="shared" si="13"/>
        <v>9.1614601573497133E-5</v>
      </c>
      <c r="Z115" s="97">
        <f t="shared" si="13"/>
        <v>5.3363837816965035E-2</v>
      </c>
      <c r="AA115" s="97">
        <f t="shared" si="13"/>
        <v>7.0158372433767893E-2</v>
      </c>
      <c r="AD115" s="3" t="s">
        <v>25</v>
      </c>
      <c r="AE115" s="2">
        <v>1E-3</v>
      </c>
    </row>
    <row r="116" spans="2:31" ht="12.75" customHeight="1" x14ac:dyDescent="0.25">
      <c r="B116" s="21" t="s">
        <v>1</v>
      </c>
      <c r="C116" s="95">
        <f>Annual_sorted!H209</f>
        <v>-0.59603871471689596</v>
      </c>
      <c r="D116" s="29">
        <f>IF(C116-Table_1463457811217224351[Burundi]&gt;0, C116-Table_1463457811217224351[Burundi], 0)</f>
        <v>0</v>
      </c>
      <c r="E116" s="29">
        <f>IF(C116-Table_1463457811217224351[DRC]&gt;0, C116-Table_1463457811217224351[DRC], 0)</f>
        <v>0</v>
      </c>
      <c r="F116" s="29">
        <f>IF(C116-Table_1463457811217224351[Egypt]&gt;0, C116-Table_1463457811217224351[Egypt], 0)</f>
        <v>0</v>
      </c>
      <c r="G116" s="29">
        <f>IF(C116-Table_1463457811217224351[Eritrea]&gt;0, C116-Table_1463457811217224351[Eritrea], 0)</f>
        <v>0.7254422734056496</v>
      </c>
      <c r="H116" s="29">
        <f>IF(C116-Table_1463457811217224351[Ethiopia]&gt;0, C116-Table_1463457811217224351[Ethiopia], 0)</f>
        <v>98.599830822843856</v>
      </c>
      <c r="I116" s="29">
        <f>IF(C116-Table_1463457811217224351[Kenya]&gt;0, C116-Table_1463457811217224351[Kenya], 0)</f>
        <v>23.111531266812882</v>
      </c>
      <c r="J116" s="29">
        <f>IF(C116-Table_1463457811217224351[Rwanda]&gt;0, C116-Table_1463457811217224351[Rwanda], 0)</f>
        <v>1.7714166910847218</v>
      </c>
      <c r="K116" s="29">
        <f>IF(C116-Table_1463457811217224351[Sudan]&gt;0, C116-Table_1463457811217224351[Sudan], 0)</f>
        <v>0</v>
      </c>
      <c r="L116" s="29">
        <f>IF(C116-Table_1463457811217224351[S. Sudan]&gt;0, C116-Table_1463457811217224351[S. Sudan], 0)</f>
        <v>0</v>
      </c>
      <c r="M116" s="29">
        <f>IF(C116-Table_1463457811217224351[Tanzania]&gt;0, C116-Table_1463457811217224351[Tanzania], 0)</f>
        <v>22.724046185430904</v>
      </c>
      <c r="N116" s="29">
        <f>IF(C116-Table_1463457811217224351[Uganda]&gt;0, C116-Table_1463457811217224351[Uganda], 0)</f>
        <v>29.88800063035788</v>
      </c>
      <c r="P116" s="21" t="s">
        <v>195</v>
      </c>
      <c r="Q116" s="97">
        <f t="shared" ref="Q116:Q125" si="14">$AE$115+(D117-$AE$113)*($AE$116-$AE$115)/($AE$114-$AE$113)</f>
        <v>6.3011683514274438E-3</v>
      </c>
      <c r="R116" s="97">
        <f t="shared" si="13"/>
        <v>9.1614601573497133E-5</v>
      </c>
      <c r="S116" s="97">
        <f t="shared" si="13"/>
        <v>9.1614601573497133E-5</v>
      </c>
      <c r="T116" s="97">
        <f t="shared" si="13"/>
        <v>8.0018303903703139E-3</v>
      </c>
      <c r="U116" s="97">
        <f t="shared" si="13"/>
        <v>0.23744980067387039</v>
      </c>
      <c r="V116" s="97">
        <f t="shared" si="13"/>
        <v>6.0481776965245482E-2</v>
      </c>
      <c r="W116" s="97">
        <f t="shared" si="13"/>
        <v>1.0453919345017545E-2</v>
      </c>
      <c r="X116" s="97">
        <f t="shared" si="13"/>
        <v>9.1614601573497133E-5</v>
      </c>
      <c r="Y116" s="97">
        <f t="shared" si="13"/>
        <v>9.1614601573497133E-5</v>
      </c>
      <c r="Z116" s="97">
        <f t="shared" si="13"/>
        <v>5.9573391566818984E-2</v>
      </c>
      <c r="AA116" s="97">
        <f t="shared" si="13"/>
        <v>7.6367926183621843E-2</v>
      </c>
      <c r="AD116" s="3" t="s">
        <v>70</v>
      </c>
      <c r="AE116" s="2">
        <v>1</v>
      </c>
    </row>
    <row r="117" spans="2:31" ht="12.75" customHeight="1" x14ac:dyDescent="0.25">
      <c r="B117" s="21" t="s">
        <v>195</v>
      </c>
      <c r="C117" s="95">
        <f>Annual_sorted!H210</f>
        <v>2.0527372830873034</v>
      </c>
      <c r="D117" s="29">
        <f>IF(C117-Table_1463457811217224351[Burundi]&gt;0, C117-Table_1463457811217224351[Burundi], 0)</f>
        <v>2.6487759978041994</v>
      </c>
      <c r="E117" s="29">
        <f>IF(C117-Table_1463457811217224351[DRC]&gt;0, C117-Table_1463457811217224351[DRC], 0)</f>
        <v>0</v>
      </c>
      <c r="F117" s="29">
        <f>IF(C117-Table_1463457811217224351[Egypt]&gt;0, C117-Table_1463457811217224351[Egypt], 0)</f>
        <v>0</v>
      </c>
      <c r="G117" s="29">
        <f>IF(C117-Table_1463457811217224351[Eritrea]&gt;0, C117-Table_1463457811217224351[Eritrea], 0)</f>
        <v>3.3742182712098492</v>
      </c>
      <c r="H117" s="29">
        <f>IF(C117-Table_1463457811217224351[Ethiopia]&gt;0, C117-Table_1463457811217224351[Ethiopia], 0)</f>
        <v>101.24860682064806</v>
      </c>
      <c r="I117" s="29">
        <f>IF(C117-Table_1463457811217224351[Kenya]&gt;0, C117-Table_1463457811217224351[Kenya], 0)</f>
        <v>25.760307264617083</v>
      </c>
      <c r="J117" s="29">
        <f>IF(C117-Table_1463457811217224351[Rwanda]&gt;0, C117-Table_1463457811217224351[Rwanda], 0)</f>
        <v>4.4201926888889211</v>
      </c>
      <c r="K117" s="29">
        <f>IF(C117-Table_1463457811217224351[Sudan]&gt;0, C117-Table_1463457811217224351[Sudan], 0)</f>
        <v>0</v>
      </c>
      <c r="L117" s="29">
        <f>IF(C117-Table_1463457811217224351[S. Sudan]&gt;0, C117-Table_1463457811217224351[S. Sudan], 0)</f>
        <v>0</v>
      </c>
      <c r="M117" s="29">
        <f>IF(C117-Table_1463457811217224351[Tanzania]&gt;0, C117-Table_1463457811217224351[Tanzania], 0)</f>
        <v>25.372822183235105</v>
      </c>
      <c r="N117" s="29">
        <f>IF(C117-Table_1463457811217224351[Uganda]&gt;0, C117-Table_1463457811217224351[Uganda], 0)</f>
        <v>32.53677662816208</v>
      </c>
      <c r="P117" s="21" t="s">
        <v>2</v>
      </c>
      <c r="Q117" s="97">
        <f t="shared" si="14"/>
        <v>0.76885136767755691</v>
      </c>
      <c r="R117" s="97">
        <f t="shared" si="13"/>
        <v>0.76264181392770303</v>
      </c>
      <c r="S117" s="97">
        <f t="shared" si="13"/>
        <v>9.1614601573497133E-5</v>
      </c>
      <c r="T117" s="97">
        <f t="shared" si="13"/>
        <v>0.77055202971649994</v>
      </c>
      <c r="U117" s="97">
        <f t="shared" si="13"/>
        <v>1</v>
      </c>
      <c r="V117" s="97">
        <f t="shared" si="13"/>
        <v>0.82303197629137503</v>
      </c>
      <c r="W117" s="97">
        <f t="shared" si="13"/>
        <v>0.77300411867114704</v>
      </c>
      <c r="X117" s="97">
        <f t="shared" si="13"/>
        <v>6.4967672579359967E-2</v>
      </c>
      <c r="Y117" s="97">
        <f t="shared" si="13"/>
        <v>0.74291263330949486</v>
      </c>
      <c r="Z117" s="97">
        <f t="shared" si="13"/>
        <v>0.8221235908929484</v>
      </c>
      <c r="AA117" s="97">
        <f t="shared" si="13"/>
        <v>0.83891812550975142</v>
      </c>
    </row>
    <row r="118" spans="2:31" ht="12.75" customHeight="1" x14ac:dyDescent="0.25">
      <c r="B118" s="21" t="s">
        <v>2</v>
      </c>
      <c r="C118" s="95">
        <f>Annual_sorted!H211</f>
        <v>327.32968091907202</v>
      </c>
      <c r="D118" s="29">
        <f>IF(C118-Table_1463457811217224351[Burundi]&gt;0, C118-Table_1463457811217224351[Burundi], 0)</f>
        <v>327.9257196337889</v>
      </c>
      <c r="E118" s="29">
        <f>IF(C118-Table_1463457811217224351[DRC]&gt;0, C118-Table_1463457811217224351[DRC], 0)</f>
        <v>325.27694363598471</v>
      </c>
      <c r="F118" s="29">
        <f>IF(C118-Table_1463457811217224351[Egypt]&gt;0, C118-Table_1463457811217224351[Egypt], 0)</f>
        <v>0</v>
      </c>
      <c r="G118" s="29">
        <f>IF(C118-Table_1463457811217224351[Eritrea]&gt;0, C118-Table_1463457811217224351[Eritrea], 0)</f>
        <v>328.65116190719459</v>
      </c>
      <c r="H118" s="29">
        <f>IF(C118-Table_1463457811217224351[Ethiopia]&gt;0, C118-Table_1463457811217224351[Ethiopia], 0)</f>
        <v>426.5255504566328</v>
      </c>
      <c r="I118" s="29">
        <f>IF(C118-Table_1463457811217224351[Kenya]&gt;0, C118-Table_1463457811217224351[Kenya], 0)</f>
        <v>351.0372509006018</v>
      </c>
      <c r="J118" s="29">
        <f>IF(C118-Table_1463457811217224351[Rwanda]&gt;0, C118-Table_1463457811217224351[Rwanda], 0)</f>
        <v>329.69713632487361</v>
      </c>
      <c r="K118" s="29">
        <f>IF(C118-Table_1463457811217224351[Sudan]&gt;0, C118-Table_1463457811217224351[Sudan], 0)</f>
        <v>27.673831667494028</v>
      </c>
      <c r="L118" s="29">
        <f>IF(C118-Table_1463457811217224351[S. Sudan]&gt;0, C118-Table_1463457811217224351[S. Sudan], 0)</f>
        <v>316.86117300527189</v>
      </c>
      <c r="M118" s="29">
        <f>IF(C118-Table_1463457811217224351[Tanzania]&gt;0, C118-Table_1463457811217224351[Tanzania], 0)</f>
        <v>350.64976581921979</v>
      </c>
      <c r="N118" s="29">
        <f>IF(C118-Table_1463457811217224351[Uganda]&gt;0, C118-Table_1463457811217224351[Uganda], 0)</f>
        <v>357.81372026414681</v>
      </c>
      <c r="P118" s="21" t="s">
        <v>3</v>
      </c>
      <c r="Q118" s="97">
        <f t="shared" si="14"/>
        <v>9.1614601573497133E-5</v>
      </c>
      <c r="R118" s="97">
        <f t="shared" si="13"/>
        <v>9.1614601573497133E-5</v>
      </c>
      <c r="S118" s="97">
        <f t="shared" si="13"/>
        <v>9.1614601573497133E-5</v>
      </c>
      <c r="T118" s="97">
        <f t="shared" si="13"/>
        <v>9.1614601573497133E-5</v>
      </c>
      <c r="U118" s="97">
        <f t="shared" si="13"/>
        <v>0.22953958488507359</v>
      </c>
      <c r="V118" s="97">
        <f t="shared" si="13"/>
        <v>5.2571561176448671E-2</v>
      </c>
      <c r="W118" s="97">
        <f t="shared" si="13"/>
        <v>2.5437035562207305E-3</v>
      </c>
      <c r="X118" s="97">
        <f t="shared" si="13"/>
        <v>9.1614601573497133E-5</v>
      </c>
      <c r="Y118" s="97">
        <f t="shared" si="13"/>
        <v>9.1614601573497133E-5</v>
      </c>
      <c r="Z118" s="97">
        <f t="shared" si="13"/>
        <v>5.1663175778022159E-2</v>
      </c>
      <c r="AA118" s="97">
        <f t="shared" si="13"/>
        <v>6.8457710394825025E-2</v>
      </c>
    </row>
    <row r="119" spans="2:31" ht="12.75" customHeight="1" x14ac:dyDescent="0.25">
      <c r="B119" s="21" t="s">
        <v>3</v>
      </c>
      <c r="C119" s="95">
        <f>Annual_sorted!H212</f>
        <v>-1.3214809881225456</v>
      </c>
      <c r="D119" s="29">
        <f>IF(C119-Table_1463457811217224351[Burundi]&gt;0, C119-Table_1463457811217224351[Burundi], 0)</f>
        <v>0</v>
      </c>
      <c r="E119" s="29">
        <f>IF(C119-Table_1463457811217224351[DRC]&gt;0, C119-Table_1463457811217224351[DRC], 0)</f>
        <v>0</v>
      </c>
      <c r="F119" s="29">
        <f>IF(C119-Table_1463457811217224351[Egypt]&gt;0, C119-Table_1463457811217224351[Egypt], 0)</f>
        <v>0</v>
      </c>
      <c r="G119" s="29">
        <f>IF(C119-Table_1463457811217224351[Eritrea]&gt;0, C119-Table_1463457811217224351[Eritrea], 0)</f>
        <v>0</v>
      </c>
      <c r="H119" s="29">
        <f>IF(C119-Table_1463457811217224351[Ethiopia]&gt;0, C119-Table_1463457811217224351[Ethiopia], 0)</f>
        <v>97.874388549438208</v>
      </c>
      <c r="I119" s="29">
        <f>IF(C119-Table_1463457811217224351[Kenya]&gt;0, C119-Table_1463457811217224351[Kenya], 0)</f>
        <v>22.386088993407235</v>
      </c>
      <c r="J119" s="29">
        <f>IF(C119-Table_1463457811217224351[Rwanda]&gt;0, C119-Table_1463457811217224351[Rwanda], 0)</f>
        <v>1.0459744176790722</v>
      </c>
      <c r="K119" s="29">
        <f>IF(C119-Table_1463457811217224351[Sudan]&gt;0, C119-Table_1463457811217224351[Sudan], 0)</f>
        <v>0</v>
      </c>
      <c r="L119" s="29">
        <f>IF(C119-Table_1463457811217224351[S. Sudan]&gt;0, C119-Table_1463457811217224351[S. Sudan], 0)</f>
        <v>0</v>
      </c>
      <c r="M119" s="29">
        <f>IF(C119-Table_1463457811217224351[Tanzania]&gt;0, C119-Table_1463457811217224351[Tanzania], 0)</f>
        <v>21.998603912025256</v>
      </c>
      <c r="N119" s="29">
        <f>IF(C119-Table_1463457811217224351[Uganda]&gt;0, C119-Table_1463457811217224351[Uganda], 0)</f>
        <v>29.162558356952232</v>
      </c>
      <c r="P119" s="21" t="s">
        <v>4</v>
      </c>
      <c r="Q119" s="97">
        <f t="shared" si="14"/>
        <v>9.1614601573497133E-5</v>
      </c>
      <c r="R119" s="97">
        <f t="shared" si="13"/>
        <v>9.1614601573497133E-5</v>
      </c>
      <c r="S119" s="97">
        <f t="shared" si="13"/>
        <v>9.1614601573497133E-5</v>
      </c>
      <c r="T119" s="97">
        <f t="shared" si="13"/>
        <v>9.1614601573497133E-5</v>
      </c>
      <c r="U119" s="97">
        <f t="shared" si="13"/>
        <v>9.1614601573497133E-5</v>
      </c>
      <c r="V119" s="97">
        <f t="shared" si="13"/>
        <v>9.1614601573497133E-5</v>
      </c>
      <c r="W119" s="97">
        <f t="shared" si="13"/>
        <v>9.1614601573497133E-5</v>
      </c>
      <c r="X119" s="97">
        <f t="shared" si="13"/>
        <v>9.1614601573497133E-5</v>
      </c>
      <c r="Y119" s="97">
        <f t="shared" si="13"/>
        <v>9.1614601573497133E-5</v>
      </c>
      <c r="Z119" s="97">
        <f t="shared" si="13"/>
        <v>9.1614601573497133E-5</v>
      </c>
      <c r="AA119" s="97">
        <f t="shared" si="13"/>
        <v>9.1614601573497133E-5</v>
      </c>
    </row>
    <row r="120" spans="2:31" ht="12.75" customHeight="1" x14ac:dyDescent="0.25">
      <c r="B120" s="21" t="s">
        <v>4</v>
      </c>
      <c r="C120" s="95">
        <f>Annual_sorted!H213</f>
        <v>-99.195869537560753</v>
      </c>
      <c r="D120" s="29">
        <f>IF(C120-Table_1463457811217224351[Burundi]&gt;0, C120-Table_1463457811217224351[Burundi], 0)</f>
        <v>0</v>
      </c>
      <c r="E120" s="29">
        <f>IF(C120-Table_1463457811217224351[DRC]&gt;0, C120-Table_1463457811217224351[DRC], 0)</f>
        <v>0</v>
      </c>
      <c r="F120" s="29">
        <f>IF(C120-Table_1463457811217224351[Egypt]&gt;0, C120-Table_1463457811217224351[Egypt], 0)</f>
        <v>0</v>
      </c>
      <c r="G120" s="29">
        <f>IF(C120-Table_1463457811217224351[Eritrea]&gt;0, C120-Table_1463457811217224351[Eritrea], 0)</f>
        <v>0</v>
      </c>
      <c r="H120" s="29">
        <f>IF(C120-Table_1463457811217224351[Ethiopia]&gt;0, C120-Table_1463457811217224351[Ethiopia], 0)</f>
        <v>0</v>
      </c>
      <c r="I120" s="29">
        <f>IF(C120-Table_1463457811217224351[Kenya]&gt;0, C120-Table_1463457811217224351[Kenya], 0)</f>
        <v>0</v>
      </c>
      <c r="J120" s="29">
        <f>IF(C120-Table_1463457811217224351[Rwanda]&gt;0, C120-Table_1463457811217224351[Rwanda], 0)</f>
        <v>0</v>
      </c>
      <c r="K120" s="29">
        <f>IF(C120-Table_1463457811217224351[Sudan]&gt;0, C120-Table_1463457811217224351[Sudan], 0)</f>
        <v>0</v>
      </c>
      <c r="L120" s="29">
        <f>IF(C120-Table_1463457811217224351[S. Sudan]&gt;0, C120-Table_1463457811217224351[S. Sudan], 0)</f>
        <v>0</v>
      </c>
      <c r="M120" s="29">
        <f>IF(C120-Table_1463457811217224351[Tanzania]&gt;0, C120-Table_1463457811217224351[Tanzania], 0)</f>
        <v>0</v>
      </c>
      <c r="N120" s="29">
        <f>IF(C120-Table_1463457811217224351[Uganda]&gt;0, C120-Table_1463457811217224351[Uganda], 0)</f>
        <v>0</v>
      </c>
      <c r="P120" s="21" t="s">
        <v>5</v>
      </c>
      <c r="Q120" s="97">
        <f t="shared" si="14"/>
        <v>9.1614601573497133E-5</v>
      </c>
      <c r="R120" s="97">
        <f t="shared" si="13"/>
        <v>9.1614601573497133E-5</v>
      </c>
      <c r="S120" s="97">
        <f t="shared" si="13"/>
        <v>9.1614601573497133E-5</v>
      </c>
      <c r="T120" s="97">
        <f t="shared" si="13"/>
        <v>9.1614601573497133E-5</v>
      </c>
      <c r="U120" s="97">
        <f t="shared" si="13"/>
        <v>0.17705963831019839</v>
      </c>
      <c r="V120" s="97">
        <f t="shared" si="13"/>
        <v>9.1614601573497133E-5</v>
      </c>
      <c r="W120" s="97">
        <f t="shared" si="13"/>
        <v>9.1614601573497133E-5</v>
      </c>
      <c r="X120" s="97">
        <f t="shared" si="13"/>
        <v>9.1614601573497133E-5</v>
      </c>
      <c r="Y120" s="97">
        <f t="shared" si="13"/>
        <v>9.1614601573497133E-5</v>
      </c>
      <c r="Z120" s="97">
        <f t="shared" si="13"/>
        <v>9.1614601573497133E-5</v>
      </c>
      <c r="AA120" s="97">
        <f t="shared" si="13"/>
        <v>1.597776381994985E-2</v>
      </c>
    </row>
    <row r="121" spans="2:31" ht="12.75" customHeight="1" x14ac:dyDescent="0.25">
      <c r="B121" s="21" t="s">
        <v>5</v>
      </c>
      <c r="C121" s="95">
        <f>Annual_sorted!H214</f>
        <v>-23.70756998152978</v>
      </c>
      <c r="D121" s="29">
        <f>IF(C121-Table_1463457811217224351[Burundi]&gt;0, C121-Table_1463457811217224351[Burundi], 0)</f>
        <v>0</v>
      </c>
      <c r="E121" s="29">
        <f>IF(C121-Table_1463457811217224351[DRC]&gt;0, C121-Table_1463457811217224351[DRC], 0)</f>
        <v>0</v>
      </c>
      <c r="F121" s="29">
        <f>IF(C121-Table_1463457811217224351[Egypt]&gt;0, C121-Table_1463457811217224351[Egypt], 0)</f>
        <v>0</v>
      </c>
      <c r="G121" s="29">
        <f>IF(C121-Table_1463457811217224351[Eritrea]&gt;0, C121-Table_1463457811217224351[Eritrea], 0)</f>
        <v>0</v>
      </c>
      <c r="H121" s="29">
        <f>IF(C121-Table_1463457811217224351[Ethiopia]&gt;0, C121-Table_1463457811217224351[Ethiopia], 0)</f>
        <v>75.488299556030967</v>
      </c>
      <c r="I121" s="29">
        <f>IF(C121-Table_1463457811217224351[Kenya]&gt;0, C121-Table_1463457811217224351[Kenya], 0)</f>
        <v>0</v>
      </c>
      <c r="J121" s="29">
        <f>IF(C121-Table_1463457811217224351[Rwanda]&gt;0, C121-Table_1463457811217224351[Rwanda], 0)</f>
        <v>0</v>
      </c>
      <c r="K121" s="29">
        <f>IF(C121-Table_1463457811217224351[Sudan]&gt;0, C121-Table_1463457811217224351[Sudan], 0)</f>
        <v>0</v>
      </c>
      <c r="L121" s="29">
        <f>IF(C121-Table_1463457811217224351[S. Sudan]&gt;0, C121-Table_1463457811217224351[S. Sudan], 0)</f>
        <v>0</v>
      </c>
      <c r="M121" s="29">
        <f>IF(C121-Table_1463457811217224351[Tanzania]&gt;0, C121-Table_1463457811217224351[Tanzania], 0)</f>
        <v>0</v>
      </c>
      <c r="N121" s="29">
        <f>IF(C121-Table_1463457811217224351[Uganda]&gt;0, C121-Table_1463457811217224351[Uganda], 0)</f>
        <v>6.7764693635449973</v>
      </c>
      <c r="P121" s="21" t="s">
        <v>6</v>
      </c>
      <c r="Q121" s="97">
        <f t="shared" si="14"/>
        <v>9.1614601573497133E-5</v>
      </c>
      <c r="R121" s="97">
        <f t="shared" si="13"/>
        <v>9.1614601573497133E-5</v>
      </c>
      <c r="S121" s="97">
        <f t="shared" si="13"/>
        <v>9.1614601573497133E-5</v>
      </c>
      <c r="T121" s="97">
        <f t="shared" si="13"/>
        <v>9.1614601573497133E-5</v>
      </c>
      <c r="U121" s="97">
        <f t="shared" si="13"/>
        <v>0.22708749593042635</v>
      </c>
      <c r="V121" s="97">
        <f t="shared" si="13"/>
        <v>5.0119472221801437E-2</v>
      </c>
      <c r="W121" s="97">
        <f t="shared" si="13"/>
        <v>9.1614601573497133E-5</v>
      </c>
      <c r="X121" s="97">
        <f t="shared" si="13"/>
        <v>9.1614601573497133E-5</v>
      </c>
      <c r="Y121" s="97">
        <f t="shared" si="13"/>
        <v>9.1614601573497133E-5</v>
      </c>
      <c r="Z121" s="97">
        <f t="shared" si="13"/>
        <v>4.9211086823374932E-2</v>
      </c>
      <c r="AA121" s="97">
        <f t="shared" si="13"/>
        <v>6.6005621440177797E-2</v>
      </c>
    </row>
    <row r="122" spans="2:31" ht="12.75" customHeight="1" x14ac:dyDescent="0.25">
      <c r="B122" s="21" t="s">
        <v>6</v>
      </c>
      <c r="C122" s="95">
        <f>Annual_sorted!H215</f>
        <v>-2.3674554058016177</v>
      </c>
      <c r="D122" s="29">
        <f>IF(C122-Table_1463457811217224351[Burundi]&gt;0, C122-Table_1463457811217224351[Burundi], 0)</f>
        <v>0</v>
      </c>
      <c r="E122" s="29">
        <f>IF(C122-Table_1463457811217224351[DRC]&gt;0, C122-Table_1463457811217224351[DRC], 0)</f>
        <v>0</v>
      </c>
      <c r="F122" s="29">
        <f>IF(C122-Table_1463457811217224351[Egypt]&gt;0, C122-Table_1463457811217224351[Egypt], 0)</f>
        <v>0</v>
      </c>
      <c r="G122" s="29">
        <f>IF(C122-Table_1463457811217224351[Eritrea]&gt;0, C122-Table_1463457811217224351[Eritrea], 0)</f>
        <v>0</v>
      </c>
      <c r="H122" s="29">
        <f>IF(C122-Table_1463457811217224351[Ethiopia]&gt;0, C122-Table_1463457811217224351[Ethiopia], 0)</f>
        <v>96.828414131759132</v>
      </c>
      <c r="I122" s="29">
        <f>IF(C122-Table_1463457811217224351[Kenya]&gt;0, C122-Table_1463457811217224351[Kenya], 0)</f>
        <v>21.340114575728162</v>
      </c>
      <c r="J122" s="29">
        <f>IF(C122-Table_1463457811217224351[Rwanda]&gt;0, C122-Table_1463457811217224351[Rwanda], 0)</f>
        <v>0</v>
      </c>
      <c r="K122" s="29">
        <f>IF(C122-Table_1463457811217224351[Sudan]&gt;0, C122-Table_1463457811217224351[Sudan], 0)</f>
        <v>0</v>
      </c>
      <c r="L122" s="29">
        <f>IF(C122-Table_1463457811217224351[S. Sudan]&gt;0, C122-Table_1463457811217224351[S. Sudan], 0)</f>
        <v>0</v>
      </c>
      <c r="M122" s="29">
        <f>IF(C122-Table_1463457811217224351[Tanzania]&gt;0, C122-Table_1463457811217224351[Tanzania], 0)</f>
        <v>20.952629494346183</v>
      </c>
      <c r="N122" s="29">
        <f>IF(C122-Table_1463457811217224351[Uganda]&gt;0, C122-Table_1463457811217224351[Uganda], 0)</f>
        <v>28.116583939273159</v>
      </c>
      <c r="P122" s="21" t="s">
        <v>7</v>
      </c>
      <c r="Q122" s="97">
        <f t="shared" si="14"/>
        <v>0.70397530969977051</v>
      </c>
      <c r="R122" s="97">
        <f t="shared" si="13"/>
        <v>0.69776575594991652</v>
      </c>
      <c r="S122" s="97">
        <f t="shared" si="13"/>
        <v>9.1614601573497133E-5</v>
      </c>
      <c r="T122" s="97">
        <f t="shared" si="13"/>
        <v>0.70567597173871355</v>
      </c>
      <c r="U122" s="97">
        <f t="shared" si="13"/>
        <v>0.93512394202221349</v>
      </c>
      <c r="V122" s="97">
        <f t="shared" si="13"/>
        <v>0.75815591831358864</v>
      </c>
      <c r="W122" s="97">
        <f t="shared" si="13"/>
        <v>0.70812806069336054</v>
      </c>
      <c r="X122" s="97">
        <f t="shared" si="13"/>
        <v>9.1614601573497133E-5</v>
      </c>
      <c r="Y122" s="97">
        <f>$AE$115+(L123-$AE$113)*($AE$116-$AE$115)/($AE$114-$AE$113)</f>
        <v>0.67803657533170847</v>
      </c>
      <c r="Z122" s="97">
        <f t="shared" si="13"/>
        <v>0.757247532915162</v>
      </c>
      <c r="AA122" s="97">
        <f t="shared" si="13"/>
        <v>0.77404206753196492</v>
      </c>
    </row>
    <row r="123" spans="2:31" ht="12.75" customHeight="1" x14ac:dyDescent="0.25">
      <c r="B123" s="21" t="s">
        <v>7</v>
      </c>
      <c r="C123" s="95">
        <f>Annual_sorted!H216</f>
        <v>299.65584925157799</v>
      </c>
      <c r="D123" s="29">
        <f>IF(C123-Table_1463457811217224351[Burundi]&gt;0, C123-Table_1463457811217224351[Burundi], 0)</f>
        <v>300.25188796629487</v>
      </c>
      <c r="E123" s="29">
        <f>IF(C123-Table_1463457811217224351[DRC]&gt;0, C123-Table_1463457811217224351[DRC], 0)</f>
        <v>297.60311196849068</v>
      </c>
      <c r="F123" s="29">
        <f>IF(C123-Table_1463457811217224351[Egypt]&gt;0, C123-Table_1463457811217224351[Egypt], 0)</f>
        <v>0</v>
      </c>
      <c r="G123" s="29">
        <f>IF(C123-Table_1463457811217224351[Eritrea]&gt;0, C123-Table_1463457811217224351[Eritrea], 0)</f>
        <v>300.97733023970056</v>
      </c>
      <c r="H123" s="29">
        <f>IF(C123-Table_1463457811217224351[Ethiopia]&gt;0, C123-Table_1463457811217224351[Ethiopia], 0)</f>
        <v>398.85171878913877</v>
      </c>
      <c r="I123" s="29">
        <f>IF(C123-Table_1463457811217224351[Kenya]&gt;0, C123-Table_1463457811217224351[Kenya], 0)</f>
        <v>323.36341923310778</v>
      </c>
      <c r="J123" s="29">
        <f>IF(C123-Table_1463457811217224351[Rwanda]&gt;0, C123-Table_1463457811217224351[Rwanda], 0)</f>
        <v>302.02330465737958</v>
      </c>
      <c r="K123" s="29">
        <f>IF(C123-Table_1463457811217224351[Sudan]&gt;0, C123-Table_1463457811217224351[Sudan], 0)</f>
        <v>0</v>
      </c>
      <c r="L123" s="29">
        <f>IF(C123-Table_1463457811217224351[S. Sudan]&gt;0, C123-Table_1463457811217224351[S. Sudan], 0)</f>
        <v>289.18734133777787</v>
      </c>
      <c r="M123" s="29">
        <f>IF(C123-Table_1463457811217224351[Tanzania]&gt;0, C123-Table_1463457811217224351[Tanzania], 0)</f>
        <v>322.97593415172577</v>
      </c>
      <c r="N123" s="29">
        <f>IF(C123-Table_1463457811217224351[Uganda]&gt;0, C123-Table_1463457811217224351[Uganda], 0)</f>
        <v>330.13988859665278</v>
      </c>
      <c r="P123" s="21" t="s">
        <v>8</v>
      </c>
      <c r="Q123" s="97">
        <f t="shared" si="14"/>
        <v>2.6030348969635516E-2</v>
      </c>
      <c r="R123" s="97">
        <f t="shared" si="13"/>
        <v>1.982079521978157E-2</v>
      </c>
      <c r="S123" s="97">
        <f t="shared" si="13"/>
        <v>9.1614601573497133E-5</v>
      </c>
      <c r="T123" s="97">
        <f t="shared" si="13"/>
        <v>2.7731011008578384E-2</v>
      </c>
      <c r="U123" s="97">
        <f t="shared" si="13"/>
        <v>0.25717898129207845</v>
      </c>
      <c r="V123" s="97">
        <f t="shared" si="13"/>
        <v>8.0210957583453549E-2</v>
      </c>
      <c r="W123" s="97">
        <f t="shared" si="13"/>
        <v>3.0183099963225619E-2</v>
      </c>
      <c r="X123" s="97">
        <f t="shared" si="13"/>
        <v>9.1614601573497133E-5</v>
      </c>
      <c r="Y123" s="97">
        <f t="shared" si="13"/>
        <v>9.1614601573497133E-5</v>
      </c>
      <c r="Z123" s="97">
        <f t="shared" si="13"/>
        <v>7.9302572185027051E-2</v>
      </c>
      <c r="AA123" s="97">
        <f t="shared" si="13"/>
        <v>9.6097106801829896E-2</v>
      </c>
    </row>
    <row r="124" spans="2:31" ht="12.75" customHeight="1" x14ac:dyDescent="0.25">
      <c r="B124" s="21" t="s">
        <v>8</v>
      </c>
      <c r="C124" s="95">
        <f>Annual_sorted!H217</f>
        <v>10.468507913800099</v>
      </c>
      <c r="D124" s="29">
        <f>IF(C124-Table_1463457811217224351[Burundi]&gt;0, C124-Table_1463457811217224351[Burundi], 0)</f>
        <v>11.064546628516995</v>
      </c>
      <c r="E124" s="29">
        <f>IF(C124-Table_1463457811217224351[DRC]&gt;0, C124-Table_1463457811217224351[DRC], 0)</f>
        <v>8.415770630712796</v>
      </c>
      <c r="F124" s="29">
        <f>IF(C124-Table_1463457811217224351[Egypt]&gt;0, C124-Table_1463457811217224351[Egypt], 0)</f>
        <v>0</v>
      </c>
      <c r="G124" s="29">
        <f>IF(C124-Table_1463457811217224351[Eritrea]&gt;0, C124-Table_1463457811217224351[Eritrea], 0)</f>
        <v>11.789988901922644</v>
      </c>
      <c r="H124" s="29">
        <f>IF(C124-Table_1463457811217224351[Ethiopia]&gt;0, C124-Table_1463457811217224351[Ethiopia], 0)</f>
        <v>109.66437745136085</v>
      </c>
      <c r="I124" s="29">
        <f>IF(C124-Table_1463457811217224351[Kenya]&gt;0, C124-Table_1463457811217224351[Kenya], 0)</f>
        <v>34.176077895329882</v>
      </c>
      <c r="J124" s="29">
        <f>IF(C124-Table_1463457811217224351[Rwanda]&gt;0, C124-Table_1463457811217224351[Rwanda], 0)</f>
        <v>12.835963319601717</v>
      </c>
      <c r="K124" s="29">
        <f>IF(C124-Table_1463457811217224351[Sudan]&gt;0, C124-Table_1463457811217224351[Sudan], 0)</f>
        <v>0</v>
      </c>
      <c r="L124" s="29">
        <f>IF(C124-Table_1463457811217224351[S. Sudan]&gt;0, C124-Table_1463457811217224351[S. Sudan], 0)</f>
        <v>0</v>
      </c>
      <c r="M124" s="29">
        <f>IF(C124-Table_1463457811217224351[Tanzania]&gt;0, C124-Table_1463457811217224351[Tanzania], 0)</f>
        <v>33.788592813947901</v>
      </c>
      <c r="N124" s="29">
        <f>IF(C124-Table_1463457811217224351[Uganda]&gt;0, C124-Table_1463457811217224351[Uganda], 0)</f>
        <v>40.952547258874873</v>
      </c>
      <c r="P124" s="21" t="s">
        <v>9</v>
      </c>
      <c r="Q124" s="97">
        <f t="shared" si="14"/>
        <v>9.1614601573497133E-5</v>
      </c>
      <c r="R124" s="97">
        <f t="shared" si="13"/>
        <v>9.1614601573497133E-5</v>
      </c>
      <c r="S124" s="97">
        <f t="shared" si="13"/>
        <v>9.1614601573497133E-5</v>
      </c>
      <c r="T124" s="97">
        <f t="shared" si="13"/>
        <v>9.1614601573497133E-5</v>
      </c>
      <c r="U124" s="97">
        <f t="shared" si="13"/>
        <v>0.17796802370862491</v>
      </c>
      <c r="V124" s="97">
        <f t="shared" si="13"/>
        <v>1E-3</v>
      </c>
      <c r="W124" s="97">
        <f t="shared" si="13"/>
        <v>9.1614601573497133E-5</v>
      </c>
      <c r="X124" s="97">
        <f t="shared" si="13"/>
        <v>9.1614601573497133E-5</v>
      </c>
      <c r="Y124" s="97">
        <f t="shared" si="13"/>
        <v>9.1614601573497133E-5</v>
      </c>
      <c r="Z124" s="97">
        <f t="shared" si="13"/>
        <v>9.1614601573497133E-5</v>
      </c>
      <c r="AA124" s="97">
        <f t="shared" si="13"/>
        <v>1.6886149218376355E-2</v>
      </c>
    </row>
    <row r="125" spans="2:31" ht="12.75" customHeight="1" thickBot="1" x14ac:dyDescent="0.3">
      <c r="B125" s="21" t="s">
        <v>9</v>
      </c>
      <c r="C125" s="95">
        <f>Annual_sorted!H218</f>
        <v>-23.320084900147801</v>
      </c>
      <c r="D125" s="29">
        <f>IF(C125-Table_1463457811217224351[Burundi]&gt;0, C125-Table_1463457811217224351[Burundi], 0)</f>
        <v>0</v>
      </c>
      <c r="E125" s="29">
        <f>IF(C125-Table_1463457811217224351[DRC]&gt;0, C125-Table_1463457811217224351[DRC], 0)</f>
        <v>0</v>
      </c>
      <c r="F125" s="29">
        <f>IF(C125-Table_1463457811217224351[Egypt]&gt;0, C125-Table_1463457811217224351[Egypt], 0)</f>
        <v>0</v>
      </c>
      <c r="G125" s="29">
        <f>IF(C125-Table_1463457811217224351[Eritrea]&gt;0, C125-Table_1463457811217224351[Eritrea], 0)</f>
        <v>0</v>
      </c>
      <c r="H125" s="29">
        <f>IF(C125-Table_1463457811217224351[Ethiopia]&gt;0, C125-Table_1463457811217224351[Ethiopia], 0)</f>
        <v>75.875784637412949</v>
      </c>
      <c r="I125" s="29">
        <f>IF(C125-Table_1463457811217224351[Kenya]&gt;0, C125-Table_1463457811217224351[Kenya], 0)</f>
        <v>0.38748508138197835</v>
      </c>
      <c r="J125" s="29">
        <f>IF(C125-Table_1463457811217224351[Rwanda]&gt;0, C125-Table_1463457811217224351[Rwanda], 0)</f>
        <v>0</v>
      </c>
      <c r="K125" s="29">
        <f>IF(C125-Table_1463457811217224351[Sudan]&gt;0, C125-Table_1463457811217224351[Sudan], 0)</f>
        <v>0</v>
      </c>
      <c r="L125" s="29">
        <f>IF(C125-Table_1463457811217224351[S. Sudan]&gt;0, C125-Table_1463457811217224351[S. Sudan], 0)</f>
        <v>0</v>
      </c>
      <c r="M125" s="29">
        <f>IF(C125-Table_1463457811217224351[Tanzania]&gt;0, C125-Table_1463457811217224351[Tanzania], 0)</f>
        <v>0</v>
      </c>
      <c r="N125" s="29">
        <f>IF(C125-Table_1463457811217224351[Uganda]&gt;0, C125-Table_1463457811217224351[Uganda], 0)</f>
        <v>7.1639544449269756</v>
      </c>
      <c r="P125" s="22" t="s">
        <v>10</v>
      </c>
      <c r="Q125" s="98">
        <f t="shared" si="14"/>
        <v>9.1614601573497133E-5</v>
      </c>
      <c r="R125" s="98">
        <f t="shared" si="13"/>
        <v>9.1614601573497133E-5</v>
      </c>
      <c r="S125" s="98">
        <f t="shared" si="13"/>
        <v>9.1614601573497133E-5</v>
      </c>
      <c r="T125" s="98">
        <f t="shared" si="13"/>
        <v>9.1614601573497133E-5</v>
      </c>
      <c r="U125" s="98">
        <f t="shared" si="13"/>
        <v>0.16117348909182203</v>
      </c>
      <c r="V125" s="98">
        <f t="shared" si="13"/>
        <v>9.1614601573497133E-5</v>
      </c>
      <c r="W125" s="98">
        <f t="shared" si="13"/>
        <v>9.1614601573497133E-5</v>
      </c>
      <c r="X125" s="98">
        <f t="shared" si="13"/>
        <v>9.1614601573497133E-5</v>
      </c>
      <c r="Y125" s="98">
        <f t="shared" si="13"/>
        <v>9.1614601573497133E-5</v>
      </c>
      <c r="Z125" s="98">
        <f t="shared" si="13"/>
        <v>9.1614601573497133E-5</v>
      </c>
      <c r="AA125" s="98">
        <f t="shared" si="13"/>
        <v>9.1614601573497133E-5</v>
      </c>
    </row>
    <row r="126" spans="2:31" ht="12.75" customHeight="1" thickBot="1" x14ac:dyDescent="0.3">
      <c r="B126" s="22" t="s">
        <v>10</v>
      </c>
      <c r="C126" s="96">
        <f>Annual_sorted!H219</f>
        <v>-30.484039345074777</v>
      </c>
      <c r="D126" s="32">
        <f>IF(C126-Table_1463457811217224351[Burundi]&gt;0, C126-Table_1463457811217224351[Burundi], 0)</f>
        <v>0</v>
      </c>
      <c r="E126" s="32">
        <f>IF(C126-Table_1463457811217224351[DRC]&gt;0, C126-Table_1463457811217224351[DRC], 0)</f>
        <v>0</v>
      </c>
      <c r="F126" s="32">
        <f>IF(C126-Table_1463457811217224351[Egypt]&gt;0, C126-Table_1463457811217224351[Egypt], 0)</f>
        <v>0</v>
      </c>
      <c r="G126" s="32">
        <f>IF(C126-Table_1463457811217224351[Eritrea]&gt;0, C126-Table_1463457811217224351[Eritrea], 0)</f>
        <v>0</v>
      </c>
      <c r="H126" s="32">
        <f>IF(C126-Table_1463457811217224351[Ethiopia]&gt;0, C126-Table_1463457811217224351[Ethiopia], 0)</f>
        <v>68.711830192485976</v>
      </c>
      <c r="I126" s="32">
        <f>IF(C126-Table_1463457811217224351[Kenya]&gt;0, C126-Table_1463457811217224351[Kenya], 0)</f>
        <v>0</v>
      </c>
      <c r="J126" s="32">
        <f>IF(C126-Table_1463457811217224351[Rwanda]&gt;0, C126-Table_1463457811217224351[Rwanda], 0)</f>
        <v>0</v>
      </c>
      <c r="K126" s="32">
        <f>IF(C126-Table_1463457811217224351[Sudan]&gt;0, C126-Table_1463457811217224351[Sudan], 0)</f>
        <v>0</v>
      </c>
      <c r="L126" s="32">
        <f>IF(C126-Table_1463457811217224351[S. Sudan]&gt;0, C126-Table_1463457811217224351[S. Sudan], 0)</f>
        <v>0</v>
      </c>
      <c r="M126" s="32">
        <f>IF(C126-Table_1463457811217224351[Tanzania]&gt;0, C126-Table_1463457811217224351[Tanzania], 0)</f>
        <v>0</v>
      </c>
      <c r="N126" s="32">
        <f>IF(C126-Table_1463457811217224351[Uganda]&gt;0, C126-Table_1463457811217224351[Uganda], 0)</f>
        <v>0</v>
      </c>
      <c r="Z126" s="186"/>
    </row>
    <row r="127" spans="2:31" ht="12.75" customHeight="1" x14ac:dyDescent="0.25"/>
    <row r="128" spans="2:31" ht="12.75" customHeight="1" x14ac:dyDescent="0.25"/>
    <row r="129" spans="2:31" ht="12.75" customHeight="1" x14ac:dyDescent="0.25">
      <c r="P129" s="5"/>
      <c r="Q129" s="5"/>
      <c r="R129" s="5"/>
      <c r="S129" s="5"/>
      <c r="T129" s="5"/>
      <c r="U129" s="5"/>
      <c r="V129" s="5"/>
      <c r="W129" s="5"/>
      <c r="X129" s="5"/>
      <c r="Y129" s="5"/>
      <c r="Z129" s="5"/>
      <c r="AA129" s="5"/>
    </row>
    <row r="130" spans="2:31" ht="12.75" customHeight="1" x14ac:dyDescent="0.25">
      <c r="B130" s="5"/>
      <c r="C130" s="5"/>
      <c r="D130" s="5"/>
      <c r="E130" s="5"/>
      <c r="F130" s="5"/>
      <c r="G130" s="5"/>
      <c r="H130" s="5"/>
      <c r="I130" s="5"/>
      <c r="J130" s="5"/>
      <c r="K130" s="5"/>
      <c r="L130" s="5"/>
      <c r="M130" s="5"/>
      <c r="N130" s="5"/>
      <c r="P130" s="5"/>
      <c r="Q130" s="5"/>
      <c r="R130" s="5"/>
      <c r="S130" s="5"/>
      <c r="T130" s="5"/>
      <c r="U130" s="5"/>
      <c r="V130" s="5"/>
      <c r="W130" s="5"/>
      <c r="X130" s="5"/>
      <c r="Y130" s="5"/>
      <c r="Z130" s="5"/>
      <c r="AA130" s="5"/>
    </row>
    <row r="131" spans="2:31" ht="12.75" customHeight="1" thickBot="1" x14ac:dyDescent="0.3">
      <c r="B131" s="253" t="s">
        <v>89</v>
      </c>
      <c r="C131" s="253"/>
      <c r="D131" s="253"/>
      <c r="E131" s="253"/>
      <c r="F131" s="253"/>
      <c r="G131" s="253"/>
      <c r="H131" s="253"/>
      <c r="I131" s="253"/>
      <c r="J131" s="253"/>
      <c r="K131" s="253"/>
      <c r="L131" s="253"/>
      <c r="M131" s="253"/>
      <c r="N131" s="253"/>
      <c r="P131" s="253" t="s">
        <v>90</v>
      </c>
      <c r="Q131" s="253"/>
      <c r="R131" s="253"/>
      <c r="S131" s="253"/>
      <c r="T131" s="253"/>
      <c r="U131" s="253"/>
      <c r="V131" s="253"/>
      <c r="W131" s="253"/>
      <c r="X131" s="253"/>
      <c r="Y131" s="253"/>
      <c r="Z131" s="253"/>
      <c r="AA131" s="253"/>
      <c r="AB131" s="10"/>
      <c r="AC131" s="3" t="s">
        <v>22</v>
      </c>
      <c r="AD131" s="13" t="s">
        <v>23</v>
      </c>
      <c r="AE131" s="74">
        <f t="array" ref="AE131">MIN(IF(D134:N144&gt;0,D134:N144))</f>
        <v>0.38748508138197835</v>
      </c>
    </row>
    <row r="132" spans="2:31" ht="12.75" customHeight="1" thickBot="1" x14ac:dyDescent="0.3">
      <c r="B132" s="75" t="s">
        <v>13</v>
      </c>
      <c r="C132" s="66" t="s">
        <v>14</v>
      </c>
      <c r="D132" s="67" t="s">
        <v>1</v>
      </c>
      <c r="E132" s="67" t="s">
        <v>195</v>
      </c>
      <c r="F132" s="67" t="s">
        <v>2</v>
      </c>
      <c r="G132" s="67" t="s">
        <v>3</v>
      </c>
      <c r="H132" s="67" t="s">
        <v>4</v>
      </c>
      <c r="I132" s="67" t="s">
        <v>5</v>
      </c>
      <c r="J132" s="67" t="s">
        <v>6</v>
      </c>
      <c r="K132" s="67" t="s">
        <v>7</v>
      </c>
      <c r="L132" s="67" t="s">
        <v>295</v>
      </c>
      <c r="M132" s="67" t="s">
        <v>9</v>
      </c>
      <c r="N132" s="67" t="s">
        <v>10</v>
      </c>
      <c r="P132" s="76" t="s">
        <v>19</v>
      </c>
      <c r="Q132" s="77" t="s">
        <v>1</v>
      </c>
      <c r="R132" s="77" t="s">
        <v>195</v>
      </c>
      <c r="S132" s="77" t="s">
        <v>2</v>
      </c>
      <c r="T132" s="77" t="s">
        <v>3</v>
      </c>
      <c r="U132" s="77" t="s">
        <v>4</v>
      </c>
      <c r="V132" s="77" t="s">
        <v>5</v>
      </c>
      <c r="W132" s="77" t="s">
        <v>6</v>
      </c>
      <c r="X132" s="77" t="s">
        <v>7</v>
      </c>
      <c r="Y132" s="77" t="s">
        <v>295</v>
      </c>
      <c r="Z132" s="77" t="s">
        <v>9</v>
      </c>
      <c r="AA132" s="77" t="s">
        <v>10</v>
      </c>
      <c r="AB132" s="254" t="s">
        <v>26</v>
      </c>
      <c r="AC132" s="254"/>
      <c r="AD132" s="13" t="s">
        <v>24</v>
      </c>
      <c r="AE132" s="20">
        <f>MAX(D134:N144)</f>
        <v>370.0255504566328</v>
      </c>
    </row>
    <row r="133" spans="2:31" ht="12.75" customHeight="1" x14ac:dyDescent="0.25">
      <c r="B133" s="93"/>
      <c r="C133" s="94" t="s">
        <v>264</v>
      </c>
      <c r="D133" s="95">
        <f>C134</f>
        <v>-0.59603871471689596</v>
      </c>
      <c r="E133" s="95">
        <f>C135</f>
        <v>2.0527372830873034</v>
      </c>
      <c r="F133" s="95">
        <f>C136</f>
        <v>270.82968091907202</v>
      </c>
      <c r="G133" s="95">
        <f>C137</f>
        <v>-1.3214809881225456</v>
      </c>
      <c r="H133" s="95">
        <f>C138</f>
        <v>-99.195869537560753</v>
      </c>
      <c r="I133" s="95">
        <f>C139</f>
        <v>-23.70756998152978</v>
      </c>
      <c r="J133" s="95">
        <f>C140</f>
        <v>-6.1674554058016167</v>
      </c>
      <c r="K133" s="95">
        <f>C141</f>
        <v>265.85584925157798</v>
      </c>
      <c r="L133" s="95">
        <f>C142</f>
        <v>-13.031492086199901</v>
      </c>
      <c r="M133" s="95">
        <f>C143</f>
        <v>-23.320084900147801</v>
      </c>
      <c r="N133" s="95">
        <f>C144</f>
        <v>-51.584039345074778</v>
      </c>
      <c r="P133" s="21" t="s">
        <v>1</v>
      </c>
      <c r="Q133" s="97">
        <f>$AE$133+(D134-$AE$131)*($AE$134-$AE$133)/($AE$132-$AE$131)</f>
        <v>-4.7234125921584522E-5</v>
      </c>
      <c r="R133" s="97">
        <f t="shared" ref="R133:AA143" si="15">$AE$133+(E134-$AE$131)*($AE$134-$AE$133)/($AE$132-$AE$131)</f>
        <v>-4.7234125921584522E-5</v>
      </c>
      <c r="S133" s="97">
        <f t="shared" si="15"/>
        <v>-4.7234125921584522E-5</v>
      </c>
      <c r="T133" s="97">
        <f t="shared" si="15"/>
        <v>1.9133778862544953E-3</v>
      </c>
      <c r="U133" s="97">
        <f t="shared" si="15"/>
        <v>0.2664329804916506</v>
      </c>
      <c r="V133" s="97">
        <f t="shared" si="15"/>
        <v>6.241500095830077E-2</v>
      </c>
      <c r="W133" s="97">
        <f t="shared" si="15"/>
        <v>1.5010320265137347E-2</v>
      </c>
      <c r="X133" s="97">
        <f t="shared" si="15"/>
        <v>-4.7234125921584522E-5</v>
      </c>
      <c r="Y133" s="97">
        <f t="shared" si="15"/>
        <v>3.3561365966441374E-2</v>
      </c>
      <c r="Z133" s="97">
        <f t="shared" si="15"/>
        <v>6.1367766832379191E-2</v>
      </c>
      <c r="AA133" s="97">
        <f t="shared" si="15"/>
        <v>0.13775516611664287</v>
      </c>
      <c r="AD133" s="3" t="s">
        <v>25</v>
      </c>
      <c r="AE133" s="2">
        <v>1E-3</v>
      </c>
    </row>
    <row r="134" spans="2:31" ht="12.75" customHeight="1" x14ac:dyDescent="0.25">
      <c r="B134" s="21" t="s">
        <v>1</v>
      </c>
      <c r="C134" s="95">
        <f>Annual_sorted!I209</f>
        <v>-0.59603871471689596</v>
      </c>
      <c r="D134" s="29">
        <f>IF(C134-Table_14634578112918214250[Burundi]&gt;0, C134-Table_14634578112918214250[Burundi], 0)</f>
        <v>0</v>
      </c>
      <c r="E134" s="29">
        <f>IF(C134-Table_14634578112918214250[DRC]&gt;0, C134-Table_14634578112918214250[DRC], 0)</f>
        <v>0</v>
      </c>
      <c r="F134" s="29">
        <f>IF(C134-Table_14634578112918214250[Egypt]&gt;0, C134-Table_14634578112918214250[Egypt], 0)</f>
        <v>0</v>
      </c>
      <c r="G134" s="29">
        <f>IF(C134-Table_14634578112918214250[Eritrea]&gt;0, C134-Table_14634578112918214250[Eritrea], 0)</f>
        <v>0.7254422734056496</v>
      </c>
      <c r="H134" s="29">
        <f>IF(C134-Table_14634578112918214250[Ethiopia]&gt;0, C134-Table_14634578112918214250[Ethiopia], 0)</f>
        <v>98.599830822843856</v>
      </c>
      <c r="I134" s="29">
        <f>IF(C134-Table_14634578112918214250[Kenya]&gt;0, C134-Table_14634578112918214250[Kenya], 0)</f>
        <v>23.111531266812882</v>
      </c>
      <c r="J134" s="29">
        <f>IF(C134-Table_14634578112918214250[Rwanda]&gt;0, C134-Table_14634578112918214250[Rwanda], 0)</f>
        <v>5.5714166910847212</v>
      </c>
      <c r="K134" s="29">
        <f>IF(C134-Table_14634578112918214250[Sudan]&gt;0, C134-Table_14634578112918214250[Sudan], 0)</f>
        <v>0</v>
      </c>
      <c r="L134" s="29">
        <f>IF(C134-Table_14634578112918214250[S. Sudan]&gt;0, C134-Table_14634578112918214250[S. Sudan], 0)</f>
        <v>12.435453371483005</v>
      </c>
      <c r="M134" s="29">
        <f>IF(C134-Table_14634578112918214250[Tanzania]&gt;0, C134-Table_14634578112918214250[Tanzania], 0)</f>
        <v>22.724046185430904</v>
      </c>
      <c r="N134" s="29">
        <f>IF(C134-Table_14634578112918214250[Uganda]&gt;0, C134-Table_14634578112918214250[Uganda], 0)</f>
        <v>50.988000630357881</v>
      </c>
      <c r="P134" s="21" t="s">
        <v>195</v>
      </c>
      <c r="Q134" s="97">
        <f t="shared" ref="Q134:Q143" si="16">$AE$133+(D135-$AE$131)*($AE$134-$AE$133)/($AE$132-$AE$131)</f>
        <v>7.1114637184686779E-3</v>
      </c>
      <c r="R134" s="97">
        <f t="shared" si="15"/>
        <v>-4.7234125921584522E-5</v>
      </c>
      <c r="S134" s="97">
        <f t="shared" si="15"/>
        <v>-4.7234125921584522E-5</v>
      </c>
      <c r="T134" s="97">
        <f t="shared" si="15"/>
        <v>9.0720757306447589E-3</v>
      </c>
      <c r="U134" s="97">
        <f t="shared" si="15"/>
        <v>0.27359167833604081</v>
      </c>
      <c r="V134" s="97">
        <f t="shared" si="15"/>
        <v>6.9573698802691028E-2</v>
      </c>
      <c r="W134" s="97">
        <f t="shared" si="15"/>
        <v>2.2169018109527608E-2</v>
      </c>
      <c r="X134" s="97">
        <f t="shared" si="15"/>
        <v>-4.7234125921584522E-5</v>
      </c>
      <c r="Y134" s="97">
        <f t="shared" si="15"/>
        <v>4.0720063810831639E-2</v>
      </c>
      <c r="Z134" s="97">
        <f t="shared" si="15"/>
        <v>6.8526464676769455E-2</v>
      </c>
      <c r="AA134" s="97">
        <f t="shared" si="15"/>
        <v>0.14491386396103315</v>
      </c>
      <c r="AD134" s="3" t="s">
        <v>70</v>
      </c>
      <c r="AE134" s="2">
        <v>1</v>
      </c>
    </row>
    <row r="135" spans="2:31" ht="12.75" customHeight="1" x14ac:dyDescent="0.25">
      <c r="B135" s="21" t="s">
        <v>195</v>
      </c>
      <c r="C135" s="95">
        <f>Annual_sorted!I210</f>
        <v>2.0527372830873034</v>
      </c>
      <c r="D135" s="29">
        <f>IF(C135-Table_14634578112918214250[Burundi]&gt;0, C135-Table_14634578112918214250[Burundi], 0)</f>
        <v>2.6487759978041994</v>
      </c>
      <c r="E135" s="29">
        <f>IF(C135-Table_14634578112918214250[DRC]&gt;0, C135-Table_14634578112918214250[DRC], 0)</f>
        <v>0</v>
      </c>
      <c r="F135" s="29">
        <f>IF(C135-Table_14634578112918214250[Egypt]&gt;0, C135-Table_14634578112918214250[Egypt], 0)</f>
        <v>0</v>
      </c>
      <c r="G135" s="29">
        <f>IF(C135-Table_14634578112918214250[Eritrea]&gt;0, C135-Table_14634578112918214250[Eritrea], 0)</f>
        <v>3.3742182712098492</v>
      </c>
      <c r="H135" s="29">
        <f>IF(C135-Table_14634578112918214250[Ethiopia]&gt;0, C135-Table_14634578112918214250[Ethiopia], 0)</f>
        <v>101.24860682064806</v>
      </c>
      <c r="I135" s="29">
        <f>IF(C135-Table_14634578112918214250[Kenya]&gt;0, C135-Table_14634578112918214250[Kenya], 0)</f>
        <v>25.760307264617083</v>
      </c>
      <c r="J135" s="29">
        <f>IF(C135-Table_14634578112918214250[Rwanda]&gt;0, C135-Table_14634578112918214250[Rwanda], 0)</f>
        <v>8.2201926888889201</v>
      </c>
      <c r="K135" s="29">
        <f>IF(C135-Table_14634578112918214250[Sudan]&gt;0, C135-Table_14634578112918214250[Sudan], 0)</f>
        <v>0</v>
      </c>
      <c r="L135" s="29">
        <f>IF(C135-Table_14634578112918214250[S. Sudan]&gt;0, C135-Table_14634578112918214250[S. Sudan], 0)</f>
        <v>15.084229369287204</v>
      </c>
      <c r="M135" s="29">
        <f>IF(C135-Table_14634578112918214250[Tanzania]&gt;0, C135-Table_14634578112918214250[Tanzania], 0)</f>
        <v>25.372822183235105</v>
      </c>
      <c r="N135" s="29">
        <f>IF(C135-Table_14634578112918214250[Uganda]&gt;0, C135-Table_14634578112918214250[Uganda], 0)</f>
        <v>53.636776628162082</v>
      </c>
      <c r="P135" s="21" t="s">
        <v>2</v>
      </c>
      <c r="Q135" s="97">
        <f t="shared" si="16"/>
        <v>0.73351978538242768</v>
      </c>
      <c r="R135" s="97">
        <f t="shared" si="15"/>
        <v>0.72636108753803741</v>
      </c>
      <c r="S135" s="97">
        <f t="shared" si="15"/>
        <v>-4.7234125921584522E-5</v>
      </c>
      <c r="T135" s="97">
        <f t="shared" si="15"/>
        <v>0.73548039739460391</v>
      </c>
      <c r="U135" s="97">
        <f t="shared" si="15"/>
        <v>1</v>
      </c>
      <c r="V135" s="97">
        <f t="shared" si="15"/>
        <v>0.79598202046665012</v>
      </c>
      <c r="W135" s="97">
        <f t="shared" si="15"/>
        <v>0.74857733977348662</v>
      </c>
      <c r="X135" s="97">
        <f t="shared" si="15"/>
        <v>1.3395260847593217E-2</v>
      </c>
      <c r="Y135" s="97">
        <f t="shared" si="15"/>
        <v>0.76712838547479067</v>
      </c>
      <c r="Z135" s="97">
        <f t="shared" si="15"/>
        <v>0.79493478634072845</v>
      </c>
      <c r="AA135" s="97">
        <f t="shared" si="15"/>
        <v>0.8713221856249922</v>
      </c>
    </row>
    <row r="136" spans="2:31" ht="12.75" customHeight="1" x14ac:dyDescent="0.25">
      <c r="B136" s="21" t="s">
        <v>2</v>
      </c>
      <c r="C136" s="95">
        <f>Annual_sorted!I211</f>
        <v>270.82968091907202</v>
      </c>
      <c r="D136" s="29">
        <f>IF(C136-Table_14634578112918214250[Burundi]&gt;0, C136-Table_14634578112918214250[Burundi], 0)</f>
        <v>271.4257196337889</v>
      </c>
      <c r="E136" s="29">
        <f>IF(C136-Table_14634578112918214250[DRC]&gt;0, C136-Table_14634578112918214250[DRC], 0)</f>
        <v>268.77694363598471</v>
      </c>
      <c r="F136" s="29">
        <f>IF(C136-Table_14634578112918214250[Egypt]&gt;0, C136-Table_14634578112918214250[Egypt], 0)</f>
        <v>0</v>
      </c>
      <c r="G136" s="29">
        <f>IF(C136-Table_14634578112918214250[Eritrea]&gt;0, C136-Table_14634578112918214250[Eritrea], 0)</f>
        <v>272.15116190719459</v>
      </c>
      <c r="H136" s="29">
        <f>IF(C136-Table_14634578112918214250[Ethiopia]&gt;0, C136-Table_14634578112918214250[Ethiopia], 0)</f>
        <v>370.0255504566328</v>
      </c>
      <c r="I136" s="29">
        <f>IF(C136-Table_14634578112918214250[Kenya]&gt;0, C136-Table_14634578112918214250[Kenya], 0)</f>
        <v>294.5372509006018</v>
      </c>
      <c r="J136" s="29">
        <f>IF(C136-Table_14634578112918214250[Rwanda]&gt;0, C136-Table_14634578112918214250[Rwanda], 0)</f>
        <v>276.99713632487362</v>
      </c>
      <c r="K136" s="29">
        <f>IF(C136-Table_14634578112918214250[Sudan]&gt;0, C136-Table_14634578112918214250[Sudan], 0)</f>
        <v>4.9738316674940393</v>
      </c>
      <c r="L136" s="29">
        <f>IF(C136-Table_14634578112918214250[S. Sudan]&gt;0, C136-Table_14634578112918214250[S. Sudan], 0)</f>
        <v>283.86117300527189</v>
      </c>
      <c r="M136" s="29">
        <f>IF(C136-Table_14634578112918214250[Tanzania]&gt;0, C136-Table_14634578112918214250[Tanzania], 0)</f>
        <v>294.14976581921979</v>
      </c>
      <c r="N136" s="29">
        <f>IF(C136-Table_14634578112918214250[Uganda]&gt;0, C136-Table_14634578112918214250[Uganda], 0)</f>
        <v>322.41372026414678</v>
      </c>
      <c r="P136" s="21" t="s">
        <v>3</v>
      </c>
      <c r="Q136" s="97">
        <f t="shared" si="16"/>
        <v>-4.7234125921584522E-5</v>
      </c>
      <c r="R136" s="97">
        <f t="shared" si="15"/>
        <v>-4.7234125921584522E-5</v>
      </c>
      <c r="S136" s="97">
        <f t="shared" si="15"/>
        <v>-4.7234125921584522E-5</v>
      </c>
      <c r="T136" s="97">
        <f t="shared" si="15"/>
        <v>-4.7234125921584522E-5</v>
      </c>
      <c r="U136" s="97">
        <f t="shared" si="15"/>
        <v>0.26447236847947447</v>
      </c>
      <c r="V136" s="97">
        <f t="shared" si="15"/>
        <v>6.0454388946124697E-2</v>
      </c>
      <c r="W136" s="97">
        <f t="shared" si="15"/>
        <v>1.3049708252961263E-2</v>
      </c>
      <c r="X136" s="97">
        <f t="shared" si="15"/>
        <v>-4.7234125921584522E-5</v>
      </c>
      <c r="Y136" s="97">
        <f t="shared" si="15"/>
        <v>3.1600753954265301E-2</v>
      </c>
      <c r="Z136" s="97">
        <f t="shared" si="15"/>
        <v>5.9407154820203104E-2</v>
      </c>
      <c r="AA136" s="97">
        <f t="shared" si="15"/>
        <v>0.13579455410446681</v>
      </c>
    </row>
    <row r="137" spans="2:31" ht="12.75" customHeight="1" x14ac:dyDescent="0.25">
      <c r="B137" s="21" t="s">
        <v>3</v>
      </c>
      <c r="C137" s="95">
        <f>Annual_sorted!I212</f>
        <v>-1.3214809881225456</v>
      </c>
      <c r="D137" s="29">
        <f>IF(C137-Table_14634578112918214250[Burundi]&gt;0, C137-Table_14634578112918214250[Burundi], 0)</f>
        <v>0</v>
      </c>
      <c r="E137" s="29">
        <f>IF(C137-Table_14634578112918214250[DRC]&gt;0, C137-Table_14634578112918214250[DRC], 0)</f>
        <v>0</v>
      </c>
      <c r="F137" s="29">
        <f>IF(C137-Table_14634578112918214250[Egypt]&gt;0, C137-Table_14634578112918214250[Egypt], 0)</f>
        <v>0</v>
      </c>
      <c r="G137" s="29">
        <f>IF(C137-Table_14634578112918214250[Eritrea]&gt;0, C137-Table_14634578112918214250[Eritrea], 0)</f>
        <v>0</v>
      </c>
      <c r="H137" s="29">
        <f>IF(C137-Table_14634578112918214250[Ethiopia]&gt;0, C137-Table_14634578112918214250[Ethiopia], 0)</f>
        <v>97.874388549438208</v>
      </c>
      <c r="I137" s="29">
        <f>IF(C137-Table_14634578112918214250[Kenya]&gt;0, C137-Table_14634578112918214250[Kenya], 0)</f>
        <v>22.386088993407235</v>
      </c>
      <c r="J137" s="29">
        <f>IF(C137-Table_14634578112918214250[Rwanda]&gt;0, C137-Table_14634578112918214250[Rwanda], 0)</f>
        <v>4.8459744176790709</v>
      </c>
      <c r="K137" s="29">
        <f>IF(C137-Table_14634578112918214250[Sudan]&gt;0, C137-Table_14634578112918214250[Sudan], 0)</f>
        <v>0</v>
      </c>
      <c r="L137" s="29">
        <f>IF(C137-Table_14634578112918214250[S. Sudan]&gt;0, C137-Table_14634578112918214250[S. Sudan], 0)</f>
        <v>11.710011098077356</v>
      </c>
      <c r="M137" s="29">
        <f>IF(C137-Table_14634578112918214250[Tanzania]&gt;0, C137-Table_14634578112918214250[Tanzania], 0)</f>
        <v>21.998603912025256</v>
      </c>
      <c r="N137" s="29">
        <f>IF(C137-Table_14634578112918214250[Uganda]&gt;0, C137-Table_14634578112918214250[Uganda], 0)</f>
        <v>50.262558356952233</v>
      </c>
      <c r="P137" s="21" t="s">
        <v>4</v>
      </c>
      <c r="Q137" s="97">
        <f t="shared" si="16"/>
        <v>-4.7234125921584522E-5</v>
      </c>
      <c r="R137" s="97">
        <f t="shared" si="15"/>
        <v>-4.7234125921584522E-5</v>
      </c>
      <c r="S137" s="97">
        <f t="shared" si="15"/>
        <v>-4.7234125921584522E-5</v>
      </c>
      <c r="T137" s="97">
        <f t="shared" si="15"/>
        <v>-4.7234125921584522E-5</v>
      </c>
      <c r="U137" s="97">
        <f t="shared" si="15"/>
        <v>-4.7234125921584522E-5</v>
      </c>
      <c r="V137" s="97">
        <f t="shared" si="15"/>
        <v>-4.7234125921584522E-5</v>
      </c>
      <c r="W137" s="97">
        <f t="shared" si="15"/>
        <v>-4.7234125921584522E-5</v>
      </c>
      <c r="X137" s="97">
        <f t="shared" si="15"/>
        <v>-4.7234125921584522E-5</v>
      </c>
      <c r="Y137" s="97">
        <f t="shared" si="15"/>
        <v>-4.7234125921584522E-5</v>
      </c>
      <c r="Z137" s="97">
        <f t="shared" si="15"/>
        <v>-4.7234125921584522E-5</v>
      </c>
      <c r="AA137" s="97">
        <f t="shared" si="15"/>
        <v>-4.7234125921584522E-5</v>
      </c>
    </row>
    <row r="138" spans="2:31" ht="12.75" customHeight="1" x14ac:dyDescent="0.25">
      <c r="B138" s="21" t="s">
        <v>4</v>
      </c>
      <c r="C138" s="95">
        <f>Annual_sorted!I213</f>
        <v>-99.195869537560753</v>
      </c>
      <c r="D138" s="29">
        <f>IF(C138-Table_14634578112918214250[Burundi]&gt;0, C138-Table_14634578112918214250[Burundi], 0)</f>
        <v>0</v>
      </c>
      <c r="E138" s="29">
        <f>IF(C138-Table_14634578112918214250[DRC]&gt;0, C138-Table_14634578112918214250[DRC], 0)</f>
        <v>0</v>
      </c>
      <c r="F138" s="29">
        <f>IF(C138-Table_14634578112918214250[Egypt]&gt;0, C138-Table_14634578112918214250[Egypt], 0)</f>
        <v>0</v>
      </c>
      <c r="G138" s="29">
        <f>IF(C138-Table_14634578112918214250[Eritrea]&gt;0, C138-Table_14634578112918214250[Eritrea], 0)</f>
        <v>0</v>
      </c>
      <c r="H138" s="29">
        <f>IF(C138-Table_14634578112918214250[Ethiopia]&gt;0, C138-Table_14634578112918214250[Ethiopia], 0)</f>
        <v>0</v>
      </c>
      <c r="I138" s="29">
        <f>IF(C138-Table_14634578112918214250[Kenya]&gt;0, C138-Table_14634578112918214250[Kenya], 0)</f>
        <v>0</v>
      </c>
      <c r="J138" s="29">
        <f>IF(C138-Table_14634578112918214250[Rwanda]&gt;0, C138-Table_14634578112918214250[Rwanda], 0)</f>
        <v>0</v>
      </c>
      <c r="K138" s="29">
        <f>IF(C138-Table_14634578112918214250[Sudan]&gt;0, C138-Table_14634578112918214250[Sudan], 0)</f>
        <v>0</v>
      </c>
      <c r="L138" s="29">
        <f>IF(C138-Table_14634578112918214250[S. Sudan]&gt;0, C138-Table_14634578112918214250[S. Sudan], 0)</f>
        <v>0</v>
      </c>
      <c r="M138" s="29">
        <f>IF(C138-Table_14634578112918214250[Tanzania]&gt;0, C138-Table_14634578112918214250[Tanzania], 0)</f>
        <v>0</v>
      </c>
      <c r="N138" s="29">
        <f>IF(C138-Table_14634578112918214250[Uganda]&gt;0, C138-Table_14634578112918214250[Uganda], 0)</f>
        <v>0</v>
      </c>
      <c r="P138" s="21" t="s">
        <v>5</v>
      </c>
      <c r="Q138" s="97">
        <f t="shared" si="16"/>
        <v>-4.7234125921584522E-5</v>
      </c>
      <c r="R138" s="97">
        <f t="shared" si="15"/>
        <v>-4.7234125921584522E-5</v>
      </c>
      <c r="S138" s="97">
        <f t="shared" si="15"/>
        <v>-4.7234125921584522E-5</v>
      </c>
      <c r="T138" s="97">
        <f t="shared" si="15"/>
        <v>-4.7234125921584522E-5</v>
      </c>
      <c r="U138" s="97">
        <f t="shared" si="15"/>
        <v>0.20397074540742818</v>
      </c>
      <c r="V138" s="97">
        <f t="shared" si="15"/>
        <v>-4.7234125921584522E-5</v>
      </c>
      <c r="W138" s="97">
        <f t="shared" si="15"/>
        <v>-4.7234125921584522E-5</v>
      </c>
      <c r="X138" s="97">
        <f t="shared" si="15"/>
        <v>-4.7234125921584522E-5</v>
      </c>
      <c r="Y138" s="97">
        <f t="shared" si="15"/>
        <v>-4.7234125921584522E-5</v>
      </c>
      <c r="Z138" s="97">
        <f t="shared" si="15"/>
        <v>-4.7234125921584522E-5</v>
      </c>
      <c r="AA138" s="97">
        <f t="shared" si="15"/>
        <v>7.5292931032420518E-2</v>
      </c>
    </row>
    <row r="139" spans="2:31" ht="12.75" customHeight="1" x14ac:dyDescent="0.25">
      <c r="B139" s="21" t="s">
        <v>5</v>
      </c>
      <c r="C139" s="95">
        <f>Annual_sorted!I214</f>
        <v>-23.70756998152978</v>
      </c>
      <c r="D139" s="29">
        <f>IF(C139-Table_14634578112918214250[Burundi]&gt;0, C139-Table_14634578112918214250[Burundi], 0)</f>
        <v>0</v>
      </c>
      <c r="E139" s="29">
        <f>IF(C139-Table_14634578112918214250[DRC]&gt;0, C139-Table_14634578112918214250[DRC], 0)</f>
        <v>0</v>
      </c>
      <c r="F139" s="29">
        <f>IF(C139-Table_14634578112918214250[Egypt]&gt;0, C139-Table_14634578112918214250[Egypt], 0)</f>
        <v>0</v>
      </c>
      <c r="G139" s="29">
        <f>IF(C139-Table_14634578112918214250[Eritrea]&gt;0, C139-Table_14634578112918214250[Eritrea], 0)</f>
        <v>0</v>
      </c>
      <c r="H139" s="29">
        <f>IF(C139-Table_14634578112918214250[Ethiopia]&gt;0, C139-Table_14634578112918214250[Ethiopia], 0)</f>
        <v>75.488299556030967</v>
      </c>
      <c r="I139" s="29">
        <f>IF(C139-Table_14634578112918214250[Kenya]&gt;0, C139-Table_14634578112918214250[Kenya], 0)</f>
        <v>0</v>
      </c>
      <c r="J139" s="29">
        <f>IF(C139-Table_14634578112918214250[Rwanda]&gt;0, C139-Table_14634578112918214250[Rwanda], 0)</f>
        <v>0</v>
      </c>
      <c r="K139" s="29">
        <f>IF(C139-Table_14634578112918214250[Sudan]&gt;0, C139-Table_14634578112918214250[Sudan], 0)</f>
        <v>0</v>
      </c>
      <c r="L139" s="29">
        <f>IF(C139-Table_14634578112918214250[S. Sudan]&gt;0, C139-Table_14634578112918214250[S. Sudan], 0)</f>
        <v>0</v>
      </c>
      <c r="M139" s="29">
        <f>IF(C139-Table_14634578112918214250[Tanzania]&gt;0, C139-Table_14634578112918214250[Tanzania], 0)</f>
        <v>0</v>
      </c>
      <c r="N139" s="29">
        <f>IF(C139-Table_14634578112918214250[Uganda]&gt;0, C139-Table_14634578112918214250[Uganda], 0)</f>
        <v>27.876469363544999</v>
      </c>
      <c r="P139" s="21" t="s">
        <v>6</v>
      </c>
      <c r="Q139" s="97">
        <f t="shared" si="16"/>
        <v>-4.7234125921584522E-5</v>
      </c>
      <c r="R139" s="97">
        <f t="shared" si="15"/>
        <v>-4.7234125921584522E-5</v>
      </c>
      <c r="S139" s="97">
        <f t="shared" si="15"/>
        <v>-4.7234125921584522E-5</v>
      </c>
      <c r="T139" s="97">
        <f t="shared" si="15"/>
        <v>-4.7234125921584522E-5</v>
      </c>
      <c r="U139" s="97">
        <f t="shared" si="15"/>
        <v>0.25137542610059166</v>
      </c>
      <c r="V139" s="97">
        <f t="shared" si="15"/>
        <v>4.7357446567241834E-2</v>
      </c>
      <c r="W139" s="97">
        <f t="shared" si="15"/>
        <v>-4.7234125921584522E-5</v>
      </c>
      <c r="X139" s="97">
        <f t="shared" si="15"/>
        <v>-4.7234125921584522E-5</v>
      </c>
      <c r="Y139" s="97">
        <f t="shared" si="15"/>
        <v>1.8503811575382449E-2</v>
      </c>
      <c r="Z139" s="97">
        <f t="shared" si="15"/>
        <v>4.6310212441320261E-2</v>
      </c>
      <c r="AA139" s="97">
        <f t="shared" si="15"/>
        <v>0.12269761172558395</v>
      </c>
    </row>
    <row r="140" spans="2:31" ht="12.75" customHeight="1" x14ac:dyDescent="0.25">
      <c r="B140" s="21" t="s">
        <v>6</v>
      </c>
      <c r="C140" s="95">
        <f>Annual_sorted!I215</f>
        <v>-6.1674554058016167</v>
      </c>
      <c r="D140" s="29">
        <f>IF(C140-Table_14634578112918214250[Burundi]&gt;0, C140-Table_14634578112918214250[Burundi], 0)</f>
        <v>0</v>
      </c>
      <c r="E140" s="29">
        <f>IF(C140-Table_14634578112918214250[DRC]&gt;0, C140-Table_14634578112918214250[DRC], 0)</f>
        <v>0</v>
      </c>
      <c r="F140" s="29">
        <f>IF(C140-Table_14634578112918214250[Egypt]&gt;0, C140-Table_14634578112918214250[Egypt], 0)</f>
        <v>0</v>
      </c>
      <c r="G140" s="29">
        <f>IF(C140-Table_14634578112918214250[Eritrea]&gt;0, C140-Table_14634578112918214250[Eritrea], 0)</f>
        <v>0</v>
      </c>
      <c r="H140" s="29">
        <f>IF(C140-Table_14634578112918214250[Ethiopia]&gt;0, C140-Table_14634578112918214250[Ethiopia], 0)</f>
        <v>93.028414131759135</v>
      </c>
      <c r="I140" s="29">
        <f>IF(C140-Table_14634578112918214250[Kenya]&gt;0, C140-Table_14634578112918214250[Kenya], 0)</f>
        <v>17.540114575728161</v>
      </c>
      <c r="J140" s="29">
        <f>IF(C140-Table_14634578112918214250[Rwanda]&gt;0, C140-Table_14634578112918214250[Rwanda], 0)</f>
        <v>0</v>
      </c>
      <c r="K140" s="29">
        <f>IF(C140-Table_14634578112918214250[Sudan]&gt;0, C140-Table_14634578112918214250[Sudan], 0)</f>
        <v>0</v>
      </c>
      <c r="L140" s="29">
        <f>IF(C140-Table_14634578112918214250[S. Sudan]&gt;0, C140-Table_14634578112918214250[S. Sudan], 0)</f>
        <v>6.864036680398284</v>
      </c>
      <c r="M140" s="29">
        <f>IF(C140-Table_14634578112918214250[Tanzania]&gt;0, C140-Table_14634578112918214250[Tanzania], 0)</f>
        <v>17.152629494346186</v>
      </c>
      <c r="N140" s="29">
        <f>IF(C140-Table_14634578112918214250[Uganda]&gt;0, C140-Table_14634578112918214250[Uganda], 0)</f>
        <v>45.41658393927316</v>
      </c>
      <c r="P140" s="21" t="s">
        <v>7</v>
      </c>
      <c r="Q140" s="97">
        <f t="shared" si="16"/>
        <v>0.72007729040891288</v>
      </c>
      <c r="R140" s="97">
        <f t="shared" si="15"/>
        <v>0.71291859256452272</v>
      </c>
      <c r="S140" s="97">
        <f t="shared" si="15"/>
        <v>-4.7234125921584522E-5</v>
      </c>
      <c r="T140" s="97">
        <f t="shared" si="15"/>
        <v>0.72203790242108912</v>
      </c>
      <c r="U140" s="97">
        <f t="shared" si="15"/>
        <v>0.98655750502648509</v>
      </c>
      <c r="V140" s="97">
        <f t="shared" si="15"/>
        <v>0.78253952549313532</v>
      </c>
      <c r="W140" s="97">
        <f t="shared" si="15"/>
        <v>0.73513484479997193</v>
      </c>
      <c r="X140" s="97">
        <f t="shared" si="15"/>
        <v>-4.7234125921584522E-5</v>
      </c>
      <c r="Y140" s="97">
        <f t="shared" si="15"/>
        <v>0.75368589050127577</v>
      </c>
      <c r="Z140" s="97">
        <f t="shared" si="15"/>
        <v>0.78149229136721365</v>
      </c>
      <c r="AA140" s="97">
        <f t="shared" si="15"/>
        <v>0.8578796906514774</v>
      </c>
    </row>
    <row r="141" spans="2:31" ht="12.75" customHeight="1" x14ac:dyDescent="0.25">
      <c r="B141" s="21" t="s">
        <v>7</v>
      </c>
      <c r="C141" s="95">
        <f>Annual_sorted!I216</f>
        <v>265.85584925157798</v>
      </c>
      <c r="D141" s="29">
        <f>IF(C141-Table_14634578112918214250[Burundi]&gt;0, C141-Table_14634578112918214250[Burundi], 0)</f>
        <v>266.45188796629486</v>
      </c>
      <c r="E141" s="29">
        <f>IF(C141-Table_14634578112918214250[DRC]&gt;0, C141-Table_14634578112918214250[DRC], 0)</f>
        <v>263.80311196849067</v>
      </c>
      <c r="F141" s="29">
        <f>IF(C141-Table_14634578112918214250[Egypt]&gt;0, C141-Table_14634578112918214250[Egypt], 0)</f>
        <v>0</v>
      </c>
      <c r="G141" s="29">
        <f>IF(C141-Table_14634578112918214250[Eritrea]&gt;0, C141-Table_14634578112918214250[Eritrea], 0)</f>
        <v>267.17733023970055</v>
      </c>
      <c r="H141" s="29">
        <f>IF(C141-Table_14634578112918214250[Ethiopia]&gt;0, C141-Table_14634578112918214250[Ethiopia], 0)</f>
        <v>365.0517187891387</v>
      </c>
      <c r="I141" s="29">
        <f>IF(C141-Table_14634578112918214250[Kenya]&gt;0, C141-Table_14634578112918214250[Kenya], 0)</f>
        <v>289.56341923310777</v>
      </c>
      <c r="J141" s="29">
        <f>IF(C141-Table_14634578112918214250[Rwanda]&gt;0, C141-Table_14634578112918214250[Rwanda], 0)</f>
        <v>272.02330465737958</v>
      </c>
      <c r="K141" s="29">
        <f>IF(C141-Table_14634578112918214250[Sudan]&gt;0, C141-Table_14634578112918214250[Sudan], 0)</f>
        <v>0</v>
      </c>
      <c r="L141" s="29">
        <f>IF(C141-Table_14634578112918214250[S. Sudan]&gt;0, C141-Table_14634578112918214250[S. Sudan], 0)</f>
        <v>278.88734133777785</v>
      </c>
      <c r="M141" s="29">
        <f>IF(C141-Table_14634578112918214250[Tanzania]&gt;0, C141-Table_14634578112918214250[Tanzania], 0)</f>
        <v>289.17593415172576</v>
      </c>
      <c r="N141" s="29">
        <f>IF(C141-Table_14634578112918214250[Uganda]&gt;0, C141-Table_14634578112918214250[Uganda], 0)</f>
        <v>317.43988859665274</v>
      </c>
      <c r="P141" s="21" t="s">
        <v>8</v>
      </c>
      <c r="Q141" s="97">
        <f t="shared" si="16"/>
        <v>-4.7234125921584522E-5</v>
      </c>
      <c r="R141" s="97">
        <f t="shared" si="15"/>
        <v>-4.7234125921584522E-5</v>
      </c>
      <c r="S141" s="97">
        <f t="shared" si="15"/>
        <v>-4.7234125921584522E-5</v>
      </c>
      <c r="T141" s="97">
        <f t="shared" si="15"/>
        <v>-4.7234125921584522E-5</v>
      </c>
      <c r="U141" s="97">
        <f t="shared" si="15"/>
        <v>0.2328243803992876</v>
      </c>
      <c r="V141" s="97">
        <f t="shared" si="15"/>
        <v>2.880640086593781E-2</v>
      </c>
      <c r="W141" s="97">
        <f t="shared" si="15"/>
        <v>-4.7234125921584522E-5</v>
      </c>
      <c r="X141" s="97">
        <f t="shared" si="15"/>
        <v>-4.7234125921584522E-5</v>
      </c>
      <c r="Y141" s="97">
        <f t="shared" si="15"/>
        <v>-4.7234125921584522E-5</v>
      </c>
      <c r="Z141" s="97">
        <f t="shared" si="15"/>
        <v>2.7759166740016231E-2</v>
      </c>
      <c r="AA141" s="97">
        <f t="shared" si="15"/>
        <v>0.10414656602427992</v>
      </c>
    </row>
    <row r="142" spans="2:31" ht="12.75" customHeight="1" x14ac:dyDescent="0.25">
      <c r="B142" s="21" t="s">
        <v>8</v>
      </c>
      <c r="C142" s="95">
        <f>Annual_sorted!I217</f>
        <v>-13.031492086199901</v>
      </c>
      <c r="D142" s="29">
        <f>IF(C142-Table_14634578112918214250[Burundi]&gt;0, C142-Table_14634578112918214250[Burundi], 0)</f>
        <v>0</v>
      </c>
      <c r="E142" s="29">
        <f>IF(C142-Table_14634578112918214250[DRC]&gt;0, C142-Table_14634578112918214250[DRC], 0)</f>
        <v>0</v>
      </c>
      <c r="F142" s="29">
        <f>IF(C142-Table_14634578112918214250[Egypt]&gt;0, C142-Table_14634578112918214250[Egypt], 0)</f>
        <v>0</v>
      </c>
      <c r="G142" s="29">
        <f>IF(C142-Table_14634578112918214250[Eritrea]&gt;0, C142-Table_14634578112918214250[Eritrea], 0)</f>
        <v>0</v>
      </c>
      <c r="H142" s="29">
        <f>IF(C142-Table_14634578112918214250[Ethiopia]&gt;0, C142-Table_14634578112918214250[Ethiopia], 0)</f>
        <v>86.164377451360849</v>
      </c>
      <c r="I142" s="29">
        <f>IF(C142-Table_14634578112918214250[Kenya]&gt;0, C142-Table_14634578112918214250[Kenya], 0)</f>
        <v>10.676077895329879</v>
      </c>
      <c r="J142" s="29">
        <f>IF(C142-Table_14634578112918214250[Rwanda]&gt;0, C142-Table_14634578112918214250[Rwanda], 0)</f>
        <v>0</v>
      </c>
      <c r="K142" s="29">
        <f>IF(C142-Table_14634578112918214250[Sudan]&gt;0, C142-Table_14634578112918214250[Sudan], 0)</f>
        <v>0</v>
      </c>
      <c r="L142" s="29">
        <f>IF(C142-Table_14634578112918214250[S. Sudan]&gt;0, C142-Table_14634578112918214250[S. Sudan], 0)</f>
        <v>0</v>
      </c>
      <c r="M142" s="29">
        <f>IF(C142-Table_14634578112918214250[Tanzania]&gt;0, C142-Table_14634578112918214250[Tanzania], 0)</f>
        <v>10.288592813947901</v>
      </c>
      <c r="N142" s="29">
        <f>IF(C142-Table_14634578112918214250[Uganda]&gt;0, C142-Table_14634578112918214250[Uganda], 0)</f>
        <v>38.552547258874881</v>
      </c>
      <c r="P142" s="21" t="s">
        <v>9</v>
      </c>
      <c r="Q142" s="97">
        <f t="shared" si="16"/>
        <v>-4.7234125921584522E-5</v>
      </c>
      <c r="R142" s="97">
        <f t="shared" si="15"/>
        <v>-4.7234125921584522E-5</v>
      </c>
      <c r="S142" s="97">
        <f t="shared" si="15"/>
        <v>-4.7234125921584522E-5</v>
      </c>
      <c r="T142" s="97">
        <f t="shared" si="15"/>
        <v>-4.7234125921584522E-5</v>
      </c>
      <c r="U142" s="97">
        <f t="shared" si="15"/>
        <v>0.2050179795333498</v>
      </c>
      <c r="V142" s="97">
        <f t="shared" si="15"/>
        <v>1E-3</v>
      </c>
      <c r="W142" s="97">
        <f t="shared" si="15"/>
        <v>-4.7234125921584522E-5</v>
      </c>
      <c r="X142" s="97">
        <f t="shared" si="15"/>
        <v>-4.7234125921584522E-5</v>
      </c>
      <c r="Y142" s="97">
        <f t="shared" si="15"/>
        <v>-4.7234125921584522E-5</v>
      </c>
      <c r="Z142" s="97">
        <f t="shared" si="15"/>
        <v>-4.7234125921584522E-5</v>
      </c>
      <c r="AA142" s="97">
        <f t="shared" si="15"/>
        <v>7.6340165158342105E-2</v>
      </c>
    </row>
    <row r="143" spans="2:31" ht="12.75" customHeight="1" thickBot="1" x14ac:dyDescent="0.3">
      <c r="B143" s="21" t="s">
        <v>9</v>
      </c>
      <c r="C143" s="95">
        <f>Annual_sorted!I218</f>
        <v>-23.320084900147801</v>
      </c>
      <c r="D143" s="29">
        <f>IF(C143-Table_14634578112918214250[Burundi]&gt;0, C143-Table_14634578112918214250[Burundi], 0)</f>
        <v>0</v>
      </c>
      <c r="E143" s="29">
        <f>IF(C143-Table_14634578112918214250[DRC]&gt;0, C143-Table_14634578112918214250[DRC], 0)</f>
        <v>0</v>
      </c>
      <c r="F143" s="29">
        <f>IF(C143-Table_14634578112918214250[Egypt]&gt;0, C143-Table_14634578112918214250[Egypt], 0)</f>
        <v>0</v>
      </c>
      <c r="G143" s="29">
        <f>IF(C143-Table_14634578112918214250[Eritrea]&gt;0, C143-Table_14634578112918214250[Eritrea], 0)</f>
        <v>0</v>
      </c>
      <c r="H143" s="29">
        <f>IF(C143-Table_14634578112918214250[Ethiopia]&gt;0, C143-Table_14634578112918214250[Ethiopia], 0)</f>
        <v>75.875784637412949</v>
      </c>
      <c r="I143" s="29">
        <f>IF(C143-Table_14634578112918214250[Kenya]&gt;0, C143-Table_14634578112918214250[Kenya], 0)</f>
        <v>0.38748508138197835</v>
      </c>
      <c r="J143" s="29">
        <f>IF(C143-Table_14634578112918214250[Rwanda]&gt;0, C143-Table_14634578112918214250[Rwanda], 0)</f>
        <v>0</v>
      </c>
      <c r="K143" s="29">
        <f>IF(C143-Table_14634578112918214250[Sudan]&gt;0, C143-Table_14634578112918214250[Sudan], 0)</f>
        <v>0</v>
      </c>
      <c r="L143" s="29">
        <f>IF(C143-Table_14634578112918214250[S. Sudan]&gt;0, C143-Table_14634578112918214250[S. Sudan], 0)</f>
        <v>0</v>
      </c>
      <c r="M143" s="29">
        <f>IF(C143-Table_14634578112918214250[Tanzania]&gt;0, C143-Table_14634578112918214250[Tanzania], 0)</f>
        <v>0</v>
      </c>
      <c r="N143" s="29">
        <f>IF(C143-Table_14634578112918214250[Uganda]&gt;0, C143-Table_14634578112918214250[Uganda], 0)</f>
        <v>28.263954444926977</v>
      </c>
      <c r="P143" s="22" t="s">
        <v>10</v>
      </c>
      <c r="Q143" s="98">
        <f t="shared" si="16"/>
        <v>-4.7234125921584522E-5</v>
      </c>
      <c r="R143" s="98">
        <f t="shared" si="15"/>
        <v>-4.7234125921584522E-5</v>
      </c>
      <c r="S143" s="98">
        <f t="shared" si="15"/>
        <v>-4.7234125921584522E-5</v>
      </c>
      <c r="T143" s="98">
        <f t="shared" si="15"/>
        <v>-4.7234125921584522E-5</v>
      </c>
      <c r="U143" s="98">
        <f t="shared" si="15"/>
        <v>0.12863058024908613</v>
      </c>
      <c r="V143" s="98">
        <f t="shared" si="15"/>
        <v>-4.7234125921584522E-5</v>
      </c>
      <c r="W143" s="98">
        <f t="shared" si="15"/>
        <v>-4.7234125921584522E-5</v>
      </c>
      <c r="X143" s="98">
        <f t="shared" si="15"/>
        <v>-4.7234125921584522E-5</v>
      </c>
      <c r="Y143" s="98">
        <f t="shared" si="15"/>
        <v>-4.7234125921584522E-5</v>
      </c>
      <c r="Z143" s="98">
        <f t="shared" si="15"/>
        <v>-4.7234125921584522E-5</v>
      </c>
      <c r="AA143" s="98">
        <f t="shared" si="15"/>
        <v>-4.7234125921584522E-5</v>
      </c>
      <c r="AB143" s="186">
        <f>SUM(Q133:AA143)</f>
        <v>17.584853987807147</v>
      </c>
    </row>
    <row r="144" spans="2:31" ht="12.75" customHeight="1" thickBot="1" x14ac:dyDescent="0.3">
      <c r="B144" s="22" t="s">
        <v>10</v>
      </c>
      <c r="C144" s="96">
        <f>Annual_sorted!I219</f>
        <v>-51.584039345074778</v>
      </c>
      <c r="D144" s="32">
        <f>IF(C144-Table_14634578112918214250[Burundi]&gt;0, C144-Table_14634578112918214250[Burundi], 0)</f>
        <v>0</v>
      </c>
      <c r="E144" s="32">
        <f>IF(C144-Table_14634578112918214250[DRC]&gt;0, C144-Table_14634578112918214250[DRC], 0)</f>
        <v>0</v>
      </c>
      <c r="F144" s="32">
        <f>IF(C144-Table_14634578112918214250[Egypt]&gt;0, C144-Table_14634578112918214250[Egypt], 0)</f>
        <v>0</v>
      </c>
      <c r="G144" s="32">
        <f>IF(C144-Table_14634578112918214250[Eritrea]&gt;0, C144-Table_14634578112918214250[Eritrea], 0)</f>
        <v>0</v>
      </c>
      <c r="H144" s="32">
        <f>IF(C144-Table_14634578112918214250[Ethiopia]&gt;0, C144-Table_14634578112918214250[Ethiopia], 0)</f>
        <v>47.611830192485975</v>
      </c>
      <c r="I144" s="32">
        <f>IF(C144-Table_14634578112918214250[Kenya]&gt;0, C144-Table_14634578112918214250[Kenya], 0)</f>
        <v>0</v>
      </c>
      <c r="J144" s="32">
        <f>IF(C144-Table_14634578112918214250[Rwanda]&gt;0, C144-Table_14634578112918214250[Rwanda], 0)</f>
        <v>0</v>
      </c>
      <c r="K144" s="32">
        <f>IF(C144-Table_14634578112918214250[Sudan]&gt;0, C144-Table_14634578112918214250[Sudan], 0)</f>
        <v>0</v>
      </c>
      <c r="L144" s="32">
        <f>IF(C144-Table_14634578112918214250[S. Sudan]&gt;0, C144-Table_14634578112918214250[S. Sudan], 0)</f>
        <v>0</v>
      </c>
      <c r="M144" s="32">
        <f>IF(C144-Table_14634578112918214250[Tanzania]&gt;0, C144-Table_14634578112918214250[Tanzania], 0)</f>
        <v>0</v>
      </c>
      <c r="N144" s="32">
        <f>IF(C144-Table_14634578112918214250[Uganda]&gt;0, C144-Table_14634578112918214250[Uganda], 0)</f>
        <v>0</v>
      </c>
    </row>
    <row r="145" ht="12.75" customHeight="1" x14ac:dyDescent="0.25"/>
    <row r="146" ht="12.75" customHeight="1" x14ac:dyDescent="0.25"/>
    <row r="147" ht="12.75" customHeight="1" x14ac:dyDescent="0.25"/>
    <row r="148" ht="12.75" customHeight="1" x14ac:dyDescent="0.25"/>
    <row r="149" ht="12.75" customHeight="1" x14ac:dyDescent="0.25"/>
    <row r="150" ht="12.75" customHeight="1" x14ac:dyDescent="0.25"/>
    <row r="151" ht="12.75" customHeight="1" x14ac:dyDescent="0.25"/>
    <row r="152" ht="12.75" customHeight="1" x14ac:dyDescent="0.25"/>
    <row r="153" ht="12.75" customHeight="1" x14ac:dyDescent="0.25"/>
    <row r="154" ht="12.75" customHeight="1" x14ac:dyDescent="0.25"/>
    <row r="155" ht="12.75" customHeight="1" x14ac:dyDescent="0.25"/>
    <row r="156" ht="12.75" customHeight="1" x14ac:dyDescent="0.25"/>
    <row r="157" ht="12.75" customHeight="1" x14ac:dyDescent="0.25"/>
    <row r="158" ht="12.75" customHeight="1" x14ac:dyDescent="0.25"/>
    <row r="159" ht="12.75" customHeight="1" x14ac:dyDescent="0.25"/>
    <row r="160" ht="12.75" customHeight="1" x14ac:dyDescent="0.25"/>
    <row r="161" ht="12.75" customHeight="1" x14ac:dyDescent="0.25"/>
    <row r="162" ht="12.75" customHeight="1" x14ac:dyDescent="0.25"/>
    <row r="163" ht="12.75" customHeight="1" x14ac:dyDescent="0.25"/>
    <row r="164" ht="12.75" customHeight="1" x14ac:dyDescent="0.25"/>
    <row r="165" ht="12.75" customHeight="1" x14ac:dyDescent="0.25"/>
    <row r="166" ht="12.75" customHeight="1" x14ac:dyDescent="0.25"/>
    <row r="167" ht="12.75" customHeight="1" x14ac:dyDescent="0.25"/>
    <row r="168" ht="12.75" customHeight="1" x14ac:dyDescent="0.25"/>
    <row r="169" ht="12.75" customHeight="1" x14ac:dyDescent="0.25"/>
    <row r="170" ht="12.75" customHeight="1" x14ac:dyDescent="0.25"/>
    <row r="171" ht="12.75" customHeight="1" x14ac:dyDescent="0.25"/>
    <row r="172" ht="12.75" customHeight="1" x14ac:dyDescent="0.25"/>
    <row r="173" ht="12.75" customHeight="1" x14ac:dyDescent="0.25"/>
    <row r="174" ht="12.75" customHeight="1" x14ac:dyDescent="0.25"/>
    <row r="175" ht="12.75" customHeight="1" x14ac:dyDescent="0.25"/>
    <row r="176" ht="12.75" customHeight="1" x14ac:dyDescent="0.25"/>
    <row r="177" ht="12.75" customHeight="1" x14ac:dyDescent="0.25"/>
    <row r="178" ht="12.75" customHeight="1" x14ac:dyDescent="0.25"/>
    <row r="179" ht="12.75" customHeight="1" x14ac:dyDescent="0.25"/>
    <row r="180" ht="12.75" customHeight="1" x14ac:dyDescent="0.25"/>
    <row r="181" ht="12.75" customHeight="1" x14ac:dyDescent="0.25"/>
    <row r="182" ht="12.75" customHeight="1" x14ac:dyDescent="0.25"/>
    <row r="183" ht="12.75" customHeight="1" x14ac:dyDescent="0.25"/>
    <row r="184" ht="12.75" customHeight="1" x14ac:dyDescent="0.25"/>
    <row r="185" ht="12.75" customHeight="1" x14ac:dyDescent="0.25"/>
    <row r="186" ht="12.75" customHeight="1" x14ac:dyDescent="0.25"/>
    <row r="187" ht="12.75" customHeight="1" x14ac:dyDescent="0.25"/>
    <row r="188" ht="12.75" customHeight="1" x14ac:dyDescent="0.25"/>
    <row r="189" ht="12.75" customHeight="1" x14ac:dyDescent="0.25"/>
    <row r="190" ht="12.75" customHeight="1" x14ac:dyDescent="0.25"/>
    <row r="191" ht="12.75" customHeight="1" x14ac:dyDescent="0.25"/>
    <row r="192" ht="12.75" customHeight="1" x14ac:dyDescent="0.25"/>
    <row r="193" ht="12.75" customHeight="1" x14ac:dyDescent="0.25"/>
    <row r="194" ht="12.75" customHeight="1" x14ac:dyDescent="0.25"/>
    <row r="195" ht="12.75" customHeight="1" x14ac:dyDescent="0.25"/>
    <row r="196" ht="12.75" customHeight="1" x14ac:dyDescent="0.25"/>
    <row r="197" ht="12.75" customHeight="1" x14ac:dyDescent="0.25"/>
    <row r="198" ht="12.75" customHeight="1" x14ac:dyDescent="0.25"/>
    <row r="199" ht="12.75" customHeight="1" x14ac:dyDescent="0.25"/>
    <row r="200" ht="12.75" customHeight="1" x14ac:dyDescent="0.25"/>
    <row r="201" ht="12.75" customHeight="1" x14ac:dyDescent="0.25"/>
    <row r="202" ht="12.75" customHeight="1" x14ac:dyDescent="0.25"/>
    <row r="203" ht="12.75" customHeight="1" x14ac:dyDescent="0.25"/>
    <row r="204" ht="12.75" customHeight="1" x14ac:dyDescent="0.25"/>
    <row r="205" ht="12.75" customHeight="1" x14ac:dyDescent="0.25"/>
    <row r="206" ht="12.75" customHeight="1" x14ac:dyDescent="0.25"/>
    <row r="207" ht="12.75" customHeight="1" x14ac:dyDescent="0.25"/>
    <row r="208" ht="12.75" customHeight="1" x14ac:dyDescent="0.25"/>
    <row r="209" ht="12.75" customHeight="1" x14ac:dyDescent="0.25"/>
    <row r="210" ht="12.75" customHeight="1" x14ac:dyDescent="0.25"/>
    <row r="211" ht="12.75" customHeight="1" x14ac:dyDescent="0.25"/>
    <row r="212" ht="12.75" customHeight="1" x14ac:dyDescent="0.25"/>
    <row r="213" ht="12.75" customHeight="1" x14ac:dyDescent="0.25"/>
    <row r="214" ht="12.75" customHeight="1" x14ac:dyDescent="0.25"/>
    <row r="215" ht="12.75" customHeight="1" x14ac:dyDescent="0.25"/>
    <row r="216" ht="12.75" customHeight="1" x14ac:dyDescent="0.25"/>
    <row r="217" ht="12.75" customHeight="1" x14ac:dyDescent="0.25"/>
    <row r="218" ht="12.75" customHeight="1" x14ac:dyDescent="0.25"/>
    <row r="219" ht="12.75" customHeight="1" x14ac:dyDescent="0.25"/>
    <row r="220" ht="12.75" customHeight="1" x14ac:dyDescent="0.25"/>
    <row r="221" ht="12.75" customHeight="1" x14ac:dyDescent="0.25"/>
    <row r="222" ht="12.75" customHeight="1" x14ac:dyDescent="0.25"/>
    <row r="223" ht="12.75" customHeight="1" x14ac:dyDescent="0.25"/>
    <row r="224" ht="12.75" customHeight="1" x14ac:dyDescent="0.25"/>
    <row r="225" ht="12.75" customHeight="1" x14ac:dyDescent="0.25"/>
    <row r="226" ht="12.75" customHeight="1" x14ac:dyDescent="0.25"/>
    <row r="227" ht="12.75" customHeight="1" x14ac:dyDescent="0.25"/>
    <row r="228" ht="12.75" customHeight="1" x14ac:dyDescent="0.25"/>
    <row r="229" ht="12.75" customHeight="1" x14ac:dyDescent="0.25"/>
    <row r="230" ht="12.75" customHeight="1" x14ac:dyDescent="0.25"/>
    <row r="231" ht="12.75" customHeight="1" x14ac:dyDescent="0.25"/>
    <row r="232" ht="12.75" customHeight="1" x14ac:dyDescent="0.25"/>
    <row r="233" ht="12.75" customHeight="1" x14ac:dyDescent="0.25"/>
    <row r="234" ht="12.75" customHeight="1" x14ac:dyDescent="0.25"/>
    <row r="235" ht="12.75" customHeight="1" x14ac:dyDescent="0.25"/>
    <row r="236" ht="12.75" customHeight="1" x14ac:dyDescent="0.25"/>
    <row r="237" ht="12.75" customHeight="1" x14ac:dyDescent="0.25"/>
    <row r="238" ht="12.75" customHeight="1" x14ac:dyDescent="0.25"/>
    <row r="239" ht="12.75" customHeight="1" x14ac:dyDescent="0.25"/>
    <row r="240" ht="12.75" customHeight="1" x14ac:dyDescent="0.25"/>
    <row r="241" ht="12.75" customHeight="1" x14ac:dyDescent="0.25"/>
    <row r="242" ht="12.75" customHeight="1" x14ac:dyDescent="0.25"/>
    <row r="243" ht="12.75" customHeight="1" x14ac:dyDescent="0.25"/>
    <row r="244" ht="12.75" customHeight="1" x14ac:dyDescent="0.25"/>
    <row r="245" ht="12.75" customHeight="1" x14ac:dyDescent="0.25"/>
    <row r="246" ht="12.75" customHeight="1" x14ac:dyDescent="0.25"/>
    <row r="247" ht="12.75" customHeight="1" x14ac:dyDescent="0.25"/>
    <row r="248" ht="12.75" customHeight="1" x14ac:dyDescent="0.25"/>
    <row r="249" ht="12.75" customHeight="1" x14ac:dyDescent="0.25"/>
    <row r="250" ht="12.75" customHeight="1" x14ac:dyDescent="0.25"/>
    <row r="251" ht="12.75" customHeight="1" x14ac:dyDescent="0.25"/>
    <row r="252" ht="12.75" customHeight="1" x14ac:dyDescent="0.25"/>
    <row r="253" ht="12.75" customHeight="1" x14ac:dyDescent="0.25"/>
    <row r="254" ht="12.75" customHeight="1" x14ac:dyDescent="0.25"/>
    <row r="255" ht="12.75" customHeight="1" x14ac:dyDescent="0.25"/>
    <row r="256" ht="12.75" customHeight="1" x14ac:dyDescent="0.25"/>
    <row r="257" ht="12.75" customHeight="1" x14ac:dyDescent="0.25"/>
    <row r="258" ht="12.75" customHeight="1" x14ac:dyDescent="0.25"/>
    <row r="259" ht="12.75" customHeight="1" x14ac:dyDescent="0.25"/>
    <row r="260" ht="12.75" customHeight="1" x14ac:dyDescent="0.25"/>
    <row r="261" ht="12.75" customHeight="1" x14ac:dyDescent="0.25"/>
    <row r="262" ht="12.75" customHeight="1" x14ac:dyDescent="0.25"/>
    <row r="263" ht="12.75" customHeight="1" x14ac:dyDescent="0.25"/>
    <row r="264" ht="12.75" customHeight="1" x14ac:dyDescent="0.25"/>
    <row r="265" ht="12.75" customHeight="1" x14ac:dyDescent="0.25"/>
    <row r="266" ht="12.75" customHeight="1" x14ac:dyDescent="0.25"/>
    <row r="267" ht="12.75" customHeight="1" x14ac:dyDescent="0.25"/>
    <row r="268" ht="12.75" customHeight="1" x14ac:dyDescent="0.25"/>
    <row r="269" ht="12.75" customHeight="1" x14ac:dyDescent="0.25"/>
    <row r="270" ht="12.75" customHeight="1" x14ac:dyDescent="0.25"/>
    <row r="271" ht="12.75" customHeight="1" x14ac:dyDescent="0.25"/>
    <row r="272" ht="12.75" customHeight="1" x14ac:dyDescent="0.25"/>
    <row r="273" ht="12.75" customHeight="1" x14ac:dyDescent="0.25"/>
    <row r="274" ht="12.75" customHeight="1" x14ac:dyDescent="0.25"/>
    <row r="275" ht="12.75" customHeight="1" x14ac:dyDescent="0.25"/>
    <row r="276" ht="12.75" customHeight="1" x14ac:dyDescent="0.25"/>
    <row r="277" ht="12.75" customHeight="1" x14ac:dyDescent="0.25"/>
    <row r="278" ht="12.75" customHeight="1" x14ac:dyDescent="0.25"/>
    <row r="279" ht="12.75" customHeight="1" x14ac:dyDescent="0.25"/>
    <row r="280" ht="12.75" customHeight="1" x14ac:dyDescent="0.25"/>
    <row r="281" ht="12.75" customHeight="1" x14ac:dyDescent="0.25"/>
    <row r="282" ht="12.75" customHeight="1" x14ac:dyDescent="0.25"/>
    <row r="283" ht="12.75" customHeight="1" x14ac:dyDescent="0.25"/>
    <row r="284" ht="12.75" customHeight="1" x14ac:dyDescent="0.25"/>
    <row r="285" ht="12.75" customHeight="1" x14ac:dyDescent="0.25"/>
    <row r="286" ht="12.75" customHeight="1" x14ac:dyDescent="0.25"/>
    <row r="287" ht="12.75" customHeight="1" x14ac:dyDescent="0.25"/>
    <row r="288" ht="12.75" customHeight="1" x14ac:dyDescent="0.25"/>
    <row r="289" ht="12.75" customHeight="1" x14ac:dyDescent="0.25"/>
    <row r="290" ht="12.75" customHeight="1" x14ac:dyDescent="0.25"/>
    <row r="291" ht="12.75" customHeight="1" x14ac:dyDescent="0.25"/>
    <row r="292" ht="12.75" customHeight="1" x14ac:dyDescent="0.25"/>
    <row r="293" ht="12.75" customHeight="1" x14ac:dyDescent="0.25"/>
    <row r="294" ht="12.75" customHeight="1" x14ac:dyDescent="0.25"/>
    <row r="295" ht="12.75" customHeight="1" x14ac:dyDescent="0.25"/>
    <row r="296" ht="12.75" customHeight="1" x14ac:dyDescent="0.25"/>
    <row r="297" ht="12.75" customHeight="1" x14ac:dyDescent="0.25"/>
    <row r="298" ht="12.75" customHeight="1" x14ac:dyDescent="0.25"/>
    <row r="299" ht="12.75" customHeight="1" x14ac:dyDescent="0.25"/>
    <row r="300" ht="12.75" customHeight="1" x14ac:dyDescent="0.25"/>
    <row r="301" ht="12.75" customHeight="1" x14ac:dyDescent="0.25"/>
    <row r="302" ht="12.75" customHeight="1" x14ac:dyDescent="0.25"/>
    <row r="303" ht="12.75" customHeight="1" x14ac:dyDescent="0.25"/>
    <row r="304" ht="12.75" customHeight="1" x14ac:dyDescent="0.25"/>
    <row r="305" ht="12.75" customHeight="1" x14ac:dyDescent="0.25"/>
    <row r="306" ht="12.75" customHeight="1" x14ac:dyDescent="0.25"/>
    <row r="307" ht="12.75" customHeight="1" x14ac:dyDescent="0.25"/>
    <row r="308" ht="12.75" customHeight="1" x14ac:dyDescent="0.25"/>
    <row r="309" ht="12.75" customHeight="1" x14ac:dyDescent="0.25"/>
    <row r="310" ht="12.75" customHeight="1" x14ac:dyDescent="0.25"/>
    <row r="311" ht="12.75" customHeight="1" x14ac:dyDescent="0.25"/>
    <row r="312" ht="12.75" customHeight="1" x14ac:dyDescent="0.25"/>
    <row r="313" ht="12.75" customHeight="1" x14ac:dyDescent="0.25"/>
    <row r="314" ht="12.75" customHeight="1" x14ac:dyDescent="0.25"/>
    <row r="315" ht="12.75" customHeight="1" x14ac:dyDescent="0.25"/>
    <row r="316" ht="12.75" customHeight="1" x14ac:dyDescent="0.25"/>
    <row r="317" ht="12.75" customHeight="1" x14ac:dyDescent="0.25"/>
    <row r="318" ht="12.75" customHeight="1" x14ac:dyDescent="0.25"/>
    <row r="319" ht="12.75" customHeight="1" x14ac:dyDescent="0.25"/>
    <row r="320" ht="12.75" customHeight="1" x14ac:dyDescent="0.25"/>
    <row r="321" ht="12.75" customHeight="1" x14ac:dyDescent="0.25"/>
    <row r="322" ht="12.75" customHeight="1" x14ac:dyDescent="0.25"/>
    <row r="323" ht="12.75" customHeight="1" x14ac:dyDescent="0.25"/>
    <row r="324" ht="12.75" customHeight="1" x14ac:dyDescent="0.25"/>
    <row r="325" ht="12.75" customHeight="1" x14ac:dyDescent="0.25"/>
    <row r="326" ht="12.75" customHeight="1" x14ac:dyDescent="0.25"/>
    <row r="327" ht="12.75" customHeight="1" x14ac:dyDescent="0.25"/>
    <row r="328" ht="12.75" customHeight="1" x14ac:dyDescent="0.25"/>
    <row r="329" ht="12.75" customHeight="1" x14ac:dyDescent="0.25"/>
    <row r="330" ht="12.75" customHeight="1" x14ac:dyDescent="0.25"/>
    <row r="331" ht="12.75" customHeight="1" x14ac:dyDescent="0.25"/>
    <row r="332" ht="12.75" customHeight="1" x14ac:dyDescent="0.25"/>
    <row r="333" ht="12.75" customHeight="1" x14ac:dyDescent="0.25"/>
    <row r="334" ht="12.75" customHeight="1" x14ac:dyDescent="0.25"/>
    <row r="335" ht="12.75" customHeight="1" x14ac:dyDescent="0.25"/>
    <row r="336" ht="12.75" customHeight="1" x14ac:dyDescent="0.25"/>
    <row r="337" ht="12.75" customHeight="1" x14ac:dyDescent="0.25"/>
    <row r="338" ht="12.75" customHeight="1" x14ac:dyDescent="0.25"/>
    <row r="339" ht="12.75" customHeight="1" x14ac:dyDescent="0.25"/>
    <row r="340" ht="12.75" customHeight="1" x14ac:dyDescent="0.25"/>
    <row r="341" ht="12.75" customHeight="1" x14ac:dyDescent="0.25"/>
    <row r="342" ht="12.75" customHeight="1" x14ac:dyDescent="0.25"/>
    <row r="343" ht="12.75" customHeight="1" x14ac:dyDescent="0.25"/>
    <row r="344" ht="12.75" customHeight="1" x14ac:dyDescent="0.25"/>
    <row r="345" ht="12.75" customHeight="1" x14ac:dyDescent="0.25"/>
    <row r="346" ht="12.75" customHeight="1" x14ac:dyDescent="0.25"/>
    <row r="347" ht="12.75" customHeight="1" x14ac:dyDescent="0.25"/>
    <row r="348" ht="12.75" customHeight="1" x14ac:dyDescent="0.25"/>
    <row r="349" ht="12.75" customHeight="1" x14ac:dyDescent="0.25"/>
    <row r="350" ht="12.75" customHeight="1" x14ac:dyDescent="0.25"/>
    <row r="351" ht="12.75" customHeight="1" x14ac:dyDescent="0.25"/>
    <row r="352" ht="12.75" customHeight="1" x14ac:dyDescent="0.25"/>
    <row r="353" ht="12.75" customHeight="1" x14ac:dyDescent="0.25"/>
    <row r="354" ht="12.75" customHeight="1" x14ac:dyDescent="0.25"/>
    <row r="355" ht="12.75" customHeight="1" x14ac:dyDescent="0.25"/>
    <row r="356" ht="12.75" customHeight="1" x14ac:dyDescent="0.25"/>
    <row r="357" ht="12.75" customHeight="1" x14ac:dyDescent="0.25"/>
    <row r="358" ht="12.75" customHeight="1" x14ac:dyDescent="0.25"/>
    <row r="359" ht="12.75" customHeight="1" x14ac:dyDescent="0.25"/>
    <row r="360" ht="12.75" customHeight="1" x14ac:dyDescent="0.25"/>
    <row r="361" ht="12.75" customHeight="1" x14ac:dyDescent="0.25"/>
    <row r="362" ht="12.75" customHeight="1" x14ac:dyDescent="0.25"/>
    <row r="363" ht="12.75" customHeight="1" x14ac:dyDescent="0.25"/>
    <row r="364" ht="12.75" customHeight="1" x14ac:dyDescent="0.25"/>
    <row r="365" ht="12.75" customHeight="1" x14ac:dyDescent="0.25"/>
    <row r="366" ht="12.75" customHeight="1" x14ac:dyDescent="0.25"/>
    <row r="367" ht="12.75" customHeight="1" x14ac:dyDescent="0.25"/>
    <row r="368" ht="12.75" customHeight="1" x14ac:dyDescent="0.25"/>
    <row r="369" ht="12.75" customHeight="1" x14ac:dyDescent="0.25"/>
    <row r="370" ht="12.75" customHeight="1" x14ac:dyDescent="0.25"/>
    <row r="371" ht="12.75" customHeight="1" x14ac:dyDescent="0.25"/>
    <row r="372" ht="12.75" customHeight="1" x14ac:dyDescent="0.25"/>
    <row r="373" ht="12.75" customHeight="1" x14ac:dyDescent="0.25"/>
    <row r="374" ht="12.75" customHeight="1" x14ac:dyDescent="0.25"/>
    <row r="375" ht="12.75" customHeight="1" x14ac:dyDescent="0.25"/>
    <row r="376" ht="12.75" customHeight="1" x14ac:dyDescent="0.25"/>
    <row r="377" ht="12.75" customHeight="1" x14ac:dyDescent="0.25"/>
    <row r="378" ht="12.75" customHeight="1" x14ac:dyDescent="0.25"/>
    <row r="379" ht="12.75" customHeight="1" x14ac:dyDescent="0.25"/>
    <row r="380" ht="12.75" customHeight="1" x14ac:dyDescent="0.25"/>
    <row r="381" ht="12.75" customHeight="1" x14ac:dyDescent="0.25"/>
    <row r="382" ht="12.75" customHeight="1" x14ac:dyDescent="0.25"/>
    <row r="383" ht="12.75" customHeight="1" x14ac:dyDescent="0.25"/>
    <row r="384" ht="12.75" customHeight="1" x14ac:dyDescent="0.25"/>
    <row r="385" ht="12.75" customHeight="1" x14ac:dyDescent="0.25"/>
    <row r="386" ht="12.75" customHeight="1" x14ac:dyDescent="0.25"/>
    <row r="387" ht="12.75" customHeight="1" x14ac:dyDescent="0.25"/>
    <row r="388" ht="12.75" customHeight="1" x14ac:dyDescent="0.25"/>
    <row r="389" ht="12.75" customHeight="1" x14ac:dyDescent="0.25"/>
    <row r="390" ht="12.75" customHeight="1" x14ac:dyDescent="0.25"/>
    <row r="391" ht="12.75" customHeight="1" x14ac:dyDescent="0.25"/>
    <row r="392" ht="12.75" customHeight="1" x14ac:dyDescent="0.25"/>
    <row r="393" ht="12.75" customHeight="1" x14ac:dyDescent="0.25"/>
    <row r="394" ht="12.75" customHeight="1" x14ac:dyDescent="0.25"/>
    <row r="395" ht="12.75" customHeight="1" x14ac:dyDescent="0.25"/>
    <row r="396" ht="12.75" customHeight="1" x14ac:dyDescent="0.25"/>
    <row r="397" ht="12.75" customHeight="1" x14ac:dyDescent="0.25"/>
    <row r="398" ht="12.75" customHeight="1" x14ac:dyDescent="0.25"/>
    <row r="399" ht="12.75" customHeight="1" x14ac:dyDescent="0.25"/>
    <row r="400" ht="12.75" customHeight="1" x14ac:dyDescent="0.25"/>
    <row r="401" ht="12.75" customHeight="1" x14ac:dyDescent="0.25"/>
    <row r="402" ht="12.75" customHeight="1" x14ac:dyDescent="0.25"/>
    <row r="403" ht="12.75" customHeight="1" x14ac:dyDescent="0.25"/>
    <row r="404" ht="12.75" customHeight="1" x14ac:dyDescent="0.25"/>
    <row r="405" ht="12.75" customHeight="1" x14ac:dyDescent="0.25"/>
    <row r="406" ht="12.75" customHeight="1" x14ac:dyDescent="0.25"/>
    <row r="407" ht="12.75" customHeight="1" x14ac:dyDescent="0.25"/>
    <row r="408" ht="12.75" customHeight="1" x14ac:dyDescent="0.25"/>
    <row r="409" ht="12.75" customHeight="1" x14ac:dyDescent="0.25"/>
    <row r="410" ht="12.75" customHeight="1" x14ac:dyDescent="0.25"/>
    <row r="411" ht="12.75" customHeight="1" x14ac:dyDescent="0.25"/>
    <row r="412" ht="12.75" customHeight="1" x14ac:dyDescent="0.25"/>
    <row r="413" ht="12.75" customHeight="1" x14ac:dyDescent="0.25"/>
    <row r="414" ht="12.75" customHeight="1" x14ac:dyDescent="0.25"/>
    <row r="415" ht="12.75" customHeight="1" x14ac:dyDescent="0.25"/>
    <row r="416" ht="12.75" customHeight="1" x14ac:dyDescent="0.25"/>
    <row r="417" ht="12.75" customHeight="1" x14ac:dyDescent="0.25"/>
    <row r="418" ht="12.75" customHeight="1" x14ac:dyDescent="0.25"/>
    <row r="419" ht="12.75" customHeight="1" x14ac:dyDescent="0.25"/>
    <row r="420" ht="12.75" customHeight="1" x14ac:dyDescent="0.25"/>
    <row r="421" ht="12.75" customHeight="1" x14ac:dyDescent="0.25"/>
    <row r="422" ht="12.75" customHeight="1" x14ac:dyDescent="0.25"/>
    <row r="423" ht="12.75" customHeight="1" x14ac:dyDescent="0.25"/>
    <row r="424" ht="12.75" customHeight="1" x14ac:dyDescent="0.25"/>
    <row r="425" ht="12.75" customHeight="1" x14ac:dyDescent="0.25"/>
    <row r="426" ht="12.75" customHeight="1" x14ac:dyDescent="0.25"/>
    <row r="427" ht="12.75" customHeight="1" x14ac:dyDescent="0.25"/>
    <row r="428" ht="12.75" customHeight="1" x14ac:dyDescent="0.25"/>
    <row r="429" ht="12.75" customHeight="1" x14ac:dyDescent="0.25"/>
    <row r="430" ht="12.75" customHeight="1" x14ac:dyDescent="0.25"/>
    <row r="431" ht="12.75" customHeight="1" x14ac:dyDescent="0.25"/>
    <row r="432" ht="12.75" customHeight="1" x14ac:dyDescent="0.25"/>
    <row r="433" ht="12.75" customHeight="1" x14ac:dyDescent="0.25"/>
    <row r="434" ht="12.75" customHeight="1" x14ac:dyDescent="0.25"/>
    <row r="435" ht="12.75" customHeight="1" x14ac:dyDescent="0.25"/>
    <row r="436" ht="12.75" customHeight="1" x14ac:dyDescent="0.25"/>
    <row r="437" ht="12.75" customHeight="1" x14ac:dyDescent="0.25"/>
    <row r="438" ht="12.75" customHeight="1" x14ac:dyDescent="0.25"/>
    <row r="439" ht="12.75" customHeight="1" x14ac:dyDescent="0.25"/>
    <row r="440" ht="12.75" customHeight="1" x14ac:dyDescent="0.25"/>
    <row r="441" ht="12.75" customHeight="1" x14ac:dyDescent="0.25"/>
    <row r="442" ht="12.75" customHeight="1" x14ac:dyDescent="0.25"/>
    <row r="443" ht="12.75" customHeight="1" x14ac:dyDescent="0.25"/>
    <row r="444" ht="12.75" customHeight="1" x14ac:dyDescent="0.25"/>
    <row r="445" ht="12.75" customHeight="1" x14ac:dyDescent="0.25"/>
    <row r="446" ht="12.75" customHeight="1" x14ac:dyDescent="0.25"/>
    <row r="447" ht="12.75" customHeight="1" x14ac:dyDescent="0.25"/>
    <row r="448" ht="12.75" customHeight="1" x14ac:dyDescent="0.25"/>
    <row r="449" ht="12.75" customHeight="1" x14ac:dyDescent="0.25"/>
    <row r="450" ht="12.75" customHeight="1" x14ac:dyDescent="0.25"/>
    <row r="451" ht="12.75" customHeight="1" x14ac:dyDescent="0.25"/>
    <row r="452" ht="12.75" customHeight="1" x14ac:dyDescent="0.25"/>
    <row r="453" ht="12.75" customHeight="1" x14ac:dyDescent="0.25"/>
    <row r="454" ht="12.75" customHeight="1" x14ac:dyDescent="0.25"/>
    <row r="455" ht="12.75" customHeight="1" x14ac:dyDescent="0.25"/>
    <row r="456" ht="12.75" customHeight="1" x14ac:dyDescent="0.25"/>
    <row r="457" ht="12.75" customHeight="1" x14ac:dyDescent="0.25"/>
    <row r="458" ht="12.75" customHeight="1" x14ac:dyDescent="0.25"/>
    <row r="459" ht="12.75" customHeight="1" x14ac:dyDescent="0.25"/>
    <row r="460" ht="12.75" customHeight="1" x14ac:dyDescent="0.25"/>
    <row r="461" ht="12.75" customHeight="1" x14ac:dyDescent="0.25"/>
    <row r="462" ht="12.75" customHeight="1" x14ac:dyDescent="0.25"/>
    <row r="463" ht="12.75" customHeight="1" x14ac:dyDescent="0.25"/>
    <row r="464" ht="12.75" customHeight="1" x14ac:dyDescent="0.25"/>
    <row r="465" ht="12.75" customHeight="1" x14ac:dyDescent="0.25"/>
    <row r="466" ht="12.75" customHeight="1" x14ac:dyDescent="0.25"/>
    <row r="467" ht="12.75" customHeight="1" x14ac:dyDescent="0.25"/>
    <row r="468" ht="12.75" customHeight="1" x14ac:dyDescent="0.25"/>
    <row r="469" ht="12.75" customHeight="1" x14ac:dyDescent="0.25"/>
    <row r="470" ht="12.75" customHeight="1" x14ac:dyDescent="0.25"/>
    <row r="471" ht="12.75" customHeight="1" x14ac:dyDescent="0.25"/>
    <row r="472" ht="12.75" customHeight="1" x14ac:dyDescent="0.25"/>
    <row r="473" ht="12.75" customHeight="1" x14ac:dyDescent="0.25"/>
    <row r="474" ht="12.75" customHeight="1" x14ac:dyDescent="0.25"/>
    <row r="475" ht="12.75" customHeight="1" x14ac:dyDescent="0.25"/>
    <row r="476" ht="12.75" customHeight="1" x14ac:dyDescent="0.25"/>
    <row r="477" ht="12.75" customHeight="1" x14ac:dyDescent="0.25"/>
    <row r="478" ht="12.75" customHeight="1" x14ac:dyDescent="0.25"/>
    <row r="479" ht="12.75" customHeight="1" x14ac:dyDescent="0.25"/>
    <row r="480" ht="12.75" customHeight="1" x14ac:dyDescent="0.25"/>
    <row r="481" ht="12.75" customHeight="1" x14ac:dyDescent="0.25"/>
    <row r="482" ht="12.75" customHeight="1" x14ac:dyDescent="0.25"/>
    <row r="483" ht="12.75" customHeight="1" x14ac:dyDescent="0.25"/>
    <row r="484" ht="12.75" customHeight="1" x14ac:dyDescent="0.25"/>
    <row r="485" ht="12.75" customHeight="1" x14ac:dyDescent="0.25"/>
    <row r="486" ht="12.75" customHeight="1" x14ac:dyDescent="0.25"/>
    <row r="487" ht="12.75" customHeight="1" x14ac:dyDescent="0.25"/>
    <row r="488" ht="12.75" customHeight="1" x14ac:dyDescent="0.25"/>
    <row r="489" ht="12.75" customHeight="1" x14ac:dyDescent="0.25"/>
    <row r="490" ht="12.75" customHeight="1" x14ac:dyDescent="0.25"/>
    <row r="491" ht="12.75" customHeight="1" x14ac:dyDescent="0.25"/>
    <row r="492" ht="12.75" customHeight="1" x14ac:dyDescent="0.25"/>
    <row r="493" ht="12.75" customHeight="1" x14ac:dyDescent="0.25"/>
    <row r="494" ht="12.75" customHeight="1" x14ac:dyDescent="0.25"/>
    <row r="495" ht="12.75" customHeight="1" x14ac:dyDescent="0.25"/>
    <row r="496" ht="12.75" customHeight="1" x14ac:dyDescent="0.25"/>
    <row r="497" ht="12.75" customHeight="1" x14ac:dyDescent="0.25"/>
    <row r="498" ht="12.75" customHeight="1" x14ac:dyDescent="0.25"/>
    <row r="499" ht="12.75" customHeight="1" x14ac:dyDescent="0.25"/>
    <row r="500" ht="12.75" customHeight="1" x14ac:dyDescent="0.25"/>
    <row r="501" ht="12.75" customHeight="1" x14ac:dyDescent="0.25"/>
    <row r="502" ht="12.75" customHeight="1" x14ac:dyDescent="0.25"/>
    <row r="503" ht="12.75" customHeight="1" x14ac:dyDescent="0.25"/>
    <row r="504" ht="12.75" customHeight="1" x14ac:dyDescent="0.25"/>
    <row r="505" ht="12.75" customHeight="1" x14ac:dyDescent="0.25"/>
    <row r="506" ht="12.75" customHeight="1" x14ac:dyDescent="0.25"/>
    <row r="507" ht="12.75" customHeight="1" x14ac:dyDescent="0.25"/>
    <row r="508" ht="12.75" customHeight="1" x14ac:dyDescent="0.25"/>
    <row r="509" ht="12.75" customHeight="1" x14ac:dyDescent="0.25"/>
    <row r="510" ht="12.75" customHeight="1" x14ac:dyDescent="0.25"/>
    <row r="511" ht="12.75" customHeight="1" x14ac:dyDescent="0.25"/>
    <row r="512" ht="12.75" customHeight="1" x14ac:dyDescent="0.25"/>
    <row r="513" ht="12.75" customHeight="1" x14ac:dyDescent="0.25"/>
    <row r="514" ht="12.75" customHeight="1" x14ac:dyDescent="0.25"/>
    <row r="515" ht="12.75" customHeight="1" x14ac:dyDescent="0.25"/>
    <row r="516" ht="12.75" customHeight="1" x14ac:dyDescent="0.25"/>
    <row r="517" ht="12.75" customHeight="1" x14ac:dyDescent="0.25"/>
    <row r="518" ht="12.75" customHeight="1" x14ac:dyDescent="0.25"/>
    <row r="519" ht="12.75" customHeight="1" x14ac:dyDescent="0.25"/>
    <row r="520" ht="12.75" customHeight="1" x14ac:dyDescent="0.25"/>
    <row r="521" ht="12.75" customHeight="1" x14ac:dyDescent="0.25"/>
    <row r="522" ht="12.75" customHeight="1" x14ac:dyDescent="0.25"/>
    <row r="523" ht="12.75" customHeight="1" x14ac:dyDescent="0.25"/>
    <row r="524" ht="12.75" customHeight="1" x14ac:dyDescent="0.25"/>
    <row r="525" ht="12.75" customHeight="1" x14ac:dyDescent="0.25"/>
    <row r="526" ht="12.75" customHeight="1" x14ac:dyDescent="0.25"/>
    <row r="527" ht="12.75" customHeight="1" x14ac:dyDescent="0.25"/>
    <row r="528" ht="12.75" customHeight="1" x14ac:dyDescent="0.25"/>
    <row r="529" ht="12.75" customHeight="1" x14ac:dyDescent="0.25"/>
    <row r="530" ht="12.75" customHeight="1" x14ac:dyDescent="0.25"/>
    <row r="531" ht="12.75" customHeight="1" x14ac:dyDescent="0.25"/>
    <row r="532" ht="12.75" customHeight="1" x14ac:dyDescent="0.25"/>
    <row r="533" ht="12.75" customHeight="1" x14ac:dyDescent="0.25"/>
    <row r="534" ht="12.75" customHeight="1" x14ac:dyDescent="0.25"/>
    <row r="535" ht="12.75" customHeight="1" x14ac:dyDescent="0.25"/>
    <row r="536" ht="12.75" customHeight="1" x14ac:dyDescent="0.25"/>
    <row r="537" ht="12.75" customHeight="1" x14ac:dyDescent="0.25"/>
    <row r="538" ht="12.75" customHeight="1" x14ac:dyDescent="0.25"/>
    <row r="539" ht="12.75" customHeight="1" x14ac:dyDescent="0.25"/>
    <row r="540" ht="12.75" customHeight="1" x14ac:dyDescent="0.25"/>
    <row r="541" ht="12.75" customHeight="1" x14ac:dyDescent="0.25"/>
    <row r="542" ht="12.75" customHeight="1" x14ac:dyDescent="0.25"/>
    <row r="543" ht="12.75" customHeight="1" x14ac:dyDescent="0.25"/>
    <row r="544" ht="12.75" customHeight="1" x14ac:dyDescent="0.25"/>
    <row r="545" ht="12.75" customHeight="1" x14ac:dyDescent="0.25"/>
    <row r="546" ht="12.75" customHeight="1" x14ac:dyDescent="0.25"/>
    <row r="547" ht="12.75" customHeight="1" x14ac:dyDescent="0.25"/>
    <row r="548" ht="12.75" customHeight="1" x14ac:dyDescent="0.25"/>
    <row r="549" ht="12.75" customHeight="1" x14ac:dyDescent="0.25"/>
    <row r="550" ht="12.75" customHeight="1" x14ac:dyDescent="0.25"/>
    <row r="551" ht="12.75" customHeight="1" x14ac:dyDescent="0.25"/>
    <row r="552" ht="12.75" customHeight="1" x14ac:dyDescent="0.25"/>
    <row r="553" ht="12.75" customHeight="1" x14ac:dyDescent="0.25"/>
    <row r="554" ht="12.75" customHeight="1" x14ac:dyDescent="0.25"/>
    <row r="555" ht="12.75" customHeight="1" x14ac:dyDescent="0.25"/>
    <row r="556" ht="12.75" customHeight="1" x14ac:dyDescent="0.25"/>
    <row r="557" ht="12.75" customHeight="1" x14ac:dyDescent="0.25"/>
    <row r="558" ht="12.75" customHeight="1" x14ac:dyDescent="0.25"/>
    <row r="559" ht="12.75" customHeight="1" x14ac:dyDescent="0.25"/>
    <row r="560" ht="12.75" customHeight="1" x14ac:dyDescent="0.25"/>
    <row r="561" ht="12.75" customHeight="1" x14ac:dyDescent="0.25"/>
    <row r="562" ht="12.75" customHeight="1" x14ac:dyDescent="0.25"/>
    <row r="563" ht="12.75" customHeight="1" x14ac:dyDescent="0.25"/>
    <row r="564" ht="12.75" customHeight="1" x14ac:dyDescent="0.25"/>
    <row r="565" ht="12.75" customHeight="1" x14ac:dyDescent="0.25"/>
    <row r="566" ht="12.75" customHeight="1" x14ac:dyDescent="0.25"/>
    <row r="567" ht="12.75" customHeight="1" x14ac:dyDescent="0.25"/>
    <row r="568" ht="12.75" customHeight="1" x14ac:dyDescent="0.25"/>
    <row r="569" ht="12.75" customHeight="1" x14ac:dyDescent="0.25"/>
    <row r="570" ht="12.75" customHeight="1" x14ac:dyDescent="0.25"/>
    <row r="571" ht="12.75" customHeight="1" x14ac:dyDescent="0.25"/>
    <row r="572" ht="12.75" customHeight="1" x14ac:dyDescent="0.25"/>
    <row r="573" ht="12.75" customHeight="1" x14ac:dyDescent="0.25"/>
    <row r="574" ht="12.75" customHeight="1" x14ac:dyDescent="0.25"/>
    <row r="575" ht="12.75" customHeight="1" x14ac:dyDescent="0.25"/>
    <row r="576" ht="12.75" customHeight="1" x14ac:dyDescent="0.25"/>
    <row r="577" ht="12.75" customHeight="1" x14ac:dyDescent="0.25"/>
    <row r="578" ht="12.75" customHeight="1" x14ac:dyDescent="0.25"/>
    <row r="579" ht="12.75" customHeight="1" x14ac:dyDescent="0.25"/>
    <row r="580" ht="12.75" customHeight="1" x14ac:dyDescent="0.25"/>
    <row r="581" ht="12.75" customHeight="1" x14ac:dyDescent="0.25"/>
    <row r="582" ht="12.75" customHeight="1" x14ac:dyDescent="0.25"/>
    <row r="583" ht="12.75" customHeight="1" x14ac:dyDescent="0.25"/>
    <row r="584" ht="12.75" customHeight="1" x14ac:dyDescent="0.25"/>
    <row r="585" ht="12.75" customHeight="1" x14ac:dyDescent="0.25"/>
    <row r="586" ht="12.75" customHeight="1" x14ac:dyDescent="0.25"/>
    <row r="587" ht="12.75" customHeight="1" x14ac:dyDescent="0.25"/>
    <row r="588" ht="12.75" customHeight="1" x14ac:dyDescent="0.25"/>
    <row r="589" ht="12.75" customHeight="1" x14ac:dyDescent="0.25"/>
    <row r="590" ht="12.75" customHeight="1" x14ac:dyDescent="0.25"/>
    <row r="591" ht="12.75" customHeight="1" x14ac:dyDescent="0.25"/>
    <row r="592" ht="12.75" customHeight="1" x14ac:dyDescent="0.25"/>
    <row r="593" ht="12.75" customHeight="1" x14ac:dyDescent="0.25"/>
    <row r="594" ht="12.75" customHeight="1" x14ac:dyDescent="0.25"/>
    <row r="595" ht="12.75" customHeight="1" x14ac:dyDescent="0.25"/>
    <row r="596" ht="12.75" customHeight="1" x14ac:dyDescent="0.25"/>
    <row r="597" ht="12.75" customHeight="1" x14ac:dyDescent="0.25"/>
    <row r="598" ht="12.75" customHeight="1" x14ac:dyDescent="0.25"/>
    <row r="599" ht="12.75" customHeight="1" x14ac:dyDescent="0.25"/>
    <row r="600" ht="12.75" customHeight="1" x14ac:dyDescent="0.25"/>
    <row r="601" ht="12.75" customHeight="1" x14ac:dyDescent="0.25"/>
    <row r="602" ht="12.75" customHeight="1" x14ac:dyDescent="0.25"/>
    <row r="603" ht="12.75" customHeight="1" x14ac:dyDescent="0.25"/>
    <row r="604" ht="12.75" customHeight="1" x14ac:dyDescent="0.25"/>
    <row r="605" ht="12.75" customHeight="1" x14ac:dyDescent="0.25"/>
    <row r="606" ht="12.75" customHeight="1" x14ac:dyDescent="0.25"/>
    <row r="607" ht="12.75" customHeight="1" x14ac:dyDescent="0.25"/>
    <row r="608" ht="12.75" customHeight="1" x14ac:dyDescent="0.25"/>
    <row r="609" ht="12.75" customHeight="1" x14ac:dyDescent="0.25"/>
    <row r="610" ht="12.75" customHeight="1" x14ac:dyDescent="0.25"/>
    <row r="611" ht="12.75" customHeight="1" x14ac:dyDescent="0.25"/>
    <row r="612" ht="12.75" customHeight="1" x14ac:dyDescent="0.25"/>
    <row r="613" ht="12.75" customHeight="1" x14ac:dyDescent="0.25"/>
    <row r="614" ht="12.75" customHeight="1" x14ac:dyDescent="0.25"/>
    <row r="615" ht="12.75" customHeight="1" x14ac:dyDescent="0.25"/>
    <row r="616" ht="12.75" customHeight="1" x14ac:dyDescent="0.25"/>
    <row r="617" ht="12.75" customHeight="1" x14ac:dyDescent="0.25"/>
    <row r="618" ht="12.75" customHeight="1" x14ac:dyDescent="0.25"/>
    <row r="619" ht="12.75" customHeight="1" x14ac:dyDescent="0.25"/>
    <row r="620" ht="12.75" customHeight="1" x14ac:dyDescent="0.25"/>
    <row r="621" ht="12.75" customHeight="1" x14ac:dyDescent="0.25"/>
    <row r="622" ht="12.75" customHeight="1" x14ac:dyDescent="0.25"/>
    <row r="623" ht="12.75" customHeight="1" x14ac:dyDescent="0.25"/>
    <row r="624" ht="12.75" customHeight="1" x14ac:dyDescent="0.25"/>
    <row r="625" ht="12.75" customHeight="1" x14ac:dyDescent="0.25"/>
    <row r="626" ht="12.75" customHeight="1" x14ac:dyDescent="0.25"/>
    <row r="627" ht="12.75" customHeight="1" x14ac:dyDescent="0.25"/>
    <row r="628" ht="12.75" customHeight="1" x14ac:dyDescent="0.25"/>
    <row r="629" ht="12.75" customHeight="1" x14ac:dyDescent="0.25"/>
    <row r="630" ht="12.75" customHeight="1" x14ac:dyDescent="0.25"/>
    <row r="631" ht="12.75" customHeight="1" x14ac:dyDescent="0.25"/>
    <row r="632" ht="12.75" customHeight="1" x14ac:dyDescent="0.25"/>
    <row r="633" ht="12.75" customHeight="1" x14ac:dyDescent="0.25"/>
    <row r="634" ht="12.75" customHeight="1" x14ac:dyDescent="0.25"/>
    <row r="635" ht="12.75" customHeight="1" x14ac:dyDescent="0.25"/>
    <row r="636" ht="12.75" customHeight="1" x14ac:dyDescent="0.25"/>
    <row r="637" ht="12.75" customHeight="1" x14ac:dyDescent="0.25"/>
    <row r="638" ht="12.75" customHeight="1" x14ac:dyDescent="0.25"/>
    <row r="639" ht="12.75" customHeight="1" x14ac:dyDescent="0.25"/>
    <row r="640" ht="12.75" customHeight="1" x14ac:dyDescent="0.25"/>
    <row r="641" ht="12.75" customHeight="1" x14ac:dyDescent="0.25"/>
    <row r="642" ht="12.75" customHeight="1" x14ac:dyDescent="0.25"/>
    <row r="643" ht="12.75" customHeight="1" x14ac:dyDescent="0.25"/>
    <row r="644" ht="12.75" customHeight="1" x14ac:dyDescent="0.25"/>
    <row r="645" ht="12.75" customHeight="1" x14ac:dyDescent="0.25"/>
    <row r="646" ht="12.75" customHeight="1" x14ac:dyDescent="0.25"/>
    <row r="647" ht="12.75" customHeight="1" x14ac:dyDescent="0.25"/>
    <row r="648" ht="12.75" customHeight="1" x14ac:dyDescent="0.25"/>
    <row r="649" ht="12.75" customHeight="1" x14ac:dyDescent="0.25"/>
    <row r="650" ht="12.75" customHeight="1" x14ac:dyDescent="0.25"/>
    <row r="651" ht="12.75" customHeight="1" x14ac:dyDescent="0.25"/>
    <row r="652" ht="12.75" customHeight="1" x14ac:dyDescent="0.25"/>
    <row r="653" ht="12.75" customHeight="1" x14ac:dyDescent="0.25"/>
    <row r="654" ht="12.75" customHeight="1" x14ac:dyDescent="0.25"/>
    <row r="655" ht="12.75" customHeight="1" x14ac:dyDescent="0.25"/>
    <row r="656" ht="12.75" customHeight="1" x14ac:dyDescent="0.25"/>
    <row r="657" ht="12.75" customHeight="1" x14ac:dyDescent="0.25"/>
    <row r="658" ht="12.75" customHeight="1" x14ac:dyDescent="0.25"/>
    <row r="659" ht="12.75" customHeight="1" x14ac:dyDescent="0.25"/>
    <row r="660" ht="12.75" customHeight="1" x14ac:dyDescent="0.25"/>
    <row r="661" ht="12.75" customHeight="1" x14ac:dyDescent="0.25"/>
    <row r="662" ht="12.75" customHeight="1" x14ac:dyDescent="0.25"/>
    <row r="663" ht="12.75" customHeight="1" x14ac:dyDescent="0.25"/>
    <row r="664" ht="12.75" customHeight="1" x14ac:dyDescent="0.25"/>
    <row r="665" ht="12.75" customHeight="1" x14ac:dyDescent="0.25"/>
    <row r="666" ht="12.75" customHeight="1" x14ac:dyDescent="0.25"/>
    <row r="667" ht="12.75" customHeight="1" x14ac:dyDescent="0.25"/>
    <row r="668" ht="12.75" customHeight="1" x14ac:dyDescent="0.25"/>
    <row r="669" ht="12.75" customHeight="1" x14ac:dyDescent="0.25"/>
    <row r="670" ht="12.75" customHeight="1" x14ac:dyDescent="0.25"/>
    <row r="671" ht="12.75" customHeight="1" x14ac:dyDescent="0.25"/>
    <row r="672" ht="12.75" customHeight="1" x14ac:dyDescent="0.25"/>
    <row r="673" ht="12.75" customHeight="1" x14ac:dyDescent="0.25"/>
    <row r="674" ht="12.75" customHeight="1" x14ac:dyDescent="0.25"/>
    <row r="675" ht="12.75" customHeight="1" x14ac:dyDescent="0.25"/>
    <row r="676" ht="12.75" customHeight="1" x14ac:dyDescent="0.25"/>
    <row r="677" ht="12.75" customHeight="1" x14ac:dyDescent="0.25"/>
    <row r="678" ht="12.75" customHeight="1" x14ac:dyDescent="0.25"/>
    <row r="679" ht="12.75" customHeight="1" x14ac:dyDescent="0.25"/>
    <row r="680" ht="12.75" customHeight="1" x14ac:dyDescent="0.25"/>
    <row r="681" ht="12.75" customHeight="1" x14ac:dyDescent="0.25"/>
    <row r="682" ht="12.75" customHeight="1" x14ac:dyDescent="0.25"/>
    <row r="683" ht="12.75" customHeight="1" x14ac:dyDescent="0.25"/>
    <row r="684" ht="12.75" customHeight="1" x14ac:dyDescent="0.25"/>
    <row r="685" ht="12.75" customHeight="1" x14ac:dyDescent="0.25"/>
    <row r="686" ht="12.75" customHeight="1" x14ac:dyDescent="0.25"/>
    <row r="687" ht="12.75" customHeight="1" x14ac:dyDescent="0.25"/>
    <row r="688" ht="12.75" customHeight="1" x14ac:dyDescent="0.25"/>
    <row r="689" ht="12.75" customHeight="1" x14ac:dyDescent="0.25"/>
    <row r="690" ht="12.75" customHeight="1" x14ac:dyDescent="0.25"/>
    <row r="691" ht="12.75" customHeight="1" x14ac:dyDescent="0.25"/>
    <row r="692" ht="12.75" customHeight="1" x14ac:dyDescent="0.25"/>
    <row r="693" ht="12.75" customHeight="1" x14ac:dyDescent="0.25"/>
    <row r="694" ht="12.75" customHeight="1" x14ac:dyDescent="0.25"/>
    <row r="695" ht="12.75" customHeight="1" x14ac:dyDescent="0.25"/>
    <row r="696" ht="12.75" customHeight="1" x14ac:dyDescent="0.25"/>
    <row r="697" ht="12.75" customHeight="1" x14ac:dyDescent="0.25"/>
    <row r="698" ht="12.75" customHeight="1" x14ac:dyDescent="0.25"/>
    <row r="699" ht="12.75" customHeight="1" x14ac:dyDescent="0.25"/>
    <row r="700" ht="12.75" customHeight="1" x14ac:dyDescent="0.25"/>
    <row r="701" ht="12.75" customHeight="1" x14ac:dyDescent="0.25"/>
    <row r="702" ht="12.75" customHeight="1" x14ac:dyDescent="0.25"/>
    <row r="703" ht="12.75" customHeight="1" x14ac:dyDescent="0.25"/>
    <row r="704" ht="12.75" customHeight="1" x14ac:dyDescent="0.25"/>
    <row r="705" ht="12.75" customHeight="1" x14ac:dyDescent="0.25"/>
    <row r="706" ht="12.75" customHeight="1" x14ac:dyDescent="0.25"/>
    <row r="707" ht="12.75" customHeight="1" x14ac:dyDescent="0.25"/>
    <row r="708" ht="12.75" customHeight="1" x14ac:dyDescent="0.25"/>
    <row r="709" ht="12.75" customHeight="1" x14ac:dyDescent="0.25"/>
    <row r="710" ht="12.75" customHeight="1" x14ac:dyDescent="0.25"/>
    <row r="711" ht="12.75" customHeight="1" x14ac:dyDescent="0.25"/>
    <row r="712" ht="12.75" customHeight="1" x14ac:dyDescent="0.25"/>
    <row r="713" ht="12.75" customHeight="1" x14ac:dyDescent="0.25"/>
    <row r="714" ht="12.75" customHeight="1" x14ac:dyDescent="0.25"/>
    <row r="715" ht="12.75" customHeight="1" x14ac:dyDescent="0.25"/>
    <row r="716" ht="12.75" customHeight="1" x14ac:dyDescent="0.25"/>
    <row r="717" ht="12.75" customHeight="1" x14ac:dyDescent="0.25"/>
    <row r="718" ht="12.75" customHeight="1" x14ac:dyDescent="0.25"/>
    <row r="719" ht="12.75" customHeight="1" x14ac:dyDescent="0.25"/>
    <row r="720" ht="12.75" customHeight="1" x14ac:dyDescent="0.25"/>
    <row r="721" ht="12.75" customHeight="1" x14ac:dyDescent="0.25"/>
    <row r="722" ht="12.75" customHeight="1" x14ac:dyDescent="0.25"/>
    <row r="723" ht="12.75" customHeight="1" x14ac:dyDescent="0.25"/>
    <row r="724" ht="12.75" customHeight="1" x14ac:dyDescent="0.25"/>
    <row r="725" ht="12.75" customHeight="1" x14ac:dyDescent="0.25"/>
    <row r="726" ht="12.75" customHeight="1" x14ac:dyDescent="0.25"/>
    <row r="727" ht="12.75" customHeight="1" x14ac:dyDescent="0.25"/>
    <row r="728" ht="12.75" customHeight="1" x14ac:dyDescent="0.25"/>
    <row r="729" ht="12.75" customHeight="1" x14ac:dyDescent="0.25"/>
    <row r="730" ht="12.75" customHeight="1" x14ac:dyDescent="0.25"/>
    <row r="731" ht="12.75" customHeight="1" x14ac:dyDescent="0.25"/>
    <row r="732" ht="12.75" customHeight="1" x14ac:dyDescent="0.25"/>
    <row r="733" ht="12.75" customHeight="1" x14ac:dyDescent="0.25"/>
    <row r="734" ht="12.75" customHeight="1" x14ac:dyDescent="0.25"/>
    <row r="735" ht="12.75" customHeight="1" x14ac:dyDescent="0.25"/>
    <row r="736" ht="12.75" customHeight="1" x14ac:dyDescent="0.25"/>
    <row r="737" ht="12.75" customHeight="1" x14ac:dyDescent="0.25"/>
    <row r="738" ht="12.75" customHeight="1" x14ac:dyDescent="0.25"/>
    <row r="739" ht="12.75" customHeight="1" x14ac:dyDescent="0.25"/>
    <row r="740" ht="12.75" customHeight="1" x14ac:dyDescent="0.25"/>
    <row r="741" ht="12.75" customHeight="1" x14ac:dyDescent="0.25"/>
    <row r="742" ht="12.75" customHeight="1" x14ac:dyDescent="0.25"/>
    <row r="743" ht="12.75" customHeight="1" x14ac:dyDescent="0.25"/>
    <row r="744" ht="12.75" customHeight="1" x14ac:dyDescent="0.25"/>
    <row r="745" ht="12.75" customHeight="1" x14ac:dyDescent="0.25"/>
    <row r="746" ht="12.75" customHeight="1" x14ac:dyDescent="0.25"/>
    <row r="747" ht="12.75" customHeight="1" x14ac:dyDescent="0.25"/>
    <row r="748" ht="12.75" customHeight="1" x14ac:dyDescent="0.25"/>
    <row r="749" ht="12.75" customHeight="1" x14ac:dyDescent="0.25"/>
    <row r="750" ht="12.75" customHeight="1" x14ac:dyDescent="0.25"/>
    <row r="751" ht="12.75" customHeight="1" x14ac:dyDescent="0.25"/>
    <row r="752" ht="12.75" customHeight="1" x14ac:dyDescent="0.25"/>
    <row r="753" ht="12.75" customHeight="1" x14ac:dyDescent="0.25"/>
    <row r="754" ht="12.75" customHeight="1" x14ac:dyDescent="0.25"/>
    <row r="755" ht="12.75" customHeight="1" x14ac:dyDescent="0.25"/>
    <row r="756" ht="12.75" customHeight="1" x14ac:dyDescent="0.25"/>
    <row r="757" ht="12.75" customHeight="1" x14ac:dyDescent="0.25"/>
    <row r="758" ht="12.75" customHeight="1" x14ac:dyDescent="0.25"/>
    <row r="759" ht="12.75" customHeight="1" x14ac:dyDescent="0.25"/>
    <row r="760" ht="12.75" customHeight="1" x14ac:dyDescent="0.25"/>
    <row r="761" ht="12.75" customHeight="1" x14ac:dyDescent="0.25"/>
    <row r="762" ht="12.75" customHeight="1" x14ac:dyDescent="0.25"/>
    <row r="763" ht="12.75" customHeight="1" x14ac:dyDescent="0.25"/>
    <row r="764" ht="12.75" customHeight="1" x14ac:dyDescent="0.25"/>
    <row r="765" ht="12.75" customHeight="1" x14ac:dyDescent="0.25"/>
    <row r="766" ht="12.75" customHeight="1" x14ac:dyDescent="0.25"/>
    <row r="767" ht="12.75" customHeight="1" x14ac:dyDescent="0.25"/>
    <row r="768" ht="12.75" customHeight="1" x14ac:dyDescent="0.25"/>
    <row r="769" ht="12.75" customHeight="1" x14ac:dyDescent="0.25"/>
    <row r="770" ht="12.75" customHeight="1" x14ac:dyDescent="0.25"/>
    <row r="771" ht="12.75" customHeight="1" x14ac:dyDescent="0.25"/>
    <row r="772" ht="12.75" customHeight="1" x14ac:dyDescent="0.25"/>
    <row r="773" ht="12.75" customHeight="1" x14ac:dyDescent="0.25"/>
    <row r="774" ht="12.75" customHeight="1" x14ac:dyDescent="0.25"/>
    <row r="775" ht="12.75" customHeight="1" x14ac:dyDescent="0.25"/>
    <row r="776" ht="12.75" customHeight="1" x14ac:dyDescent="0.25"/>
    <row r="777" ht="12.75" customHeight="1" x14ac:dyDescent="0.25"/>
    <row r="778" ht="12.75" customHeight="1" x14ac:dyDescent="0.25"/>
    <row r="779" ht="12.75" customHeight="1" x14ac:dyDescent="0.25"/>
    <row r="780" ht="12.75" customHeight="1" x14ac:dyDescent="0.25"/>
    <row r="781" ht="12.75" customHeight="1" x14ac:dyDescent="0.25"/>
    <row r="782" ht="12.75" customHeight="1" x14ac:dyDescent="0.25"/>
    <row r="783" ht="12.75" customHeight="1" x14ac:dyDescent="0.25"/>
    <row r="784" ht="12.75" customHeight="1" x14ac:dyDescent="0.25"/>
    <row r="785" ht="12.75" customHeight="1" x14ac:dyDescent="0.25"/>
    <row r="786" ht="12.75" customHeight="1" x14ac:dyDescent="0.25"/>
    <row r="787" ht="12.75" customHeight="1" x14ac:dyDescent="0.25"/>
    <row r="788" ht="12.75" customHeight="1" x14ac:dyDescent="0.25"/>
    <row r="789" ht="12.75" customHeight="1" x14ac:dyDescent="0.25"/>
    <row r="790" ht="12.75" customHeight="1" x14ac:dyDescent="0.25"/>
    <row r="791" ht="12.75" customHeight="1" x14ac:dyDescent="0.25"/>
    <row r="792" ht="12.75" customHeight="1" x14ac:dyDescent="0.25"/>
    <row r="793" ht="12.75" customHeight="1" x14ac:dyDescent="0.25"/>
    <row r="794" ht="12.75" customHeight="1" x14ac:dyDescent="0.25"/>
    <row r="795" ht="12.75" customHeight="1" x14ac:dyDescent="0.25"/>
    <row r="796" ht="12.75" customHeight="1" x14ac:dyDescent="0.25"/>
    <row r="797" ht="12.75" customHeight="1" x14ac:dyDescent="0.25"/>
    <row r="798" ht="12.75" customHeight="1" x14ac:dyDescent="0.25"/>
    <row r="799" ht="12.75" customHeight="1" x14ac:dyDescent="0.25"/>
    <row r="800" ht="12.75" customHeight="1" x14ac:dyDescent="0.25"/>
    <row r="801" ht="12.75" customHeight="1" x14ac:dyDescent="0.25"/>
    <row r="802" ht="12.75" customHeight="1" x14ac:dyDescent="0.25"/>
    <row r="803" ht="12.75" customHeight="1" x14ac:dyDescent="0.25"/>
    <row r="804" ht="12.75" customHeight="1" x14ac:dyDescent="0.25"/>
    <row r="805" ht="12.75" customHeight="1" x14ac:dyDescent="0.25"/>
    <row r="806" ht="12.75" customHeight="1" x14ac:dyDescent="0.25"/>
    <row r="807" ht="12.75" customHeight="1" x14ac:dyDescent="0.25"/>
    <row r="808" ht="12.75" customHeight="1" x14ac:dyDescent="0.25"/>
    <row r="809" ht="12.75" customHeight="1" x14ac:dyDescent="0.25"/>
    <row r="810" ht="12.75" customHeight="1" x14ac:dyDescent="0.25"/>
    <row r="811" ht="12.75" customHeight="1" x14ac:dyDescent="0.25"/>
    <row r="812" ht="12.75" customHeight="1" x14ac:dyDescent="0.25"/>
    <row r="813" ht="12.75" customHeight="1" x14ac:dyDescent="0.25"/>
    <row r="814" ht="12.75" customHeight="1" x14ac:dyDescent="0.25"/>
    <row r="815" ht="12.75" customHeight="1" x14ac:dyDescent="0.25"/>
    <row r="816" ht="12.75" customHeight="1" x14ac:dyDescent="0.25"/>
    <row r="817" ht="12.75" customHeight="1" x14ac:dyDescent="0.25"/>
    <row r="818" ht="12.75" customHeight="1" x14ac:dyDescent="0.25"/>
    <row r="819" ht="12.75" customHeight="1" x14ac:dyDescent="0.25"/>
    <row r="820" ht="12.75" customHeight="1" x14ac:dyDescent="0.25"/>
    <row r="821" ht="12.75" customHeight="1" x14ac:dyDescent="0.25"/>
    <row r="822" ht="12.75" customHeight="1" x14ac:dyDescent="0.25"/>
    <row r="823" ht="12.75" customHeight="1" x14ac:dyDescent="0.25"/>
    <row r="824" ht="12.75" customHeight="1" x14ac:dyDescent="0.25"/>
    <row r="825" ht="12.75" customHeight="1" x14ac:dyDescent="0.25"/>
    <row r="826" ht="12.75" customHeight="1" x14ac:dyDescent="0.25"/>
    <row r="827" ht="12.75" customHeight="1" x14ac:dyDescent="0.25"/>
    <row r="828" ht="12.75" customHeight="1" x14ac:dyDescent="0.25"/>
    <row r="829" ht="12.75" customHeight="1" x14ac:dyDescent="0.25"/>
    <row r="830" ht="12.75" customHeight="1" x14ac:dyDescent="0.25"/>
    <row r="831" ht="12.75" customHeight="1" x14ac:dyDescent="0.25"/>
    <row r="832" ht="12.75" customHeight="1" x14ac:dyDescent="0.25"/>
    <row r="833" ht="12.75" customHeight="1" x14ac:dyDescent="0.25"/>
    <row r="834" ht="12.75" customHeight="1" x14ac:dyDescent="0.25"/>
    <row r="835" ht="12.75" customHeight="1" x14ac:dyDescent="0.25"/>
    <row r="836" ht="12.75" customHeight="1" x14ac:dyDescent="0.25"/>
    <row r="837" ht="12.75" customHeight="1" x14ac:dyDescent="0.25"/>
    <row r="838" ht="12.75" customHeight="1" x14ac:dyDescent="0.25"/>
    <row r="839" ht="12.75" customHeight="1" x14ac:dyDescent="0.25"/>
    <row r="840" ht="12.75" customHeight="1" x14ac:dyDescent="0.25"/>
    <row r="841" ht="12.75" customHeight="1" x14ac:dyDescent="0.25"/>
    <row r="842" ht="12.75" customHeight="1" x14ac:dyDescent="0.25"/>
    <row r="843" ht="12.75" customHeight="1" x14ac:dyDescent="0.25"/>
    <row r="844" ht="12.75" customHeight="1" x14ac:dyDescent="0.25"/>
    <row r="845" ht="12.75" customHeight="1" x14ac:dyDescent="0.25"/>
    <row r="846" ht="12.75" customHeight="1" x14ac:dyDescent="0.25"/>
    <row r="847" ht="12.75" customHeight="1" x14ac:dyDescent="0.25"/>
    <row r="848" ht="12.75" customHeight="1" x14ac:dyDescent="0.25"/>
    <row r="849" ht="12.75" customHeight="1" x14ac:dyDescent="0.25"/>
    <row r="850" ht="12.75" customHeight="1" x14ac:dyDescent="0.25"/>
    <row r="851" ht="12.75" customHeight="1" x14ac:dyDescent="0.25"/>
    <row r="852" ht="12.75" customHeight="1" x14ac:dyDescent="0.25"/>
    <row r="853" ht="12.75" customHeight="1" x14ac:dyDescent="0.25"/>
    <row r="854" ht="12.75" customHeight="1" x14ac:dyDescent="0.25"/>
    <row r="855" ht="12.75" customHeight="1" x14ac:dyDescent="0.25"/>
    <row r="856" ht="12.75" customHeight="1" x14ac:dyDescent="0.25"/>
    <row r="857" ht="12.75" customHeight="1" x14ac:dyDescent="0.25"/>
    <row r="858" ht="12.75" customHeight="1" x14ac:dyDescent="0.25"/>
    <row r="859" ht="12.75" customHeight="1" x14ac:dyDescent="0.25"/>
    <row r="860" ht="12.75" customHeight="1" x14ac:dyDescent="0.25"/>
    <row r="861" ht="12.75" customHeight="1" x14ac:dyDescent="0.25"/>
    <row r="862" ht="12.75" customHeight="1" x14ac:dyDescent="0.25"/>
    <row r="863" ht="12.75" customHeight="1" x14ac:dyDescent="0.25"/>
    <row r="864" ht="12.75" customHeight="1" x14ac:dyDescent="0.25"/>
    <row r="865" ht="12.75" customHeight="1" x14ac:dyDescent="0.25"/>
    <row r="866" ht="12.75" customHeight="1" x14ac:dyDescent="0.25"/>
    <row r="867" ht="12.75" customHeight="1" x14ac:dyDescent="0.25"/>
    <row r="868" ht="12.75" customHeight="1" x14ac:dyDescent="0.25"/>
    <row r="869" ht="12.75" customHeight="1" x14ac:dyDescent="0.25"/>
    <row r="870" ht="12.75" customHeight="1" x14ac:dyDescent="0.25"/>
    <row r="871" ht="12.75" customHeight="1" x14ac:dyDescent="0.25"/>
    <row r="872" ht="12.75" customHeight="1" x14ac:dyDescent="0.25"/>
    <row r="873" ht="12.75" customHeight="1" x14ac:dyDescent="0.25"/>
    <row r="874" ht="12.75" customHeight="1" x14ac:dyDescent="0.25"/>
    <row r="875" ht="12.75" customHeight="1" x14ac:dyDescent="0.25"/>
    <row r="876" ht="12.75" customHeight="1" x14ac:dyDescent="0.25"/>
    <row r="877" ht="12.75" customHeight="1" x14ac:dyDescent="0.25"/>
    <row r="878" ht="12.75" customHeight="1" x14ac:dyDescent="0.25"/>
    <row r="879" ht="12.75" customHeight="1" x14ac:dyDescent="0.25"/>
    <row r="880" ht="12.75" customHeight="1" x14ac:dyDescent="0.25"/>
    <row r="881" ht="12.75" customHeight="1" x14ac:dyDescent="0.25"/>
    <row r="882" ht="12.75" customHeight="1" x14ac:dyDescent="0.25"/>
    <row r="883" ht="12.75" customHeight="1" x14ac:dyDescent="0.25"/>
    <row r="884" ht="12.75" customHeight="1" x14ac:dyDescent="0.25"/>
    <row r="885" ht="12.75" customHeight="1" x14ac:dyDescent="0.25"/>
    <row r="886" ht="12.75" customHeight="1" x14ac:dyDescent="0.25"/>
    <row r="887" ht="12.75" customHeight="1" x14ac:dyDescent="0.25"/>
    <row r="888" ht="12.75" customHeight="1" x14ac:dyDescent="0.25"/>
    <row r="889" ht="12.75" customHeight="1" x14ac:dyDescent="0.25"/>
    <row r="890" ht="12.75" customHeight="1" x14ac:dyDescent="0.25"/>
    <row r="891" ht="12.75" customHeight="1" x14ac:dyDescent="0.25"/>
    <row r="892" ht="12.75" customHeight="1" x14ac:dyDescent="0.25"/>
    <row r="893" ht="12.75" customHeight="1" x14ac:dyDescent="0.25"/>
    <row r="894" ht="12.75" customHeight="1" x14ac:dyDescent="0.25"/>
    <row r="895" ht="12.75" customHeight="1" x14ac:dyDescent="0.25"/>
    <row r="896" ht="12.75" customHeight="1" x14ac:dyDescent="0.25"/>
    <row r="897" ht="12.75" customHeight="1" x14ac:dyDescent="0.25"/>
    <row r="898" ht="12.75" customHeight="1" x14ac:dyDescent="0.25"/>
    <row r="899" ht="12.75" customHeight="1" x14ac:dyDescent="0.25"/>
    <row r="900" ht="12.75" customHeight="1" x14ac:dyDescent="0.25"/>
    <row r="901" ht="12.75" customHeight="1" x14ac:dyDescent="0.25"/>
    <row r="902" ht="12.75" customHeight="1" x14ac:dyDescent="0.25"/>
    <row r="903" ht="12.75" customHeight="1" x14ac:dyDescent="0.25"/>
    <row r="904" ht="12.75" customHeight="1" x14ac:dyDescent="0.25"/>
    <row r="905" ht="12.75" customHeight="1" x14ac:dyDescent="0.25"/>
    <row r="906" ht="12.75" customHeight="1" x14ac:dyDescent="0.25"/>
    <row r="907" ht="12.75" customHeight="1" x14ac:dyDescent="0.25"/>
    <row r="908" ht="12.75" customHeight="1" x14ac:dyDescent="0.25"/>
    <row r="909" ht="12.75" customHeight="1" x14ac:dyDescent="0.25"/>
    <row r="910" ht="12.75" customHeight="1" x14ac:dyDescent="0.25"/>
    <row r="911" ht="12.75" customHeight="1" x14ac:dyDescent="0.25"/>
    <row r="912" ht="12.75" customHeight="1" x14ac:dyDescent="0.25"/>
    <row r="913" ht="12.75" customHeight="1" x14ac:dyDescent="0.25"/>
    <row r="914" ht="12.75" customHeight="1" x14ac:dyDescent="0.25"/>
    <row r="915" ht="12.75" customHeight="1" x14ac:dyDescent="0.25"/>
    <row r="916" ht="12.75" customHeight="1" x14ac:dyDescent="0.25"/>
  </sheetData>
  <mergeCells count="26">
    <mergeCell ref="AB132:AC132"/>
    <mergeCell ref="AB96:AC96"/>
    <mergeCell ref="B113:N113"/>
    <mergeCell ref="P113:AA113"/>
    <mergeCell ref="AB114:AC114"/>
    <mergeCell ref="B131:N131"/>
    <mergeCell ref="P131:AA131"/>
    <mergeCell ref="B95:N95"/>
    <mergeCell ref="P95:AA95"/>
    <mergeCell ref="AB22:AC22"/>
    <mergeCell ref="B39:N39"/>
    <mergeCell ref="P39:AA39"/>
    <mergeCell ref="AB40:AC40"/>
    <mergeCell ref="B57:N57"/>
    <mergeCell ref="P57:AA57"/>
    <mergeCell ref="AB58:AC58"/>
    <mergeCell ref="A74:F74"/>
    <mergeCell ref="B77:N77"/>
    <mergeCell ref="P77:AA77"/>
    <mergeCell ref="AB78:AC78"/>
    <mergeCell ref="A1:F1"/>
    <mergeCell ref="B3:N3"/>
    <mergeCell ref="P3:AA3"/>
    <mergeCell ref="AB4:AC4"/>
    <mergeCell ref="B21:N21"/>
    <mergeCell ref="P21:AA21"/>
  </mergeCells>
  <conditionalFormatting sqref="Q5:AA15">
    <cfRule type="dataBar" priority="15">
      <dataBar>
        <cfvo type="min"/>
        <cfvo type="max"/>
        <color rgb="FFFFB628"/>
      </dataBar>
      <extLst>
        <ext xmlns:x14="http://schemas.microsoft.com/office/spreadsheetml/2009/9/main" uri="{B025F937-C7B1-47D3-B67F-A62EFF666E3E}">
          <x14:id>{F5B22C4E-CE3B-4B8F-942F-399FA60F132B}</x14:id>
        </ext>
      </extLst>
    </cfRule>
    <cfRule type="dataBar" priority="16">
      <dataBar>
        <cfvo type="min"/>
        <cfvo type="max"/>
        <color rgb="FFFF555A"/>
      </dataBar>
      <extLst>
        <ext xmlns:x14="http://schemas.microsoft.com/office/spreadsheetml/2009/9/main" uri="{B025F937-C7B1-47D3-B67F-A62EFF666E3E}">
          <x14:id>{FE52318A-342E-4993-B4E9-6AC3979A3459}</x14:id>
        </ext>
      </extLst>
    </cfRule>
  </conditionalFormatting>
  <conditionalFormatting sqref="Q23:AA33">
    <cfRule type="dataBar" priority="13">
      <dataBar>
        <cfvo type="min"/>
        <cfvo type="max"/>
        <color rgb="FFFFB628"/>
      </dataBar>
      <extLst>
        <ext xmlns:x14="http://schemas.microsoft.com/office/spreadsheetml/2009/9/main" uri="{B025F937-C7B1-47D3-B67F-A62EFF666E3E}">
          <x14:id>{0015A5B8-856E-408A-A40D-BB8E33D57859}</x14:id>
        </ext>
      </extLst>
    </cfRule>
    <cfRule type="dataBar" priority="14">
      <dataBar>
        <cfvo type="min"/>
        <cfvo type="max"/>
        <color rgb="FFFF555A"/>
      </dataBar>
      <extLst>
        <ext xmlns:x14="http://schemas.microsoft.com/office/spreadsheetml/2009/9/main" uri="{B025F937-C7B1-47D3-B67F-A62EFF666E3E}">
          <x14:id>{E70571AB-EFE5-4C50-A7FE-EAAA49AB1825}</x14:id>
        </ext>
      </extLst>
    </cfRule>
  </conditionalFormatting>
  <conditionalFormatting sqref="Q41:AA51">
    <cfRule type="dataBar" priority="11">
      <dataBar>
        <cfvo type="min"/>
        <cfvo type="max"/>
        <color rgb="FFFFB628"/>
      </dataBar>
      <extLst>
        <ext xmlns:x14="http://schemas.microsoft.com/office/spreadsheetml/2009/9/main" uri="{B025F937-C7B1-47D3-B67F-A62EFF666E3E}">
          <x14:id>{81AD6D01-212B-4B0F-B25D-4E168AC505FD}</x14:id>
        </ext>
      </extLst>
    </cfRule>
    <cfRule type="dataBar" priority="12">
      <dataBar>
        <cfvo type="min"/>
        <cfvo type="max"/>
        <color rgb="FFFF555A"/>
      </dataBar>
      <extLst>
        <ext xmlns:x14="http://schemas.microsoft.com/office/spreadsheetml/2009/9/main" uri="{B025F937-C7B1-47D3-B67F-A62EFF666E3E}">
          <x14:id>{D21DF53B-0E98-4CAF-857A-34F119D9C31A}</x14:id>
        </ext>
      </extLst>
    </cfRule>
  </conditionalFormatting>
  <conditionalFormatting sqref="Q59:AA69">
    <cfRule type="dataBar" priority="9">
      <dataBar>
        <cfvo type="min"/>
        <cfvo type="max"/>
        <color rgb="FFFFB628"/>
      </dataBar>
      <extLst>
        <ext xmlns:x14="http://schemas.microsoft.com/office/spreadsheetml/2009/9/main" uri="{B025F937-C7B1-47D3-B67F-A62EFF666E3E}">
          <x14:id>{0A6C8E5A-EC55-4DBD-ABB3-A85B13D60FCF}</x14:id>
        </ext>
      </extLst>
    </cfRule>
    <cfRule type="dataBar" priority="10">
      <dataBar>
        <cfvo type="min"/>
        <cfvo type="max"/>
        <color rgb="FFFF555A"/>
      </dataBar>
      <extLst>
        <ext xmlns:x14="http://schemas.microsoft.com/office/spreadsheetml/2009/9/main" uri="{B025F937-C7B1-47D3-B67F-A62EFF666E3E}">
          <x14:id>{E4E56754-675D-46AA-AD00-4368D7C23543}</x14:id>
        </ext>
      </extLst>
    </cfRule>
  </conditionalFormatting>
  <conditionalFormatting sqref="Q79:AA89">
    <cfRule type="dataBar" priority="7">
      <dataBar>
        <cfvo type="min"/>
        <cfvo type="max"/>
        <color rgb="FFFFB628"/>
      </dataBar>
      <extLst>
        <ext xmlns:x14="http://schemas.microsoft.com/office/spreadsheetml/2009/9/main" uri="{B025F937-C7B1-47D3-B67F-A62EFF666E3E}">
          <x14:id>{B70956BE-30BF-46B9-9489-38F1E03D7409}</x14:id>
        </ext>
      </extLst>
    </cfRule>
    <cfRule type="dataBar" priority="8">
      <dataBar>
        <cfvo type="min"/>
        <cfvo type="max"/>
        <color rgb="FFFF555A"/>
      </dataBar>
      <extLst>
        <ext xmlns:x14="http://schemas.microsoft.com/office/spreadsheetml/2009/9/main" uri="{B025F937-C7B1-47D3-B67F-A62EFF666E3E}">
          <x14:id>{995FE02A-4495-4E5E-B137-4D70ACA6596E}</x14:id>
        </ext>
      </extLst>
    </cfRule>
  </conditionalFormatting>
  <conditionalFormatting sqref="Q97:AA107">
    <cfRule type="dataBar" priority="5">
      <dataBar>
        <cfvo type="min"/>
        <cfvo type="max"/>
        <color rgb="FFFFB628"/>
      </dataBar>
      <extLst>
        <ext xmlns:x14="http://schemas.microsoft.com/office/spreadsheetml/2009/9/main" uri="{B025F937-C7B1-47D3-B67F-A62EFF666E3E}">
          <x14:id>{8C60D220-CF6D-4F07-8FA9-BB61F94F903B}</x14:id>
        </ext>
      </extLst>
    </cfRule>
    <cfRule type="dataBar" priority="6">
      <dataBar>
        <cfvo type="min"/>
        <cfvo type="max"/>
        <color rgb="FFFF555A"/>
      </dataBar>
      <extLst>
        <ext xmlns:x14="http://schemas.microsoft.com/office/spreadsheetml/2009/9/main" uri="{B025F937-C7B1-47D3-B67F-A62EFF666E3E}">
          <x14:id>{8BA631E2-9682-4BE2-9DB3-3A835E1C41FC}</x14:id>
        </ext>
      </extLst>
    </cfRule>
  </conditionalFormatting>
  <conditionalFormatting sqref="Q115:AA125">
    <cfRule type="dataBar" priority="3">
      <dataBar>
        <cfvo type="min"/>
        <cfvo type="max"/>
        <color rgb="FFFFB628"/>
      </dataBar>
      <extLst>
        <ext xmlns:x14="http://schemas.microsoft.com/office/spreadsheetml/2009/9/main" uri="{B025F937-C7B1-47D3-B67F-A62EFF666E3E}">
          <x14:id>{64FCB738-BA24-452E-9DF0-C880EBBEE93D}</x14:id>
        </ext>
      </extLst>
    </cfRule>
    <cfRule type="dataBar" priority="4">
      <dataBar>
        <cfvo type="min"/>
        <cfvo type="max"/>
        <color rgb="FFFF555A"/>
      </dataBar>
      <extLst>
        <ext xmlns:x14="http://schemas.microsoft.com/office/spreadsheetml/2009/9/main" uri="{B025F937-C7B1-47D3-B67F-A62EFF666E3E}">
          <x14:id>{5E894EDE-D757-4344-B729-3DE9E23764C0}</x14:id>
        </ext>
      </extLst>
    </cfRule>
  </conditionalFormatting>
  <conditionalFormatting sqref="Q133:AA143">
    <cfRule type="dataBar" priority="1">
      <dataBar>
        <cfvo type="min"/>
        <cfvo type="max"/>
        <color rgb="FFFFB628"/>
      </dataBar>
      <extLst>
        <ext xmlns:x14="http://schemas.microsoft.com/office/spreadsheetml/2009/9/main" uri="{B025F937-C7B1-47D3-B67F-A62EFF666E3E}">
          <x14:id>{4A5124CE-84B8-4B22-ACBC-02996E31BB32}</x14:id>
        </ext>
      </extLst>
    </cfRule>
    <cfRule type="dataBar" priority="2">
      <dataBar>
        <cfvo type="min"/>
        <cfvo type="max"/>
        <color rgb="FFFF555A"/>
      </dataBar>
      <extLst>
        <ext xmlns:x14="http://schemas.microsoft.com/office/spreadsheetml/2009/9/main" uri="{B025F937-C7B1-47D3-B67F-A62EFF666E3E}">
          <x14:id>{E579986E-B5DD-42B0-93F6-33BDE55D7043}</x14:id>
        </ext>
      </extLst>
    </cfRule>
  </conditionalFormatting>
  <pageMargins left="0.7" right="0.7" top="0.75" bottom="0.75" header="0" footer="0"/>
  <pageSetup paperSize="9" orientation="portrait" r:id="rId1"/>
  <tableParts count="8">
    <tablePart r:id="rId2"/>
    <tablePart r:id="rId3"/>
    <tablePart r:id="rId4"/>
    <tablePart r:id="rId5"/>
    <tablePart r:id="rId6"/>
    <tablePart r:id="rId7"/>
    <tablePart r:id="rId8"/>
    <tablePart r:id="rId9"/>
  </tableParts>
  <extLst>
    <ext xmlns:x14="http://schemas.microsoft.com/office/spreadsheetml/2009/9/main" uri="{78C0D931-6437-407d-A8EE-F0AAD7539E65}">
      <x14:conditionalFormattings>
        <x14:conditionalFormatting xmlns:xm="http://schemas.microsoft.com/office/excel/2006/main">
          <x14:cfRule type="dataBar" id="{F5B22C4E-CE3B-4B8F-942F-399FA60F132B}">
            <x14:dataBar minLength="0" maxLength="100" gradient="0">
              <x14:cfvo type="autoMin"/>
              <x14:cfvo type="autoMax"/>
              <x14:negativeFillColor rgb="FFFF0000"/>
              <x14:axisColor rgb="FF000000"/>
            </x14:dataBar>
          </x14:cfRule>
          <x14:cfRule type="dataBar" id="{FE52318A-342E-4993-B4E9-6AC3979A3459}">
            <x14:dataBar minLength="0" maxLength="100" border="1" negativeBarBorderColorSameAsPositive="0">
              <x14:cfvo type="autoMin"/>
              <x14:cfvo type="autoMax"/>
              <x14:borderColor rgb="FFFF555A"/>
              <x14:negativeFillColor rgb="FFFF0000"/>
              <x14:negativeBorderColor rgb="FFFF0000"/>
              <x14:axisColor rgb="FF000000"/>
            </x14:dataBar>
          </x14:cfRule>
          <xm:sqref>Q5:AA15</xm:sqref>
        </x14:conditionalFormatting>
        <x14:conditionalFormatting xmlns:xm="http://schemas.microsoft.com/office/excel/2006/main">
          <x14:cfRule type="dataBar" id="{0015A5B8-856E-408A-A40D-BB8E33D57859}">
            <x14:dataBar minLength="0" maxLength="100" gradient="0">
              <x14:cfvo type="autoMin"/>
              <x14:cfvo type="autoMax"/>
              <x14:negativeFillColor rgb="FFFF0000"/>
              <x14:axisColor rgb="FF000000"/>
            </x14:dataBar>
          </x14:cfRule>
          <x14:cfRule type="dataBar" id="{E70571AB-EFE5-4C50-A7FE-EAAA49AB1825}">
            <x14:dataBar minLength="0" maxLength="100" border="1" negativeBarBorderColorSameAsPositive="0">
              <x14:cfvo type="autoMin"/>
              <x14:cfvo type="autoMax"/>
              <x14:borderColor rgb="FFFF555A"/>
              <x14:negativeFillColor rgb="FFFF0000"/>
              <x14:negativeBorderColor rgb="FFFF0000"/>
              <x14:axisColor rgb="FF000000"/>
            </x14:dataBar>
          </x14:cfRule>
          <xm:sqref>Q23:AA33</xm:sqref>
        </x14:conditionalFormatting>
        <x14:conditionalFormatting xmlns:xm="http://schemas.microsoft.com/office/excel/2006/main">
          <x14:cfRule type="dataBar" id="{81AD6D01-212B-4B0F-B25D-4E168AC505FD}">
            <x14:dataBar minLength="0" maxLength="100" gradient="0">
              <x14:cfvo type="autoMin"/>
              <x14:cfvo type="autoMax"/>
              <x14:negativeFillColor rgb="FFFF0000"/>
              <x14:axisColor rgb="FF000000"/>
            </x14:dataBar>
          </x14:cfRule>
          <x14:cfRule type="dataBar" id="{D21DF53B-0E98-4CAF-857A-34F119D9C31A}">
            <x14:dataBar minLength="0" maxLength="100" border="1" negativeBarBorderColorSameAsPositive="0">
              <x14:cfvo type="autoMin"/>
              <x14:cfvo type="autoMax"/>
              <x14:borderColor rgb="FFFF555A"/>
              <x14:negativeFillColor rgb="FFFF0000"/>
              <x14:negativeBorderColor rgb="FFFF0000"/>
              <x14:axisColor rgb="FF000000"/>
            </x14:dataBar>
          </x14:cfRule>
          <xm:sqref>Q41:AA51</xm:sqref>
        </x14:conditionalFormatting>
        <x14:conditionalFormatting xmlns:xm="http://schemas.microsoft.com/office/excel/2006/main">
          <x14:cfRule type="dataBar" id="{0A6C8E5A-EC55-4DBD-ABB3-A85B13D60FCF}">
            <x14:dataBar minLength="0" maxLength="100" gradient="0">
              <x14:cfvo type="autoMin"/>
              <x14:cfvo type="autoMax"/>
              <x14:negativeFillColor rgb="FFFF0000"/>
              <x14:axisColor rgb="FF000000"/>
            </x14:dataBar>
          </x14:cfRule>
          <x14:cfRule type="dataBar" id="{E4E56754-675D-46AA-AD00-4368D7C23543}">
            <x14:dataBar minLength="0" maxLength="100" border="1" negativeBarBorderColorSameAsPositive="0">
              <x14:cfvo type="autoMin"/>
              <x14:cfvo type="autoMax"/>
              <x14:borderColor rgb="FFFF555A"/>
              <x14:negativeFillColor rgb="FFFF0000"/>
              <x14:negativeBorderColor rgb="FFFF0000"/>
              <x14:axisColor rgb="FF000000"/>
            </x14:dataBar>
          </x14:cfRule>
          <xm:sqref>Q59:AA69</xm:sqref>
        </x14:conditionalFormatting>
        <x14:conditionalFormatting xmlns:xm="http://schemas.microsoft.com/office/excel/2006/main">
          <x14:cfRule type="dataBar" id="{B70956BE-30BF-46B9-9489-38F1E03D7409}">
            <x14:dataBar minLength="0" maxLength="100" gradient="0">
              <x14:cfvo type="autoMin"/>
              <x14:cfvo type="autoMax"/>
              <x14:negativeFillColor rgb="FFFF0000"/>
              <x14:axisColor rgb="FF000000"/>
            </x14:dataBar>
          </x14:cfRule>
          <x14:cfRule type="dataBar" id="{995FE02A-4495-4E5E-B137-4D70ACA6596E}">
            <x14:dataBar minLength="0" maxLength="100" border="1" negativeBarBorderColorSameAsPositive="0">
              <x14:cfvo type="autoMin"/>
              <x14:cfvo type="autoMax"/>
              <x14:borderColor rgb="FFFF555A"/>
              <x14:negativeFillColor rgb="FFFF0000"/>
              <x14:negativeBorderColor rgb="FFFF0000"/>
              <x14:axisColor rgb="FF000000"/>
            </x14:dataBar>
          </x14:cfRule>
          <xm:sqref>Q79:AA89</xm:sqref>
        </x14:conditionalFormatting>
        <x14:conditionalFormatting xmlns:xm="http://schemas.microsoft.com/office/excel/2006/main">
          <x14:cfRule type="dataBar" id="{8C60D220-CF6D-4F07-8FA9-BB61F94F903B}">
            <x14:dataBar minLength="0" maxLength="100" gradient="0">
              <x14:cfvo type="autoMin"/>
              <x14:cfvo type="autoMax"/>
              <x14:negativeFillColor rgb="FFFF0000"/>
              <x14:axisColor rgb="FF000000"/>
            </x14:dataBar>
          </x14:cfRule>
          <x14:cfRule type="dataBar" id="{8BA631E2-9682-4BE2-9DB3-3A835E1C41FC}">
            <x14:dataBar minLength="0" maxLength="100" border="1" negativeBarBorderColorSameAsPositive="0">
              <x14:cfvo type="autoMin"/>
              <x14:cfvo type="autoMax"/>
              <x14:borderColor rgb="FFFF555A"/>
              <x14:negativeFillColor rgb="FFFF0000"/>
              <x14:negativeBorderColor rgb="FFFF0000"/>
              <x14:axisColor rgb="FF000000"/>
            </x14:dataBar>
          </x14:cfRule>
          <xm:sqref>Q97:AA107</xm:sqref>
        </x14:conditionalFormatting>
        <x14:conditionalFormatting xmlns:xm="http://schemas.microsoft.com/office/excel/2006/main">
          <x14:cfRule type="dataBar" id="{64FCB738-BA24-452E-9DF0-C880EBBEE93D}">
            <x14:dataBar minLength="0" maxLength="100" gradient="0">
              <x14:cfvo type="autoMin"/>
              <x14:cfvo type="autoMax"/>
              <x14:negativeFillColor rgb="FFFF0000"/>
              <x14:axisColor rgb="FF000000"/>
            </x14:dataBar>
          </x14:cfRule>
          <x14:cfRule type="dataBar" id="{5E894EDE-D757-4344-B729-3DE9E23764C0}">
            <x14:dataBar minLength="0" maxLength="100" border="1" negativeBarBorderColorSameAsPositive="0">
              <x14:cfvo type="autoMin"/>
              <x14:cfvo type="autoMax"/>
              <x14:borderColor rgb="FFFF555A"/>
              <x14:negativeFillColor rgb="FFFF0000"/>
              <x14:negativeBorderColor rgb="FFFF0000"/>
              <x14:axisColor rgb="FF000000"/>
            </x14:dataBar>
          </x14:cfRule>
          <xm:sqref>Q115:AA125</xm:sqref>
        </x14:conditionalFormatting>
        <x14:conditionalFormatting xmlns:xm="http://schemas.microsoft.com/office/excel/2006/main">
          <x14:cfRule type="dataBar" id="{4A5124CE-84B8-4B22-ACBC-02996E31BB32}">
            <x14:dataBar minLength="0" maxLength="100" gradient="0">
              <x14:cfvo type="autoMin"/>
              <x14:cfvo type="autoMax"/>
              <x14:negativeFillColor rgb="FFFF0000"/>
              <x14:axisColor rgb="FF000000"/>
            </x14:dataBar>
          </x14:cfRule>
          <x14:cfRule type="dataBar" id="{E579986E-B5DD-42B0-93F6-33BDE55D7043}">
            <x14:dataBar minLength="0" maxLength="100" border="1" negativeBarBorderColorSameAsPositive="0">
              <x14:cfvo type="autoMin"/>
              <x14:cfvo type="autoMax"/>
              <x14:borderColor rgb="FFFF555A"/>
              <x14:negativeFillColor rgb="FFFF0000"/>
              <x14:negativeBorderColor rgb="FFFF0000"/>
              <x14:axisColor rgb="FF000000"/>
            </x14:dataBar>
          </x14:cfRule>
          <xm:sqref>Q133:AA143</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1EA0CC-EBC9-4D00-96B2-9362E92CF216}">
  <dimension ref="A1:AE916"/>
  <sheetViews>
    <sheetView showGridLines="0" zoomScale="65" zoomScaleNormal="40" workbookViewId="0">
      <selection activeCell="D132" sqref="D132:N132"/>
    </sheetView>
  </sheetViews>
  <sheetFormatPr defaultColWidth="12.6640625" defaultRowHeight="15" customHeight="1" x14ac:dyDescent="0.25"/>
  <cols>
    <col min="1" max="1" width="8.6640625" style="2" customWidth="1"/>
    <col min="2" max="2" width="12.6640625" style="2" customWidth="1"/>
    <col min="3" max="3" width="38.44140625" style="2" bestFit="1" customWidth="1"/>
    <col min="4" max="4" width="9.88671875" style="2" bestFit="1" customWidth="1"/>
    <col min="5" max="6" width="8.77734375" style="2" bestFit="1" customWidth="1"/>
    <col min="7" max="7" width="9" style="2" bestFit="1" customWidth="1"/>
    <col min="8" max="8" width="10.5546875" style="2" bestFit="1" customWidth="1"/>
    <col min="9" max="9" width="9" style="2" bestFit="1" customWidth="1"/>
    <col min="10" max="10" width="9.88671875" style="2" bestFit="1" customWidth="1"/>
    <col min="11" max="11" width="10.88671875" style="2" customWidth="1"/>
    <col min="12" max="12" width="11.21875" style="2" bestFit="1" customWidth="1"/>
    <col min="13" max="13" width="8.77734375" style="2" bestFit="1" customWidth="1"/>
    <col min="14" max="14" width="9.6640625" style="2" bestFit="1" customWidth="1"/>
    <col min="15" max="15" width="8.6640625" style="2" customWidth="1"/>
    <col min="16" max="16" width="14.6640625" style="2" bestFit="1" customWidth="1"/>
    <col min="17" max="17" width="10" style="2" bestFit="1" customWidth="1"/>
    <col min="18" max="18" width="8.6640625" style="2" customWidth="1"/>
    <col min="19" max="19" width="7.33203125" style="2" bestFit="1" customWidth="1"/>
    <col min="20" max="20" width="8.33203125" style="2" bestFit="1" customWidth="1"/>
    <col min="21" max="21" width="10" style="2" bestFit="1" customWidth="1"/>
    <col min="22" max="22" width="8" style="2" customWidth="1"/>
    <col min="23" max="23" width="9.6640625" style="2" bestFit="1" customWidth="1"/>
    <col min="24" max="24" width="10.5546875" style="2" bestFit="1" customWidth="1"/>
    <col min="25" max="25" width="11.21875" style="2" bestFit="1" customWidth="1"/>
    <col min="26" max="26" width="11.109375" style="2" bestFit="1" customWidth="1"/>
    <col min="27" max="27" width="9.5546875" style="2" bestFit="1" customWidth="1"/>
    <col min="28" max="16384" width="12.6640625" style="2"/>
  </cols>
  <sheetData>
    <row r="1" spans="1:31" ht="25.05" customHeight="1" x14ac:dyDescent="0.25">
      <c r="A1" s="252" t="s">
        <v>81</v>
      </c>
      <c r="B1" s="252"/>
      <c r="C1" s="252"/>
      <c r="D1" s="252"/>
      <c r="E1" s="252"/>
      <c r="F1" s="252"/>
    </row>
    <row r="2" spans="1:31" ht="15" customHeight="1" x14ac:dyDescent="0.25">
      <c r="B2" s="5"/>
      <c r="C2" s="5"/>
      <c r="D2" s="5"/>
      <c r="E2" s="5"/>
      <c r="F2" s="5"/>
      <c r="G2" s="5"/>
      <c r="H2" s="5"/>
      <c r="I2" s="5"/>
      <c r="J2" s="5"/>
      <c r="K2" s="5"/>
      <c r="L2" s="5"/>
      <c r="M2" s="5"/>
      <c r="N2" s="5"/>
      <c r="O2" s="5"/>
      <c r="P2" s="5"/>
      <c r="Q2" s="5"/>
      <c r="R2" s="5"/>
      <c r="S2" s="5"/>
      <c r="T2" s="5"/>
      <c r="U2" s="5"/>
      <c r="V2" s="5"/>
      <c r="W2" s="5"/>
      <c r="X2" s="5"/>
      <c r="Y2" s="5"/>
      <c r="Z2" s="5"/>
      <c r="AA2" s="5"/>
    </row>
    <row r="3" spans="1:31" ht="15" customHeight="1" thickBot="1" x14ac:dyDescent="0.3">
      <c r="B3" s="253" t="s">
        <v>71</v>
      </c>
      <c r="C3" s="253"/>
      <c r="D3" s="253"/>
      <c r="E3" s="253"/>
      <c r="F3" s="253"/>
      <c r="G3" s="253"/>
      <c r="H3" s="253"/>
      <c r="I3" s="253"/>
      <c r="J3" s="253"/>
      <c r="K3" s="253"/>
      <c r="L3" s="253"/>
      <c r="M3" s="253"/>
      <c r="N3" s="253"/>
      <c r="P3" s="253" t="s">
        <v>76</v>
      </c>
      <c r="Q3" s="253"/>
      <c r="R3" s="253"/>
      <c r="S3" s="253"/>
      <c r="T3" s="253"/>
      <c r="U3" s="253"/>
      <c r="V3" s="253"/>
      <c r="W3" s="253"/>
      <c r="X3" s="253"/>
      <c r="Y3" s="253"/>
      <c r="Z3" s="253"/>
      <c r="AA3" s="253"/>
      <c r="AB3" s="10"/>
      <c r="AC3" s="3" t="s">
        <v>22</v>
      </c>
      <c r="AD3" s="13" t="s">
        <v>23</v>
      </c>
      <c r="AE3" s="15">
        <f t="array" ref="AE3">MIN(IF(D6:N16&gt;0,D6:N16))</f>
        <v>2.5203509024580875</v>
      </c>
    </row>
    <row r="4" spans="1:31" ht="15" customHeight="1" thickBot="1" x14ac:dyDescent="0.3">
      <c r="B4" s="75" t="s">
        <v>13</v>
      </c>
      <c r="C4" s="66" t="s">
        <v>14</v>
      </c>
      <c r="D4" s="67" t="s">
        <v>1</v>
      </c>
      <c r="E4" s="67" t="s">
        <v>195</v>
      </c>
      <c r="F4" s="67" t="s">
        <v>2</v>
      </c>
      <c r="G4" s="67" t="s">
        <v>3</v>
      </c>
      <c r="H4" s="67" t="s">
        <v>4</v>
      </c>
      <c r="I4" s="67" t="s">
        <v>5</v>
      </c>
      <c r="J4" s="67" t="s">
        <v>6</v>
      </c>
      <c r="K4" s="67" t="s">
        <v>7</v>
      </c>
      <c r="L4" s="67" t="s">
        <v>295</v>
      </c>
      <c r="M4" s="67" t="s">
        <v>9</v>
      </c>
      <c r="N4" s="67" t="s">
        <v>10</v>
      </c>
      <c r="P4" s="76" t="s">
        <v>19</v>
      </c>
      <c r="Q4" s="77" t="s">
        <v>1</v>
      </c>
      <c r="R4" s="77" t="s">
        <v>195</v>
      </c>
      <c r="S4" s="77" t="s">
        <v>2</v>
      </c>
      <c r="T4" s="77" t="s">
        <v>3</v>
      </c>
      <c r="U4" s="77" t="s">
        <v>4</v>
      </c>
      <c r="V4" s="77" t="s">
        <v>5</v>
      </c>
      <c r="W4" s="77" t="s">
        <v>6</v>
      </c>
      <c r="X4" s="77" t="s">
        <v>7</v>
      </c>
      <c r="Y4" s="77" t="s">
        <v>295</v>
      </c>
      <c r="Z4" s="77" t="s">
        <v>9</v>
      </c>
      <c r="AA4" s="77" t="s">
        <v>10</v>
      </c>
      <c r="AB4" s="254" t="s">
        <v>26</v>
      </c>
      <c r="AC4" s="254"/>
      <c r="AD4" s="13" t="s">
        <v>24</v>
      </c>
      <c r="AE4" s="20">
        <f>MAX(D6:N16)</f>
        <v>657.01897865298963</v>
      </c>
    </row>
    <row r="5" spans="1:31" ht="15.6" customHeight="1" x14ac:dyDescent="0.25">
      <c r="B5" s="93"/>
      <c r="C5" s="94" t="s">
        <v>69</v>
      </c>
      <c r="D5" s="95">
        <f>C6</f>
        <v>-17.41936637101983</v>
      </c>
      <c r="E5" s="95">
        <f>C7</f>
        <v>-25.678133878739999</v>
      </c>
      <c r="F5" s="95">
        <f>C8</f>
        <v>-1.6089924586768269</v>
      </c>
      <c r="G5" s="95">
        <f>C9</f>
        <v>-11.324479149066246</v>
      </c>
      <c r="H5" s="95">
        <f>C10</f>
        <v>-440.87998291069414</v>
      </c>
      <c r="I5" s="95">
        <f>C11</f>
        <v>-76.921503690836303</v>
      </c>
      <c r="J5" s="95">
        <f>C12</f>
        <v>-23.157782976281911</v>
      </c>
      <c r="K5" s="95">
        <f>C13</f>
        <v>-335.03698979478423</v>
      </c>
      <c r="L5" s="95">
        <f>C14</f>
        <v>-658.62797111166651</v>
      </c>
      <c r="M5" s="95">
        <f>C15</f>
        <v>-136.3260336215684</v>
      </c>
      <c r="N5" s="95">
        <f>C16</f>
        <v>-291.38693701180006</v>
      </c>
      <c r="P5" s="21" t="s">
        <v>1</v>
      </c>
      <c r="Q5" s="97">
        <f t="shared" ref="Q5:AA15" si="0">$AE$5+(D6-$AE$3)*($AE$6-$AE$5)/($AE$4-$AE$3)</f>
        <v>-2.8469607800542624E-3</v>
      </c>
      <c r="R5" s="97">
        <f t="shared" si="0"/>
        <v>9.7588849626158193E-3</v>
      </c>
      <c r="S5" s="97">
        <f t="shared" si="0"/>
        <v>-2.8469607800542624E-3</v>
      </c>
      <c r="T5" s="97">
        <f t="shared" si="0"/>
        <v>-2.8469607800542624E-3</v>
      </c>
      <c r="U5" s="97">
        <f t="shared" si="0"/>
        <v>0.64350604591315352</v>
      </c>
      <c r="V5" s="97">
        <f t="shared" si="0"/>
        <v>8.7974673769122796E-2</v>
      </c>
      <c r="W5" s="97">
        <f t="shared" si="0"/>
        <v>5.911924182561556E-3</v>
      </c>
      <c r="X5" s="97">
        <f t="shared" si="0"/>
        <v>0.4819516199150341</v>
      </c>
      <c r="Y5" s="97">
        <f t="shared" si="0"/>
        <v>0.97586769036825116</v>
      </c>
      <c r="Z5" s="97">
        <f t="shared" si="0"/>
        <v>0.1786473243822595</v>
      </c>
      <c r="AA5" s="97">
        <f t="shared" si="0"/>
        <v>0.41532596039291486</v>
      </c>
      <c r="AD5" s="3" t="s">
        <v>25</v>
      </c>
      <c r="AE5" s="2">
        <v>1E-3</v>
      </c>
    </row>
    <row r="6" spans="1:31" ht="15" customHeight="1" x14ac:dyDescent="0.25">
      <c r="B6" s="21" t="s">
        <v>1</v>
      </c>
      <c r="C6" s="95">
        <f>Annual_sorted!M178</f>
        <v>-17.41936637101983</v>
      </c>
      <c r="D6" s="29">
        <f>IF(C6-Table_1463109384654[Burundi]&gt;0, C6-Table_1463109384654[Burundi], 0)</f>
        <v>0</v>
      </c>
      <c r="E6" s="29">
        <f>IF(C6-Table_1463109384654[DRC]&gt;0, C6-Table_1463109384654[DRC], 0)</f>
        <v>8.2587675077201688</v>
      </c>
      <c r="F6" s="29">
        <f>IF(C6-Table_1463109384654[Egypt]&gt;0, C6-Table_1463109384654[Egypt], 0)</f>
        <v>0</v>
      </c>
      <c r="G6" s="29">
        <f>IF(C6-Table_1463109384654[Eritrea]&gt;0, C6-Table_1463109384654[Eritrea], 0)</f>
        <v>0</v>
      </c>
      <c r="H6" s="29">
        <f>IF(C6-Table_1463109384654[Ethiopia]&gt;0, C6-Table_1463109384654[Ethiopia], 0)</f>
        <v>423.46061653967433</v>
      </c>
      <c r="I6" s="29">
        <f>IF(C6-Table_1463109384654[Kenya]&gt;0, C6-Table_1463109384654[Kenya], 0)</f>
        <v>59.50213731981647</v>
      </c>
      <c r="J6" s="29">
        <f>IF(C6-Table_1463109384654[Rwanda]&gt;0, C6-Table_1463109384654[Rwanda], 0)</f>
        <v>5.7384166052620813</v>
      </c>
      <c r="K6" s="29">
        <f>IF(C6-Table_1463109384654[Sudan]&gt;0, C6-Table_1463109384654[Sudan], 0)</f>
        <v>317.61762342376443</v>
      </c>
      <c r="L6" s="29">
        <f>IF(C6-Table_1463109384654[S. Sudan]&gt;0, C6-Table_1463109384654[S. Sudan], 0)</f>
        <v>641.20860474064671</v>
      </c>
      <c r="M6" s="29">
        <f>IF(C6-Table_1463109384654[Tanzania]&gt;0, C6-Table_1463109384654[Tanzania], 0)</f>
        <v>118.90666725054857</v>
      </c>
      <c r="N6" s="29">
        <f>IF(C6-Table_1463109384654[Uganda]&gt;0, C6-Table_1463109384654[Uganda], 0)</f>
        <v>273.96757064078025</v>
      </c>
      <c r="P6" s="21" t="s">
        <v>195</v>
      </c>
      <c r="Q6" s="97">
        <f t="shared" si="0"/>
        <v>-2.8469607800542624E-3</v>
      </c>
      <c r="R6" s="97">
        <f t="shared" si="0"/>
        <v>-2.8469607800542624E-3</v>
      </c>
      <c r="S6" s="97">
        <f t="shared" si="0"/>
        <v>-2.8469607800542624E-3</v>
      </c>
      <c r="T6" s="97">
        <f t="shared" si="0"/>
        <v>-2.8469607800542624E-3</v>
      </c>
      <c r="U6" s="97">
        <f t="shared" si="0"/>
        <v>0.63090020017048343</v>
      </c>
      <c r="V6" s="97">
        <f t="shared" si="0"/>
        <v>7.5368828026452714E-2</v>
      </c>
      <c r="W6" s="97">
        <f t="shared" si="0"/>
        <v>-2.8469607800542624E-3</v>
      </c>
      <c r="X6" s="97">
        <f t="shared" si="0"/>
        <v>0.46934577417236406</v>
      </c>
      <c r="Y6" s="97">
        <f t="shared" si="0"/>
        <v>0.96326184462558084</v>
      </c>
      <c r="Z6" s="97">
        <f t="shared" si="0"/>
        <v>0.1660414786395894</v>
      </c>
      <c r="AA6" s="97">
        <f t="shared" si="0"/>
        <v>0.40272011465024476</v>
      </c>
      <c r="AD6" s="3" t="s">
        <v>70</v>
      </c>
      <c r="AE6" s="2">
        <v>1</v>
      </c>
    </row>
    <row r="7" spans="1:31" ht="15" customHeight="1" x14ac:dyDescent="0.25">
      <c r="B7" s="21" t="s">
        <v>195</v>
      </c>
      <c r="C7" s="95">
        <f>Annual_sorted!M179</f>
        <v>-25.678133878739999</v>
      </c>
      <c r="D7" s="29">
        <f>IF(C7-Table_1463109384654[Burundi]&gt;0, C7-Table_1463109384654[Burundi], 0)</f>
        <v>0</v>
      </c>
      <c r="E7" s="29">
        <f>IF(C7-Table_1463109384654[DRC]&gt;0, C7-Table_1463109384654[DRC], 0)</f>
        <v>0</v>
      </c>
      <c r="F7" s="29">
        <f>IF(C7-Table_1463109384654[Egypt]&gt;0, C7-Table_1463109384654[Egypt], 0)</f>
        <v>0</v>
      </c>
      <c r="G7" s="29">
        <f>IF(C7-Table_1463109384654[Eritrea]&gt;0, C7-Table_1463109384654[Eritrea], 0)</f>
        <v>0</v>
      </c>
      <c r="H7" s="29">
        <f>IF(C7-Table_1463109384654[Ethiopia]&gt;0, C7-Table_1463109384654[Ethiopia], 0)</f>
        <v>415.20184903195411</v>
      </c>
      <c r="I7" s="29">
        <f>IF(C7-Table_1463109384654[Kenya]&gt;0, C7-Table_1463109384654[Kenya], 0)</f>
        <v>51.243369812096304</v>
      </c>
      <c r="J7" s="29">
        <f>IF(C7-Table_1463109384654[Rwanda]&gt;0, C7-Table_1463109384654[Rwanda], 0)</f>
        <v>0</v>
      </c>
      <c r="K7" s="29">
        <f>IF(C7-Table_1463109384654[Sudan]&gt;0, C7-Table_1463109384654[Sudan], 0)</f>
        <v>309.35885591604426</v>
      </c>
      <c r="L7" s="29">
        <f>IF(C7-Table_1463109384654[S. Sudan]&gt;0, C7-Table_1463109384654[S. Sudan], 0)</f>
        <v>632.94983723292648</v>
      </c>
      <c r="M7" s="29">
        <f>IF(C7-Table_1463109384654[Tanzania]&gt;0, C7-Table_1463109384654[Tanzania], 0)</f>
        <v>110.6478997428284</v>
      </c>
      <c r="N7" s="29">
        <f>IF(C7-Table_1463109384654[Uganda]&gt;0, C7-Table_1463109384654[Uganda], 0)</f>
        <v>265.70880313306009</v>
      </c>
      <c r="P7" s="21" t="s">
        <v>2</v>
      </c>
      <c r="Q7" s="97">
        <f t="shared" si="0"/>
        <v>2.1285348851694745E-2</v>
      </c>
      <c r="R7" s="97">
        <f t="shared" si="0"/>
        <v>3.3891194594364821E-2</v>
      </c>
      <c r="S7" s="97">
        <f t="shared" si="0"/>
        <v>-2.8469607800542624E-3</v>
      </c>
      <c r="T7" s="97">
        <f t="shared" si="0"/>
        <v>1.1982361684772166E-2</v>
      </c>
      <c r="U7" s="97">
        <f t="shared" si="0"/>
        <v>0.66763835554490247</v>
      </c>
      <c r="V7" s="97">
        <f t="shared" si="0"/>
        <v>0.11210698340087182</v>
      </c>
      <c r="W7" s="97">
        <f t="shared" si="0"/>
        <v>3.004423381431056E-2</v>
      </c>
      <c r="X7" s="97">
        <f t="shared" si="0"/>
        <v>0.50608392954678305</v>
      </c>
      <c r="Y7" s="97">
        <f t="shared" si="0"/>
        <v>1</v>
      </c>
      <c r="Z7" s="97">
        <f t="shared" si="0"/>
        <v>0.2027796340140085</v>
      </c>
      <c r="AA7" s="97">
        <f t="shared" si="0"/>
        <v>0.43945827002466381</v>
      </c>
    </row>
    <row r="8" spans="1:31" ht="15" customHeight="1" x14ac:dyDescent="0.25">
      <c r="B8" s="21" t="s">
        <v>2</v>
      </c>
      <c r="C8" s="95">
        <f>Annual_sorted!M180</f>
        <v>-1.6089924586768269</v>
      </c>
      <c r="D8" s="29">
        <f>IF(C8-Table_1463109384654[Burundi]&gt;0, C8-Table_1463109384654[Burundi], 0)</f>
        <v>15.810373912343003</v>
      </c>
      <c r="E8" s="29">
        <f>IF(C8-Table_1463109384654[DRC]&gt;0, C8-Table_1463109384654[DRC], 0)</f>
        <v>24.069141420063172</v>
      </c>
      <c r="F8" s="29">
        <f>IF(C8-Table_1463109384654[Egypt]&gt;0, C8-Table_1463109384654[Egypt], 0)</f>
        <v>0</v>
      </c>
      <c r="G8" s="29">
        <f>IF(C8-Table_1463109384654[Eritrea]&gt;0, C8-Table_1463109384654[Eritrea], 0)</f>
        <v>9.7154866903894188</v>
      </c>
      <c r="H8" s="29">
        <f>IF(C8-Table_1463109384654[Ethiopia]&gt;0, C8-Table_1463109384654[Ethiopia], 0)</f>
        <v>439.27099045201732</v>
      </c>
      <c r="I8" s="29">
        <f>IF(C8-Table_1463109384654[Kenya]&gt;0, C8-Table_1463109384654[Kenya], 0)</f>
        <v>75.31251123215948</v>
      </c>
      <c r="J8" s="29">
        <f>IF(C8-Table_1463109384654[Rwanda]&gt;0, C8-Table_1463109384654[Rwanda], 0)</f>
        <v>21.548790517605084</v>
      </c>
      <c r="K8" s="29">
        <f>IF(C8-Table_1463109384654[Sudan]&gt;0, C8-Table_1463109384654[Sudan], 0)</f>
        <v>333.42799733610741</v>
      </c>
      <c r="L8" s="29">
        <f>IF(C8-Table_1463109384654[S. Sudan]&gt;0, C8-Table_1463109384654[S. Sudan], 0)</f>
        <v>657.01897865298963</v>
      </c>
      <c r="M8" s="29">
        <f>IF(C8-Table_1463109384654[Tanzania]&gt;0, C8-Table_1463109384654[Tanzania], 0)</f>
        <v>134.71704116289158</v>
      </c>
      <c r="N8" s="29">
        <f>IF(C8-Table_1463109384654[Uganda]&gt;0, C8-Table_1463109384654[Uganda], 0)</f>
        <v>289.77794455312323</v>
      </c>
      <c r="P8" s="21" t="s">
        <v>3</v>
      </c>
      <c r="Q8" s="97">
        <f t="shared" si="0"/>
        <v>6.4560263868683127E-3</v>
      </c>
      <c r="R8" s="97">
        <f t="shared" si="0"/>
        <v>1.9061872129538394E-2</v>
      </c>
      <c r="S8" s="97">
        <f t="shared" si="0"/>
        <v>-2.8469607800542624E-3</v>
      </c>
      <c r="T8" s="97">
        <f t="shared" si="0"/>
        <v>-2.8469607800542624E-3</v>
      </c>
      <c r="U8" s="97">
        <f t="shared" si="0"/>
        <v>0.65280903308007621</v>
      </c>
      <c r="V8" s="97">
        <f t="shared" si="0"/>
        <v>9.7277660936045368E-2</v>
      </c>
      <c r="W8" s="97">
        <f t="shared" si="0"/>
        <v>1.521491134948413E-2</v>
      </c>
      <c r="X8" s="97">
        <f t="shared" si="0"/>
        <v>0.49125460708195667</v>
      </c>
      <c r="Y8" s="97">
        <f t="shared" si="0"/>
        <v>0.98517067753517362</v>
      </c>
      <c r="Z8" s="97">
        <f t="shared" si="0"/>
        <v>0.18795031154918207</v>
      </c>
      <c r="AA8" s="97">
        <f t="shared" si="0"/>
        <v>0.42462894755983743</v>
      </c>
    </row>
    <row r="9" spans="1:31" ht="15" customHeight="1" x14ac:dyDescent="0.25">
      <c r="B9" s="21" t="s">
        <v>3</v>
      </c>
      <c r="C9" s="95">
        <f>Annual_sorted!M181</f>
        <v>-11.324479149066246</v>
      </c>
      <c r="D9" s="29">
        <f>IF(C9-Table_1463109384654[Burundi]&gt;0, C9-Table_1463109384654[Burundi], 0)</f>
        <v>6.0948872219535843</v>
      </c>
      <c r="E9" s="29">
        <f>IF(C9-Table_1463109384654[DRC]&gt;0, C9-Table_1463109384654[DRC], 0)</f>
        <v>14.353654729673753</v>
      </c>
      <c r="F9" s="29">
        <f>IF(C9-Table_1463109384654[Egypt]&gt;0, C9-Table_1463109384654[Egypt], 0)</f>
        <v>0</v>
      </c>
      <c r="G9" s="29">
        <f>IF(C9-Table_1463109384654[Eritrea]&gt;0, C9-Table_1463109384654[Eritrea], 0)</f>
        <v>0</v>
      </c>
      <c r="H9" s="29">
        <f>IF(C9-Table_1463109384654[Ethiopia]&gt;0, C9-Table_1463109384654[Ethiopia], 0)</f>
        <v>429.5555037616279</v>
      </c>
      <c r="I9" s="29">
        <f>IF(C9-Table_1463109384654[Kenya]&gt;0, C9-Table_1463109384654[Kenya], 0)</f>
        <v>65.597024541770054</v>
      </c>
      <c r="J9" s="29">
        <f>IF(C9-Table_1463109384654[Rwanda]&gt;0, C9-Table_1463109384654[Rwanda], 0)</f>
        <v>11.833303827215666</v>
      </c>
      <c r="K9" s="29">
        <f>IF(C9-Table_1463109384654[Sudan]&gt;0, C9-Table_1463109384654[Sudan], 0)</f>
        <v>323.712510645718</v>
      </c>
      <c r="L9" s="29">
        <f>IF(C9-Table_1463109384654[S. Sudan]&gt;0, C9-Table_1463109384654[S. Sudan], 0)</f>
        <v>647.30349196260022</v>
      </c>
      <c r="M9" s="29">
        <f>IF(C9-Table_1463109384654[Tanzania]&gt;0, C9-Table_1463109384654[Tanzania], 0)</f>
        <v>125.00155447250215</v>
      </c>
      <c r="N9" s="29">
        <f>IF(C9-Table_1463109384654[Uganda]&gt;0, C9-Table_1463109384654[Uganda], 0)</f>
        <v>280.06245786273382</v>
      </c>
      <c r="P9" s="21" t="s">
        <v>4</v>
      </c>
      <c r="Q9" s="97">
        <f t="shared" si="0"/>
        <v>-2.8469607800542624E-3</v>
      </c>
      <c r="R9" s="97">
        <f t="shared" si="0"/>
        <v>-2.8469607800542624E-3</v>
      </c>
      <c r="S9" s="97">
        <f t="shared" si="0"/>
        <v>-2.8469607800542624E-3</v>
      </c>
      <c r="T9" s="97">
        <f t="shared" si="0"/>
        <v>-2.8469607800542624E-3</v>
      </c>
      <c r="U9" s="97">
        <f t="shared" si="0"/>
        <v>-2.8469607800542624E-3</v>
      </c>
      <c r="V9" s="97">
        <f t="shared" si="0"/>
        <v>-2.8469607800542624E-3</v>
      </c>
      <c r="W9" s="97">
        <f t="shared" si="0"/>
        <v>-2.8469607800542624E-3</v>
      </c>
      <c r="X9" s="97">
        <f t="shared" si="0"/>
        <v>-2.8469607800542624E-3</v>
      </c>
      <c r="Y9" s="97">
        <f t="shared" si="0"/>
        <v>0.32951468367504327</v>
      </c>
      <c r="Z9" s="97">
        <f t="shared" si="0"/>
        <v>-2.8469607800542624E-3</v>
      </c>
      <c r="AA9" s="97">
        <f t="shared" si="0"/>
        <v>-2.8469607800542624E-3</v>
      </c>
    </row>
    <row r="10" spans="1:31" ht="15" customHeight="1" x14ac:dyDescent="0.25">
      <c r="B10" s="21" t="s">
        <v>4</v>
      </c>
      <c r="C10" s="95">
        <f>Annual_sorted!M182</f>
        <v>-440.87998291069414</v>
      </c>
      <c r="D10" s="29">
        <f>IF(C10-Table_1463109384654[Burundi]&gt;0, C10-Table_1463109384654[Burundi], 0)</f>
        <v>0</v>
      </c>
      <c r="E10" s="29">
        <f>IF(C10-Table_1463109384654[DRC]&gt;0, C10-Table_1463109384654[DRC], 0)</f>
        <v>0</v>
      </c>
      <c r="F10" s="29">
        <f>IF(C10-Table_1463109384654[Egypt]&gt;0, C10-Table_1463109384654[Egypt], 0)</f>
        <v>0</v>
      </c>
      <c r="G10" s="29">
        <f>IF(C10-Table_1463109384654[Eritrea]&gt;0, C10-Table_1463109384654[Eritrea], 0)</f>
        <v>0</v>
      </c>
      <c r="H10" s="29">
        <f>IF(C10-Table_1463109384654[Ethiopia]&gt;0, C10-Table_1463109384654[Ethiopia], 0)</f>
        <v>0</v>
      </c>
      <c r="I10" s="29">
        <f>IF(C10-Table_1463109384654[Kenya]&gt;0, C10-Table_1463109384654[Kenya], 0)</f>
        <v>0</v>
      </c>
      <c r="J10" s="29">
        <f>IF(C10-Table_1463109384654[Rwanda]&gt;0, C10-Table_1463109384654[Rwanda], 0)</f>
        <v>0</v>
      </c>
      <c r="K10" s="29">
        <f>IF(C10-Table_1463109384654[Sudan]&gt;0, C10-Table_1463109384654[Sudan], 0)</f>
        <v>0</v>
      </c>
      <c r="L10" s="29">
        <f>IF(C10-Table_1463109384654[S. Sudan]&gt;0, C10-Table_1463109384654[S. Sudan], 0)</f>
        <v>217.74798820097237</v>
      </c>
      <c r="M10" s="29">
        <f>IF(C10-Table_1463109384654[Tanzania]&gt;0, C10-Table_1463109384654[Tanzania], 0)</f>
        <v>0</v>
      </c>
      <c r="N10" s="29">
        <f>IF(C10-Table_1463109384654[Uganda]&gt;0, C10-Table_1463109384654[Uganda], 0)</f>
        <v>0</v>
      </c>
      <c r="P10" s="21" t="s">
        <v>5</v>
      </c>
      <c r="Q10" s="97">
        <f t="shared" si="0"/>
        <v>-2.8469607800542624E-3</v>
      </c>
      <c r="R10" s="97">
        <f t="shared" si="0"/>
        <v>-2.8469607800542624E-3</v>
      </c>
      <c r="S10" s="97">
        <f t="shared" si="0"/>
        <v>-2.8469607800542624E-3</v>
      </c>
      <c r="T10" s="97">
        <f t="shared" si="0"/>
        <v>-2.8469607800542624E-3</v>
      </c>
      <c r="U10" s="97">
        <f t="shared" si="0"/>
        <v>0.5526844113639765</v>
      </c>
      <c r="V10" s="97">
        <f t="shared" si="0"/>
        <v>-2.8469607800542624E-3</v>
      </c>
      <c r="W10" s="97">
        <f t="shared" si="0"/>
        <v>-2.8469607800542624E-3</v>
      </c>
      <c r="X10" s="97">
        <f t="shared" si="0"/>
        <v>0.39112998536585697</v>
      </c>
      <c r="Y10" s="97">
        <f t="shared" si="0"/>
        <v>0.88504605581907403</v>
      </c>
      <c r="Z10" s="97">
        <f t="shared" si="0"/>
        <v>8.7825689833082435E-2</v>
      </c>
      <c r="AA10" s="97">
        <f t="shared" si="0"/>
        <v>0.32450432584373773</v>
      </c>
    </row>
    <row r="11" spans="1:31" ht="15" customHeight="1" x14ac:dyDescent="0.25">
      <c r="B11" s="21" t="s">
        <v>5</v>
      </c>
      <c r="C11" s="95">
        <f>Annual_sorted!M183</f>
        <v>-76.921503690836303</v>
      </c>
      <c r="D11" s="29">
        <f>IF(C11-Table_1463109384654[Burundi]&gt;0, C11-Table_1463109384654[Burundi], 0)</f>
        <v>0</v>
      </c>
      <c r="E11" s="29">
        <f>IF(C11-Table_1463109384654[DRC]&gt;0, C11-Table_1463109384654[DRC], 0)</f>
        <v>0</v>
      </c>
      <c r="F11" s="29">
        <f>IF(C11-Table_1463109384654[Egypt]&gt;0, C11-Table_1463109384654[Egypt], 0)</f>
        <v>0</v>
      </c>
      <c r="G11" s="29">
        <f>IF(C11-Table_1463109384654[Eritrea]&gt;0, C11-Table_1463109384654[Eritrea], 0)</f>
        <v>0</v>
      </c>
      <c r="H11" s="29">
        <f>IF(C11-Table_1463109384654[Ethiopia]&gt;0, C11-Table_1463109384654[Ethiopia], 0)</f>
        <v>363.95847921985785</v>
      </c>
      <c r="I11" s="29">
        <f>IF(C11-Table_1463109384654[Kenya]&gt;0, C11-Table_1463109384654[Kenya], 0)</f>
        <v>0</v>
      </c>
      <c r="J11" s="29">
        <f>IF(C11-Table_1463109384654[Rwanda]&gt;0, C11-Table_1463109384654[Rwanda], 0)</f>
        <v>0</v>
      </c>
      <c r="K11" s="29">
        <f>IF(C11-Table_1463109384654[Sudan]&gt;0, C11-Table_1463109384654[Sudan], 0)</f>
        <v>258.11548610394794</v>
      </c>
      <c r="L11" s="29">
        <f>IF(C11-Table_1463109384654[S. Sudan]&gt;0, C11-Table_1463109384654[S. Sudan], 0)</f>
        <v>581.70646742083022</v>
      </c>
      <c r="M11" s="29">
        <f>IF(C11-Table_1463109384654[Tanzania]&gt;0, C11-Table_1463109384654[Tanzania], 0)</f>
        <v>59.404529930732096</v>
      </c>
      <c r="N11" s="29">
        <f>IF(C11-Table_1463109384654[Uganda]&gt;0, C11-Table_1463109384654[Uganda], 0)</f>
        <v>214.46543332096377</v>
      </c>
      <c r="P11" s="21" t="s">
        <v>6</v>
      </c>
      <c r="Q11" s="97">
        <f t="shared" si="0"/>
        <v>-2.8469607800542624E-3</v>
      </c>
      <c r="R11" s="97">
        <f t="shared" si="0"/>
        <v>1E-3</v>
      </c>
      <c r="S11" s="97">
        <f t="shared" si="0"/>
        <v>-2.8469607800542624E-3</v>
      </c>
      <c r="T11" s="97">
        <f t="shared" si="0"/>
        <v>-2.8469607800542624E-3</v>
      </c>
      <c r="U11" s="97">
        <f t="shared" si="0"/>
        <v>0.63474716095053774</v>
      </c>
      <c r="V11" s="97">
        <f t="shared" si="0"/>
        <v>7.9215788806506982E-2</v>
      </c>
      <c r="W11" s="97">
        <f t="shared" si="0"/>
        <v>-2.8469607800542624E-3</v>
      </c>
      <c r="X11" s="97">
        <f t="shared" si="0"/>
        <v>0.47319273495241826</v>
      </c>
      <c r="Y11" s="97">
        <f t="shared" si="0"/>
        <v>0.96710880540563526</v>
      </c>
      <c r="Z11" s="97">
        <f t="shared" si="0"/>
        <v>0.16988843941964368</v>
      </c>
      <c r="AA11" s="97">
        <f t="shared" si="0"/>
        <v>0.40656707543029902</v>
      </c>
    </row>
    <row r="12" spans="1:31" ht="15" customHeight="1" x14ac:dyDescent="0.25">
      <c r="B12" s="21" t="s">
        <v>6</v>
      </c>
      <c r="C12" s="95">
        <f>Annual_sorted!M184</f>
        <v>-23.157782976281911</v>
      </c>
      <c r="D12" s="29">
        <f>IF(C12-Table_1463109384654[Burundi]&gt;0, C12-Table_1463109384654[Burundi], 0)</f>
        <v>0</v>
      </c>
      <c r="E12" s="29">
        <f>IF(C12-Table_1463109384654[DRC]&gt;0, C12-Table_1463109384654[DRC], 0)</f>
        <v>2.5203509024580875</v>
      </c>
      <c r="F12" s="29">
        <f>IF(C12-Table_1463109384654[Egypt]&gt;0, C12-Table_1463109384654[Egypt], 0)</f>
        <v>0</v>
      </c>
      <c r="G12" s="29">
        <f>IF(C12-Table_1463109384654[Eritrea]&gt;0, C12-Table_1463109384654[Eritrea], 0)</f>
        <v>0</v>
      </c>
      <c r="H12" s="29">
        <f>IF(C12-Table_1463109384654[Ethiopia]&gt;0, C12-Table_1463109384654[Ethiopia], 0)</f>
        <v>417.72219993441223</v>
      </c>
      <c r="I12" s="29">
        <f>IF(C12-Table_1463109384654[Kenya]&gt;0, C12-Table_1463109384654[Kenya], 0)</f>
        <v>53.763720714554395</v>
      </c>
      <c r="J12" s="29">
        <f>IF(C12-Table_1463109384654[Rwanda]&gt;0, C12-Table_1463109384654[Rwanda], 0)</f>
        <v>0</v>
      </c>
      <c r="K12" s="29">
        <f>IF(C12-Table_1463109384654[Sudan]&gt;0, C12-Table_1463109384654[Sudan], 0)</f>
        <v>311.87920681850233</v>
      </c>
      <c r="L12" s="29">
        <f>IF(C12-Table_1463109384654[S. Sudan]&gt;0, C12-Table_1463109384654[S. Sudan], 0)</f>
        <v>635.47018813538455</v>
      </c>
      <c r="M12" s="29">
        <f>IF(C12-Table_1463109384654[Tanzania]&gt;0, C12-Table_1463109384654[Tanzania], 0)</f>
        <v>113.16825064528649</v>
      </c>
      <c r="N12" s="29">
        <f>IF(C12-Table_1463109384654[Uganda]&gt;0, C12-Table_1463109384654[Uganda], 0)</f>
        <v>268.22915403551815</v>
      </c>
      <c r="P12" s="21" t="s">
        <v>7</v>
      </c>
      <c r="Q12" s="97">
        <f t="shared" si="0"/>
        <v>-2.8469607800542624E-3</v>
      </c>
      <c r="R12" s="97">
        <f t="shared" si="0"/>
        <v>-2.8469607800542624E-3</v>
      </c>
      <c r="S12" s="97">
        <f t="shared" si="0"/>
        <v>-2.8469607800542624E-3</v>
      </c>
      <c r="T12" s="97">
        <f t="shared" si="0"/>
        <v>-2.8469607800542624E-3</v>
      </c>
      <c r="U12" s="97">
        <f t="shared" si="0"/>
        <v>0.1587074652180652</v>
      </c>
      <c r="V12" s="97">
        <f t="shared" si="0"/>
        <v>-2.8469607800542624E-3</v>
      </c>
      <c r="W12" s="97">
        <f t="shared" si="0"/>
        <v>-2.8469607800542624E-3</v>
      </c>
      <c r="X12" s="97">
        <f t="shared" si="0"/>
        <v>-2.8469607800542624E-3</v>
      </c>
      <c r="Y12" s="97">
        <f t="shared" si="0"/>
        <v>0.49106910967316281</v>
      </c>
      <c r="Z12" s="97">
        <f t="shared" si="0"/>
        <v>-2.8469607800542624E-3</v>
      </c>
      <c r="AA12" s="97">
        <f t="shared" si="0"/>
        <v>-2.8469607800542624E-3</v>
      </c>
    </row>
    <row r="13" spans="1:31" ht="15" customHeight="1" x14ac:dyDescent="0.25">
      <c r="B13" s="21" t="s">
        <v>7</v>
      </c>
      <c r="C13" s="95">
        <f>Annual_sorted!M185</f>
        <v>-335.03698979478423</v>
      </c>
      <c r="D13" s="29">
        <f>IF(C13-Table_1463109384654[Burundi]&gt;0, C13-Table_1463109384654[Burundi], 0)</f>
        <v>0</v>
      </c>
      <c r="E13" s="29">
        <f>IF(C13-Table_1463109384654[DRC]&gt;0, C13-Table_1463109384654[DRC], 0)</f>
        <v>0</v>
      </c>
      <c r="F13" s="29">
        <f>IF(C13-Table_1463109384654[Egypt]&gt;0, C13-Table_1463109384654[Egypt], 0)</f>
        <v>0</v>
      </c>
      <c r="G13" s="29">
        <f>IF(C13-Table_1463109384654[Eritrea]&gt;0, C13-Table_1463109384654[Eritrea], 0)</f>
        <v>0</v>
      </c>
      <c r="H13" s="29">
        <f>IF(C13-Table_1463109384654[Ethiopia]&gt;0, C13-Table_1463109384654[Ethiopia], 0)</f>
        <v>105.84299311590991</v>
      </c>
      <c r="I13" s="29">
        <f>IF(C13-Table_1463109384654[Kenya]&gt;0, C13-Table_1463109384654[Kenya], 0)</f>
        <v>0</v>
      </c>
      <c r="J13" s="29">
        <f>IF(C13-Table_1463109384654[Rwanda]&gt;0, C13-Table_1463109384654[Rwanda], 0)</f>
        <v>0</v>
      </c>
      <c r="K13" s="29">
        <f>IF(C13-Table_1463109384654[Sudan]&gt;0, C13-Table_1463109384654[Sudan], 0)</f>
        <v>0</v>
      </c>
      <c r="L13" s="29">
        <f>IF(C13-Table_1463109384654[S. Sudan]&gt;0, C13-Table_1463109384654[S. Sudan], 0)</f>
        <v>323.59098131688228</v>
      </c>
      <c r="M13" s="29">
        <f>IF(C13-Table_1463109384654[Tanzania]&gt;0, C13-Table_1463109384654[Tanzania], 0)</f>
        <v>0</v>
      </c>
      <c r="N13" s="29">
        <f>IF(C13-Table_1463109384654[Uganda]&gt;0, C13-Table_1463109384654[Uganda], 0)</f>
        <v>0</v>
      </c>
      <c r="P13" s="21" t="s">
        <v>8</v>
      </c>
      <c r="Q13" s="97">
        <f t="shared" si="0"/>
        <v>-2.8469607800542624E-3</v>
      </c>
      <c r="R13" s="97">
        <f t="shared" si="0"/>
        <v>-2.8469607800542624E-3</v>
      </c>
      <c r="S13" s="97">
        <f t="shared" si="0"/>
        <v>-2.8469607800542624E-3</v>
      </c>
      <c r="T13" s="97">
        <f t="shared" si="0"/>
        <v>-2.8469607800542624E-3</v>
      </c>
      <c r="U13" s="97">
        <f t="shared" si="0"/>
        <v>-2.8469607800542624E-3</v>
      </c>
      <c r="V13" s="97">
        <f t="shared" si="0"/>
        <v>-2.8469607800542624E-3</v>
      </c>
      <c r="W13" s="97">
        <f t="shared" si="0"/>
        <v>-2.8469607800542624E-3</v>
      </c>
      <c r="X13" s="97">
        <f t="shared" si="0"/>
        <v>-2.8469607800542624E-3</v>
      </c>
      <c r="Y13" s="97">
        <f t="shared" si="0"/>
        <v>-2.8469607800542624E-3</v>
      </c>
      <c r="Z13" s="97">
        <f t="shared" si="0"/>
        <v>-2.8469607800542624E-3</v>
      </c>
      <c r="AA13" s="97">
        <f t="shared" si="0"/>
        <v>-2.8469607800542624E-3</v>
      </c>
    </row>
    <row r="14" spans="1:31" ht="15" customHeight="1" x14ac:dyDescent="0.25">
      <c r="B14" s="21" t="s">
        <v>8</v>
      </c>
      <c r="C14" s="95">
        <f>Annual_sorted!M186</f>
        <v>-658.62797111166651</v>
      </c>
      <c r="D14" s="29">
        <f>IF(C14-Table_1463109384654[Burundi]&gt;0, C14-Table_1463109384654[Burundi], 0)</f>
        <v>0</v>
      </c>
      <c r="E14" s="29">
        <f>IF(C14-Table_1463109384654[DRC]&gt;0, C14-Table_1463109384654[DRC], 0)</f>
        <v>0</v>
      </c>
      <c r="F14" s="29">
        <f>IF(C14-Table_1463109384654[Egypt]&gt;0, C14-Table_1463109384654[Egypt], 0)</f>
        <v>0</v>
      </c>
      <c r="G14" s="29">
        <f>IF(C14-Table_1463109384654[Eritrea]&gt;0, C14-Table_1463109384654[Eritrea], 0)</f>
        <v>0</v>
      </c>
      <c r="H14" s="29">
        <f>IF(C14-Table_1463109384654[Ethiopia]&gt;0, C14-Table_1463109384654[Ethiopia], 0)</f>
        <v>0</v>
      </c>
      <c r="I14" s="29">
        <f>IF(C14-Table_1463109384654[Kenya]&gt;0, C14-Table_1463109384654[Kenya], 0)</f>
        <v>0</v>
      </c>
      <c r="J14" s="29">
        <f>IF(C14-Table_1463109384654[Rwanda]&gt;0, C14-Table_1463109384654[Rwanda], 0)</f>
        <v>0</v>
      </c>
      <c r="K14" s="29">
        <f>IF(C14-Table_1463109384654[Sudan]&gt;0, C14-Table_1463109384654[Sudan], 0)</f>
        <v>0</v>
      </c>
      <c r="L14" s="29">
        <f>IF(C14-Table_1463109384654[S. Sudan]&gt;0, C14-Table_1463109384654[S. Sudan], 0)</f>
        <v>0</v>
      </c>
      <c r="M14" s="29">
        <f>IF(C14-Table_1463109384654[Tanzania]&gt;0, C14-Table_1463109384654[Tanzania], 0)</f>
        <v>0</v>
      </c>
      <c r="N14" s="29">
        <f>IF(C14-Table_1463109384654[Uganda]&gt;0, C14-Table_1463109384654[Uganda], 0)</f>
        <v>0</v>
      </c>
      <c r="P14" s="21" t="s">
        <v>9</v>
      </c>
      <c r="Q14" s="97">
        <f t="shared" si="0"/>
        <v>-2.8469607800542624E-3</v>
      </c>
      <c r="R14" s="97">
        <f t="shared" si="0"/>
        <v>-2.8469607800542624E-3</v>
      </c>
      <c r="S14" s="97">
        <f t="shared" si="0"/>
        <v>-2.8469607800542624E-3</v>
      </c>
      <c r="T14" s="97">
        <f t="shared" si="0"/>
        <v>-2.8469607800542624E-3</v>
      </c>
      <c r="U14" s="97">
        <f t="shared" si="0"/>
        <v>0.46201176075083977</v>
      </c>
      <c r="V14" s="97">
        <f t="shared" si="0"/>
        <v>-2.8469607800542624E-3</v>
      </c>
      <c r="W14" s="97">
        <f t="shared" si="0"/>
        <v>-2.8469607800542624E-3</v>
      </c>
      <c r="X14" s="97">
        <f t="shared" si="0"/>
        <v>0.30045733475272024</v>
      </c>
      <c r="Y14" s="97">
        <f t="shared" si="0"/>
        <v>0.79437340520593724</v>
      </c>
      <c r="Z14" s="97">
        <f t="shared" si="0"/>
        <v>-2.8469607800542624E-3</v>
      </c>
      <c r="AA14" s="97">
        <f t="shared" si="0"/>
        <v>0.233831675230601</v>
      </c>
    </row>
    <row r="15" spans="1:31" ht="15" customHeight="1" thickBot="1" x14ac:dyDescent="0.3">
      <c r="B15" s="21" t="s">
        <v>9</v>
      </c>
      <c r="C15" s="95">
        <f>Annual_sorted!M187</f>
        <v>-136.3260336215684</v>
      </c>
      <c r="D15" s="29">
        <f>IF(C15-Table_1463109384654[Burundi]&gt;0, C15-Table_1463109384654[Burundi], 0)</f>
        <v>0</v>
      </c>
      <c r="E15" s="29">
        <f>IF(C15-Table_1463109384654[DRC]&gt;0, C15-Table_1463109384654[DRC], 0)</f>
        <v>0</v>
      </c>
      <c r="F15" s="29">
        <f>IF(C15-Table_1463109384654[Egypt]&gt;0, C15-Table_1463109384654[Egypt], 0)</f>
        <v>0</v>
      </c>
      <c r="G15" s="29">
        <f>IF(C15-Table_1463109384654[Eritrea]&gt;0, C15-Table_1463109384654[Eritrea], 0)</f>
        <v>0</v>
      </c>
      <c r="H15" s="29">
        <f>IF(C15-Table_1463109384654[Ethiopia]&gt;0, C15-Table_1463109384654[Ethiopia], 0)</f>
        <v>304.55394928912574</v>
      </c>
      <c r="I15" s="29">
        <f>IF(C15-Table_1463109384654[Kenya]&gt;0, C15-Table_1463109384654[Kenya], 0)</f>
        <v>0</v>
      </c>
      <c r="J15" s="29">
        <f>IF(C15-Table_1463109384654[Rwanda]&gt;0, C15-Table_1463109384654[Rwanda], 0)</f>
        <v>0</v>
      </c>
      <c r="K15" s="29">
        <f>IF(C15-Table_1463109384654[Sudan]&gt;0, C15-Table_1463109384654[Sudan], 0)</f>
        <v>198.71095617321583</v>
      </c>
      <c r="L15" s="29">
        <f>IF(C15-Table_1463109384654[S. Sudan]&gt;0, C15-Table_1463109384654[S. Sudan], 0)</f>
        <v>522.30193749009811</v>
      </c>
      <c r="M15" s="29">
        <f>IF(C15-Table_1463109384654[Tanzania]&gt;0, C15-Table_1463109384654[Tanzania], 0)</f>
        <v>0</v>
      </c>
      <c r="N15" s="29">
        <f>IF(C15-Table_1463109384654[Uganda]&gt;0, C15-Table_1463109384654[Uganda], 0)</f>
        <v>155.06090339023166</v>
      </c>
      <c r="P15" s="22" t="s">
        <v>10</v>
      </c>
      <c r="Q15" s="98">
        <f t="shared" si="0"/>
        <v>-2.8469607800542624E-3</v>
      </c>
      <c r="R15" s="98">
        <f t="shared" si="0"/>
        <v>-2.8469607800542624E-3</v>
      </c>
      <c r="S15" s="98">
        <f t="shared" si="0"/>
        <v>-2.8469607800542624E-3</v>
      </c>
      <c r="T15" s="98">
        <f t="shared" si="0"/>
        <v>-2.8469607800542624E-3</v>
      </c>
      <c r="U15" s="98">
        <f t="shared" si="0"/>
        <v>0.22533312474018447</v>
      </c>
      <c r="V15" s="98">
        <f t="shared" si="0"/>
        <v>-2.8469607800542624E-3</v>
      </c>
      <c r="W15" s="98">
        <f t="shared" si="0"/>
        <v>-2.8469607800542624E-3</v>
      </c>
      <c r="X15" s="98">
        <f t="shared" si="0"/>
        <v>6.3778698742064988E-2</v>
      </c>
      <c r="Y15" s="98">
        <f t="shared" si="0"/>
        <v>0.55769476919528205</v>
      </c>
      <c r="Z15" s="98">
        <f t="shared" si="0"/>
        <v>-2.8469607800542624E-3</v>
      </c>
      <c r="AA15" s="98">
        <f t="shared" si="0"/>
        <v>-2.8469607800542624E-3</v>
      </c>
    </row>
    <row r="16" spans="1:31" ht="15" customHeight="1" thickBot="1" x14ac:dyDescent="0.3">
      <c r="B16" s="22" t="s">
        <v>10</v>
      </c>
      <c r="C16" s="96">
        <f>Annual_sorted!M188</f>
        <v>-291.38693701180006</v>
      </c>
      <c r="D16" s="32">
        <f>IF(C16-Table_1463109384654[Burundi]&gt;0, C16-Table_1463109384654[Burundi], 0)</f>
        <v>0</v>
      </c>
      <c r="E16" s="32">
        <f>IF(C16-Table_1463109384654[DRC]&gt;0, C16-Table_1463109384654[DRC], 0)</f>
        <v>0</v>
      </c>
      <c r="F16" s="32">
        <f>IF(C16-Table_1463109384654[Egypt]&gt;0, C16-Table_1463109384654[Egypt], 0)</f>
        <v>0</v>
      </c>
      <c r="G16" s="32">
        <f>IF(C16-Table_1463109384654[Eritrea]&gt;0, C16-Table_1463109384654[Eritrea], 0)</f>
        <v>0</v>
      </c>
      <c r="H16" s="32">
        <f>IF(C16-Table_1463109384654[Ethiopia]&gt;0, C16-Table_1463109384654[Ethiopia], 0)</f>
        <v>149.49304589889408</v>
      </c>
      <c r="I16" s="32">
        <f>IF(C16-Table_1463109384654[Kenya]&gt;0, C16-Table_1463109384654[Kenya], 0)</f>
        <v>0</v>
      </c>
      <c r="J16" s="32">
        <f>IF(C16-Table_1463109384654[Rwanda]&gt;0, C16-Table_1463109384654[Rwanda], 0)</f>
        <v>0</v>
      </c>
      <c r="K16" s="32">
        <f>IF(C16-Table_1463109384654[Sudan]&gt;0, C16-Table_1463109384654[Sudan], 0)</f>
        <v>43.650052782984176</v>
      </c>
      <c r="L16" s="32">
        <f>IF(C16-Table_1463109384654[S. Sudan]&gt;0, C16-Table_1463109384654[S. Sudan], 0)</f>
        <v>367.24103409986645</v>
      </c>
      <c r="M16" s="32">
        <f>IF(C16-Table_1463109384654[Tanzania]&gt;0, C16-Table_1463109384654[Tanzania], 0)</f>
        <v>0</v>
      </c>
      <c r="N16" s="32">
        <f>IF(C16-Table_1463109384654[Uganda]&gt;0, C16-Table_1463109384654[Uganda], 0)</f>
        <v>0</v>
      </c>
      <c r="Q16" s="186">
        <f t="shared" ref="Q16:X16" si="1">SUM(Q5:Q15)</f>
        <v>2.1187282180746923E-3</v>
      </c>
      <c r="R16" s="186">
        <f t="shared" si="1"/>
        <v>4.3783226226139213E-2</v>
      </c>
      <c r="S16" s="186">
        <f t="shared" si="1"/>
        <v>-3.1316568580596893E-2</v>
      </c>
      <c r="T16" s="186">
        <f t="shared" si="1"/>
        <v>-1.648724611577046E-2</v>
      </c>
      <c r="U16" s="186">
        <f t="shared" si="1"/>
        <v>4.6226436361721115</v>
      </c>
      <c r="V16" s="186">
        <f t="shared" si="1"/>
        <v>0.43486217025867419</v>
      </c>
      <c r="W16" s="186">
        <f t="shared" si="1"/>
        <v>2.8395383105922156E-2</v>
      </c>
      <c r="X16" s="186">
        <f t="shared" si="1"/>
        <v>3.168653802189036</v>
      </c>
      <c r="Y16" s="186">
        <f>SUM(Y5:Y15)</f>
        <v>7.9462600807230857</v>
      </c>
      <c r="Z16" s="186">
        <f t="shared" ref="Z16:AA16" si="2">SUM(Z5:Z15)</f>
        <v>0.97889807393749406</v>
      </c>
      <c r="AA16" s="186">
        <f t="shared" si="2"/>
        <v>2.6356485260120825</v>
      </c>
      <c r="AB16" s="186">
        <f>SUM(Q5:AA15)</f>
        <v>19.813459812146242</v>
      </c>
    </row>
    <row r="18" spans="2:31" ht="12.75" customHeight="1" x14ac:dyDescent="0.25">
      <c r="B18" s="5"/>
      <c r="C18" s="5"/>
      <c r="D18" s="5"/>
      <c r="E18" s="5"/>
      <c r="F18" s="5"/>
      <c r="G18" s="5"/>
      <c r="H18" s="5"/>
      <c r="I18" s="5"/>
      <c r="J18" s="5"/>
      <c r="K18" s="5"/>
      <c r="L18" s="5"/>
      <c r="M18" s="5"/>
      <c r="N18" s="5"/>
    </row>
    <row r="19" spans="2:31" ht="12.75" customHeight="1" x14ac:dyDescent="0.25">
      <c r="B19" s="5"/>
      <c r="C19" s="5"/>
      <c r="D19" s="5"/>
      <c r="E19" s="5"/>
      <c r="F19" s="5"/>
      <c r="G19" s="5"/>
      <c r="H19" s="5"/>
      <c r="I19" s="5"/>
      <c r="J19" s="5"/>
      <c r="K19" s="5"/>
      <c r="L19" s="5"/>
      <c r="M19" s="5"/>
      <c r="N19" s="44"/>
      <c r="O19" s="5"/>
      <c r="P19" s="5"/>
      <c r="Q19" s="5"/>
      <c r="R19" s="5"/>
      <c r="S19" s="5"/>
      <c r="T19" s="5"/>
      <c r="U19" s="5"/>
      <c r="V19" s="5"/>
      <c r="W19" s="5"/>
      <c r="X19" s="5"/>
      <c r="Y19" s="5"/>
      <c r="Z19" s="5"/>
      <c r="AA19" s="5"/>
    </row>
    <row r="20" spans="2:31" ht="12.75" customHeight="1" x14ac:dyDescent="0.25">
      <c r="B20" s="5"/>
      <c r="C20" s="5"/>
      <c r="D20" s="5"/>
      <c r="E20" s="5"/>
      <c r="F20" s="5"/>
      <c r="G20" s="5"/>
      <c r="H20" s="5"/>
      <c r="I20" s="5"/>
      <c r="J20" s="5"/>
      <c r="K20" s="5"/>
      <c r="L20" s="5"/>
      <c r="M20" s="5"/>
      <c r="N20" s="44"/>
      <c r="O20" s="5"/>
      <c r="P20" s="5"/>
      <c r="Q20" s="5"/>
      <c r="R20" s="5"/>
      <c r="S20" s="5"/>
      <c r="T20" s="5"/>
      <c r="U20" s="5"/>
      <c r="V20" s="5"/>
      <c r="W20" s="5"/>
      <c r="X20" s="5"/>
      <c r="Y20" s="5"/>
      <c r="Z20" s="5"/>
      <c r="AA20" s="5"/>
    </row>
    <row r="21" spans="2:31" ht="12.75" customHeight="1" thickBot="1" x14ac:dyDescent="0.3">
      <c r="B21" s="253" t="s">
        <v>102</v>
      </c>
      <c r="C21" s="253"/>
      <c r="D21" s="253"/>
      <c r="E21" s="253"/>
      <c r="F21" s="253"/>
      <c r="G21" s="253"/>
      <c r="H21" s="253"/>
      <c r="I21" s="253"/>
      <c r="J21" s="253"/>
      <c r="K21" s="253"/>
      <c r="L21" s="253"/>
      <c r="M21" s="253"/>
      <c r="N21" s="253"/>
      <c r="P21" s="253" t="s">
        <v>103</v>
      </c>
      <c r="Q21" s="253"/>
      <c r="R21" s="253"/>
      <c r="S21" s="253"/>
      <c r="T21" s="253"/>
      <c r="U21" s="253"/>
      <c r="V21" s="253"/>
      <c r="W21" s="253"/>
      <c r="X21" s="253"/>
      <c r="Y21" s="253"/>
      <c r="Z21" s="253"/>
      <c r="AA21" s="253"/>
      <c r="AB21" s="10"/>
      <c r="AC21" s="3" t="s">
        <v>22</v>
      </c>
      <c r="AD21" s="13" t="s">
        <v>23</v>
      </c>
      <c r="AE21" s="74">
        <f t="array" ref="AE21">MIN(IF(D24:N34&gt;0,D24:N34))</f>
        <v>3.5414190730530564</v>
      </c>
    </row>
    <row r="22" spans="2:31" ht="12.75" customHeight="1" thickBot="1" x14ac:dyDescent="0.3">
      <c r="B22" s="75" t="s">
        <v>13</v>
      </c>
      <c r="C22" s="66" t="s">
        <v>14</v>
      </c>
      <c r="D22" s="67" t="s">
        <v>1</v>
      </c>
      <c r="E22" s="67" t="s">
        <v>195</v>
      </c>
      <c r="F22" s="67" t="s">
        <v>2</v>
      </c>
      <c r="G22" s="67" t="s">
        <v>3</v>
      </c>
      <c r="H22" s="67" t="s">
        <v>4</v>
      </c>
      <c r="I22" s="67" t="s">
        <v>5</v>
      </c>
      <c r="J22" s="67" t="s">
        <v>6</v>
      </c>
      <c r="K22" s="67" t="s">
        <v>7</v>
      </c>
      <c r="L22" s="67" t="s">
        <v>295</v>
      </c>
      <c r="M22" s="67" t="s">
        <v>9</v>
      </c>
      <c r="N22" s="67" t="s">
        <v>10</v>
      </c>
      <c r="P22" s="76" t="s">
        <v>19</v>
      </c>
      <c r="Q22" s="77" t="s">
        <v>1</v>
      </c>
      <c r="R22" s="77" t="s">
        <v>195</v>
      </c>
      <c r="S22" s="77" t="s">
        <v>2</v>
      </c>
      <c r="T22" s="77" t="s">
        <v>3</v>
      </c>
      <c r="U22" s="77" t="s">
        <v>4</v>
      </c>
      <c r="V22" s="77" t="s">
        <v>5</v>
      </c>
      <c r="W22" s="77" t="s">
        <v>6</v>
      </c>
      <c r="X22" s="77" t="s">
        <v>7</v>
      </c>
      <c r="Y22" s="77" t="s">
        <v>295</v>
      </c>
      <c r="Z22" s="77" t="s">
        <v>9</v>
      </c>
      <c r="AA22" s="77" t="s">
        <v>10</v>
      </c>
      <c r="AB22" s="254" t="s">
        <v>26</v>
      </c>
      <c r="AC22" s="254"/>
      <c r="AD22" s="13" t="s">
        <v>24</v>
      </c>
      <c r="AE22" s="20">
        <f>MAX(D24:N34)</f>
        <v>718.61698717211641</v>
      </c>
    </row>
    <row r="23" spans="2:31" ht="13.2" x14ac:dyDescent="0.25">
      <c r="B23" s="93"/>
      <c r="C23" s="94" t="s">
        <v>258</v>
      </c>
      <c r="D23" s="95">
        <f>C24</f>
        <v>-14.594625955876101</v>
      </c>
      <c r="E23" s="95">
        <f>C25</f>
        <v>-25.822783702853926</v>
      </c>
      <c r="F23" s="95">
        <f>C26</f>
        <v>-59.019894205326899</v>
      </c>
      <c r="G23" s="95">
        <f>C27</f>
        <v>-10.9150196956563</v>
      </c>
      <c r="H23" s="95">
        <f>C28</f>
        <v>-348.57708377425917</v>
      </c>
      <c r="I23" s="95">
        <f>C29</f>
        <v>-62.561313278379956</v>
      </c>
      <c r="J23" s="95">
        <f>C30</f>
        <v>-21.318452968197501</v>
      </c>
      <c r="K23" s="95">
        <f>C31</f>
        <v>-393.94811350081562</v>
      </c>
      <c r="L23" s="95">
        <f>C32</f>
        <v>-729.53200686777268</v>
      </c>
      <c r="M23" s="95">
        <f>C33</f>
        <v>-124.42670886785405</v>
      </c>
      <c r="N23" s="95">
        <f>C34</f>
        <v>-308.84829840558575</v>
      </c>
      <c r="P23" s="21" t="s">
        <v>1</v>
      </c>
      <c r="Q23" s="97">
        <f>AE23+(D24-AE21)*(AE24-AE23)/(AE22-AE21)</f>
        <v>-3.947557729297055E-3</v>
      </c>
      <c r="R23" s="97">
        <f t="shared" ref="R23:AA33" si="3">$AE$23+(E24-$AE$21)*($AE$24-$AE$23)/($AE$22-$AE$21)</f>
        <v>1.1738797796804354E-2</v>
      </c>
      <c r="S23" s="97">
        <f t="shared" si="3"/>
        <v>5.8116991754867425E-2</v>
      </c>
      <c r="T23" s="97">
        <f t="shared" si="3"/>
        <v>-3.947557729297055E-3</v>
      </c>
      <c r="U23" s="97">
        <f t="shared" si="3"/>
        <v>0.46264435261596382</v>
      </c>
      <c r="V23" s="97">
        <f t="shared" si="3"/>
        <v>6.3064549484164484E-2</v>
      </c>
      <c r="W23" s="97">
        <f t="shared" si="3"/>
        <v>5.4459993784721789E-3</v>
      </c>
      <c r="X23" s="97">
        <f t="shared" si="3"/>
        <v>0.52603018303570859</v>
      </c>
      <c r="Y23" s="97">
        <f t="shared" si="3"/>
        <v>0.99485938715018374</v>
      </c>
      <c r="Z23" s="97">
        <f t="shared" si="3"/>
        <v>0.14949391856215072</v>
      </c>
      <c r="AA23" s="97">
        <f t="shared" si="3"/>
        <v>0.40714104869409579</v>
      </c>
      <c r="AD23" s="3" t="s">
        <v>25</v>
      </c>
      <c r="AE23" s="2">
        <v>1E-3</v>
      </c>
    </row>
    <row r="24" spans="2:31" ht="12.75" customHeight="1" x14ac:dyDescent="0.25">
      <c r="B24" s="21" t="s">
        <v>1</v>
      </c>
      <c r="C24" s="95">
        <f>Annual_sorted!N178</f>
        <v>-14.594625955876101</v>
      </c>
      <c r="D24" s="29">
        <f>IF(C24-Table_146341211394755[Burundi]&gt;0, C24-Table_146341211394755[Burundi], 0)</f>
        <v>0</v>
      </c>
      <c r="E24" s="29">
        <f>IF(C24-Table_146341211394755[DRC]&gt;0, C24-Table_146341211394755[DRC], 0)</f>
        <v>11.228157746977825</v>
      </c>
      <c r="F24" s="29">
        <f>IF(C24-Table_146341211394755[Egypt]&gt;0, C24-Table_146341211394755[Egypt], 0)</f>
        <v>44.425268249450795</v>
      </c>
      <c r="G24" s="29">
        <f>IF(C24-Table_146341211394755[Eritrea]&gt;0, C24-Table_146341211394755[Eritrea], 0)</f>
        <v>0</v>
      </c>
      <c r="H24" s="29">
        <f>IF(C24-Table_146341211394755[Ethiopia]&gt;0, C24-Table_146341211394755[Ethiopia], 0)</f>
        <v>333.98245781838307</v>
      </c>
      <c r="I24" s="29">
        <f>IF(C24-Table_146341211394755[Kenya]&gt;0, C24-Table_146341211394755[Kenya], 0)</f>
        <v>47.966687322503859</v>
      </c>
      <c r="J24" s="29">
        <f>IF(C24-Table_146341211394755[Rwanda]&gt;0, C24-Table_146341211394755[Rwanda], 0)</f>
        <v>6.7238270123214008</v>
      </c>
      <c r="K24" s="29">
        <f>IF(C24-Table_146341211394755[Sudan]&gt;0, C24-Table_146341211394755[Sudan], 0)</f>
        <v>379.35348754493953</v>
      </c>
      <c r="L24" s="29">
        <f>IF(C24-Table_146341211394755[S. Sudan]&gt;0, C24-Table_146341211394755[S. Sudan], 0)</f>
        <v>714.93738091189653</v>
      </c>
      <c r="M24" s="29">
        <f>IF(C24-Table_146341211394755[Tanzania]&gt;0, C24-Table_146341211394755[Tanzania], 0)</f>
        <v>109.83208291197795</v>
      </c>
      <c r="N24" s="29">
        <f>IF(C24-Table_146341211394755[Uganda]&gt;0, C24-Table_146341211394755[Uganda], 0)</f>
        <v>294.25367244970965</v>
      </c>
      <c r="P24" s="21" t="s">
        <v>195</v>
      </c>
      <c r="Q24" s="97">
        <f t="shared" ref="Q24:Q33" si="4">$AE$23+(D25-$AE$21)*($AE$24-$AE$23)/($AE$22-$AE$21)</f>
        <v>-3.947557729297055E-3</v>
      </c>
      <c r="R24" s="97">
        <f t="shared" si="3"/>
        <v>-3.947557729297055E-3</v>
      </c>
      <c r="S24" s="97">
        <f t="shared" si="3"/>
        <v>4.2430636228766021E-2</v>
      </c>
      <c r="T24" s="97">
        <f t="shared" si="3"/>
        <v>-3.947557729297055E-3</v>
      </c>
      <c r="U24" s="97">
        <f t="shared" si="3"/>
        <v>0.44695799708986239</v>
      </c>
      <c r="V24" s="97">
        <f t="shared" si="3"/>
        <v>4.7378193958063079E-2</v>
      </c>
      <c r="W24" s="97">
        <f t="shared" si="3"/>
        <v>-3.947557729297055E-3</v>
      </c>
      <c r="X24" s="97">
        <f t="shared" si="3"/>
        <v>0.51034382750960716</v>
      </c>
      <c r="Y24" s="97">
        <f t="shared" si="3"/>
        <v>0.97917303162408242</v>
      </c>
      <c r="Z24" s="97">
        <f t="shared" si="3"/>
        <v>0.13380756303604927</v>
      </c>
      <c r="AA24" s="97">
        <f t="shared" si="3"/>
        <v>0.39145469316799436</v>
      </c>
      <c r="AD24" s="3" t="s">
        <v>70</v>
      </c>
      <c r="AE24" s="2">
        <v>1</v>
      </c>
    </row>
    <row r="25" spans="2:31" ht="12.75" customHeight="1" x14ac:dyDescent="0.25">
      <c r="B25" s="21" t="s">
        <v>195</v>
      </c>
      <c r="C25" s="95">
        <f>Annual_sorted!N179</f>
        <v>-25.822783702853926</v>
      </c>
      <c r="D25" s="29">
        <f>IF(C25-Table_146341211394755[Burundi]&gt;0, C25-Table_146341211394755[Burundi], 0)</f>
        <v>0</v>
      </c>
      <c r="E25" s="29">
        <f>IF(C25-Table_146341211394755[DRC]&gt;0, C25-Table_146341211394755[DRC], 0)</f>
        <v>0</v>
      </c>
      <c r="F25" s="29">
        <f>IF(C25-Table_146341211394755[Egypt]&gt;0, C25-Table_146341211394755[Egypt], 0)</f>
        <v>33.197110502472974</v>
      </c>
      <c r="G25" s="29">
        <f>IF(C25-Table_146341211394755[Eritrea]&gt;0, C25-Table_146341211394755[Eritrea], 0)</f>
        <v>0</v>
      </c>
      <c r="H25" s="29">
        <f>IF(C25-Table_146341211394755[Ethiopia]&gt;0, C25-Table_146341211394755[Ethiopia], 0)</f>
        <v>322.75430007140523</v>
      </c>
      <c r="I25" s="29">
        <f>IF(C25-Table_146341211394755[Kenya]&gt;0, C25-Table_146341211394755[Kenya], 0)</f>
        <v>36.73852957552603</v>
      </c>
      <c r="J25" s="29">
        <f>IF(C25-Table_146341211394755[Rwanda]&gt;0, C25-Table_146341211394755[Rwanda], 0)</f>
        <v>0</v>
      </c>
      <c r="K25" s="29">
        <f>IF(C25-Table_146341211394755[Sudan]&gt;0, C25-Table_146341211394755[Sudan], 0)</f>
        <v>368.12532979796168</v>
      </c>
      <c r="L25" s="29">
        <f>IF(C25-Table_146341211394755[S. Sudan]&gt;0, C25-Table_146341211394755[S. Sudan], 0)</f>
        <v>703.70922316491874</v>
      </c>
      <c r="M25" s="29">
        <f>IF(C25-Table_146341211394755[Tanzania]&gt;0, C25-Table_146341211394755[Tanzania], 0)</f>
        <v>98.603925165000121</v>
      </c>
      <c r="N25" s="29">
        <f>IF(C25-Table_146341211394755[Uganda]&gt;0, C25-Table_146341211394755[Uganda], 0)</f>
        <v>283.02551470273181</v>
      </c>
      <c r="P25" s="21" t="s">
        <v>2</v>
      </c>
      <c r="Q25" s="97">
        <f t="shared" si="4"/>
        <v>-3.947557729297055E-3</v>
      </c>
      <c r="R25" s="97">
        <f t="shared" si="3"/>
        <v>-3.947557729297055E-3</v>
      </c>
      <c r="S25" s="97">
        <f t="shared" si="3"/>
        <v>-3.947557729297055E-3</v>
      </c>
      <c r="T25" s="97">
        <f t="shared" si="3"/>
        <v>-3.947557729297055E-3</v>
      </c>
      <c r="U25" s="97">
        <f t="shared" si="3"/>
        <v>0.40057980313179931</v>
      </c>
      <c r="V25" s="97">
        <f t="shared" si="3"/>
        <v>1E-3</v>
      </c>
      <c r="W25" s="97">
        <f t="shared" si="3"/>
        <v>-3.947557729297055E-3</v>
      </c>
      <c r="X25" s="97">
        <f t="shared" si="3"/>
        <v>0.46396563355154408</v>
      </c>
      <c r="Y25" s="97">
        <f t="shared" si="3"/>
        <v>0.93279483766601945</v>
      </c>
      <c r="Z25" s="97">
        <f t="shared" si="3"/>
        <v>8.7429369077986235E-2</v>
      </c>
      <c r="AA25" s="97">
        <f t="shared" si="3"/>
        <v>0.34507649920993139</v>
      </c>
    </row>
    <row r="26" spans="2:31" ht="12.75" customHeight="1" x14ac:dyDescent="0.25">
      <c r="B26" s="21" t="s">
        <v>2</v>
      </c>
      <c r="C26" s="95">
        <f>Annual_sorted!N180</f>
        <v>-59.019894205326899</v>
      </c>
      <c r="D26" s="29">
        <f>IF(C26-Table_146341211394755[Burundi]&gt;0, C26-Table_146341211394755[Burundi], 0)</f>
        <v>0</v>
      </c>
      <c r="E26" s="29">
        <f>IF(C26-Table_146341211394755[DRC]&gt;0, C26-Table_146341211394755[DRC], 0)</f>
        <v>0</v>
      </c>
      <c r="F26" s="29">
        <f>IF(C26-Table_146341211394755[Egypt]&gt;0, C26-Table_146341211394755[Egypt], 0)</f>
        <v>0</v>
      </c>
      <c r="G26" s="29">
        <f>IF(C26-Table_146341211394755[Eritrea]&gt;0, C26-Table_146341211394755[Eritrea], 0)</f>
        <v>0</v>
      </c>
      <c r="H26" s="29">
        <f>IF(C26-Table_146341211394755[Ethiopia]&gt;0, C26-Table_146341211394755[Ethiopia], 0)</f>
        <v>289.55718956893224</v>
      </c>
      <c r="I26" s="29">
        <f>IF(C26-Table_146341211394755[Kenya]&gt;0, C26-Table_146341211394755[Kenya], 0)</f>
        <v>3.5414190730530564</v>
      </c>
      <c r="J26" s="29">
        <f>IF(C26-Table_146341211394755[Rwanda]&gt;0, C26-Table_146341211394755[Rwanda], 0)</f>
        <v>0</v>
      </c>
      <c r="K26" s="29">
        <f>IF(C26-Table_146341211394755[Sudan]&gt;0, C26-Table_146341211394755[Sudan], 0)</f>
        <v>334.9282192954887</v>
      </c>
      <c r="L26" s="29">
        <f>IF(C26-Table_146341211394755[S. Sudan]&gt;0, C26-Table_146341211394755[S. Sudan], 0)</f>
        <v>670.51211266244582</v>
      </c>
      <c r="M26" s="29">
        <f>IF(C26-Table_146341211394755[Tanzania]&gt;0, C26-Table_146341211394755[Tanzania], 0)</f>
        <v>65.406814662527154</v>
      </c>
      <c r="N26" s="29">
        <f>IF(C26-Table_146341211394755[Uganda]&gt;0, C26-Table_146341211394755[Uganda], 0)</f>
        <v>249.82840420025886</v>
      </c>
      <c r="P26" s="21" t="s">
        <v>3</v>
      </c>
      <c r="Q26" s="97">
        <f t="shared" si="4"/>
        <v>1.1930551205190292E-3</v>
      </c>
      <c r="R26" s="97">
        <f t="shared" si="3"/>
        <v>1.6879410646620439E-2</v>
      </c>
      <c r="S26" s="97">
        <f t="shared" si="3"/>
        <v>6.3257604604683507E-2</v>
      </c>
      <c r="T26" s="97">
        <f t="shared" si="3"/>
        <v>-3.947557729297055E-3</v>
      </c>
      <c r="U26" s="97">
        <f t="shared" si="3"/>
        <v>0.46778496546577986</v>
      </c>
      <c r="V26" s="97">
        <f t="shared" si="3"/>
        <v>6.8205162333980565E-2</v>
      </c>
      <c r="W26" s="97">
        <f t="shared" si="3"/>
        <v>1.0586612228288262E-2</v>
      </c>
      <c r="X26" s="97">
        <f t="shared" si="3"/>
        <v>0.53117079588552463</v>
      </c>
      <c r="Y26" s="97">
        <f>$AE$23+(L27-$AE$21)*($AE$24-$AE$23)/($AE$22-$AE$21)</f>
        <v>0.99999999999999989</v>
      </c>
      <c r="Z26" s="97">
        <f t="shared" si="3"/>
        <v>0.15463453141196681</v>
      </c>
      <c r="AA26" s="97">
        <f t="shared" si="3"/>
        <v>0.41228166154391183</v>
      </c>
    </row>
    <row r="27" spans="2:31" ht="12.75" customHeight="1" x14ac:dyDescent="0.25">
      <c r="B27" s="21" t="s">
        <v>3</v>
      </c>
      <c r="C27" s="95">
        <f>Annual_sorted!N181</f>
        <v>-10.9150196956563</v>
      </c>
      <c r="D27" s="29">
        <f>IF(C27-Table_146341211394755[Burundi]&gt;0, C27-Table_146341211394755[Burundi], 0)</f>
        <v>3.679606260219801</v>
      </c>
      <c r="E27" s="29">
        <f>IF(C27-Table_146341211394755[DRC]&gt;0, C27-Table_146341211394755[DRC], 0)</f>
        <v>14.907764007197626</v>
      </c>
      <c r="F27" s="29">
        <f>IF(C27-Table_146341211394755[Egypt]&gt;0, C27-Table_146341211394755[Egypt], 0)</f>
        <v>48.104874509670601</v>
      </c>
      <c r="G27" s="29">
        <f>IF(C27-Table_146341211394755[Eritrea]&gt;0, C27-Table_146341211394755[Eritrea], 0)</f>
        <v>0</v>
      </c>
      <c r="H27" s="29">
        <f>IF(C27-Table_146341211394755[Ethiopia]&gt;0, C27-Table_146341211394755[Ethiopia], 0)</f>
        <v>337.66206407860284</v>
      </c>
      <c r="I27" s="29">
        <f>IF(C27-Table_146341211394755[Kenya]&gt;0, C27-Table_146341211394755[Kenya], 0)</f>
        <v>51.646293582723658</v>
      </c>
      <c r="J27" s="29">
        <f>IF(C27-Table_146341211394755[Rwanda]&gt;0, C27-Table_146341211394755[Rwanda], 0)</f>
        <v>10.403433272541202</v>
      </c>
      <c r="K27" s="29">
        <f>IF(C27-Table_146341211394755[Sudan]&gt;0, C27-Table_146341211394755[Sudan], 0)</f>
        <v>383.0330938051593</v>
      </c>
      <c r="L27" s="29">
        <f>IF(C27-Table_146341211394755[S. Sudan]&gt;0, C27-Table_146341211394755[S. Sudan], 0)</f>
        <v>718.61698717211641</v>
      </c>
      <c r="M27" s="29">
        <f>IF(C27-Table_146341211394755[Tanzania]&gt;0, C27-Table_146341211394755[Tanzania], 0)</f>
        <v>113.51168917219775</v>
      </c>
      <c r="N27" s="29">
        <f>IF(C27-Table_146341211394755[Uganda]&gt;0, C27-Table_146341211394755[Uganda], 0)</f>
        <v>297.93327870992943</v>
      </c>
      <c r="P27" s="21" t="s">
        <v>4</v>
      </c>
      <c r="Q27" s="97">
        <f t="shared" si="4"/>
        <v>-3.947557729297055E-3</v>
      </c>
      <c r="R27" s="97">
        <f t="shared" si="3"/>
        <v>-3.947557729297055E-3</v>
      </c>
      <c r="S27" s="97">
        <f t="shared" si="3"/>
        <v>-3.947557729297055E-3</v>
      </c>
      <c r="T27" s="97">
        <f t="shared" si="3"/>
        <v>-3.947557729297055E-3</v>
      </c>
      <c r="U27" s="97">
        <f t="shared" si="3"/>
        <v>-3.947557729297055E-3</v>
      </c>
      <c r="V27" s="97">
        <f t="shared" si="3"/>
        <v>-3.947557729297055E-3</v>
      </c>
      <c r="W27" s="97">
        <f t="shared" si="3"/>
        <v>-3.947557729297055E-3</v>
      </c>
      <c r="X27" s="97">
        <f t="shared" si="3"/>
        <v>5.9438272690447741E-2</v>
      </c>
      <c r="Y27" s="97">
        <f t="shared" si="3"/>
        <v>0.52826747680492292</v>
      </c>
      <c r="Z27" s="97">
        <f t="shared" si="3"/>
        <v>-3.947557729297055E-3</v>
      </c>
      <c r="AA27" s="97">
        <f t="shared" si="3"/>
        <v>-3.947557729297055E-3</v>
      </c>
    </row>
    <row r="28" spans="2:31" ht="12.75" customHeight="1" x14ac:dyDescent="0.25">
      <c r="B28" s="21" t="s">
        <v>4</v>
      </c>
      <c r="C28" s="95">
        <f>Annual_sorted!N182</f>
        <v>-348.57708377425917</v>
      </c>
      <c r="D28" s="29">
        <f>IF(C28-Table_146341211394755[Burundi]&gt;0, C28-Table_146341211394755[Burundi], 0)</f>
        <v>0</v>
      </c>
      <c r="E28" s="29">
        <f>IF(C28-Table_146341211394755[DRC]&gt;0, C28-Table_146341211394755[DRC], 0)</f>
        <v>0</v>
      </c>
      <c r="F28" s="29">
        <f>IF(C28-Table_146341211394755[Egypt]&gt;0, C28-Table_146341211394755[Egypt], 0)</f>
        <v>0</v>
      </c>
      <c r="G28" s="29">
        <f>IF(C28-Table_146341211394755[Eritrea]&gt;0, C28-Table_146341211394755[Eritrea], 0)</f>
        <v>0</v>
      </c>
      <c r="H28" s="29">
        <f>IF(C28-Table_146341211394755[Ethiopia]&gt;0, C28-Table_146341211394755[Ethiopia], 0)</f>
        <v>0</v>
      </c>
      <c r="I28" s="29">
        <f>IF(C28-Table_146341211394755[Kenya]&gt;0, C28-Table_146341211394755[Kenya], 0)</f>
        <v>0</v>
      </c>
      <c r="J28" s="29">
        <f>IF(C28-Table_146341211394755[Rwanda]&gt;0, C28-Table_146341211394755[Rwanda], 0)</f>
        <v>0</v>
      </c>
      <c r="K28" s="29">
        <f>IF(C28-Table_146341211394755[Sudan]&gt;0, C28-Table_146341211394755[Sudan], 0)</f>
        <v>45.371029726556458</v>
      </c>
      <c r="L28" s="29">
        <f>IF(C28-Table_146341211394755[S. Sudan]&gt;0, C28-Table_146341211394755[S. Sudan], 0)</f>
        <v>380.95492309351351</v>
      </c>
      <c r="M28" s="29">
        <f>IF(C28-Table_146341211394755[Tanzania]&gt;0, C28-Table_146341211394755[Tanzania], 0)</f>
        <v>0</v>
      </c>
      <c r="N28" s="29">
        <f>IF(C28-Table_146341211394755[Uganda]&gt;0, C28-Table_146341211394755[Uganda], 0)</f>
        <v>0</v>
      </c>
      <c r="P28" s="21" t="s">
        <v>5</v>
      </c>
      <c r="Q28" s="97">
        <f t="shared" si="4"/>
        <v>-3.947557729297055E-3</v>
      </c>
      <c r="R28" s="97">
        <f t="shared" si="3"/>
        <v>-3.947557729297055E-3</v>
      </c>
      <c r="S28" s="97">
        <f t="shared" si="3"/>
        <v>-3.947557729297055E-3</v>
      </c>
      <c r="T28" s="97">
        <f t="shared" si="3"/>
        <v>-3.947557729297055E-3</v>
      </c>
      <c r="U28" s="97">
        <f t="shared" si="3"/>
        <v>0.3956322454025023</v>
      </c>
      <c r="V28" s="97">
        <f t="shared" si="3"/>
        <v>-3.947557729297055E-3</v>
      </c>
      <c r="W28" s="97">
        <f t="shared" si="3"/>
        <v>-3.947557729297055E-3</v>
      </c>
      <c r="X28" s="97">
        <f t="shared" si="3"/>
        <v>0.45901807582224713</v>
      </c>
      <c r="Y28" s="97">
        <f t="shared" si="3"/>
        <v>0.92784727993672222</v>
      </c>
      <c r="Z28" s="97">
        <f t="shared" si="3"/>
        <v>8.2481811348689163E-2</v>
      </c>
      <c r="AA28" s="97">
        <f t="shared" si="3"/>
        <v>0.34012894148063433</v>
      </c>
    </row>
    <row r="29" spans="2:31" ht="12.75" customHeight="1" x14ac:dyDescent="0.25">
      <c r="B29" s="21" t="s">
        <v>5</v>
      </c>
      <c r="C29" s="95">
        <f>Annual_sorted!N183</f>
        <v>-62.561313278379956</v>
      </c>
      <c r="D29" s="29">
        <f>IF(C29-Table_146341211394755[Burundi]&gt;0, C29-Table_146341211394755[Burundi], 0)</f>
        <v>0</v>
      </c>
      <c r="E29" s="29">
        <f>IF(C29-Table_146341211394755[DRC]&gt;0, C29-Table_146341211394755[DRC], 0)</f>
        <v>0</v>
      </c>
      <c r="F29" s="29">
        <f>IF(C29-Table_146341211394755[Egypt]&gt;0, C29-Table_146341211394755[Egypt], 0)</f>
        <v>0</v>
      </c>
      <c r="G29" s="29">
        <f>IF(C29-Table_146341211394755[Eritrea]&gt;0, C29-Table_146341211394755[Eritrea], 0)</f>
        <v>0</v>
      </c>
      <c r="H29" s="29">
        <f>IF(C29-Table_146341211394755[Ethiopia]&gt;0, C29-Table_146341211394755[Ethiopia], 0)</f>
        <v>286.01577049587922</v>
      </c>
      <c r="I29" s="29">
        <f>IF(C29-Table_146341211394755[Kenya]&gt;0, C29-Table_146341211394755[Kenya], 0)</f>
        <v>0</v>
      </c>
      <c r="J29" s="29">
        <f>IF(C29-Table_146341211394755[Rwanda]&gt;0, C29-Table_146341211394755[Rwanda], 0)</f>
        <v>0</v>
      </c>
      <c r="K29" s="29">
        <f>IF(C29-Table_146341211394755[Sudan]&gt;0, C29-Table_146341211394755[Sudan], 0)</f>
        <v>331.38680022243568</v>
      </c>
      <c r="L29" s="29">
        <f>IF(C29-Table_146341211394755[S. Sudan]&gt;0, C29-Table_146341211394755[S. Sudan], 0)</f>
        <v>666.97069358939268</v>
      </c>
      <c r="M29" s="29">
        <f>IF(C29-Table_146341211394755[Tanzania]&gt;0, C29-Table_146341211394755[Tanzania], 0)</f>
        <v>61.86539558947409</v>
      </c>
      <c r="N29" s="29">
        <f>IF(C29-Table_146341211394755[Uganda]&gt;0, C29-Table_146341211394755[Uganda], 0)</f>
        <v>246.28698512720581</v>
      </c>
      <c r="P29" s="21" t="s">
        <v>6</v>
      </c>
      <c r="Q29" s="97">
        <f t="shared" si="4"/>
        <v>-3.947557729297055E-3</v>
      </c>
      <c r="R29" s="97">
        <f t="shared" si="3"/>
        <v>2.3452406890351208E-3</v>
      </c>
      <c r="S29" s="97">
        <f t="shared" si="3"/>
        <v>4.8723434647098204E-2</v>
      </c>
      <c r="T29" s="97">
        <f t="shared" si="3"/>
        <v>-3.947557729297055E-3</v>
      </c>
      <c r="U29" s="97">
        <f t="shared" si="3"/>
        <v>0.45325079550819453</v>
      </c>
      <c r="V29" s="97">
        <f t="shared" si="3"/>
        <v>5.3670992376395242E-2</v>
      </c>
      <c r="W29" s="97">
        <f t="shared" si="3"/>
        <v>-3.947557729297055E-3</v>
      </c>
      <c r="X29" s="97">
        <f t="shared" si="3"/>
        <v>0.51663662592793935</v>
      </c>
      <c r="Y29" s="97">
        <f t="shared" si="3"/>
        <v>0.98546583004241473</v>
      </c>
      <c r="Z29" s="97">
        <f t="shared" si="3"/>
        <v>0.14010036145438148</v>
      </c>
      <c r="AA29" s="97">
        <f t="shared" si="3"/>
        <v>0.39774749158632661</v>
      </c>
    </row>
    <row r="30" spans="2:31" ht="12.75" customHeight="1" x14ac:dyDescent="0.25">
      <c r="B30" s="21" t="s">
        <v>6</v>
      </c>
      <c r="C30" s="95">
        <f>Annual_sorted!N184</f>
        <v>-21.318452968197501</v>
      </c>
      <c r="D30" s="29">
        <f>IF(C30-Table_146341211394755[Burundi]&gt;0, C30-Table_146341211394755[Burundi], 0)</f>
        <v>0</v>
      </c>
      <c r="E30" s="29">
        <f>IF(C30-Table_146341211394755[DRC]&gt;0, C30-Table_146341211394755[DRC], 0)</f>
        <v>4.5043307346564241</v>
      </c>
      <c r="F30" s="29">
        <f>IF(C30-Table_146341211394755[Egypt]&gt;0, C30-Table_146341211394755[Egypt], 0)</f>
        <v>37.701441237129401</v>
      </c>
      <c r="G30" s="29">
        <f>IF(C30-Table_146341211394755[Eritrea]&gt;0, C30-Table_146341211394755[Eritrea], 0)</f>
        <v>0</v>
      </c>
      <c r="H30" s="29">
        <f>IF(C30-Table_146341211394755[Ethiopia]&gt;0, C30-Table_146341211394755[Ethiopia], 0)</f>
        <v>327.25863080606166</v>
      </c>
      <c r="I30" s="29">
        <f>IF(C30-Table_146341211394755[Kenya]&gt;0, C30-Table_146341211394755[Kenya], 0)</f>
        <v>41.242860310182451</v>
      </c>
      <c r="J30" s="29">
        <f>IF(C30-Table_146341211394755[Rwanda]&gt;0, C30-Table_146341211394755[Rwanda], 0)</f>
        <v>0</v>
      </c>
      <c r="K30" s="29">
        <f>IF(C30-Table_146341211394755[Sudan]&gt;0, C30-Table_146341211394755[Sudan], 0)</f>
        <v>372.62966053261812</v>
      </c>
      <c r="L30" s="29">
        <f>IF(C30-Table_146341211394755[S. Sudan]&gt;0, C30-Table_146341211394755[S. Sudan], 0)</f>
        <v>708.21355389957523</v>
      </c>
      <c r="M30" s="29">
        <f>IF(C30-Table_146341211394755[Tanzania]&gt;0, C30-Table_146341211394755[Tanzania], 0)</f>
        <v>103.10825589965654</v>
      </c>
      <c r="N30" s="29">
        <f>IF(C30-Table_146341211394755[Uganda]&gt;0, C30-Table_146341211394755[Uganda], 0)</f>
        <v>287.52984543738825</v>
      </c>
      <c r="P30" s="21" t="s">
        <v>7</v>
      </c>
      <c r="Q30" s="97">
        <f t="shared" si="4"/>
        <v>-3.947557729297055E-3</v>
      </c>
      <c r="R30" s="97">
        <f t="shared" si="3"/>
        <v>-3.947557729297055E-3</v>
      </c>
      <c r="S30" s="97">
        <f t="shared" si="3"/>
        <v>-3.947557729297055E-3</v>
      </c>
      <c r="T30" s="97">
        <f t="shared" si="3"/>
        <v>-3.947557729297055E-3</v>
      </c>
      <c r="U30" s="97">
        <f t="shared" si="3"/>
        <v>-3.947557729297055E-3</v>
      </c>
      <c r="V30" s="97">
        <f t="shared" si="3"/>
        <v>-3.947557729297055E-3</v>
      </c>
      <c r="W30" s="97">
        <f t="shared" si="3"/>
        <v>-3.947557729297055E-3</v>
      </c>
      <c r="X30" s="97">
        <f t="shared" si="3"/>
        <v>-3.947557729297055E-3</v>
      </c>
      <c r="Y30" s="97">
        <f t="shared" si="3"/>
        <v>0.46488164638517809</v>
      </c>
      <c r="Z30" s="97">
        <f t="shared" si="3"/>
        <v>-3.947557729297055E-3</v>
      </c>
      <c r="AA30" s="97">
        <f t="shared" si="3"/>
        <v>-3.947557729297055E-3</v>
      </c>
    </row>
    <row r="31" spans="2:31" ht="12.75" customHeight="1" x14ac:dyDescent="0.25">
      <c r="B31" s="21" t="s">
        <v>7</v>
      </c>
      <c r="C31" s="95">
        <f>Annual_sorted!N185</f>
        <v>-393.94811350081562</v>
      </c>
      <c r="D31" s="29">
        <f>IF(C31-Table_146341211394755[Burundi]&gt;0, C31-Table_146341211394755[Burundi], 0)</f>
        <v>0</v>
      </c>
      <c r="E31" s="29">
        <f>IF(C31-Table_146341211394755[DRC]&gt;0, C31-Table_146341211394755[DRC], 0)</f>
        <v>0</v>
      </c>
      <c r="F31" s="29">
        <f>IF(C31-Table_146341211394755[Egypt]&gt;0, C31-Table_146341211394755[Egypt], 0)</f>
        <v>0</v>
      </c>
      <c r="G31" s="29">
        <f>IF(C31-Table_146341211394755[Eritrea]&gt;0, C31-Table_146341211394755[Eritrea], 0)</f>
        <v>0</v>
      </c>
      <c r="H31" s="29">
        <f>IF(C31-Table_146341211394755[Ethiopia]&gt;0, C31-Table_146341211394755[Ethiopia], 0)</f>
        <v>0</v>
      </c>
      <c r="I31" s="29">
        <f>IF(C31-Table_146341211394755[Kenya]&gt;0, C31-Table_146341211394755[Kenya], 0)</f>
        <v>0</v>
      </c>
      <c r="J31" s="29">
        <f>IF(C31-Table_146341211394755[Rwanda]&gt;0, C31-Table_146341211394755[Rwanda], 0)</f>
        <v>0</v>
      </c>
      <c r="K31" s="29">
        <f>IF(C31-Table_146341211394755[Sudan]&gt;0, C31-Table_146341211394755[Sudan], 0)</f>
        <v>0</v>
      </c>
      <c r="L31" s="29">
        <f>IF(C31-Table_146341211394755[S. Sudan]&gt;0, C31-Table_146341211394755[S. Sudan], 0)</f>
        <v>335.58389336695706</v>
      </c>
      <c r="M31" s="29">
        <f>IF(C31-Table_146341211394755[Tanzania]&gt;0, C31-Table_146341211394755[Tanzania], 0)</f>
        <v>0</v>
      </c>
      <c r="N31" s="29">
        <f>IF(C31-Table_146341211394755[Uganda]&gt;0, C31-Table_146341211394755[Uganda], 0)</f>
        <v>0</v>
      </c>
      <c r="P31" s="21" t="s">
        <v>8</v>
      </c>
      <c r="Q31" s="97">
        <f t="shared" si="4"/>
        <v>-3.947557729297055E-3</v>
      </c>
      <c r="R31" s="97">
        <f t="shared" si="3"/>
        <v>-3.947557729297055E-3</v>
      </c>
      <c r="S31" s="97">
        <f t="shared" si="3"/>
        <v>-3.947557729297055E-3</v>
      </c>
      <c r="T31" s="97">
        <f t="shared" si="3"/>
        <v>-3.947557729297055E-3</v>
      </c>
      <c r="U31" s="97">
        <f t="shared" si="3"/>
        <v>-3.947557729297055E-3</v>
      </c>
      <c r="V31" s="97">
        <f t="shared" si="3"/>
        <v>-3.947557729297055E-3</v>
      </c>
      <c r="W31" s="97">
        <f t="shared" si="3"/>
        <v>-3.947557729297055E-3</v>
      </c>
      <c r="X31" s="97">
        <f t="shared" si="3"/>
        <v>-3.947557729297055E-3</v>
      </c>
      <c r="Y31" s="97">
        <f t="shared" si="3"/>
        <v>-3.947557729297055E-3</v>
      </c>
      <c r="Z31" s="97">
        <f t="shared" si="3"/>
        <v>-3.947557729297055E-3</v>
      </c>
      <c r="AA31" s="97">
        <f t="shared" si="3"/>
        <v>-3.947557729297055E-3</v>
      </c>
    </row>
    <row r="32" spans="2:31" ht="12.75" customHeight="1" x14ac:dyDescent="0.25">
      <c r="B32" s="21" t="s">
        <v>8</v>
      </c>
      <c r="C32" s="95">
        <f>Annual_sorted!N186</f>
        <v>-729.53200686777268</v>
      </c>
      <c r="D32" s="29">
        <f>IF(C32-Table_146341211394755[Burundi]&gt;0, C32-Table_146341211394755[Burundi], 0)</f>
        <v>0</v>
      </c>
      <c r="E32" s="29">
        <f>IF(C32-Table_146341211394755[DRC]&gt;0, C32-Table_146341211394755[DRC], 0)</f>
        <v>0</v>
      </c>
      <c r="F32" s="29">
        <f>IF(C32-Table_146341211394755[Egypt]&gt;0, C32-Table_146341211394755[Egypt], 0)</f>
        <v>0</v>
      </c>
      <c r="G32" s="29">
        <f>IF(C32-Table_146341211394755[Eritrea]&gt;0, C32-Table_146341211394755[Eritrea], 0)</f>
        <v>0</v>
      </c>
      <c r="H32" s="29">
        <f>IF(C32-Table_146341211394755[Ethiopia]&gt;0, C32-Table_146341211394755[Ethiopia], 0)</f>
        <v>0</v>
      </c>
      <c r="I32" s="29">
        <f>IF(C32-Table_146341211394755[Kenya]&gt;0, C32-Table_146341211394755[Kenya], 0)</f>
        <v>0</v>
      </c>
      <c r="J32" s="29">
        <f>IF(C32-Table_146341211394755[Rwanda]&gt;0, C32-Table_146341211394755[Rwanda], 0)</f>
        <v>0</v>
      </c>
      <c r="K32" s="29">
        <f>IF(C32-Table_146341211394755[Sudan]&gt;0, C32-Table_146341211394755[Sudan], 0)</f>
        <v>0</v>
      </c>
      <c r="L32" s="29">
        <f>IF(C32-Table_146341211394755[S. Sudan]&gt;0, C32-Table_146341211394755[S. Sudan], 0)</f>
        <v>0</v>
      </c>
      <c r="M32" s="29">
        <f>IF(C32-Table_146341211394755[Tanzania]&gt;0, C32-Table_146341211394755[Tanzania], 0)</f>
        <v>0</v>
      </c>
      <c r="N32" s="29">
        <f>IF(C32-Table_146341211394755[Uganda]&gt;0, C32-Table_146341211394755[Uganda], 0)</f>
        <v>0</v>
      </c>
      <c r="P32" s="21" t="s">
        <v>9</v>
      </c>
      <c r="Q32" s="97">
        <f t="shared" si="4"/>
        <v>-3.947557729297055E-3</v>
      </c>
      <c r="R32" s="97">
        <f t="shared" si="3"/>
        <v>-3.947557729297055E-3</v>
      </c>
      <c r="S32" s="97">
        <f t="shared" si="3"/>
        <v>-3.947557729297055E-3</v>
      </c>
      <c r="T32" s="97">
        <f t="shared" si="3"/>
        <v>-3.947557729297055E-3</v>
      </c>
      <c r="U32" s="97">
        <f t="shared" si="3"/>
        <v>0.3092028763245161</v>
      </c>
      <c r="V32" s="97">
        <f t="shared" si="3"/>
        <v>-3.947557729297055E-3</v>
      </c>
      <c r="W32" s="97">
        <f t="shared" si="3"/>
        <v>-3.947557729297055E-3</v>
      </c>
      <c r="X32" s="97">
        <f t="shared" si="3"/>
        <v>0.37258870674426081</v>
      </c>
      <c r="Y32" s="97">
        <f t="shared" si="3"/>
        <v>0.84141791085873618</v>
      </c>
      <c r="Z32" s="97">
        <f t="shared" si="3"/>
        <v>-3.947557729297055E-3</v>
      </c>
      <c r="AA32" s="97">
        <f t="shared" si="3"/>
        <v>0.25369957240264807</v>
      </c>
    </row>
    <row r="33" spans="2:31" ht="12.75" customHeight="1" thickBot="1" x14ac:dyDescent="0.3">
      <c r="B33" s="21" t="s">
        <v>9</v>
      </c>
      <c r="C33" s="95">
        <f>Annual_sorted!N187</f>
        <v>-124.42670886785405</v>
      </c>
      <c r="D33" s="29">
        <f>IF(C33-Table_146341211394755[Burundi]&gt;0, C33-Table_146341211394755[Burundi], 0)</f>
        <v>0</v>
      </c>
      <c r="E33" s="29">
        <f>IF(C33-Table_146341211394755[DRC]&gt;0, C33-Table_146341211394755[DRC], 0)</f>
        <v>0</v>
      </c>
      <c r="F33" s="29">
        <f>IF(C33-Table_146341211394755[Egypt]&gt;0, C33-Table_146341211394755[Egypt], 0)</f>
        <v>0</v>
      </c>
      <c r="G33" s="29">
        <f>IF(C33-Table_146341211394755[Eritrea]&gt;0, C33-Table_146341211394755[Eritrea], 0)</f>
        <v>0</v>
      </c>
      <c r="H33" s="29">
        <f>IF(C33-Table_146341211394755[Ethiopia]&gt;0, C33-Table_146341211394755[Ethiopia], 0)</f>
        <v>224.15037490640512</v>
      </c>
      <c r="I33" s="29">
        <f>IF(C33-Table_146341211394755[Kenya]&gt;0, C33-Table_146341211394755[Kenya], 0)</f>
        <v>0</v>
      </c>
      <c r="J33" s="29">
        <f>IF(C33-Table_146341211394755[Rwanda]&gt;0, C33-Table_146341211394755[Rwanda], 0)</f>
        <v>0</v>
      </c>
      <c r="K33" s="29">
        <f>IF(C33-Table_146341211394755[Sudan]&gt;0, C33-Table_146341211394755[Sudan], 0)</f>
        <v>269.52140463296155</v>
      </c>
      <c r="L33" s="29">
        <f>IF(C33-Table_146341211394755[S. Sudan]&gt;0, C33-Table_146341211394755[S. Sudan], 0)</f>
        <v>605.10529799991866</v>
      </c>
      <c r="M33" s="29">
        <f>IF(C33-Table_146341211394755[Tanzania]&gt;0, C33-Table_146341211394755[Tanzania], 0)</f>
        <v>0</v>
      </c>
      <c r="N33" s="29">
        <f>IF(C33-Table_146341211394755[Uganda]&gt;0, C33-Table_146341211394755[Uganda], 0)</f>
        <v>184.42158953773171</v>
      </c>
      <c r="P33" s="22" t="s">
        <v>10</v>
      </c>
      <c r="Q33" s="98">
        <f t="shared" si="4"/>
        <v>-3.947557729297055E-3</v>
      </c>
      <c r="R33" s="98">
        <f t="shared" si="3"/>
        <v>-3.947557729297055E-3</v>
      </c>
      <c r="S33" s="98">
        <f t="shared" si="3"/>
        <v>-3.947557729297055E-3</v>
      </c>
      <c r="T33" s="98">
        <f t="shared" si="3"/>
        <v>-3.947557729297055E-3</v>
      </c>
      <c r="U33" s="98">
        <f t="shared" si="3"/>
        <v>5.1555746192570952E-2</v>
      </c>
      <c r="V33" s="98">
        <f t="shared" si="3"/>
        <v>-3.947557729297055E-3</v>
      </c>
      <c r="W33" s="98">
        <f t="shared" si="3"/>
        <v>-3.947557729297055E-3</v>
      </c>
      <c r="X33" s="98">
        <f t="shared" si="3"/>
        <v>0.11494157661231576</v>
      </c>
      <c r="Y33" s="98">
        <f t="shared" si="3"/>
        <v>0.58377078072679089</v>
      </c>
      <c r="Z33" s="98">
        <f t="shared" si="3"/>
        <v>-3.947557729297055E-3</v>
      </c>
      <c r="AA33" s="98">
        <f t="shared" si="3"/>
        <v>-3.947557729297055E-3</v>
      </c>
      <c r="AB33" s="186">
        <f>SUM(Q23:AA33)</f>
        <v>18.309195994796728</v>
      </c>
    </row>
    <row r="34" spans="2:31" ht="12.75" customHeight="1" thickBot="1" x14ac:dyDescent="0.3">
      <c r="B34" s="22" t="s">
        <v>10</v>
      </c>
      <c r="C34" s="96">
        <f>Annual_sorted!N188</f>
        <v>-308.84829840558575</v>
      </c>
      <c r="D34" s="32">
        <f>IF(C34-Table_146341211394755[Burundi]&gt;0, C34-Table_146341211394755[Burundi], 0)</f>
        <v>0</v>
      </c>
      <c r="E34" s="32">
        <f>IF(C34-Table_146341211394755[DRC]&gt;0, C34-Table_146341211394755[DRC], 0)</f>
        <v>0</v>
      </c>
      <c r="F34" s="32">
        <f>IF(C34-Table_146341211394755[Egypt]&gt;0, C34-Table_146341211394755[Egypt], 0)</f>
        <v>0</v>
      </c>
      <c r="G34" s="32">
        <f>IF(C34-Table_146341211394755[Eritrea]&gt;0, C34-Table_146341211394755[Eritrea], 0)</f>
        <v>0</v>
      </c>
      <c r="H34" s="32">
        <f>IF(C34-Table_146341211394755[Ethiopia]&gt;0, C34-Table_146341211394755[Ethiopia], 0)</f>
        <v>39.728785368673414</v>
      </c>
      <c r="I34" s="32">
        <f>IF(C34-Table_146341211394755[Kenya]&gt;0, C34-Table_146341211394755[Kenya], 0)</f>
        <v>0</v>
      </c>
      <c r="J34" s="32">
        <f>IF(C34-Table_146341211394755[Rwanda]&gt;0, C34-Table_146341211394755[Rwanda], 0)</f>
        <v>0</v>
      </c>
      <c r="K34" s="32">
        <f>IF(C34-Table_146341211394755[Sudan]&gt;0, C34-Table_146341211394755[Sudan], 0)</f>
        <v>85.099815095229872</v>
      </c>
      <c r="L34" s="32">
        <f>IF(C34-Table_146341211394755[S. Sudan]&gt;0, C34-Table_146341211394755[S. Sudan], 0)</f>
        <v>420.68370846218693</v>
      </c>
      <c r="M34" s="32">
        <f>IF(C34-Table_146341211394755[Tanzania]&gt;0, C34-Table_146341211394755[Tanzania], 0)</f>
        <v>0</v>
      </c>
      <c r="N34" s="32">
        <f>IF(C34-Table_146341211394755[Uganda]&gt;0, C34-Table_146341211394755[Uganda], 0)</f>
        <v>0</v>
      </c>
    </row>
    <row r="35" spans="2:31" ht="12.75" customHeight="1" x14ac:dyDescent="0.25">
      <c r="C35" s="19"/>
    </row>
    <row r="36" spans="2:31" ht="12.75" customHeight="1" x14ac:dyDescent="0.25"/>
    <row r="37" spans="2:31" ht="12.75" customHeight="1" x14ac:dyDescent="0.25">
      <c r="B37" s="5"/>
      <c r="C37" s="5"/>
      <c r="D37" s="5"/>
      <c r="E37" s="5"/>
      <c r="F37" s="5"/>
      <c r="G37" s="5"/>
      <c r="H37" s="5"/>
      <c r="I37" s="5"/>
      <c r="J37" s="5"/>
      <c r="K37" s="5"/>
      <c r="L37" s="5"/>
      <c r="M37" s="5"/>
      <c r="N37" s="5"/>
      <c r="O37" s="5"/>
      <c r="P37" s="5"/>
      <c r="Q37" s="5"/>
      <c r="R37" s="5"/>
      <c r="S37" s="5"/>
      <c r="T37" s="5"/>
      <c r="U37" s="5"/>
      <c r="V37" s="5"/>
      <c r="W37" s="5"/>
      <c r="X37" s="5"/>
      <c r="Y37" s="5"/>
      <c r="Z37" s="5"/>
      <c r="AA37" s="5"/>
    </row>
    <row r="38" spans="2:31" ht="12.75" customHeight="1" x14ac:dyDescent="0.25">
      <c r="B38" s="5"/>
      <c r="C38" s="5"/>
      <c r="D38" s="5"/>
      <c r="E38" s="5"/>
      <c r="F38" s="5"/>
      <c r="G38" s="5"/>
      <c r="H38" s="5"/>
      <c r="I38" s="5"/>
      <c r="J38" s="5"/>
      <c r="K38" s="5"/>
      <c r="L38" s="5"/>
      <c r="M38" s="5"/>
      <c r="N38" s="44"/>
      <c r="O38" s="5"/>
      <c r="P38" s="5"/>
      <c r="Q38" s="5"/>
      <c r="R38" s="5"/>
      <c r="S38" s="5"/>
      <c r="T38" s="5"/>
      <c r="U38" s="5"/>
      <c r="V38" s="5"/>
      <c r="W38" s="5"/>
      <c r="X38" s="5"/>
      <c r="Y38" s="5"/>
      <c r="Z38" s="5"/>
      <c r="AA38" s="5"/>
    </row>
    <row r="39" spans="2:31" ht="12.75" customHeight="1" thickBot="1" x14ac:dyDescent="0.3">
      <c r="B39" s="253" t="s">
        <v>77</v>
      </c>
      <c r="C39" s="253"/>
      <c r="D39" s="253"/>
      <c r="E39" s="253"/>
      <c r="F39" s="253"/>
      <c r="G39" s="253"/>
      <c r="H39" s="253"/>
      <c r="I39" s="253"/>
      <c r="J39" s="253"/>
      <c r="K39" s="253"/>
      <c r="L39" s="253"/>
      <c r="M39" s="253"/>
      <c r="N39" s="253"/>
      <c r="O39" s="5"/>
      <c r="P39" s="253" t="s">
        <v>78</v>
      </c>
      <c r="Q39" s="253"/>
      <c r="R39" s="253"/>
      <c r="S39" s="253"/>
      <c r="T39" s="253"/>
      <c r="U39" s="253"/>
      <c r="V39" s="253"/>
      <c r="W39" s="253"/>
      <c r="X39" s="253"/>
      <c r="Y39" s="253"/>
      <c r="Z39" s="253"/>
      <c r="AA39" s="253"/>
      <c r="AB39" s="10"/>
      <c r="AC39" s="3" t="s">
        <v>22</v>
      </c>
      <c r="AD39" s="13" t="s">
        <v>23</v>
      </c>
      <c r="AE39" s="74">
        <f t="array" ref="AE39">MIN(IF(D42:N52&gt;0,D42:N52))</f>
        <v>3.8269921485049152E-2</v>
      </c>
    </row>
    <row r="40" spans="2:31" ht="12.75" customHeight="1" thickBot="1" x14ac:dyDescent="0.3">
      <c r="B40" s="75" t="s">
        <v>13</v>
      </c>
      <c r="C40" s="66" t="s">
        <v>14</v>
      </c>
      <c r="D40" s="67" t="s">
        <v>1</v>
      </c>
      <c r="E40" s="67" t="s">
        <v>195</v>
      </c>
      <c r="F40" s="67" t="s">
        <v>2</v>
      </c>
      <c r="G40" s="67" t="s">
        <v>3</v>
      </c>
      <c r="H40" s="67" t="s">
        <v>4</v>
      </c>
      <c r="I40" s="67" t="s">
        <v>5</v>
      </c>
      <c r="J40" s="67" t="s">
        <v>6</v>
      </c>
      <c r="K40" s="67" t="s">
        <v>7</v>
      </c>
      <c r="L40" s="67" t="s">
        <v>295</v>
      </c>
      <c r="M40" s="67" t="s">
        <v>9</v>
      </c>
      <c r="N40" s="67" t="s">
        <v>10</v>
      </c>
      <c r="P40" s="76" t="s">
        <v>19</v>
      </c>
      <c r="Q40" s="77" t="s">
        <v>1</v>
      </c>
      <c r="R40" s="77" t="s">
        <v>195</v>
      </c>
      <c r="S40" s="77" t="s">
        <v>2</v>
      </c>
      <c r="T40" s="77" t="s">
        <v>3</v>
      </c>
      <c r="U40" s="77" t="s">
        <v>4</v>
      </c>
      <c r="V40" s="77" t="s">
        <v>5</v>
      </c>
      <c r="W40" s="77" t="s">
        <v>6</v>
      </c>
      <c r="X40" s="77" t="s">
        <v>7</v>
      </c>
      <c r="Y40" s="77" t="s">
        <v>295</v>
      </c>
      <c r="Z40" s="77" t="s">
        <v>9</v>
      </c>
      <c r="AA40" s="77" t="s">
        <v>10</v>
      </c>
      <c r="AB40" s="254" t="s">
        <v>26</v>
      </c>
      <c r="AC40" s="254"/>
      <c r="AD40" s="13" t="s">
        <v>24</v>
      </c>
      <c r="AE40" s="20">
        <f>MAX(D42:N52)</f>
        <v>93.595869751758968</v>
      </c>
    </row>
    <row r="41" spans="2:31" ht="12.75" customHeight="1" x14ac:dyDescent="0.25">
      <c r="B41" s="93"/>
      <c r="C41" s="94" t="s">
        <v>259</v>
      </c>
      <c r="D41" s="95">
        <f>C42</f>
        <v>-2.7561566705528455</v>
      </c>
      <c r="E41" s="95">
        <f>C43</f>
        <v>5.3119193801080655E-2</v>
      </c>
      <c r="F41" s="95">
        <f>C44</f>
        <v>1.3575698080909477</v>
      </c>
      <c r="G41" s="95">
        <f>C45</f>
        <v>-0.4357956847114926</v>
      </c>
      <c r="H41" s="95">
        <f>C46</f>
        <v>-92.238299943668025</v>
      </c>
      <c r="I41" s="95">
        <f>C47</f>
        <v>-15.057967371826622</v>
      </c>
      <c r="J41" s="95">
        <f>C48</f>
        <v>-1.7315253639230057</v>
      </c>
      <c r="K41" s="95">
        <f>C49</f>
        <v>0.57873321767717656</v>
      </c>
      <c r="L41" s="95">
        <f>C50</f>
        <v>0.18572277000806608</v>
      </c>
      <c r="M41" s="95">
        <f>C51</f>
        <v>-24.432748464216967</v>
      </c>
      <c r="N41" s="95">
        <f>C52</f>
        <v>0.61700313916222571</v>
      </c>
      <c r="P41" s="21" t="s">
        <v>1</v>
      </c>
      <c r="Q41" s="97">
        <f>$AE$41+(D42-$AE$39)*($AE$42-$AE$41)/($AE$40-$AE$39)</f>
        <v>5.9135707165509303E-4</v>
      </c>
      <c r="R41" s="97">
        <f t="shared" ref="R41:AA51" si="5">$AE$41+(E42-$AE$39)*($AE$42-$AE$41)/($AE$40-$AE$39)</f>
        <v>5.9135707165509303E-4</v>
      </c>
      <c r="S41" s="97">
        <f t="shared" si="5"/>
        <v>5.9135707165509303E-4</v>
      </c>
      <c r="T41" s="97">
        <f t="shared" si="5"/>
        <v>5.9135707165509303E-4</v>
      </c>
      <c r="U41" s="97">
        <f t="shared" si="5"/>
        <v>0.95607398266286725</v>
      </c>
      <c r="V41" s="97">
        <f t="shared" si="5"/>
        <v>0.13194903312220926</v>
      </c>
      <c r="W41" s="97">
        <f t="shared" si="5"/>
        <v>5.9135707165509303E-4</v>
      </c>
      <c r="X41" s="97">
        <f t="shared" si="5"/>
        <v>5.9135707165509303E-4</v>
      </c>
      <c r="Y41" s="97">
        <f t="shared" si="5"/>
        <v>5.9135707165509303E-4</v>
      </c>
      <c r="Z41" s="97">
        <f t="shared" si="5"/>
        <v>0.23205213889114804</v>
      </c>
      <c r="AA41" s="97">
        <f t="shared" si="5"/>
        <v>5.9135707165509303E-4</v>
      </c>
      <c r="AD41" s="3" t="s">
        <v>25</v>
      </c>
      <c r="AE41" s="2">
        <v>1E-3</v>
      </c>
    </row>
    <row r="42" spans="2:31" ht="12.75" customHeight="1" x14ac:dyDescent="0.25">
      <c r="B42" s="21" t="s">
        <v>1</v>
      </c>
      <c r="C42" s="95">
        <f>Annual_sorted!O178</f>
        <v>-2.7561566705528455</v>
      </c>
      <c r="D42" s="29">
        <f>IF(C42-Table_1463451520414957[Burundi]&gt;0, C42-Table_1463451520414957[Burundi], 0)</f>
        <v>0</v>
      </c>
      <c r="E42" s="29">
        <f>IF(C42-Table_1463451520414957[DRC]&gt;0, C42-Table_1463451520414957[DRC], 0)</f>
        <v>0</v>
      </c>
      <c r="F42" s="29">
        <f>IF(C42-Table_1463451520414957[Egypt]&gt;0, C42-Table_1463451520414957[Egypt], 0)</f>
        <v>0</v>
      </c>
      <c r="G42" s="29">
        <f>IF(C42-Table_1463451520414957[Eritrea]&gt;0, C42-Table_1463451520414957[Eritrea], 0)</f>
        <v>0</v>
      </c>
      <c r="H42" s="29">
        <f>IF(C42-Table_1463451520414957[Ethiopia]&gt;0, C42-Table_1463451520414957[Ethiopia], 0)</f>
        <v>89.482143273115184</v>
      </c>
      <c r="I42" s="29">
        <f>IF(C42-Table_1463451520414957[Kenya]&gt;0, C42-Table_1463451520414957[Kenya], 0)</f>
        <v>12.301810701273777</v>
      </c>
      <c r="J42" s="29">
        <f>IF(C42-Table_1463451520414957[Rwanda]&gt;0, C42-Table_1463451520414957[Rwanda], 0)</f>
        <v>0</v>
      </c>
      <c r="K42" s="29">
        <f>IF(C42-Table_1463451520414957[Sudan]&gt;0, C42-Table_1463451520414957[Sudan], 0)</f>
        <v>0</v>
      </c>
      <c r="L42" s="29">
        <f>IF(C42-Table_1463451520414957[S. Sudan]&gt;0, C42-Table_1463451520414957[S. Sudan], 0)</f>
        <v>0</v>
      </c>
      <c r="M42" s="29">
        <f>IF(C42-Table_1463451520414957[Tanzania]&gt;0, C42-Table_1463451520414957[Tanzania], 0)</f>
        <v>21.676591793664123</v>
      </c>
      <c r="N42" s="29">
        <f>IF(C42-Table_1463451520414957[Uganda]&gt;0, C42-Table_1463451520414957[Uganda], 0)</f>
        <v>0</v>
      </c>
      <c r="P42" s="21" t="s">
        <v>195</v>
      </c>
      <c r="Q42" s="97">
        <f t="shared" ref="Q42:Q51" si="6">$AE$41+(D43-$AE$39)*($AE$42-$AE$41)/($AE$40-$AE$39)</f>
        <v>3.0588563002342504E-2</v>
      </c>
      <c r="R42" s="97">
        <f t="shared" si="5"/>
        <v>5.9135707165509303E-4</v>
      </c>
      <c r="S42" s="97">
        <f t="shared" si="5"/>
        <v>5.9135707165509303E-4</v>
      </c>
      <c r="T42" s="97">
        <f t="shared" si="5"/>
        <v>5.8119480714256214E-3</v>
      </c>
      <c r="U42" s="97">
        <f t="shared" si="5"/>
        <v>0.98607118859355469</v>
      </c>
      <c r="V42" s="97">
        <f t="shared" si="5"/>
        <v>0.16194623905289668</v>
      </c>
      <c r="W42" s="97">
        <f t="shared" si="5"/>
        <v>1.9647638083574066E-2</v>
      </c>
      <c r="X42" s="97">
        <f t="shared" si="5"/>
        <v>5.9135707165509303E-4</v>
      </c>
      <c r="Y42" s="97">
        <f t="shared" si="5"/>
        <v>5.9135707165509303E-4</v>
      </c>
      <c r="Z42" s="97">
        <f t="shared" si="5"/>
        <v>0.26204934482183539</v>
      </c>
      <c r="AA42" s="97">
        <f t="shared" si="5"/>
        <v>5.9135707165509303E-4</v>
      </c>
      <c r="AD42" s="3" t="s">
        <v>70</v>
      </c>
      <c r="AE42" s="2">
        <v>1</v>
      </c>
    </row>
    <row r="43" spans="2:31" ht="12.75" customHeight="1" x14ac:dyDescent="0.25">
      <c r="B43" s="21" t="s">
        <v>195</v>
      </c>
      <c r="C43" s="95">
        <f>Annual_sorted!O179</f>
        <v>5.3119193801080655E-2</v>
      </c>
      <c r="D43" s="29">
        <f>IF(C43-Table_1463451520414957[Burundi]&gt;0, C43-Table_1463451520414957[Burundi], 0)</f>
        <v>2.8092758643539262</v>
      </c>
      <c r="E43" s="29">
        <f>IF(C43-Table_1463451520414957[DRC]&gt;0, C43-Table_1463451520414957[DRC], 0)</f>
        <v>0</v>
      </c>
      <c r="F43" s="29">
        <f>IF(C43-Table_1463451520414957[Egypt]&gt;0, C43-Table_1463451520414957[Egypt], 0)</f>
        <v>0</v>
      </c>
      <c r="G43" s="29">
        <f>IF(C43-Table_1463451520414957[Eritrea]&gt;0, C43-Table_1463451520414957[Eritrea], 0)</f>
        <v>0.48891487851257326</v>
      </c>
      <c r="H43" s="29">
        <f>IF(C43-Table_1463451520414957[Ethiopia]&gt;0, C43-Table_1463451520414957[Ethiopia], 0)</f>
        <v>92.291419137469106</v>
      </c>
      <c r="I43" s="29">
        <f>IF(C43-Table_1463451520414957[Kenya]&gt;0, C43-Table_1463451520414957[Kenya], 0)</f>
        <v>15.111086565627703</v>
      </c>
      <c r="J43" s="29">
        <f>IF(C43-Table_1463451520414957[Rwanda]&gt;0, C43-Table_1463451520414957[Rwanda], 0)</f>
        <v>1.7846445577240864</v>
      </c>
      <c r="K43" s="29">
        <f>IF(C43-Table_1463451520414957[Sudan]&gt;0, C43-Table_1463451520414957[Sudan], 0)</f>
        <v>0</v>
      </c>
      <c r="L43" s="29">
        <f>IF(C43-Table_1463451520414957[S. Sudan]&gt;0, C43-Table_1463451520414957[S. Sudan], 0)</f>
        <v>0</v>
      </c>
      <c r="M43" s="29">
        <f>IF(C43-Table_1463451520414957[Tanzania]&gt;0, C43-Table_1463451520414957[Tanzania], 0)</f>
        <v>24.485867658018048</v>
      </c>
      <c r="N43" s="29">
        <f>IF(C43-Table_1463451520414957[Uganda]&gt;0, C43-Table_1463451520414957[Uganda], 0)</f>
        <v>0</v>
      </c>
      <c r="P43" s="21" t="s">
        <v>2</v>
      </c>
      <c r="Q43" s="97">
        <f t="shared" si="6"/>
        <v>4.4517374408787946E-2</v>
      </c>
      <c r="R43" s="97">
        <f t="shared" si="5"/>
        <v>1.4520168478100531E-2</v>
      </c>
      <c r="S43" s="97">
        <f t="shared" si="5"/>
        <v>5.9135707165509303E-4</v>
      </c>
      <c r="T43" s="97">
        <f t="shared" si="5"/>
        <v>1.9740759477871059E-2</v>
      </c>
      <c r="U43" s="97">
        <f t="shared" si="5"/>
        <v>1</v>
      </c>
      <c r="V43" s="97">
        <f t="shared" si="5"/>
        <v>0.17587505045934215</v>
      </c>
      <c r="W43" s="97">
        <f t="shared" si="5"/>
        <v>3.3576449490019505E-2</v>
      </c>
      <c r="X43" s="97">
        <f t="shared" si="5"/>
        <v>8.90770716223949E-3</v>
      </c>
      <c r="Y43" s="97">
        <f t="shared" si="5"/>
        <v>1.3104238902404933E-2</v>
      </c>
      <c r="Z43" s="97">
        <f t="shared" si="5"/>
        <v>0.27597815622828081</v>
      </c>
      <c r="AA43" s="97">
        <f t="shared" si="5"/>
        <v>8.4990642338945849E-3</v>
      </c>
    </row>
    <row r="44" spans="2:31" ht="12.75" customHeight="1" x14ac:dyDescent="0.25">
      <c r="B44" s="21" t="s">
        <v>2</v>
      </c>
      <c r="C44" s="95">
        <f>Annual_sorted!O180</f>
        <v>1.3575698080909477</v>
      </c>
      <c r="D44" s="29">
        <f>IF(C44-Table_1463451520414957[Burundi]&gt;0, C44-Table_1463451520414957[Burundi], 0)</f>
        <v>4.1137264786437928</v>
      </c>
      <c r="E44" s="29">
        <f>IF(C44-Table_1463451520414957[DRC]&gt;0, C44-Table_1463451520414957[DRC], 0)</f>
        <v>1.3044506142898671</v>
      </c>
      <c r="F44" s="29">
        <f>IF(C44-Table_1463451520414957[Egypt]&gt;0, C44-Table_1463451520414957[Egypt], 0)</f>
        <v>0</v>
      </c>
      <c r="G44" s="29">
        <f>IF(C44-Table_1463451520414957[Eritrea]&gt;0, C44-Table_1463451520414957[Eritrea], 0)</f>
        <v>1.7933654928024403</v>
      </c>
      <c r="H44" s="29">
        <f>IF(C44-Table_1463451520414957[Ethiopia]&gt;0, C44-Table_1463451520414957[Ethiopia], 0)</f>
        <v>93.595869751758968</v>
      </c>
      <c r="I44" s="29">
        <f>IF(C44-Table_1463451520414957[Kenya]&gt;0, C44-Table_1463451520414957[Kenya], 0)</f>
        <v>16.415537179917571</v>
      </c>
      <c r="J44" s="29">
        <f>IF(C44-Table_1463451520414957[Rwanda]&gt;0, C44-Table_1463451520414957[Rwanda], 0)</f>
        <v>3.0890951720139537</v>
      </c>
      <c r="K44" s="29">
        <f>IF(C44-Table_1463451520414957[Sudan]&gt;0, C44-Table_1463451520414957[Sudan], 0)</f>
        <v>0.77883659041377118</v>
      </c>
      <c r="L44" s="29">
        <f>IF(C44-Table_1463451520414957[S. Sudan]&gt;0, C44-Table_1463451520414957[S. Sudan], 0)</f>
        <v>1.1718470380828816</v>
      </c>
      <c r="M44" s="29">
        <f>IF(C44-Table_1463451520414957[Tanzania]&gt;0, C44-Table_1463451520414957[Tanzania], 0)</f>
        <v>25.790318272307914</v>
      </c>
      <c r="N44" s="29">
        <f>IF(C44-Table_1463451520414957[Uganda]&gt;0, C44-Table_1463451520414957[Uganda], 0)</f>
        <v>0.74056666892872203</v>
      </c>
      <c r="P44" s="21" t="s">
        <v>3</v>
      </c>
      <c r="Q44" s="97">
        <f t="shared" si="6"/>
        <v>2.536797200257198E-2</v>
      </c>
      <c r="R44" s="97">
        <f t="shared" si="5"/>
        <v>5.9135707165509303E-4</v>
      </c>
      <c r="S44" s="97">
        <f t="shared" si="5"/>
        <v>5.9135707165509303E-4</v>
      </c>
      <c r="T44" s="97">
        <f t="shared" si="5"/>
        <v>5.9135707165509303E-4</v>
      </c>
      <c r="U44" s="97">
        <f t="shared" si="5"/>
        <v>0.98085059759378401</v>
      </c>
      <c r="V44" s="97">
        <f t="shared" si="5"/>
        <v>0.15672564805312614</v>
      </c>
      <c r="W44" s="97">
        <f t="shared" si="5"/>
        <v>1.4427047083803539E-2</v>
      </c>
      <c r="X44" s="97">
        <f t="shared" si="5"/>
        <v>5.9135707165509303E-4</v>
      </c>
      <c r="Y44" s="97">
        <f t="shared" si="5"/>
        <v>5.9135707165509303E-4</v>
      </c>
      <c r="Z44" s="97">
        <f t="shared" si="5"/>
        <v>0.25682875382206488</v>
      </c>
      <c r="AA44" s="97">
        <f t="shared" si="5"/>
        <v>5.9135707165509303E-4</v>
      </c>
    </row>
    <row r="45" spans="2:31" ht="12.75" customHeight="1" x14ac:dyDescent="0.25">
      <c r="B45" s="21" t="s">
        <v>3</v>
      </c>
      <c r="C45" s="95">
        <f>Annual_sorted!O181</f>
        <v>-0.4357956847114926</v>
      </c>
      <c r="D45" s="29">
        <f>IF(C45-Table_1463451520414957[Burundi]&gt;0, C45-Table_1463451520414957[Burundi], 0)</f>
        <v>2.320360985841353</v>
      </c>
      <c r="E45" s="29">
        <f>IF(C45-Table_1463451520414957[DRC]&gt;0, C45-Table_1463451520414957[DRC], 0)</f>
        <v>0</v>
      </c>
      <c r="F45" s="29">
        <f>IF(C45-Table_1463451520414957[Egypt]&gt;0, C45-Table_1463451520414957[Egypt], 0)</f>
        <v>0</v>
      </c>
      <c r="G45" s="29">
        <f>IF(C45-Table_1463451520414957[Eritrea]&gt;0, C45-Table_1463451520414957[Eritrea], 0)</f>
        <v>0</v>
      </c>
      <c r="H45" s="29">
        <f>IF(C45-Table_1463451520414957[Ethiopia]&gt;0, C45-Table_1463451520414957[Ethiopia], 0)</f>
        <v>91.802504258956532</v>
      </c>
      <c r="I45" s="29">
        <f>IF(C45-Table_1463451520414957[Kenya]&gt;0, C45-Table_1463451520414957[Kenya], 0)</f>
        <v>14.622171687115129</v>
      </c>
      <c r="J45" s="29">
        <f>IF(C45-Table_1463451520414957[Rwanda]&gt;0, C45-Table_1463451520414957[Rwanda], 0)</f>
        <v>1.2957296792115132</v>
      </c>
      <c r="K45" s="29">
        <f>IF(C45-Table_1463451520414957[Sudan]&gt;0, C45-Table_1463451520414957[Sudan], 0)</f>
        <v>0</v>
      </c>
      <c r="L45" s="29">
        <f>IF(C45-Table_1463451520414957[S. Sudan]&gt;0, C45-Table_1463451520414957[S. Sudan], 0)</f>
        <v>0</v>
      </c>
      <c r="M45" s="29">
        <f>IF(C45-Table_1463451520414957[Tanzania]&gt;0, C45-Table_1463451520414957[Tanzania], 0)</f>
        <v>23.996952779505474</v>
      </c>
      <c r="N45" s="29">
        <f>IF(C45-Table_1463451520414957[Uganda]&gt;0, C45-Table_1463451520414957[Uganda], 0)</f>
        <v>0</v>
      </c>
      <c r="P45" s="21" t="s">
        <v>4</v>
      </c>
      <c r="Q45" s="97">
        <f t="shared" si="6"/>
        <v>5.9135707165509303E-4</v>
      </c>
      <c r="R45" s="97">
        <f t="shared" si="5"/>
        <v>5.9135707165509303E-4</v>
      </c>
      <c r="S45" s="97">
        <f t="shared" si="5"/>
        <v>5.9135707165509303E-4</v>
      </c>
      <c r="T45" s="97">
        <f t="shared" si="5"/>
        <v>5.9135707165509303E-4</v>
      </c>
      <c r="U45" s="97">
        <f t="shared" si="5"/>
        <v>5.9135707165509303E-4</v>
      </c>
      <c r="V45" s="97">
        <f t="shared" si="5"/>
        <v>5.9135707165509303E-4</v>
      </c>
      <c r="W45" s="97">
        <f t="shared" si="5"/>
        <v>5.9135707165509303E-4</v>
      </c>
      <c r="X45" s="97">
        <f t="shared" si="5"/>
        <v>5.9135707165509303E-4</v>
      </c>
      <c r="Y45" s="97">
        <f t="shared" si="5"/>
        <v>5.9135707165509303E-4</v>
      </c>
      <c r="Z45" s="97">
        <f t="shared" si="5"/>
        <v>5.9135707165509303E-4</v>
      </c>
      <c r="AA45" s="97">
        <f t="shared" si="5"/>
        <v>5.9135707165509303E-4</v>
      </c>
    </row>
    <row r="46" spans="2:31" ht="12.75" customHeight="1" x14ac:dyDescent="0.25">
      <c r="B46" s="21" t="s">
        <v>4</v>
      </c>
      <c r="C46" s="95">
        <f>Annual_sorted!O182</f>
        <v>-92.238299943668025</v>
      </c>
      <c r="D46" s="29">
        <f>IF(C46-Table_1463451520414957[Burundi]&gt;0, C46-Table_1463451520414957[Burundi], 0)</f>
        <v>0</v>
      </c>
      <c r="E46" s="29">
        <f>IF(C46-Table_1463451520414957[DRC]&gt;0, C46-Table_1463451520414957[DRC], 0)</f>
        <v>0</v>
      </c>
      <c r="F46" s="29">
        <f>IF(C46-Table_1463451520414957[Egypt]&gt;0, C46-Table_1463451520414957[Egypt], 0)</f>
        <v>0</v>
      </c>
      <c r="G46" s="29">
        <f>IF(C46-Table_1463451520414957[Eritrea]&gt;0, C46-Table_1463451520414957[Eritrea], 0)</f>
        <v>0</v>
      </c>
      <c r="H46" s="29">
        <f>IF(C46-Table_1463451520414957[Ethiopia]&gt;0, C46-Table_1463451520414957[Ethiopia], 0)</f>
        <v>0</v>
      </c>
      <c r="I46" s="29">
        <f>IF(C46-Table_1463451520414957[Kenya]&gt;0, C46-Table_1463451520414957[Kenya], 0)</f>
        <v>0</v>
      </c>
      <c r="J46" s="29">
        <f>IF(C46-Table_1463451520414957[Rwanda]&gt;0, C46-Table_1463451520414957[Rwanda], 0)</f>
        <v>0</v>
      </c>
      <c r="K46" s="29">
        <f>IF(C46-Table_1463451520414957[Sudan]&gt;0, C46-Table_1463451520414957[Sudan], 0)</f>
        <v>0</v>
      </c>
      <c r="L46" s="29">
        <f>IF(C46-Table_1463451520414957[S. Sudan]&gt;0, C46-Table_1463451520414957[S. Sudan], 0)</f>
        <v>0</v>
      </c>
      <c r="M46" s="29">
        <f>IF(C46-Table_1463451520414957[Tanzania]&gt;0, C46-Table_1463451520414957[Tanzania], 0)</f>
        <v>0</v>
      </c>
      <c r="N46" s="29">
        <f>IF(C46-Table_1463451520414957[Uganda]&gt;0, C46-Table_1463451520414957[Uganda], 0)</f>
        <v>0</v>
      </c>
      <c r="P46" s="21" t="s">
        <v>5</v>
      </c>
      <c r="Q46" s="97">
        <f t="shared" si="6"/>
        <v>5.9135707165509303E-4</v>
      </c>
      <c r="R46" s="97">
        <f t="shared" si="5"/>
        <v>5.9135707165509303E-4</v>
      </c>
      <c r="S46" s="97">
        <f t="shared" si="5"/>
        <v>5.9135707165509303E-4</v>
      </c>
      <c r="T46" s="97">
        <f t="shared" si="5"/>
        <v>5.9135707165509303E-4</v>
      </c>
      <c r="U46" s="97">
        <f t="shared" si="5"/>
        <v>0.8247163066123131</v>
      </c>
      <c r="V46" s="97">
        <f t="shared" si="5"/>
        <v>5.9135707165509303E-4</v>
      </c>
      <c r="W46" s="97">
        <f t="shared" si="5"/>
        <v>5.9135707165509303E-4</v>
      </c>
      <c r="X46" s="97">
        <f t="shared" si="5"/>
        <v>5.9135707165509303E-4</v>
      </c>
      <c r="Y46" s="97">
        <f t="shared" si="5"/>
        <v>5.9135707165509303E-4</v>
      </c>
      <c r="Z46" s="97">
        <f t="shared" si="5"/>
        <v>0.10069446284059382</v>
      </c>
      <c r="AA46" s="97">
        <f t="shared" si="5"/>
        <v>5.9135707165509303E-4</v>
      </c>
    </row>
    <row r="47" spans="2:31" ht="12.75" customHeight="1" x14ac:dyDescent="0.25">
      <c r="B47" s="21" t="s">
        <v>5</v>
      </c>
      <c r="C47" s="95">
        <f>Annual_sorted!O183</f>
        <v>-15.057967371826622</v>
      </c>
      <c r="D47" s="29">
        <f>IF(C47-Table_1463451520414957[Burundi]&gt;0, C47-Table_1463451520414957[Burundi], 0)</f>
        <v>0</v>
      </c>
      <c r="E47" s="29">
        <f>IF(C47-Table_1463451520414957[DRC]&gt;0, C47-Table_1463451520414957[DRC], 0)</f>
        <v>0</v>
      </c>
      <c r="F47" s="29">
        <f>IF(C47-Table_1463451520414957[Egypt]&gt;0, C47-Table_1463451520414957[Egypt], 0)</f>
        <v>0</v>
      </c>
      <c r="G47" s="29">
        <f>IF(C47-Table_1463451520414957[Eritrea]&gt;0, C47-Table_1463451520414957[Eritrea], 0)</f>
        <v>0</v>
      </c>
      <c r="H47" s="29">
        <f>IF(C47-Table_1463451520414957[Ethiopia]&gt;0, C47-Table_1463451520414957[Ethiopia], 0)</f>
        <v>77.180332571841404</v>
      </c>
      <c r="I47" s="29">
        <f>IF(C47-Table_1463451520414957[Kenya]&gt;0, C47-Table_1463451520414957[Kenya], 0)</f>
        <v>0</v>
      </c>
      <c r="J47" s="29">
        <f>IF(C47-Table_1463451520414957[Rwanda]&gt;0, C47-Table_1463451520414957[Rwanda], 0)</f>
        <v>0</v>
      </c>
      <c r="K47" s="29">
        <f>IF(C47-Table_1463451520414957[Sudan]&gt;0, C47-Table_1463451520414957[Sudan], 0)</f>
        <v>0</v>
      </c>
      <c r="L47" s="29">
        <f>IF(C47-Table_1463451520414957[S. Sudan]&gt;0, C47-Table_1463451520414957[S. Sudan], 0)</f>
        <v>0</v>
      </c>
      <c r="M47" s="29">
        <f>IF(C47-Table_1463451520414957[Tanzania]&gt;0, C47-Table_1463451520414957[Tanzania], 0)</f>
        <v>9.3747810923903447</v>
      </c>
      <c r="N47" s="29">
        <f>IF(C47-Table_1463451520414957[Uganda]&gt;0, C47-Table_1463451520414957[Uganda], 0)</f>
        <v>0</v>
      </c>
      <c r="P47" s="21" t="s">
        <v>6</v>
      </c>
      <c r="Q47" s="97">
        <f t="shared" si="6"/>
        <v>1.1532281990423533E-2</v>
      </c>
      <c r="R47" s="97">
        <f t="shared" si="5"/>
        <v>5.9135707165509303E-4</v>
      </c>
      <c r="S47" s="97">
        <f t="shared" si="5"/>
        <v>5.9135707165509303E-4</v>
      </c>
      <c r="T47" s="97">
        <f t="shared" si="5"/>
        <v>5.9135707165509303E-4</v>
      </c>
      <c r="U47" s="97">
        <f t="shared" si="5"/>
        <v>0.96701490758163555</v>
      </c>
      <c r="V47" s="97">
        <f t="shared" si="5"/>
        <v>0.1428899580409777</v>
      </c>
      <c r="W47" s="97">
        <f t="shared" si="5"/>
        <v>5.9135707165509303E-4</v>
      </c>
      <c r="X47" s="97">
        <f t="shared" si="5"/>
        <v>5.9135707165509303E-4</v>
      </c>
      <c r="Y47" s="97">
        <f t="shared" si="5"/>
        <v>5.9135707165509303E-4</v>
      </c>
      <c r="Z47" s="97">
        <f t="shared" si="5"/>
        <v>0.24299306380991645</v>
      </c>
      <c r="AA47" s="97">
        <f t="shared" si="5"/>
        <v>5.9135707165509303E-4</v>
      </c>
    </row>
    <row r="48" spans="2:31" ht="12.75" customHeight="1" x14ac:dyDescent="0.25">
      <c r="B48" s="21" t="s">
        <v>6</v>
      </c>
      <c r="C48" s="95">
        <f>Annual_sorted!O184</f>
        <v>-1.7315253639230057</v>
      </c>
      <c r="D48" s="29">
        <f>IF(C48-Table_1463451520414957[Burundi]&gt;0, C48-Table_1463451520414957[Burundi], 0)</f>
        <v>1.0246313066298398</v>
      </c>
      <c r="E48" s="29">
        <f>IF(C48-Table_1463451520414957[DRC]&gt;0, C48-Table_1463451520414957[DRC], 0)</f>
        <v>0</v>
      </c>
      <c r="F48" s="29">
        <f>IF(C48-Table_1463451520414957[Egypt]&gt;0, C48-Table_1463451520414957[Egypt], 0)</f>
        <v>0</v>
      </c>
      <c r="G48" s="29">
        <f>IF(C48-Table_1463451520414957[Eritrea]&gt;0, C48-Table_1463451520414957[Eritrea], 0)</f>
        <v>0</v>
      </c>
      <c r="H48" s="29">
        <f>IF(C48-Table_1463451520414957[Ethiopia]&gt;0, C48-Table_1463451520414957[Ethiopia], 0)</f>
        <v>90.506774579745013</v>
      </c>
      <c r="I48" s="29">
        <f>IF(C48-Table_1463451520414957[Kenya]&gt;0, C48-Table_1463451520414957[Kenya], 0)</f>
        <v>13.326442007903617</v>
      </c>
      <c r="J48" s="29">
        <f>IF(C48-Table_1463451520414957[Rwanda]&gt;0, C48-Table_1463451520414957[Rwanda], 0)</f>
        <v>0</v>
      </c>
      <c r="K48" s="29">
        <f>IF(C48-Table_1463451520414957[Sudan]&gt;0, C48-Table_1463451520414957[Sudan], 0)</f>
        <v>0</v>
      </c>
      <c r="L48" s="29">
        <f>IF(C48-Table_1463451520414957[S. Sudan]&gt;0, C48-Table_1463451520414957[S. Sudan], 0)</f>
        <v>0</v>
      </c>
      <c r="M48" s="29">
        <f>IF(C48-Table_1463451520414957[Tanzania]&gt;0, C48-Table_1463451520414957[Tanzania], 0)</f>
        <v>22.701223100293962</v>
      </c>
      <c r="N48" s="29">
        <f>IF(C48-Table_1463451520414957[Uganda]&gt;0, C48-Table_1463451520414957[Uganda], 0)</f>
        <v>0</v>
      </c>
      <c r="P48" s="21" t="s">
        <v>7</v>
      </c>
      <c r="Q48" s="97">
        <f t="shared" si="6"/>
        <v>3.6201024318203545E-2</v>
      </c>
      <c r="R48" s="97">
        <f t="shared" si="5"/>
        <v>6.2038183875161336E-3</v>
      </c>
      <c r="S48" s="97">
        <f t="shared" si="5"/>
        <v>5.9135707165509303E-4</v>
      </c>
      <c r="T48" s="97">
        <f t="shared" si="5"/>
        <v>1.1424409387286661E-2</v>
      </c>
      <c r="U48" s="97">
        <f t="shared" si="5"/>
        <v>0.99168364990941571</v>
      </c>
      <c r="V48" s="97">
        <f t="shared" si="5"/>
        <v>0.16755870036875772</v>
      </c>
      <c r="W48" s="97">
        <f t="shared" si="5"/>
        <v>2.5260099399435108E-2</v>
      </c>
      <c r="X48" s="97">
        <f t="shared" si="5"/>
        <v>5.9135707165509303E-4</v>
      </c>
      <c r="Y48" s="97">
        <f t="shared" si="5"/>
        <v>4.7878888118205341E-3</v>
      </c>
      <c r="Z48" s="97">
        <f t="shared" si="5"/>
        <v>0.26766180613769647</v>
      </c>
      <c r="AA48" s="97">
        <f t="shared" si="5"/>
        <v>5.9135707165509303E-4</v>
      </c>
    </row>
    <row r="49" spans="2:31" ht="12.75" customHeight="1" x14ac:dyDescent="0.25">
      <c r="B49" s="21" t="s">
        <v>7</v>
      </c>
      <c r="C49" s="95">
        <f>Annual_sorted!O185</f>
        <v>0.57873321767717656</v>
      </c>
      <c r="D49" s="29">
        <f>IF(C49-Table_1463451520414957[Burundi]&gt;0, C49-Table_1463451520414957[Burundi], 0)</f>
        <v>3.334889888230022</v>
      </c>
      <c r="E49" s="29">
        <f>IF(C49-Table_1463451520414957[DRC]&gt;0, C49-Table_1463451520414957[DRC], 0)</f>
        <v>0.5256140238760959</v>
      </c>
      <c r="F49" s="29">
        <f>IF(C49-Table_1463451520414957[Egypt]&gt;0, C49-Table_1463451520414957[Egypt], 0)</f>
        <v>0</v>
      </c>
      <c r="G49" s="29">
        <f>IF(C49-Table_1463451520414957[Eritrea]&gt;0, C49-Table_1463451520414957[Eritrea], 0)</f>
        <v>1.0145289023886692</v>
      </c>
      <c r="H49" s="29">
        <f>IF(C49-Table_1463451520414957[Ethiopia]&gt;0, C49-Table_1463451520414957[Ethiopia], 0)</f>
        <v>92.817033161345208</v>
      </c>
      <c r="I49" s="29">
        <f>IF(C49-Table_1463451520414957[Kenya]&gt;0, C49-Table_1463451520414957[Kenya], 0)</f>
        <v>15.6367005895038</v>
      </c>
      <c r="J49" s="29">
        <f>IF(C49-Table_1463451520414957[Rwanda]&gt;0, C49-Table_1463451520414957[Rwanda], 0)</f>
        <v>2.3102585816001824</v>
      </c>
      <c r="K49" s="29">
        <f>IF(C49-Table_1463451520414957[Sudan]&gt;0, C49-Table_1463451520414957[Sudan], 0)</f>
        <v>0</v>
      </c>
      <c r="L49" s="29">
        <f>IF(C49-Table_1463451520414957[S. Sudan]&gt;0, C49-Table_1463451520414957[S. Sudan], 0)</f>
        <v>0.39301044766911047</v>
      </c>
      <c r="M49" s="29">
        <f>IF(C49-Table_1463451520414957[Tanzania]&gt;0, C49-Table_1463451520414957[Tanzania], 0)</f>
        <v>25.011481681894143</v>
      </c>
      <c r="N49" s="29">
        <f>IF(C49-Table_1463451520414957[Uganda]&gt;0, C49-Table_1463451520414957[Uganda], 0)</f>
        <v>0</v>
      </c>
      <c r="P49" s="21" t="s">
        <v>8</v>
      </c>
      <c r="Q49" s="97">
        <f t="shared" si="6"/>
        <v>3.2004492578038099E-2</v>
      </c>
      <c r="R49" s="97">
        <f t="shared" si="5"/>
        <v>2.0072866473506926E-3</v>
      </c>
      <c r="S49" s="97">
        <f t="shared" si="5"/>
        <v>5.9135707165509303E-4</v>
      </c>
      <c r="T49" s="97">
        <f t="shared" si="5"/>
        <v>7.2278776471212201E-3</v>
      </c>
      <c r="U49" s="97">
        <f t="shared" si="5"/>
        <v>0.98748711816925017</v>
      </c>
      <c r="V49" s="97">
        <f t="shared" si="5"/>
        <v>0.16336216862859229</v>
      </c>
      <c r="W49" s="97">
        <f t="shared" si="5"/>
        <v>2.1063567659269665E-2</v>
      </c>
      <c r="X49" s="97">
        <f t="shared" si="5"/>
        <v>5.9135707165509303E-4</v>
      </c>
      <c r="Y49" s="97">
        <f t="shared" si="5"/>
        <v>5.9135707165509303E-4</v>
      </c>
      <c r="Z49" s="97">
        <f t="shared" si="5"/>
        <v>0.26346527439753098</v>
      </c>
      <c r="AA49" s="97">
        <f t="shared" si="5"/>
        <v>5.9135707165509303E-4</v>
      </c>
    </row>
    <row r="50" spans="2:31" ht="12.75" customHeight="1" x14ac:dyDescent="0.25">
      <c r="B50" s="21" t="s">
        <v>8</v>
      </c>
      <c r="C50" s="95">
        <f>Annual_sorted!O186</f>
        <v>0.18572277000806608</v>
      </c>
      <c r="D50" s="29">
        <f>IF(C50-Table_1463451520414957[Burundi]&gt;0, C50-Table_1463451520414957[Burundi], 0)</f>
        <v>2.9418794405609114</v>
      </c>
      <c r="E50" s="29">
        <f>IF(C50-Table_1463451520414957[DRC]&gt;0, C50-Table_1463451520414957[DRC], 0)</f>
        <v>0.13260357620698543</v>
      </c>
      <c r="F50" s="29">
        <f>IF(C50-Table_1463451520414957[Egypt]&gt;0, C50-Table_1463451520414957[Egypt], 0)</f>
        <v>0</v>
      </c>
      <c r="G50" s="29">
        <f>IF(C50-Table_1463451520414957[Eritrea]&gt;0, C50-Table_1463451520414957[Eritrea], 0)</f>
        <v>0.62151845471955869</v>
      </c>
      <c r="H50" s="29">
        <f>IF(C50-Table_1463451520414957[Ethiopia]&gt;0, C50-Table_1463451520414957[Ethiopia], 0)</f>
        <v>92.424022713676095</v>
      </c>
      <c r="I50" s="29">
        <f>IF(C50-Table_1463451520414957[Kenya]&gt;0, C50-Table_1463451520414957[Kenya], 0)</f>
        <v>15.243690141834689</v>
      </c>
      <c r="J50" s="29">
        <f>IF(C50-Table_1463451520414957[Rwanda]&gt;0, C50-Table_1463451520414957[Rwanda], 0)</f>
        <v>1.9172481339310719</v>
      </c>
      <c r="K50" s="29">
        <f>IF(C50-Table_1463451520414957[Sudan]&gt;0, C50-Table_1463451520414957[Sudan], 0)</f>
        <v>0</v>
      </c>
      <c r="L50" s="29">
        <f>IF(C50-Table_1463451520414957[S. Sudan]&gt;0, C50-Table_1463451520414957[S. Sudan], 0)</f>
        <v>0</v>
      </c>
      <c r="M50" s="29">
        <f>IF(C50-Table_1463451520414957[Tanzania]&gt;0, C50-Table_1463451520414957[Tanzania], 0)</f>
        <v>24.618471234225034</v>
      </c>
      <c r="N50" s="29">
        <f>IF(C50-Table_1463451520414957[Uganda]&gt;0, C50-Table_1463451520414957[Uganda], 0)</f>
        <v>0</v>
      </c>
      <c r="P50" s="21" t="s">
        <v>9</v>
      </c>
      <c r="Q50" s="97">
        <f t="shared" si="6"/>
        <v>5.9135707165509303E-4</v>
      </c>
      <c r="R50" s="97">
        <f t="shared" si="5"/>
        <v>5.9135707165509303E-4</v>
      </c>
      <c r="S50" s="97">
        <f t="shared" si="5"/>
        <v>5.9135707165509303E-4</v>
      </c>
      <c r="T50" s="97">
        <f t="shared" si="5"/>
        <v>5.9135707165509303E-4</v>
      </c>
      <c r="U50" s="97">
        <f t="shared" si="5"/>
        <v>0.72461320084337433</v>
      </c>
      <c r="V50" s="97">
        <f t="shared" si="5"/>
        <v>5.9135707165509303E-4</v>
      </c>
      <c r="W50" s="97">
        <f t="shared" si="5"/>
        <v>5.9135707165509303E-4</v>
      </c>
      <c r="X50" s="97">
        <f t="shared" si="5"/>
        <v>5.9135707165509303E-4</v>
      </c>
      <c r="Y50" s="97">
        <f t="shared" si="5"/>
        <v>5.9135707165509303E-4</v>
      </c>
      <c r="Z50" s="97">
        <f t="shared" si="5"/>
        <v>5.9135707165509303E-4</v>
      </c>
      <c r="AA50" s="97">
        <f t="shared" si="5"/>
        <v>5.9135707165509303E-4</v>
      </c>
    </row>
    <row r="51" spans="2:31" ht="12.75" customHeight="1" thickBot="1" x14ac:dyDescent="0.3">
      <c r="B51" s="21" t="s">
        <v>9</v>
      </c>
      <c r="C51" s="95">
        <f>Annual_sorted!O187</f>
        <v>-24.432748464216967</v>
      </c>
      <c r="D51" s="29">
        <f>IF(C51-Table_1463451520414957[Burundi]&gt;0, C51-Table_1463451520414957[Burundi], 0)</f>
        <v>0</v>
      </c>
      <c r="E51" s="29">
        <f>IF(C51-Table_1463451520414957[DRC]&gt;0, C51-Table_1463451520414957[DRC], 0)</f>
        <v>0</v>
      </c>
      <c r="F51" s="29">
        <f>IF(C51-Table_1463451520414957[Egypt]&gt;0, C51-Table_1463451520414957[Egypt], 0)</f>
        <v>0</v>
      </c>
      <c r="G51" s="29">
        <f>IF(C51-Table_1463451520414957[Eritrea]&gt;0, C51-Table_1463451520414957[Eritrea], 0)</f>
        <v>0</v>
      </c>
      <c r="H51" s="29">
        <f>IF(C51-Table_1463451520414957[Ethiopia]&gt;0, C51-Table_1463451520414957[Ethiopia], 0)</f>
        <v>67.805551479451054</v>
      </c>
      <c r="I51" s="29">
        <f>IF(C51-Table_1463451520414957[Kenya]&gt;0, C51-Table_1463451520414957[Kenya], 0)</f>
        <v>0</v>
      </c>
      <c r="J51" s="29">
        <f>IF(C51-Table_1463451520414957[Rwanda]&gt;0, C51-Table_1463451520414957[Rwanda], 0)</f>
        <v>0</v>
      </c>
      <c r="K51" s="29">
        <f>IF(C51-Table_1463451520414957[Sudan]&gt;0, C51-Table_1463451520414957[Sudan], 0)</f>
        <v>0</v>
      </c>
      <c r="L51" s="29">
        <f>IF(C51-Table_1463451520414957[S. Sudan]&gt;0, C51-Table_1463451520414957[S. Sudan], 0)</f>
        <v>0</v>
      </c>
      <c r="M51" s="29">
        <f>IF(C51-Table_1463451520414957[Tanzania]&gt;0, C51-Table_1463451520414957[Tanzania], 0)</f>
        <v>0</v>
      </c>
      <c r="N51" s="29">
        <f>IF(C51-Table_1463451520414957[Uganda]&gt;0, C51-Table_1463451520414957[Uganda], 0)</f>
        <v>0</v>
      </c>
      <c r="P51" s="22" t="s">
        <v>10</v>
      </c>
      <c r="Q51" s="98">
        <f t="shared" si="6"/>
        <v>3.6609667246548454E-2</v>
      </c>
      <c r="R51" s="98">
        <f t="shared" si="5"/>
        <v>6.6124613158610405E-3</v>
      </c>
      <c r="S51" s="98">
        <f t="shared" si="5"/>
        <v>5.9135707165509303E-4</v>
      </c>
      <c r="T51" s="98">
        <f t="shared" si="5"/>
        <v>1.1833052315631566E-2</v>
      </c>
      <c r="U51" s="98">
        <f t="shared" si="5"/>
        <v>0.99209229283776057</v>
      </c>
      <c r="V51" s="98">
        <f t="shared" si="5"/>
        <v>0.16796734329710261</v>
      </c>
      <c r="W51" s="98">
        <f t="shared" si="5"/>
        <v>2.5668742327780009E-2</v>
      </c>
      <c r="X51" s="98">
        <f t="shared" si="5"/>
        <v>1E-3</v>
      </c>
      <c r="Y51" s="98">
        <f t="shared" si="5"/>
        <v>5.196531740165441E-3</v>
      </c>
      <c r="Z51" s="98">
        <f t="shared" si="5"/>
        <v>0.26807044906604138</v>
      </c>
      <c r="AA51" s="98">
        <f t="shared" si="5"/>
        <v>5.9135707165509303E-4</v>
      </c>
      <c r="AB51" s="186">
        <f>SUM(Q41:AA51)</f>
        <v>13.371042534740797</v>
      </c>
    </row>
    <row r="52" spans="2:31" ht="12.75" customHeight="1" thickBot="1" x14ac:dyDescent="0.3">
      <c r="B52" s="22" t="s">
        <v>10</v>
      </c>
      <c r="C52" s="96">
        <f>Annual_sorted!O188</f>
        <v>0.61700313916222571</v>
      </c>
      <c r="D52" s="32">
        <f>IF(C52-Table_1463451520414957[Burundi]&gt;0, C52-Table_1463451520414957[Burundi], 0)</f>
        <v>3.3731598097150712</v>
      </c>
      <c r="E52" s="32">
        <f>IF(C52-Table_1463451520414957[DRC]&gt;0, C52-Table_1463451520414957[DRC], 0)</f>
        <v>0.56388394536114506</v>
      </c>
      <c r="F52" s="32">
        <f>IF(C52-Table_1463451520414957[Egypt]&gt;0, C52-Table_1463451520414957[Egypt], 0)</f>
        <v>0</v>
      </c>
      <c r="G52" s="32">
        <f>IF(C52-Table_1463451520414957[Eritrea]&gt;0, C52-Table_1463451520414957[Eritrea], 0)</f>
        <v>1.0527988238737183</v>
      </c>
      <c r="H52" s="32">
        <f>IF(C52-Table_1463451520414957[Ethiopia]&gt;0, C52-Table_1463451520414957[Ethiopia], 0)</f>
        <v>92.855303082830247</v>
      </c>
      <c r="I52" s="32">
        <f>IF(C52-Table_1463451520414957[Kenya]&gt;0, C52-Table_1463451520414957[Kenya], 0)</f>
        <v>15.674970510988848</v>
      </c>
      <c r="J52" s="32">
        <f>IF(C52-Table_1463451520414957[Rwanda]&gt;0, C52-Table_1463451520414957[Rwanda], 0)</f>
        <v>2.3485285030852312</v>
      </c>
      <c r="K52" s="32">
        <f>IF(C52-Table_1463451520414957[Sudan]&gt;0, C52-Table_1463451520414957[Sudan], 0)</f>
        <v>3.8269921485049152E-2</v>
      </c>
      <c r="L52" s="32">
        <f>IF(C52-Table_1463451520414957[S. Sudan]&gt;0, C52-Table_1463451520414957[S. Sudan], 0)</f>
        <v>0.43128036915415963</v>
      </c>
      <c r="M52" s="32">
        <f>IF(C52-Table_1463451520414957[Tanzania]&gt;0, C52-Table_1463451520414957[Tanzania], 0)</f>
        <v>25.049751603379192</v>
      </c>
      <c r="N52" s="32">
        <f>IF(C52-Table_1463451520414957[Uganda]&gt;0, C52-Table_1463451520414957[Uganda], 0)</f>
        <v>0</v>
      </c>
    </row>
    <row r="53" spans="2:31" ht="12.75" customHeight="1" x14ac:dyDescent="0.25"/>
    <row r="54" spans="2:31" ht="12.75" customHeight="1" x14ac:dyDescent="0.25"/>
    <row r="55" spans="2:31" ht="12.75" customHeight="1" x14ac:dyDescent="0.25"/>
    <row r="56" spans="2:31" ht="12.75" customHeight="1" x14ac:dyDescent="0.25">
      <c r="B56" s="5"/>
      <c r="C56" s="5"/>
      <c r="D56" s="5"/>
      <c r="E56" s="5"/>
      <c r="F56" s="5"/>
      <c r="G56" s="5"/>
      <c r="H56" s="5"/>
      <c r="I56" s="5"/>
      <c r="J56" s="5"/>
      <c r="K56" s="5"/>
      <c r="L56" s="5"/>
      <c r="M56" s="5"/>
      <c r="N56" s="44"/>
      <c r="O56" s="5"/>
      <c r="P56" s="5"/>
      <c r="Q56" s="5"/>
      <c r="R56" s="5"/>
      <c r="S56" s="5"/>
      <c r="T56" s="5"/>
      <c r="U56" s="5"/>
      <c r="V56" s="5"/>
      <c r="W56" s="5"/>
      <c r="X56" s="5"/>
      <c r="Y56" s="5"/>
      <c r="Z56" s="5"/>
      <c r="AA56" s="5"/>
    </row>
    <row r="57" spans="2:31" ht="12.75" customHeight="1" thickBot="1" x14ac:dyDescent="0.3">
      <c r="B57" s="253" t="s">
        <v>79</v>
      </c>
      <c r="C57" s="253"/>
      <c r="D57" s="253"/>
      <c r="E57" s="253"/>
      <c r="F57" s="253"/>
      <c r="G57" s="253"/>
      <c r="H57" s="253"/>
      <c r="I57" s="253"/>
      <c r="J57" s="253"/>
      <c r="K57" s="253"/>
      <c r="L57" s="253"/>
      <c r="M57" s="253"/>
      <c r="N57" s="253"/>
      <c r="O57" s="5"/>
      <c r="P57" s="253" t="s">
        <v>80</v>
      </c>
      <c r="Q57" s="253"/>
      <c r="R57" s="253"/>
      <c r="S57" s="253"/>
      <c r="T57" s="253"/>
      <c r="U57" s="253"/>
      <c r="V57" s="253"/>
      <c r="W57" s="253"/>
      <c r="X57" s="253"/>
      <c r="Y57" s="253"/>
      <c r="Z57" s="253"/>
      <c r="AA57" s="253"/>
      <c r="AB57" s="10"/>
      <c r="AC57" s="3" t="s">
        <v>22</v>
      </c>
      <c r="AD57" s="13" t="s">
        <v>23</v>
      </c>
      <c r="AE57" s="74">
        <f t="array" ref="AE57">MIN(IF(D60:N70&gt;0,D60:N70))</f>
        <v>0.48891487851257326</v>
      </c>
    </row>
    <row r="58" spans="2:31" ht="12.75" customHeight="1" thickBot="1" x14ac:dyDescent="0.3">
      <c r="B58" s="75" t="s">
        <v>13</v>
      </c>
      <c r="C58" s="66" t="s">
        <v>14</v>
      </c>
      <c r="D58" s="67" t="s">
        <v>1</v>
      </c>
      <c r="E58" s="67" t="s">
        <v>195</v>
      </c>
      <c r="F58" s="67" t="s">
        <v>2</v>
      </c>
      <c r="G58" s="67" t="s">
        <v>3</v>
      </c>
      <c r="H58" s="67" t="s">
        <v>4</v>
      </c>
      <c r="I58" s="67" t="s">
        <v>5</v>
      </c>
      <c r="J58" s="67" t="s">
        <v>6</v>
      </c>
      <c r="K58" s="67" t="s">
        <v>7</v>
      </c>
      <c r="L58" s="67" t="s">
        <v>295</v>
      </c>
      <c r="M58" s="67" t="s">
        <v>9</v>
      </c>
      <c r="N58" s="67" t="s">
        <v>10</v>
      </c>
      <c r="P58" s="128" t="s">
        <v>19</v>
      </c>
      <c r="Q58" s="123" t="s">
        <v>1</v>
      </c>
      <c r="R58" s="123" t="s">
        <v>195</v>
      </c>
      <c r="S58" s="123" t="s">
        <v>2</v>
      </c>
      <c r="T58" s="123" t="s">
        <v>3</v>
      </c>
      <c r="U58" s="123" t="s">
        <v>4</v>
      </c>
      <c r="V58" s="123" t="s">
        <v>5</v>
      </c>
      <c r="W58" s="123" t="s">
        <v>6</v>
      </c>
      <c r="X58" s="123" t="s">
        <v>7</v>
      </c>
      <c r="Y58" s="123" t="s">
        <v>295</v>
      </c>
      <c r="Z58" s="123" t="s">
        <v>9</v>
      </c>
      <c r="AA58" s="123" t="s">
        <v>10</v>
      </c>
      <c r="AB58" s="254" t="s">
        <v>26</v>
      </c>
      <c r="AC58" s="254"/>
      <c r="AD58" s="13" t="s">
        <v>24</v>
      </c>
      <c r="AE58" s="20">
        <f>MAX(D60:N70)</f>
        <v>92.291419137469106</v>
      </c>
    </row>
    <row r="59" spans="2:31" ht="12.75" customHeight="1" x14ac:dyDescent="0.25">
      <c r="B59" s="93"/>
      <c r="C59" s="94" t="s">
        <v>260</v>
      </c>
      <c r="D59" s="95">
        <f>C60</f>
        <v>-2.7561566705528455</v>
      </c>
      <c r="E59" s="95">
        <f>C61</f>
        <v>5.3119193801080655E-2</v>
      </c>
      <c r="F59" s="95">
        <f>C62</f>
        <v>-55.14243019190905</v>
      </c>
      <c r="G59" s="95">
        <f>C63</f>
        <v>-0.4357956847114926</v>
      </c>
      <c r="H59" s="95">
        <f>C64</f>
        <v>-92.238299943668025</v>
      </c>
      <c r="I59" s="95">
        <f>C65</f>
        <v>-15.057967371826622</v>
      </c>
      <c r="J59" s="95">
        <f>C66</f>
        <v>-5.5315253639230058</v>
      </c>
      <c r="K59" s="95">
        <f>C67</f>
        <v>-33.221266782322822</v>
      </c>
      <c r="L59" s="95">
        <f>C68</f>
        <v>-23.314277229991934</v>
      </c>
      <c r="M59" s="95">
        <f>C69</f>
        <v>-24.432748464216967</v>
      </c>
      <c r="N59" s="95">
        <f>C70</f>
        <v>-20.482996860837776</v>
      </c>
      <c r="P59" s="21" t="s">
        <v>1</v>
      </c>
      <c r="Q59" s="97">
        <f>$AE$59+(D60-$AE$57)*($AE$60-$AE$59)/($AE$58-$AE$57)</f>
        <v>-4.3203991282885768E-3</v>
      </c>
      <c r="R59" s="97">
        <f t="shared" ref="R59:AA69" si="7">$AE$59+(E60-$AE$57)*($AE$60-$AE$59)/($AE$58-$AE$57)</f>
        <v>-4.3203991282885768E-3</v>
      </c>
      <c r="S59" s="97">
        <f t="shared" si="7"/>
        <v>0.56574996736423544</v>
      </c>
      <c r="T59" s="97">
        <f t="shared" si="7"/>
        <v>-4.3203991282885768E-3</v>
      </c>
      <c r="U59" s="97">
        <f t="shared" si="7"/>
        <v>0.96942930248860004</v>
      </c>
      <c r="V59" s="97">
        <f t="shared" si="7"/>
        <v>0.12954859485804379</v>
      </c>
      <c r="W59" s="97">
        <f t="shared" si="7"/>
        <v>2.5881318646815445E-2</v>
      </c>
      <c r="X59" s="97">
        <f t="shared" si="7"/>
        <v>0.3272026377140197</v>
      </c>
      <c r="Y59" s="97">
        <f t="shared" si="7"/>
        <v>0.2193942217816954</v>
      </c>
      <c r="Z59" s="97">
        <f t="shared" si="7"/>
        <v>0.231565488480902</v>
      </c>
      <c r="AA59" s="97">
        <f t="shared" si="7"/>
        <v>0.18858407001495806</v>
      </c>
      <c r="AD59" s="3" t="s">
        <v>25</v>
      </c>
      <c r="AE59" s="2">
        <v>1E-3</v>
      </c>
    </row>
    <row r="60" spans="2:31" ht="12.75" customHeight="1" x14ac:dyDescent="0.25">
      <c r="B60" s="21" t="s">
        <v>1</v>
      </c>
      <c r="C60" s="95">
        <f>Annual_sorted!P178</f>
        <v>-2.7561566705528455</v>
      </c>
      <c r="D60" s="29">
        <f>IF(C60-Table_14634571419404856[Burundi]&gt;0, C60-Table_14634571419404856[Burundi], 0)</f>
        <v>0</v>
      </c>
      <c r="E60" s="29">
        <f>IF(C60-Table_14634571419404856[DRC]&gt;0, C60-Table_14634571419404856[DRC], 0)</f>
        <v>0</v>
      </c>
      <c r="F60" s="29">
        <f>IF(C60-Table_14634571419404856[Egypt]&gt;0, C60-Table_14634571419404856[Egypt], 0)</f>
        <v>52.386273521356202</v>
      </c>
      <c r="G60" s="29">
        <f>IF(C60-Table_14634571419404856[Eritrea]&gt;0, C60-Table_14634571419404856[Eritrea], 0)</f>
        <v>0</v>
      </c>
      <c r="H60" s="29">
        <f>IF(C60-Table_14634571419404856[Ethiopia]&gt;0, C60-Table_14634571419404856[Ethiopia], 0)</f>
        <v>89.482143273115184</v>
      </c>
      <c r="I60" s="29">
        <f>IF(C60-Table_14634571419404856[Kenya]&gt;0, C60-Table_14634571419404856[Kenya], 0)</f>
        <v>12.301810701273777</v>
      </c>
      <c r="J60" s="29">
        <f>IF(C60-Table_14634571419404856[Rwanda]&gt;0, C60-Table_14634571419404856[Rwanda], 0)</f>
        <v>2.7753686933701602</v>
      </c>
      <c r="K60" s="29">
        <f>IF(C60-Table_14634571419404856[Sudan]&gt;0, C60-Table_14634571419404856[Sudan], 0)</f>
        <v>30.465110111769977</v>
      </c>
      <c r="L60" s="29">
        <f>IF(C60-Table_14634571419404856[S. Sudan]&gt;0, C60-Table_14634571419404856[S. Sudan], 0)</f>
        <v>20.558120559439089</v>
      </c>
      <c r="M60" s="29">
        <f>IF(C60-Table_14634571419404856[Tanzania]&gt;0, C60-Table_14634571419404856[Tanzania], 0)</f>
        <v>21.676591793664123</v>
      </c>
      <c r="N60" s="29">
        <f>IF(C60-Table_14634571419404856[Uganda]&gt;0, C60-Table_14634571419404856[Uganda], 0)</f>
        <v>17.726840190284932</v>
      </c>
      <c r="P60" s="21" t="s">
        <v>195</v>
      </c>
      <c r="Q60" s="97">
        <f t="shared" ref="Q60:Q69" si="8">$AE$59+(D61-$AE$57)*($AE$60-$AE$59)/($AE$58-$AE$57)</f>
        <v>2.6250298383111447E-2</v>
      </c>
      <c r="R60" s="97">
        <f t="shared" si="7"/>
        <v>-4.3203991282885768E-3</v>
      </c>
      <c r="S60" s="97">
        <f t="shared" si="7"/>
        <v>0.59632066487563551</v>
      </c>
      <c r="T60" s="97">
        <f t="shared" si="7"/>
        <v>1E-3</v>
      </c>
      <c r="U60" s="97">
        <f t="shared" si="7"/>
        <v>1</v>
      </c>
      <c r="V60" s="97">
        <f t="shared" si="7"/>
        <v>0.16011929236944381</v>
      </c>
      <c r="W60" s="97">
        <f t="shared" si="7"/>
        <v>5.6452016158215469E-2</v>
      </c>
      <c r="X60" s="97">
        <f t="shared" si="7"/>
        <v>0.35777333522541971</v>
      </c>
      <c r="Y60" s="97">
        <f t="shared" si="7"/>
        <v>0.24996491929309539</v>
      </c>
      <c r="Z60" s="97">
        <f t="shared" si="7"/>
        <v>0.26213618599230198</v>
      </c>
      <c r="AA60" s="97">
        <f t="shared" si="7"/>
        <v>0.21915476752635804</v>
      </c>
      <c r="AD60" s="3" t="s">
        <v>70</v>
      </c>
      <c r="AE60" s="2">
        <v>1</v>
      </c>
    </row>
    <row r="61" spans="2:31" ht="12.75" customHeight="1" x14ac:dyDescent="0.25">
      <c r="B61" s="21" t="s">
        <v>195</v>
      </c>
      <c r="C61" s="95">
        <f>Annual_sorted!P179</f>
        <v>5.3119193801080655E-2</v>
      </c>
      <c r="D61" s="29">
        <f>IF(C61-Table_14634571419404856[Burundi]&gt;0, C61-Table_14634571419404856[Burundi], 0)</f>
        <v>2.8092758643539262</v>
      </c>
      <c r="E61" s="29">
        <f>IF(C61-Table_14634571419404856[DRC]&gt;0, C61-Table_14634571419404856[DRC], 0)</f>
        <v>0</v>
      </c>
      <c r="F61" s="29">
        <f>IF(C61-Table_14634571419404856[Egypt]&gt;0, C61-Table_14634571419404856[Egypt], 0)</f>
        <v>55.19554938571013</v>
      </c>
      <c r="G61" s="29">
        <f>IF(C61-Table_14634571419404856[Eritrea]&gt;0, C61-Table_14634571419404856[Eritrea], 0)</f>
        <v>0.48891487851257326</v>
      </c>
      <c r="H61" s="29">
        <f>IF(C61-Table_14634571419404856[Ethiopia]&gt;0, C61-Table_14634571419404856[Ethiopia], 0)</f>
        <v>92.291419137469106</v>
      </c>
      <c r="I61" s="29">
        <f>IF(C61-Table_14634571419404856[Kenya]&gt;0, C61-Table_14634571419404856[Kenya], 0)</f>
        <v>15.111086565627703</v>
      </c>
      <c r="J61" s="29">
        <f>IF(C61-Table_14634571419404856[Rwanda]&gt;0, C61-Table_14634571419404856[Rwanda], 0)</f>
        <v>5.5846445577240864</v>
      </c>
      <c r="K61" s="29">
        <f>IF(C61-Table_14634571419404856[Sudan]&gt;0, C61-Table_14634571419404856[Sudan], 0)</f>
        <v>33.274385976123902</v>
      </c>
      <c r="L61" s="29">
        <f>IF(C61-Table_14634571419404856[S. Sudan]&gt;0, C61-Table_14634571419404856[S. Sudan], 0)</f>
        <v>23.367396423793014</v>
      </c>
      <c r="M61" s="29">
        <f>IF(C61-Table_14634571419404856[Tanzania]&gt;0, C61-Table_14634571419404856[Tanzania], 0)</f>
        <v>24.485867658018048</v>
      </c>
      <c r="N61" s="29">
        <f>IF(C61-Table_14634571419404856[Uganda]&gt;0, C61-Table_14634571419404856[Uganda], 0)</f>
        <v>20.536116054638857</v>
      </c>
      <c r="P61" s="21" t="s">
        <v>2</v>
      </c>
      <c r="Q61" s="97">
        <f t="shared" si="8"/>
        <v>-4.3203991282885768E-3</v>
      </c>
      <c r="R61" s="97">
        <f t="shared" si="7"/>
        <v>-4.3203991282885768E-3</v>
      </c>
      <c r="S61" s="97">
        <f t="shared" si="7"/>
        <v>-4.3203991282885768E-3</v>
      </c>
      <c r="T61" s="97">
        <f t="shared" si="7"/>
        <v>-4.3203991282885768E-3</v>
      </c>
      <c r="U61" s="97">
        <f t="shared" si="7"/>
        <v>0.39935893599607591</v>
      </c>
      <c r="V61" s="97">
        <f t="shared" si="7"/>
        <v>-4.3203991282885768E-3</v>
      </c>
      <c r="W61" s="97">
        <f t="shared" si="7"/>
        <v>-4.3203991282885768E-3</v>
      </c>
      <c r="X61" s="97">
        <f t="shared" si="7"/>
        <v>-4.3203991282885768E-3</v>
      </c>
      <c r="Y61" s="97">
        <f t="shared" si="7"/>
        <v>-4.3203991282885768E-3</v>
      </c>
      <c r="Z61" s="97">
        <f t="shared" si="7"/>
        <v>-4.3203991282885768E-3</v>
      </c>
      <c r="AA61" s="97">
        <f t="shared" si="7"/>
        <v>-4.3203991282885768E-3</v>
      </c>
    </row>
    <row r="62" spans="2:31" ht="12.75" customHeight="1" x14ac:dyDescent="0.25">
      <c r="B62" s="21" t="s">
        <v>2</v>
      </c>
      <c r="C62" s="95">
        <f>Annual_sorted!P180</f>
        <v>-55.14243019190905</v>
      </c>
      <c r="D62" s="29">
        <f>IF(C62-Table_14634571419404856[Burundi]&gt;0, C62-Table_14634571419404856[Burundi], 0)</f>
        <v>0</v>
      </c>
      <c r="E62" s="29">
        <f>IF(C62-Table_14634571419404856[DRC]&gt;0, C62-Table_14634571419404856[DRC], 0)</f>
        <v>0</v>
      </c>
      <c r="F62" s="29">
        <f>IF(C62-Table_14634571419404856[Egypt]&gt;0, C62-Table_14634571419404856[Egypt], 0)</f>
        <v>0</v>
      </c>
      <c r="G62" s="29">
        <f>IF(C62-Table_14634571419404856[Eritrea]&gt;0, C62-Table_14634571419404856[Eritrea], 0)</f>
        <v>0</v>
      </c>
      <c r="H62" s="29">
        <f>IF(C62-Table_14634571419404856[Ethiopia]&gt;0, C62-Table_14634571419404856[Ethiopia], 0)</f>
        <v>37.095869751758975</v>
      </c>
      <c r="I62" s="29">
        <f>IF(C62-Table_14634571419404856[Kenya]&gt;0, C62-Table_14634571419404856[Kenya], 0)</f>
        <v>0</v>
      </c>
      <c r="J62" s="29">
        <f>IF(C62-Table_14634571419404856[Rwanda]&gt;0, C62-Table_14634571419404856[Rwanda], 0)</f>
        <v>0</v>
      </c>
      <c r="K62" s="29">
        <f>IF(C62-Table_14634571419404856[Sudan]&gt;0, C62-Table_14634571419404856[Sudan], 0)</f>
        <v>0</v>
      </c>
      <c r="L62" s="29">
        <f>IF(C62-Table_14634571419404856[S. Sudan]&gt;0, C62-Table_14634571419404856[S. Sudan], 0)</f>
        <v>0</v>
      </c>
      <c r="M62" s="29">
        <f>IF(C62-Table_14634571419404856[Tanzania]&gt;0, C62-Table_14634571419404856[Tanzania], 0)</f>
        <v>0</v>
      </c>
      <c r="N62" s="29">
        <f>IF(C62-Table_14634571419404856[Uganda]&gt;0, C62-Table_14634571419404856[Uganda], 0)</f>
        <v>0</v>
      </c>
      <c r="P62" s="21" t="s">
        <v>3</v>
      </c>
      <c r="Q62" s="97">
        <f t="shared" si="8"/>
        <v>2.0929899254822869E-2</v>
      </c>
      <c r="R62" s="97">
        <f t="shared" si="7"/>
        <v>-4.3203991282885768E-3</v>
      </c>
      <c r="S62" s="97">
        <f t="shared" si="7"/>
        <v>0.59100026574734688</v>
      </c>
      <c r="T62" s="97">
        <f t="shared" si="7"/>
        <v>-4.3203991282885768E-3</v>
      </c>
      <c r="U62" s="97">
        <f t="shared" si="7"/>
        <v>0.99467960087171137</v>
      </c>
      <c r="V62" s="97">
        <f t="shared" si="7"/>
        <v>0.15479889324115523</v>
      </c>
      <c r="W62" s="97">
        <f t="shared" si="7"/>
        <v>5.1131617029926892E-2</v>
      </c>
      <c r="X62" s="97">
        <f t="shared" si="7"/>
        <v>0.35245293609713108</v>
      </c>
      <c r="Y62" s="97">
        <f t="shared" si="7"/>
        <v>0.24464452016480681</v>
      </c>
      <c r="Z62" s="97">
        <f t="shared" si="7"/>
        <v>0.25681578686401341</v>
      </c>
      <c r="AA62" s="97">
        <f t="shared" si="7"/>
        <v>0.21383436839806946</v>
      </c>
    </row>
    <row r="63" spans="2:31" ht="12.75" customHeight="1" x14ac:dyDescent="0.25">
      <c r="B63" s="21" t="s">
        <v>3</v>
      </c>
      <c r="C63" s="95">
        <f>Annual_sorted!P181</f>
        <v>-0.4357956847114926</v>
      </c>
      <c r="D63" s="29">
        <f>IF(C63-Table_14634571419404856[Burundi]&gt;0, C63-Table_14634571419404856[Burundi], 0)</f>
        <v>2.320360985841353</v>
      </c>
      <c r="E63" s="29">
        <f>IF(C63-Table_14634571419404856[DRC]&gt;0, C63-Table_14634571419404856[DRC], 0)</f>
        <v>0</v>
      </c>
      <c r="F63" s="29">
        <f>IF(C63-Table_14634571419404856[Egypt]&gt;0, C63-Table_14634571419404856[Egypt], 0)</f>
        <v>54.706634507197556</v>
      </c>
      <c r="G63" s="29">
        <f>IF(C63-Table_14634571419404856[Eritrea]&gt;0, C63-Table_14634571419404856[Eritrea], 0)</f>
        <v>0</v>
      </c>
      <c r="H63" s="29">
        <f>IF(C63-Table_14634571419404856[Ethiopia]&gt;0, C63-Table_14634571419404856[Ethiopia], 0)</f>
        <v>91.802504258956532</v>
      </c>
      <c r="I63" s="29">
        <f>IF(C63-Table_14634571419404856[Kenya]&gt;0, C63-Table_14634571419404856[Kenya], 0)</f>
        <v>14.622171687115129</v>
      </c>
      <c r="J63" s="29">
        <f>IF(C63-Table_14634571419404856[Rwanda]&gt;0, C63-Table_14634571419404856[Rwanda], 0)</f>
        <v>5.0957296792115132</v>
      </c>
      <c r="K63" s="29">
        <f>IF(C63-Table_14634571419404856[Sudan]&gt;0, C63-Table_14634571419404856[Sudan], 0)</f>
        <v>32.785471097611328</v>
      </c>
      <c r="L63" s="29">
        <f>IF(C63-Table_14634571419404856[S. Sudan]&gt;0, C63-Table_14634571419404856[S. Sudan], 0)</f>
        <v>22.87848154528044</v>
      </c>
      <c r="M63" s="29">
        <f>IF(C63-Table_14634571419404856[Tanzania]&gt;0, C63-Table_14634571419404856[Tanzania], 0)</f>
        <v>23.996952779505474</v>
      </c>
      <c r="N63" s="29">
        <f>IF(C63-Table_14634571419404856[Uganda]&gt;0, C63-Table_14634571419404856[Uganda], 0)</f>
        <v>20.047201176126283</v>
      </c>
      <c r="P63" s="21" t="s">
        <v>4</v>
      </c>
      <c r="Q63" s="97">
        <f t="shared" si="8"/>
        <v>-4.3203991282885768E-3</v>
      </c>
      <c r="R63" s="97">
        <f t="shared" si="7"/>
        <v>-4.3203991282885768E-3</v>
      </c>
      <c r="S63" s="97">
        <f t="shared" si="7"/>
        <v>-4.3203991282885768E-3</v>
      </c>
      <c r="T63" s="97">
        <f t="shared" si="7"/>
        <v>-4.3203991282885768E-3</v>
      </c>
      <c r="U63" s="97">
        <f t="shared" si="7"/>
        <v>-4.3203991282885768E-3</v>
      </c>
      <c r="V63" s="97">
        <f t="shared" si="7"/>
        <v>-4.3203991282885768E-3</v>
      </c>
      <c r="W63" s="97">
        <f t="shared" si="7"/>
        <v>-4.3203991282885768E-3</v>
      </c>
      <c r="X63" s="97">
        <f t="shared" si="7"/>
        <v>-4.3203991282885768E-3</v>
      </c>
      <c r="Y63" s="97">
        <f t="shared" si="7"/>
        <v>-4.3203991282885768E-3</v>
      </c>
      <c r="Z63" s="97">
        <f t="shared" si="7"/>
        <v>-4.3203991282885768E-3</v>
      </c>
      <c r="AA63" s="97">
        <f t="shared" si="7"/>
        <v>-4.3203991282885768E-3</v>
      </c>
    </row>
    <row r="64" spans="2:31" ht="12.75" customHeight="1" x14ac:dyDescent="0.25">
      <c r="B64" s="21" t="s">
        <v>4</v>
      </c>
      <c r="C64" s="95">
        <f>Annual_sorted!P182</f>
        <v>-92.238299943668025</v>
      </c>
      <c r="D64" s="29">
        <f>IF(C64-Table_14634571419404856[Burundi]&gt;0, C64-Table_14634571419404856[Burundi], 0)</f>
        <v>0</v>
      </c>
      <c r="E64" s="29">
        <f>IF(C64-Table_14634571419404856[DRC]&gt;0, C64-Table_14634571419404856[DRC], 0)</f>
        <v>0</v>
      </c>
      <c r="F64" s="29">
        <f>IF(C64-Table_14634571419404856[Egypt]&gt;0, C64-Table_14634571419404856[Egypt], 0)</f>
        <v>0</v>
      </c>
      <c r="G64" s="29">
        <f>IF(C64-Table_14634571419404856[Eritrea]&gt;0, C64-Table_14634571419404856[Eritrea], 0)</f>
        <v>0</v>
      </c>
      <c r="H64" s="29">
        <f>IF(C64-Table_14634571419404856[Ethiopia]&gt;0, C64-Table_14634571419404856[Ethiopia], 0)</f>
        <v>0</v>
      </c>
      <c r="I64" s="29">
        <f>IF(C64-Table_14634571419404856[Kenya]&gt;0, C64-Table_14634571419404856[Kenya], 0)</f>
        <v>0</v>
      </c>
      <c r="J64" s="29">
        <f>IF(C64-Table_14634571419404856[Rwanda]&gt;0, C64-Table_14634571419404856[Rwanda], 0)</f>
        <v>0</v>
      </c>
      <c r="K64" s="29">
        <f>IF(C64-Table_14634571419404856[Sudan]&gt;0, C64-Table_14634571419404856[Sudan], 0)</f>
        <v>0</v>
      </c>
      <c r="L64" s="29">
        <f>IF(C64-Table_14634571419404856[S. Sudan]&gt;0, C64-Table_14634571419404856[S. Sudan], 0)</f>
        <v>0</v>
      </c>
      <c r="M64" s="29">
        <f>IF(C64-Table_14634571419404856[Tanzania]&gt;0, C64-Table_14634571419404856[Tanzania], 0)</f>
        <v>0</v>
      </c>
      <c r="N64" s="29">
        <f>IF(C64-Table_14634571419404856[Uganda]&gt;0, C64-Table_14634571419404856[Uganda], 0)</f>
        <v>0</v>
      </c>
      <c r="P64" s="21" t="s">
        <v>5</v>
      </c>
      <c r="Q64" s="97">
        <f t="shared" si="8"/>
        <v>-4.3203991282885768E-3</v>
      </c>
      <c r="R64" s="97">
        <f t="shared" si="7"/>
        <v>-4.3203991282885768E-3</v>
      </c>
      <c r="S64" s="97">
        <f t="shared" si="7"/>
        <v>0.43188097337790304</v>
      </c>
      <c r="T64" s="97">
        <f t="shared" si="7"/>
        <v>-4.3203991282885768E-3</v>
      </c>
      <c r="U64" s="97">
        <f t="shared" si="7"/>
        <v>0.8355603085022677</v>
      </c>
      <c r="V64" s="97">
        <f t="shared" si="7"/>
        <v>-4.3203991282885768E-3</v>
      </c>
      <c r="W64" s="97">
        <f t="shared" si="7"/>
        <v>-4.3203991282885768E-3</v>
      </c>
      <c r="X64" s="97">
        <f t="shared" si="7"/>
        <v>0.19333364372768733</v>
      </c>
      <c r="Y64" s="97">
        <f t="shared" si="7"/>
        <v>8.5525227795363021E-2</v>
      </c>
      <c r="Z64" s="97">
        <f t="shared" si="7"/>
        <v>9.7696494494569588E-2</v>
      </c>
      <c r="AA64" s="97">
        <f t="shared" si="7"/>
        <v>5.4715076028625666E-2</v>
      </c>
    </row>
    <row r="65" spans="1:31" ht="12.75" customHeight="1" x14ac:dyDescent="0.25">
      <c r="B65" s="21" t="s">
        <v>5</v>
      </c>
      <c r="C65" s="95">
        <f>Annual_sorted!P183</f>
        <v>-15.057967371826622</v>
      </c>
      <c r="D65" s="29">
        <f>IF(C65-Table_14634571419404856[Burundi]&gt;0, C65-Table_14634571419404856[Burundi], 0)</f>
        <v>0</v>
      </c>
      <c r="E65" s="29">
        <f>IF(C65-Table_14634571419404856[DRC]&gt;0, C65-Table_14634571419404856[DRC], 0)</f>
        <v>0</v>
      </c>
      <c r="F65" s="29">
        <f>IF(C65-Table_14634571419404856[Egypt]&gt;0, C65-Table_14634571419404856[Egypt], 0)</f>
        <v>40.084462820082429</v>
      </c>
      <c r="G65" s="29">
        <f>IF(C65-Table_14634571419404856[Eritrea]&gt;0, C65-Table_14634571419404856[Eritrea], 0)</f>
        <v>0</v>
      </c>
      <c r="H65" s="29">
        <f>IF(C65-Table_14634571419404856[Ethiopia]&gt;0, C65-Table_14634571419404856[Ethiopia], 0)</f>
        <v>77.180332571841404</v>
      </c>
      <c r="I65" s="29">
        <f>IF(C65-Table_14634571419404856[Kenya]&gt;0, C65-Table_14634571419404856[Kenya], 0)</f>
        <v>0</v>
      </c>
      <c r="J65" s="29">
        <f>IF(C65-Table_14634571419404856[Rwanda]&gt;0, C65-Table_14634571419404856[Rwanda], 0)</f>
        <v>0</v>
      </c>
      <c r="K65" s="29">
        <f>IF(C65-Table_14634571419404856[Sudan]&gt;0, C65-Table_14634571419404856[Sudan], 0)</f>
        <v>18.163299410496201</v>
      </c>
      <c r="L65" s="29">
        <f>IF(C65-Table_14634571419404856[S. Sudan]&gt;0, C65-Table_14634571419404856[S. Sudan], 0)</f>
        <v>8.2563098581653112</v>
      </c>
      <c r="M65" s="29">
        <f>IF(C65-Table_14634571419404856[Tanzania]&gt;0, C65-Table_14634571419404856[Tanzania], 0)</f>
        <v>9.3747810923903447</v>
      </c>
      <c r="N65" s="29">
        <f>IF(C65-Table_14634571419404856[Uganda]&gt;0, C65-Table_14634571419404856[Uganda], 0)</f>
        <v>5.4250294890111537</v>
      </c>
      <c r="P65" s="21" t="s">
        <v>6</v>
      </c>
      <c r="Q65" s="97">
        <f t="shared" si="8"/>
        <v>-4.3203991282885768E-3</v>
      </c>
      <c r="R65" s="97">
        <f t="shared" si="7"/>
        <v>-4.3203991282885768E-3</v>
      </c>
      <c r="S65" s="97">
        <f t="shared" si="7"/>
        <v>0.53554824958913139</v>
      </c>
      <c r="T65" s="97">
        <f t="shared" si="7"/>
        <v>-4.3203991282885768E-3</v>
      </c>
      <c r="U65" s="97">
        <f t="shared" si="7"/>
        <v>0.93922758471349588</v>
      </c>
      <c r="V65" s="97">
        <f t="shared" si="7"/>
        <v>9.9346877082939752E-2</v>
      </c>
      <c r="W65" s="97">
        <f t="shared" si="7"/>
        <v>-4.3203991282885768E-3</v>
      </c>
      <c r="X65" s="97">
        <f t="shared" si="7"/>
        <v>0.29700091993891564</v>
      </c>
      <c r="Y65" s="97">
        <f t="shared" si="7"/>
        <v>0.18919250400659138</v>
      </c>
      <c r="Z65" s="97">
        <f t="shared" si="7"/>
        <v>0.20136377070579797</v>
      </c>
      <c r="AA65" s="97">
        <f t="shared" si="7"/>
        <v>0.158382352239854</v>
      </c>
    </row>
    <row r="66" spans="1:31" ht="12.75" customHeight="1" x14ac:dyDescent="0.25">
      <c r="B66" s="21" t="s">
        <v>6</v>
      </c>
      <c r="C66" s="95">
        <f>Annual_sorted!P184</f>
        <v>-5.5315253639230058</v>
      </c>
      <c r="D66" s="29">
        <f>IF(C66-Table_14634571419404856[Burundi]&gt;0, C66-Table_14634571419404856[Burundi], 0)</f>
        <v>0</v>
      </c>
      <c r="E66" s="29">
        <f>IF(C66-Table_14634571419404856[DRC]&gt;0, C66-Table_14634571419404856[DRC], 0)</f>
        <v>0</v>
      </c>
      <c r="F66" s="29">
        <f>IF(C66-Table_14634571419404856[Egypt]&gt;0, C66-Table_14634571419404856[Egypt], 0)</f>
        <v>49.610904827986047</v>
      </c>
      <c r="G66" s="29">
        <f>IF(C66-Table_14634571419404856[Eritrea]&gt;0, C66-Table_14634571419404856[Eritrea], 0)</f>
        <v>0</v>
      </c>
      <c r="H66" s="29">
        <f>IF(C66-Table_14634571419404856[Ethiopia]&gt;0, C66-Table_14634571419404856[Ethiopia], 0)</f>
        <v>86.706774579745016</v>
      </c>
      <c r="I66" s="29">
        <f>IF(C66-Table_14634571419404856[Kenya]&gt;0, C66-Table_14634571419404856[Kenya], 0)</f>
        <v>9.5264420079036167</v>
      </c>
      <c r="J66" s="29">
        <f>IF(C66-Table_14634571419404856[Rwanda]&gt;0, C66-Table_14634571419404856[Rwanda], 0)</f>
        <v>0</v>
      </c>
      <c r="K66" s="29">
        <f>IF(C66-Table_14634571419404856[Sudan]&gt;0, C66-Table_14634571419404856[Sudan], 0)</f>
        <v>27.689741418399816</v>
      </c>
      <c r="L66" s="29">
        <f>IF(C66-Table_14634571419404856[S. Sudan]&gt;0, C66-Table_14634571419404856[S. Sudan], 0)</f>
        <v>17.782751866068928</v>
      </c>
      <c r="M66" s="29">
        <f>IF(C66-Table_14634571419404856[Tanzania]&gt;0, C66-Table_14634571419404856[Tanzania], 0)</f>
        <v>18.901223100293961</v>
      </c>
      <c r="N66" s="29">
        <f>IF(C66-Table_14634571419404856[Uganda]&gt;0, C66-Table_14634571419404856[Uganda], 0)</f>
        <v>14.95147149691477</v>
      </c>
      <c r="P66" s="21" t="s">
        <v>7</v>
      </c>
      <c r="Q66" s="97">
        <f t="shared" si="8"/>
        <v>-4.3203991282885768E-3</v>
      </c>
      <c r="R66" s="97">
        <f t="shared" si="7"/>
        <v>-4.3203991282885768E-3</v>
      </c>
      <c r="S66" s="97">
        <f t="shared" si="7"/>
        <v>0.2342269305219272</v>
      </c>
      <c r="T66" s="97">
        <f t="shared" si="7"/>
        <v>-4.3203991282885768E-3</v>
      </c>
      <c r="U66" s="97">
        <f t="shared" si="7"/>
        <v>0.63790626564629171</v>
      </c>
      <c r="V66" s="97">
        <f t="shared" si="7"/>
        <v>-4.3203991282885768E-3</v>
      </c>
      <c r="W66" s="97">
        <f t="shared" si="7"/>
        <v>-4.3203991282885768E-3</v>
      </c>
      <c r="X66" s="97">
        <f t="shared" si="7"/>
        <v>-4.3203991282885768E-3</v>
      </c>
      <c r="Y66" s="97">
        <f t="shared" si="7"/>
        <v>-4.3203991282885768E-3</v>
      </c>
      <c r="Z66" s="97">
        <f t="shared" si="7"/>
        <v>-4.3203991282885768E-3</v>
      </c>
      <c r="AA66" s="97">
        <f t="shared" si="7"/>
        <v>-4.3203991282885768E-3</v>
      </c>
    </row>
    <row r="67" spans="1:31" ht="12.75" customHeight="1" x14ac:dyDescent="0.25">
      <c r="B67" s="21" t="s">
        <v>7</v>
      </c>
      <c r="C67" s="95">
        <f>Annual_sorted!P185</f>
        <v>-33.221266782322822</v>
      </c>
      <c r="D67" s="29">
        <f>IF(C67-Table_14634571419404856[Burundi]&gt;0, C67-Table_14634571419404856[Burundi], 0)</f>
        <v>0</v>
      </c>
      <c r="E67" s="29">
        <f>IF(C67-Table_14634571419404856[DRC]&gt;0, C67-Table_14634571419404856[DRC], 0)</f>
        <v>0</v>
      </c>
      <c r="F67" s="29">
        <f>IF(C67-Table_14634571419404856[Egypt]&gt;0, C67-Table_14634571419404856[Egypt], 0)</f>
        <v>21.921163409586228</v>
      </c>
      <c r="G67" s="29">
        <f>IF(C67-Table_14634571419404856[Eritrea]&gt;0, C67-Table_14634571419404856[Eritrea], 0)</f>
        <v>0</v>
      </c>
      <c r="H67" s="29">
        <f>IF(C67-Table_14634571419404856[Ethiopia]&gt;0, C67-Table_14634571419404856[Ethiopia], 0)</f>
        <v>59.017033161345203</v>
      </c>
      <c r="I67" s="29">
        <f>IF(C67-Table_14634571419404856[Kenya]&gt;0, C67-Table_14634571419404856[Kenya], 0)</f>
        <v>0</v>
      </c>
      <c r="J67" s="29">
        <f>IF(C67-Table_14634571419404856[Rwanda]&gt;0, C67-Table_14634571419404856[Rwanda], 0)</f>
        <v>0</v>
      </c>
      <c r="K67" s="29">
        <f>IF(C67-Table_14634571419404856[Sudan]&gt;0, C67-Table_14634571419404856[Sudan], 0)</f>
        <v>0</v>
      </c>
      <c r="L67" s="29">
        <f>IF(C67-Table_14634571419404856[S. Sudan]&gt;0, C67-Table_14634571419404856[S. Sudan], 0)</f>
        <v>0</v>
      </c>
      <c r="M67" s="29">
        <f>IF(C67-Table_14634571419404856[Tanzania]&gt;0, C67-Table_14634571419404856[Tanzania], 0)</f>
        <v>0</v>
      </c>
      <c r="N67" s="29">
        <f>IF(C67-Table_14634571419404856[Uganda]&gt;0, C67-Table_14634571419404856[Uganda], 0)</f>
        <v>0</v>
      </c>
      <c r="P67" s="21" t="s">
        <v>8</v>
      </c>
      <c r="Q67" s="97">
        <f t="shared" si="8"/>
        <v>-4.3203991282885768E-3</v>
      </c>
      <c r="R67" s="97">
        <f t="shared" si="7"/>
        <v>-4.3203991282885768E-3</v>
      </c>
      <c r="S67" s="97">
        <f t="shared" si="7"/>
        <v>0.34203534645425149</v>
      </c>
      <c r="T67" s="97">
        <f t="shared" si="7"/>
        <v>-4.3203991282885768E-3</v>
      </c>
      <c r="U67" s="97">
        <f t="shared" si="7"/>
        <v>0.74571468157861609</v>
      </c>
      <c r="V67" s="97">
        <f t="shared" si="7"/>
        <v>-4.3203991282885768E-3</v>
      </c>
      <c r="W67" s="97">
        <f t="shared" si="7"/>
        <v>-4.3203991282885768E-3</v>
      </c>
      <c r="X67" s="97">
        <f t="shared" si="7"/>
        <v>0.1034880168040357</v>
      </c>
      <c r="Y67" s="97">
        <f t="shared" si="7"/>
        <v>-4.3203991282885768E-3</v>
      </c>
      <c r="Z67" s="97">
        <f t="shared" si="7"/>
        <v>7.8508675709180117E-3</v>
      </c>
      <c r="AA67" s="97">
        <f>$AE$59+(N68-$AE$57)*($AE$60-$AE$59)/($AE$58-$AE$57)</f>
        <v>-4.3203991282885768E-3</v>
      </c>
    </row>
    <row r="68" spans="1:31" ht="12.75" customHeight="1" x14ac:dyDescent="0.25">
      <c r="B68" s="21" t="s">
        <v>8</v>
      </c>
      <c r="C68" s="95">
        <f>Annual_sorted!P186</f>
        <v>-23.314277229991934</v>
      </c>
      <c r="D68" s="29">
        <f>IF(C68-Table_14634571419404856[Burundi]&gt;0, C68-Table_14634571419404856[Burundi], 0)</f>
        <v>0</v>
      </c>
      <c r="E68" s="29">
        <f>IF(C68-Table_14634571419404856[DRC]&gt;0, C68-Table_14634571419404856[DRC], 0)</f>
        <v>0</v>
      </c>
      <c r="F68" s="29">
        <f>IF(C68-Table_14634571419404856[Egypt]&gt;0, C68-Table_14634571419404856[Egypt], 0)</f>
        <v>31.828152961917116</v>
      </c>
      <c r="G68" s="29">
        <f>IF(C68-Table_14634571419404856[Eritrea]&gt;0, C68-Table_14634571419404856[Eritrea], 0)</f>
        <v>0</v>
      </c>
      <c r="H68" s="29">
        <f>IF(C68-Table_14634571419404856[Ethiopia]&gt;0, C68-Table_14634571419404856[Ethiopia], 0)</f>
        <v>68.924022713676095</v>
      </c>
      <c r="I68" s="29">
        <f>IF(C68-Table_14634571419404856[Kenya]&gt;0, C68-Table_14634571419404856[Kenya], 0)</f>
        <v>0</v>
      </c>
      <c r="J68" s="29">
        <f>IF(C68-Table_14634571419404856[Rwanda]&gt;0, C68-Table_14634571419404856[Rwanda], 0)</f>
        <v>0</v>
      </c>
      <c r="K68" s="29">
        <f>IF(C68-Table_14634571419404856[Sudan]&gt;0, C68-Table_14634571419404856[Sudan], 0)</f>
        <v>9.906989552330888</v>
      </c>
      <c r="L68" s="29">
        <f>IF(C68-Table_14634571419404856[S. Sudan]&gt;0, C68-Table_14634571419404856[S. Sudan], 0)</f>
        <v>0</v>
      </c>
      <c r="M68" s="29">
        <f>IF(C68-Table_14634571419404856[Tanzania]&gt;0, C68-Table_14634571419404856[Tanzania], 0)</f>
        <v>1.1184712342250336</v>
      </c>
      <c r="N68" s="29">
        <f>IF(C68-Table_14634571419404856[Uganda]&gt;0, C68-Table_14634571419404856[Uganda], 0)</f>
        <v>0</v>
      </c>
      <c r="P68" s="21" t="s">
        <v>9</v>
      </c>
      <c r="Q68" s="97">
        <f t="shared" si="8"/>
        <v>-4.3203991282885768E-3</v>
      </c>
      <c r="R68" s="97">
        <f t="shared" si="7"/>
        <v>-4.3203991282885768E-3</v>
      </c>
      <c r="S68" s="97">
        <f t="shared" si="7"/>
        <v>0.32986407975504489</v>
      </c>
      <c r="T68" s="97">
        <f t="shared" si="7"/>
        <v>-4.3203991282885768E-3</v>
      </c>
      <c r="U68" s="97">
        <f t="shared" si="7"/>
        <v>0.73354341487940944</v>
      </c>
      <c r="V68" s="97">
        <f t="shared" si="7"/>
        <v>-4.3203991282885768E-3</v>
      </c>
      <c r="W68" s="97">
        <f t="shared" si="7"/>
        <v>-4.3203991282885768E-3</v>
      </c>
      <c r="X68" s="97">
        <f t="shared" si="7"/>
        <v>9.131675010482912E-2</v>
      </c>
      <c r="Y68" s="97">
        <f t="shared" si="7"/>
        <v>-4.3203991282885768E-3</v>
      </c>
      <c r="Z68" s="97">
        <f t="shared" si="7"/>
        <v>-4.3203991282885768E-3</v>
      </c>
      <c r="AA68" s="97">
        <f t="shared" si="7"/>
        <v>-4.3203991282885768E-3</v>
      </c>
    </row>
    <row r="69" spans="1:31" ht="12.75" customHeight="1" thickBot="1" x14ac:dyDescent="0.3">
      <c r="B69" s="21" t="s">
        <v>9</v>
      </c>
      <c r="C69" s="95">
        <f>Annual_sorted!P187</f>
        <v>-24.432748464216967</v>
      </c>
      <c r="D69" s="29">
        <f>IF(C69-Table_14634571419404856[Burundi]&gt;0, C69-Table_14634571419404856[Burundi], 0)</f>
        <v>0</v>
      </c>
      <c r="E69" s="29">
        <f>IF(C69-Table_14634571419404856[DRC]&gt;0, C69-Table_14634571419404856[DRC], 0)</f>
        <v>0</v>
      </c>
      <c r="F69" s="29">
        <f>IF(C69-Table_14634571419404856[Egypt]&gt;0, C69-Table_14634571419404856[Egypt], 0)</f>
        <v>30.709681727692082</v>
      </c>
      <c r="G69" s="29">
        <f>IF(C69-Table_14634571419404856[Eritrea]&gt;0, C69-Table_14634571419404856[Eritrea], 0)</f>
        <v>0</v>
      </c>
      <c r="H69" s="29">
        <f>IF(C69-Table_14634571419404856[Ethiopia]&gt;0, C69-Table_14634571419404856[Ethiopia], 0)</f>
        <v>67.805551479451054</v>
      </c>
      <c r="I69" s="29">
        <f>IF(C69-Table_14634571419404856[Kenya]&gt;0, C69-Table_14634571419404856[Kenya], 0)</f>
        <v>0</v>
      </c>
      <c r="J69" s="29">
        <f>IF(C69-Table_14634571419404856[Rwanda]&gt;0, C69-Table_14634571419404856[Rwanda], 0)</f>
        <v>0</v>
      </c>
      <c r="K69" s="29">
        <f>IF(C69-Table_14634571419404856[Sudan]&gt;0, C69-Table_14634571419404856[Sudan], 0)</f>
        <v>8.7885183181058544</v>
      </c>
      <c r="L69" s="29">
        <f>IF(C69-Table_14634571419404856[S. Sudan]&gt;0, C69-Table_14634571419404856[S. Sudan], 0)</f>
        <v>0</v>
      </c>
      <c r="M69" s="29">
        <f>IF(C69-Table_14634571419404856[Tanzania]&gt;0, C69-Table_14634571419404856[Tanzania], 0)</f>
        <v>0</v>
      </c>
      <c r="N69" s="29">
        <f>IF(C69-Table_14634571419404856[Uganda]&gt;0, C69-Table_14634571419404856[Uganda], 0)</f>
        <v>0</v>
      </c>
      <c r="P69" s="22" t="s">
        <v>10</v>
      </c>
      <c r="Q69" s="98">
        <f t="shared" si="8"/>
        <v>-4.3203991282885768E-3</v>
      </c>
      <c r="R69" s="98">
        <f t="shared" si="7"/>
        <v>-4.3203991282885768E-3</v>
      </c>
      <c r="S69" s="98">
        <f t="shared" si="7"/>
        <v>0.37284549822098878</v>
      </c>
      <c r="T69" s="98">
        <f t="shared" si="7"/>
        <v>-4.3203991282885768E-3</v>
      </c>
      <c r="U69" s="98">
        <f t="shared" si="7"/>
        <v>0.77652483334535338</v>
      </c>
      <c r="V69" s="98">
        <f t="shared" si="7"/>
        <v>-4.3203991282885768E-3</v>
      </c>
      <c r="W69" s="98">
        <f t="shared" si="7"/>
        <v>-4.3203991282885768E-3</v>
      </c>
      <c r="X69" s="98">
        <f t="shared" si="7"/>
        <v>0.13429816857077306</v>
      </c>
      <c r="Y69" s="98">
        <f t="shared" si="7"/>
        <v>2.6489752638448785E-2</v>
      </c>
      <c r="Z69" s="98">
        <f t="shared" si="7"/>
        <v>3.8661019337655367E-2</v>
      </c>
      <c r="AA69" s="98">
        <f t="shared" si="7"/>
        <v>-4.3203991282885768E-3</v>
      </c>
      <c r="AB69" s="186">
        <f>SUM(Q59:AA69)</f>
        <v>17.274567170002506</v>
      </c>
    </row>
    <row r="70" spans="1:31" ht="12.75" customHeight="1" thickBot="1" x14ac:dyDescent="0.3">
      <c r="B70" s="22" t="s">
        <v>10</v>
      </c>
      <c r="C70" s="96">
        <f>Annual_sorted!P188</f>
        <v>-20.482996860837776</v>
      </c>
      <c r="D70" s="32">
        <f>IF(C70-Table_14634571419404856[Burundi]&gt;0, C70-Table_14634571419404856[Burundi], 0)</f>
        <v>0</v>
      </c>
      <c r="E70" s="32">
        <f>IF(C70-Table_14634571419404856[DRC]&gt;0, C70-Table_14634571419404856[DRC], 0)</f>
        <v>0</v>
      </c>
      <c r="F70" s="32">
        <f>IF(C70-Table_14634571419404856[Egypt]&gt;0, C70-Table_14634571419404856[Egypt], 0)</f>
        <v>34.65943333107127</v>
      </c>
      <c r="G70" s="32">
        <f>IF(C70-Table_14634571419404856[Eritrea]&gt;0, C70-Table_14634571419404856[Eritrea], 0)</f>
        <v>0</v>
      </c>
      <c r="H70" s="32">
        <f>IF(C70-Table_14634571419404856[Ethiopia]&gt;0, C70-Table_14634571419404856[Ethiopia], 0)</f>
        <v>71.755303082830252</v>
      </c>
      <c r="I70" s="32">
        <f>IF(C70-Table_14634571419404856[Kenya]&gt;0, C70-Table_14634571419404856[Kenya], 0)</f>
        <v>0</v>
      </c>
      <c r="J70" s="32">
        <f>IF(C70-Table_14634571419404856[Rwanda]&gt;0, C70-Table_14634571419404856[Rwanda], 0)</f>
        <v>0</v>
      </c>
      <c r="K70" s="32">
        <f>IF(C70-Table_14634571419404856[Sudan]&gt;0, C70-Table_14634571419404856[Sudan], 0)</f>
        <v>12.738269921485045</v>
      </c>
      <c r="L70" s="32">
        <f>IF(C70-Table_14634571419404856[S. Sudan]&gt;0, C70-Table_14634571419404856[S. Sudan], 0)</f>
        <v>2.8312803691541575</v>
      </c>
      <c r="M70" s="32">
        <f>IF(C70-Table_14634571419404856[Tanzania]&gt;0, C70-Table_14634571419404856[Tanzania], 0)</f>
        <v>3.9497516033791911</v>
      </c>
      <c r="N70" s="32">
        <f>IF(C70-Table_14634571419404856[Uganda]&gt;0, C70-Table_14634571419404856[Uganda], 0)</f>
        <v>0</v>
      </c>
    </row>
    <row r="71" spans="1:31" ht="12.75" customHeight="1" x14ac:dyDescent="0.25"/>
    <row r="72" spans="1:31" ht="12.75" customHeight="1" x14ac:dyDescent="0.25"/>
    <row r="73" spans="1:31" ht="12.75" customHeight="1" x14ac:dyDescent="0.25"/>
    <row r="74" spans="1:31" ht="24" customHeight="1" x14ac:dyDescent="0.25">
      <c r="A74" s="252" t="s">
        <v>82</v>
      </c>
      <c r="B74" s="252"/>
      <c r="C74" s="252"/>
      <c r="D74" s="252"/>
      <c r="E74" s="252"/>
      <c r="F74" s="252"/>
    </row>
    <row r="75" spans="1:31" ht="12.75" customHeight="1" x14ac:dyDescent="0.25"/>
    <row r="76" spans="1:31" ht="12.75" customHeight="1" x14ac:dyDescent="0.25">
      <c r="B76" s="5"/>
      <c r="C76" s="5"/>
      <c r="D76" s="5"/>
      <c r="E76" s="5"/>
      <c r="F76" s="5"/>
      <c r="G76" s="5"/>
      <c r="H76" s="5"/>
      <c r="I76" s="5"/>
      <c r="J76" s="5"/>
      <c r="K76" s="5"/>
      <c r="L76" s="5"/>
      <c r="M76" s="5"/>
      <c r="N76" s="5"/>
      <c r="O76" s="5"/>
      <c r="P76" s="5"/>
      <c r="Q76" s="5"/>
      <c r="R76" s="5"/>
      <c r="S76" s="5"/>
      <c r="T76" s="5"/>
      <c r="U76" s="5"/>
      <c r="V76" s="5"/>
      <c r="W76" s="5"/>
      <c r="X76" s="5"/>
      <c r="Y76" s="5"/>
      <c r="Z76" s="5"/>
      <c r="AA76" s="5"/>
    </row>
    <row r="77" spans="1:31" ht="12.75" customHeight="1" thickBot="1" x14ac:dyDescent="0.3">
      <c r="B77" s="253" t="s">
        <v>83</v>
      </c>
      <c r="C77" s="253"/>
      <c r="D77" s="253"/>
      <c r="E77" s="253"/>
      <c r="F77" s="253"/>
      <c r="G77" s="253"/>
      <c r="H77" s="253"/>
      <c r="I77" s="253"/>
      <c r="J77" s="253"/>
      <c r="K77" s="253"/>
      <c r="L77" s="253"/>
      <c r="M77" s="253"/>
      <c r="N77" s="253"/>
      <c r="O77" s="5"/>
      <c r="P77" s="253" t="s">
        <v>84</v>
      </c>
      <c r="Q77" s="253"/>
      <c r="R77" s="253"/>
      <c r="S77" s="253"/>
      <c r="T77" s="253"/>
      <c r="U77" s="253"/>
      <c r="V77" s="253"/>
      <c r="W77" s="253"/>
      <c r="X77" s="253"/>
      <c r="Y77" s="253"/>
      <c r="Z77" s="253"/>
      <c r="AA77" s="253"/>
      <c r="AB77" s="10"/>
      <c r="AC77" s="3" t="s">
        <v>22</v>
      </c>
      <c r="AD77" s="13" t="s">
        <v>23</v>
      </c>
      <c r="AE77" s="74">
        <f t="array" ref="AE77">MIN(IF(D80:N90&gt;0,D80:N90))</f>
        <v>17.827112452903346</v>
      </c>
    </row>
    <row r="78" spans="1:31" ht="12.75" customHeight="1" thickBot="1" x14ac:dyDescent="0.3">
      <c r="B78" s="75" t="s">
        <v>13</v>
      </c>
      <c r="C78" s="66" t="s">
        <v>14</v>
      </c>
      <c r="D78" s="67" t="s">
        <v>1</v>
      </c>
      <c r="E78" s="67" t="s">
        <v>195</v>
      </c>
      <c r="F78" s="67" t="s">
        <v>2</v>
      </c>
      <c r="G78" s="67" t="s">
        <v>3</v>
      </c>
      <c r="H78" s="67" t="s">
        <v>4</v>
      </c>
      <c r="I78" s="67" t="s">
        <v>5</v>
      </c>
      <c r="J78" s="67" t="s">
        <v>6</v>
      </c>
      <c r="K78" s="67" t="s">
        <v>7</v>
      </c>
      <c r="L78" s="67" t="s">
        <v>295</v>
      </c>
      <c r="M78" s="67" t="s">
        <v>9</v>
      </c>
      <c r="N78" s="67" t="s">
        <v>10</v>
      </c>
      <c r="P78" s="76" t="s">
        <v>19</v>
      </c>
      <c r="Q78" s="77" t="s">
        <v>1</v>
      </c>
      <c r="R78" s="77" t="s">
        <v>195</v>
      </c>
      <c r="S78" s="77" t="s">
        <v>2</v>
      </c>
      <c r="T78" s="77" t="s">
        <v>3</v>
      </c>
      <c r="U78" s="77" t="s">
        <v>4</v>
      </c>
      <c r="V78" s="77" t="s">
        <v>5</v>
      </c>
      <c r="W78" s="77" t="s">
        <v>6</v>
      </c>
      <c r="X78" s="77" t="s">
        <v>7</v>
      </c>
      <c r="Y78" s="77" t="s">
        <v>295</v>
      </c>
      <c r="Z78" s="77" t="s">
        <v>9</v>
      </c>
      <c r="AA78" s="77" t="s">
        <v>10</v>
      </c>
      <c r="AB78" s="254" t="s">
        <v>26</v>
      </c>
      <c r="AC78" s="254"/>
      <c r="AD78" s="13" t="s">
        <v>24</v>
      </c>
      <c r="AE78" s="20">
        <f>MAX(D80:N90)</f>
        <v>1738.8631565964197</v>
      </c>
    </row>
    <row r="79" spans="1:31" ht="12.75" customHeight="1" x14ac:dyDescent="0.25">
      <c r="B79" s="93"/>
      <c r="C79" s="94" t="s">
        <v>261</v>
      </c>
      <c r="D79" s="95">
        <f>C80</f>
        <v>57.297540525579208</v>
      </c>
      <c r="E79" s="95">
        <f>C81</f>
        <v>15.222825649297228</v>
      </c>
      <c r="F79" s="95">
        <f>C82</f>
        <v>-2.6042868036061178</v>
      </c>
      <c r="G79" s="95">
        <f>C83</f>
        <v>34.372219977330644</v>
      </c>
      <c r="H79" s="95">
        <f>C84</f>
        <v>1046.9784952612051</v>
      </c>
      <c r="I79" s="95">
        <f>C85</f>
        <v>266.58413727486271</v>
      </c>
      <c r="J79" s="95">
        <f>C86</f>
        <v>102.59231061831397</v>
      </c>
      <c r="K79" s="95">
        <f>C87</f>
        <v>1153.7070200289188</v>
      </c>
      <c r="L79" s="95">
        <f>C88</f>
        <v>-585.15613656750077</v>
      </c>
      <c r="M79" s="95">
        <f>C89</f>
        <v>292.86776741599476</v>
      </c>
      <c r="N79" s="95">
        <f>C90</f>
        <v>384.56596456336263</v>
      </c>
      <c r="P79" s="21" t="s">
        <v>1</v>
      </c>
      <c r="Q79" s="97">
        <f>$AE$79+(D80-$AE$77)*($AE$80-$AE$79)/($AE$78-$AE$77)</f>
        <v>-9.3480025308321398E-3</v>
      </c>
      <c r="R79" s="97">
        <f t="shared" ref="R79:AA89" si="9">$AE$79+(E80-$AE$77)*($AE$80-$AE$79)/($AE$78-$AE$77)</f>
        <v>1.5074867811969705E-2</v>
      </c>
      <c r="S79" s="97">
        <f t="shared" si="9"/>
        <v>2.5422870342801846E-2</v>
      </c>
      <c r="T79" s="97">
        <f t="shared" si="9"/>
        <v>3.9593278447485909E-3</v>
      </c>
      <c r="U79" s="97">
        <f t="shared" si="9"/>
        <v>-9.3480025308321398E-3</v>
      </c>
      <c r="V79" s="97">
        <f t="shared" si="9"/>
        <v>-9.3480025308321398E-3</v>
      </c>
      <c r="W79" s="97">
        <f t="shared" si="9"/>
        <v>-9.3480025308321398E-3</v>
      </c>
      <c r="X79" s="97">
        <f t="shared" si="9"/>
        <v>-9.3480025308321398E-3</v>
      </c>
      <c r="Y79" s="97">
        <f t="shared" si="9"/>
        <v>0.36357342790637176</v>
      </c>
      <c r="Z79" s="97">
        <f t="shared" si="9"/>
        <v>-9.3480025308321398E-3</v>
      </c>
      <c r="AA79" s="97">
        <f t="shared" si="9"/>
        <v>-9.3480025308321398E-3</v>
      </c>
      <c r="AD79" s="3" t="s">
        <v>25</v>
      </c>
      <c r="AE79" s="2">
        <v>1E-3</v>
      </c>
    </row>
    <row r="80" spans="1:31" ht="12.75" customHeight="1" x14ac:dyDescent="0.25">
      <c r="B80" s="21" t="s">
        <v>1</v>
      </c>
      <c r="C80" s="95">
        <f>Annual_sorted!F178</f>
        <v>57.297540525579208</v>
      </c>
      <c r="D80" s="29">
        <f>IF(C80-Table_146345781324455361[Burundi]&gt;0, C80-Table_146345781324455361[Burundi], 0)</f>
        <v>0</v>
      </c>
      <c r="E80" s="29">
        <f>IF(C80-Table_146345781324455361[DRC]&gt;0, C80-Table_146345781324455361[DRC], 0)</f>
        <v>42.07471487628198</v>
      </c>
      <c r="F80" s="29">
        <f>IF(C80-Table_146345781324455361[Egypt]&gt;0, C80-Table_146345781324455361[Egypt], 0)</f>
        <v>59.901827329185323</v>
      </c>
      <c r="G80" s="29">
        <f>IF(C80-Table_146345781324455361[Eritrea]&gt;0, C80-Table_146345781324455361[Eritrea], 0)</f>
        <v>22.925320548248564</v>
      </c>
      <c r="H80" s="29">
        <f>IF(C80-Table_146345781324455361[Ethiopia]&gt;0, C80-Table_146345781324455361[Ethiopia], 0)</f>
        <v>0</v>
      </c>
      <c r="I80" s="29">
        <f>IF(C80-Table_146345781324455361[Kenya]&gt;0, C80-Table_146345781324455361[Kenya], 0)</f>
        <v>0</v>
      </c>
      <c r="J80" s="29">
        <f>IF(C80-Table_146345781324455361[Rwanda]&gt;0, C80-Table_146345781324455361[Rwanda], 0)</f>
        <v>0</v>
      </c>
      <c r="K80" s="29">
        <f>IF(C80-Table_146345781324455361[Sudan]&gt;0, C80-Table_146345781324455361[Sudan], 0)</f>
        <v>0</v>
      </c>
      <c r="L80" s="29">
        <f>IF(C80-Table_146345781324455361[S. Sudan]&gt;0, C80-Table_146345781324455361[S. Sudan], 0)</f>
        <v>642.45367709307993</v>
      </c>
      <c r="M80" s="29">
        <f>IF(C80-Table_146345781324455361[Tanzania]&gt;0, C80-Table_146345781324455361[Tanzania], 0)</f>
        <v>0</v>
      </c>
      <c r="N80" s="29">
        <f>IF(C80-Table_146345781324455361[Uganda]&gt;0, C80-Table_146345781324455361[Uganda], 0)</f>
        <v>0</v>
      </c>
      <c r="P80" s="21" t="s">
        <v>195</v>
      </c>
      <c r="Q80" s="97">
        <f t="shared" ref="Q80:Q89" si="10">$AE$79+(D81-$AE$77)*($AE$80-$AE$79)/($AE$78-$AE$77)</f>
        <v>-9.3480025308321398E-3</v>
      </c>
      <c r="R80" s="97">
        <f t="shared" si="9"/>
        <v>-9.3480025308321398E-3</v>
      </c>
      <c r="S80" s="97">
        <f t="shared" si="9"/>
        <v>1E-3</v>
      </c>
      <c r="T80" s="97">
        <f t="shared" si="9"/>
        <v>-9.3480025308321398E-3</v>
      </c>
      <c r="U80" s="97">
        <f t="shared" si="9"/>
        <v>-9.3480025308321398E-3</v>
      </c>
      <c r="V80" s="97">
        <f t="shared" si="9"/>
        <v>-9.3480025308321398E-3</v>
      </c>
      <c r="W80" s="97">
        <f t="shared" si="9"/>
        <v>-9.3480025308321398E-3</v>
      </c>
      <c r="X80" s="97">
        <f t="shared" si="9"/>
        <v>-9.3480025308321398E-3</v>
      </c>
      <c r="Y80" s="97">
        <f t="shared" si="9"/>
        <v>0.33915055756356988</v>
      </c>
      <c r="Z80" s="97">
        <f t="shared" si="9"/>
        <v>-9.3480025308321398E-3</v>
      </c>
      <c r="AA80" s="97">
        <f t="shared" si="9"/>
        <v>-9.3480025308321398E-3</v>
      </c>
      <c r="AD80" s="3" t="s">
        <v>70</v>
      </c>
      <c r="AE80" s="2">
        <v>1</v>
      </c>
    </row>
    <row r="81" spans="2:31" ht="12.75" customHeight="1" x14ac:dyDescent="0.25">
      <c r="B81" s="21" t="s">
        <v>195</v>
      </c>
      <c r="C81" s="95">
        <f>Annual_sorted!F179</f>
        <v>15.222825649297228</v>
      </c>
      <c r="D81" s="29">
        <f>IF(C81-Table_146345781324455361[Burundi]&gt;0, C81-Table_146345781324455361[Burundi], 0)</f>
        <v>0</v>
      </c>
      <c r="E81" s="29">
        <f>IF(C81-Table_146345781324455361[DRC]&gt;0, C81-Table_146345781324455361[DRC], 0)</f>
        <v>0</v>
      </c>
      <c r="F81" s="29">
        <f>IF(C81-Table_146345781324455361[Egypt]&gt;0, C81-Table_146345781324455361[Egypt], 0)</f>
        <v>17.827112452903346</v>
      </c>
      <c r="G81" s="29">
        <f>IF(C81-Table_146345781324455361[Eritrea]&gt;0, C81-Table_146345781324455361[Eritrea], 0)</f>
        <v>0</v>
      </c>
      <c r="H81" s="29">
        <f>IF(C81-Table_146345781324455361[Ethiopia]&gt;0, C81-Table_146345781324455361[Ethiopia], 0)</f>
        <v>0</v>
      </c>
      <c r="I81" s="29">
        <f>IF(C81-Table_146345781324455361[Kenya]&gt;0, C81-Table_146345781324455361[Kenya], 0)</f>
        <v>0</v>
      </c>
      <c r="J81" s="29">
        <f>IF(C81-Table_146345781324455361[Rwanda]&gt;0, C81-Table_146345781324455361[Rwanda], 0)</f>
        <v>0</v>
      </c>
      <c r="K81" s="29">
        <f>IF(C81-Table_146345781324455361[Sudan]&gt;0, C81-Table_146345781324455361[Sudan], 0)</f>
        <v>0</v>
      </c>
      <c r="L81" s="29">
        <f>IF(C81-Table_146345781324455361[S. Sudan]&gt;0, C81-Table_146345781324455361[S. Sudan], 0)</f>
        <v>600.37896221679796</v>
      </c>
      <c r="M81" s="29">
        <f>IF(C81-Table_146345781324455361[Tanzania]&gt;0, C81-Table_146345781324455361[Tanzania], 0)</f>
        <v>0</v>
      </c>
      <c r="N81" s="29">
        <f>IF(C81-Table_146345781324455361[Uganda]&gt;0, C81-Table_146345781324455361[Uganda], 0)</f>
        <v>0</v>
      </c>
      <c r="P81" s="21" t="s">
        <v>2</v>
      </c>
      <c r="Q81" s="97">
        <f t="shared" si="10"/>
        <v>-9.3480025308321398E-3</v>
      </c>
      <c r="R81" s="97">
        <f t="shared" si="9"/>
        <v>-9.3480025308321398E-3</v>
      </c>
      <c r="S81" s="97">
        <f t="shared" si="9"/>
        <v>-9.3480025308321398E-3</v>
      </c>
      <c r="T81" s="97">
        <f t="shared" si="9"/>
        <v>-9.3480025308321398E-3</v>
      </c>
      <c r="U81" s="97">
        <f t="shared" si="9"/>
        <v>-9.3480025308321398E-3</v>
      </c>
      <c r="V81" s="97">
        <f t="shared" si="9"/>
        <v>-9.3480025308321398E-3</v>
      </c>
      <c r="W81" s="97">
        <f t="shared" si="9"/>
        <v>-9.3480025308321398E-3</v>
      </c>
      <c r="X81" s="97">
        <f t="shared" si="9"/>
        <v>-9.3480025308321398E-3</v>
      </c>
      <c r="Y81" s="97">
        <f t="shared" si="9"/>
        <v>0.32880255503273781</v>
      </c>
      <c r="Z81" s="97">
        <f t="shared" si="9"/>
        <v>-9.3480025308321398E-3</v>
      </c>
      <c r="AA81" s="97">
        <f t="shared" si="9"/>
        <v>-9.3480025308321398E-3</v>
      </c>
    </row>
    <row r="82" spans="2:31" ht="12.75" customHeight="1" x14ac:dyDescent="0.25">
      <c r="B82" s="21" t="s">
        <v>2</v>
      </c>
      <c r="C82" s="95">
        <f>Annual_sorted!F180</f>
        <v>-2.6042868036061178</v>
      </c>
      <c r="D82" s="29">
        <f>IF(C82-Table_146345781324455361[Burundi]&gt;0, C82-Table_146345781324455361[Burundi], 0)</f>
        <v>0</v>
      </c>
      <c r="E82" s="29">
        <f>IF(C82-Table_146345781324455361[DRC]&gt;0, C82-Table_146345781324455361[DRC], 0)</f>
        <v>0</v>
      </c>
      <c r="F82" s="29">
        <f>IF(C82-Table_146345781324455361[Egypt]&gt;0, C82-Table_146345781324455361[Egypt], 0)</f>
        <v>0</v>
      </c>
      <c r="G82" s="29">
        <f>IF(C82-Table_146345781324455361[Eritrea]&gt;0, C82-Table_146345781324455361[Eritrea], 0)</f>
        <v>0</v>
      </c>
      <c r="H82" s="29">
        <f>IF(C82-Table_146345781324455361[Ethiopia]&gt;0, C82-Table_146345781324455361[Ethiopia], 0)</f>
        <v>0</v>
      </c>
      <c r="I82" s="29">
        <f>IF(C82-Table_146345781324455361[Kenya]&gt;0, C82-Table_146345781324455361[Kenya], 0)</f>
        <v>0</v>
      </c>
      <c r="J82" s="29">
        <f>IF(C82-Table_146345781324455361[Rwanda]&gt;0, C82-Table_146345781324455361[Rwanda], 0)</f>
        <v>0</v>
      </c>
      <c r="K82" s="29">
        <f>IF(C82-Table_146345781324455361[Sudan]&gt;0, C82-Table_146345781324455361[Sudan], 0)</f>
        <v>0</v>
      </c>
      <c r="L82" s="29">
        <f>IF(C82-Table_146345781324455361[S. Sudan]&gt;0, C82-Table_146345781324455361[S. Sudan], 0)</f>
        <v>582.55184976389467</v>
      </c>
      <c r="M82" s="29">
        <f>IF(C82-Table_146345781324455361[Tanzania]&gt;0, C82-Table_146345781324455361[Tanzania], 0)</f>
        <v>0</v>
      </c>
      <c r="N82" s="29">
        <f>IF(C82-Table_146345781324455361[Uganda]&gt;0, C82-Table_146345781324455361[Uganda], 0)</f>
        <v>0</v>
      </c>
      <c r="P82" s="21" t="s">
        <v>3</v>
      </c>
      <c r="Q82" s="97">
        <f t="shared" si="10"/>
        <v>-9.3480025308321398E-3</v>
      </c>
      <c r="R82" s="97">
        <f t="shared" si="9"/>
        <v>1.7675374363889764E-3</v>
      </c>
      <c r="S82" s="97">
        <f t="shared" si="9"/>
        <v>1.2115539967221117E-2</v>
      </c>
      <c r="T82" s="97">
        <f t="shared" si="9"/>
        <v>-9.3480025308321398E-3</v>
      </c>
      <c r="U82" s="97">
        <f t="shared" si="9"/>
        <v>-9.3480025308321398E-3</v>
      </c>
      <c r="V82" s="97">
        <f t="shared" si="9"/>
        <v>-9.3480025308321398E-3</v>
      </c>
      <c r="W82" s="97">
        <f t="shared" si="9"/>
        <v>-9.3480025308321398E-3</v>
      </c>
      <c r="X82" s="97">
        <f t="shared" si="9"/>
        <v>-9.3480025308321398E-3</v>
      </c>
      <c r="Y82" s="97">
        <f t="shared" si="9"/>
        <v>0.35026609753079108</v>
      </c>
      <c r="Z82" s="97">
        <f t="shared" si="9"/>
        <v>-9.3480025308321398E-3</v>
      </c>
      <c r="AA82" s="97">
        <f t="shared" si="9"/>
        <v>-9.3480025308321398E-3</v>
      </c>
    </row>
    <row r="83" spans="2:31" ht="12.75" customHeight="1" x14ac:dyDescent="0.25">
      <c r="B83" s="21" t="s">
        <v>3</v>
      </c>
      <c r="C83" s="95">
        <f>Annual_sorted!F181</f>
        <v>34.372219977330644</v>
      </c>
      <c r="D83" s="29">
        <f>IF(C83-Table_146345781324455361[Burundi]&gt;0, C83-Table_146345781324455361[Burundi], 0)</f>
        <v>0</v>
      </c>
      <c r="E83" s="29">
        <f>IF(C83-Table_146345781324455361[DRC]&gt;0, C83-Table_146345781324455361[DRC], 0)</f>
        <v>19.149394328033416</v>
      </c>
      <c r="F83" s="29">
        <f>IF(C83-Table_146345781324455361[Egypt]&gt;0, C83-Table_146345781324455361[Egypt], 0)</f>
        <v>36.976506780936759</v>
      </c>
      <c r="G83" s="29">
        <f>IF(C83-Table_146345781324455361[Eritrea]&gt;0, C83-Table_146345781324455361[Eritrea], 0)</f>
        <v>0</v>
      </c>
      <c r="H83" s="29">
        <f>IF(C83-Table_146345781324455361[Ethiopia]&gt;0, C83-Table_146345781324455361[Ethiopia], 0)</f>
        <v>0</v>
      </c>
      <c r="I83" s="29">
        <f>IF(C83-Table_146345781324455361[Kenya]&gt;0, C83-Table_146345781324455361[Kenya], 0)</f>
        <v>0</v>
      </c>
      <c r="J83" s="29">
        <f>IF(C83-Table_146345781324455361[Rwanda]&gt;0, C83-Table_146345781324455361[Rwanda], 0)</f>
        <v>0</v>
      </c>
      <c r="K83" s="29">
        <f>IF(C83-Table_146345781324455361[Sudan]&gt;0, C83-Table_146345781324455361[Sudan], 0)</f>
        <v>0</v>
      </c>
      <c r="L83" s="29">
        <f>IF(C83-Table_146345781324455361[S. Sudan]&gt;0, C83-Table_146345781324455361[S. Sudan], 0)</f>
        <v>619.52835654483147</v>
      </c>
      <c r="M83" s="29">
        <f>IF(C83-Table_146345781324455361[Tanzania]&gt;0, C83-Table_146345781324455361[Tanzania], 0)</f>
        <v>0</v>
      </c>
      <c r="N83" s="29">
        <f>IF(C83-Table_146345781324455361[Uganda]&gt;0, C83-Table_146345781324455361[Uganda], 0)</f>
        <v>0</v>
      </c>
      <c r="P83" s="21" t="s">
        <v>4</v>
      </c>
      <c r="Q83" s="97">
        <f t="shared" si="10"/>
        <v>0.56512647006681671</v>
      </c>
      <c r="R83" s="97">
        <f t="shared" si="9"/>
        <v>0.58954934040961848</v>
      </c>
      <c r="S83" s="97">
        <f t="shared" si="9"/>
        <v>0.59989734294045072</v>
      </c>
      <c r="T83" s="97">
        <f t="shared" si="9"/>
        <v>0.57843380044239745</v>
      </c>
      <c r="U83" s="97">
        <f t="shared" si="9"/>
        <v>-9.3480025308321398E-3</v>
      </c>
      <c r="V83" s="97">
        <f t="shared" si="9"/>
        <v>0.44364307007412046</v>
      </c>
      <c r="W83" s="97">
        <f t="shared" si="9"/>
        <v>0.53883447259435191</v>
      </c>
      <c r="X83" s="97">
        <f t="shared" si="9"/>
        <v>-9.3480025308321398E-3</v>
      </c>
      <c r="Y83" s="97">
        <f t="shared" si="9"/>
        <v>0.93804790050402054</v>
      </c>
      <c r="Z83" s="97">
        <f t="shared" si="9"/>
        <v>0.42838636083764547</v>
      </c>
      <c r="AA83" s="97">
        <f t="shared" si="9"/>
        <v>0.37515883009420364</v>
      </c>
    </row>
    <row r="84" spans="2:31" ht="12.75" customHeight="1" x14ac:dyDescent="0.25">
      <c r="B84" s="21" t="s">
        <v>4</v>
      </c>
      <c r="C84" s="95">
        <f>Annual_sorted!F182</f>
        <v>1046.9784952612051</v>
      </c>
      <c r="D84" s="29">
        <f>IF(C84-Table_146345781324455361[Burundi]&gt;0, C84-Table_146345781324455361[Burundi], 0)</f>
        <v>989.68095473562596</v>
      </c>
      <c r="E84" s="29">
        <f>IF(C84-Table_146345781324455361[DRC]&gt;0, C84-Table_146345781324455361[DRC], 0)</f>
        <v>1031.7556696119079</v>
      </c>
      <c r="F84" s="29">
        <f>IF(C84-Table_146345781324455361[Egypt]&gt;0, C84-Table_146345781324455361[Egypt], 0)</f>
        <v>1049.5827820648112</v>
      </c>
      <c r="G84" s="29">
        <f>IF(C84-Table_146345781324455361[Eritrea]&gt;0, C84-Table_146345781324455361[Eritrea], 0)</f>
        <v>1012.6062752838745</v>
      </c>
      <c r="H84" s="29">
        <f>IF(C84-Table_146345781324455361[Ethiopia]&gt;0, C84-Table_146345781324455361[Ethiopia], 0)</f>
        <v>0</v>
      </c>
      <c r="I84" s="29">
        <f>IF(C84-Table_146345781324455361[Kenya]&gt;0, C84-Table_146345781324455361[Kenya], 0)</f>
        <v>780.39435798634236</v>
      </c>
      <c r="J84" s="29">
        <f>IF(C84-Table_146345781324455361[Rwanda]&gt;0, C84-Table_146345781324455361[Rwanda], 0)</f>
        <v>944.38618464289118</v>
      </c>
      <c r="K84" s="29">
        <f>IF(C84-Table_146345781324455361[Sudan]&gt;0, C84-Table_146345781324455361[Sudan], 0)</f>
        <v>0</v>
      </c>
      <c r="L84" s="29">
        <f>IF(C84-Table_146345781324455361[S. Sudan]&gt;0, C84-Table_146345781324455361[S. Sudan], 0)</f>
        <v>1632.134631828706</v>
      </c>
      <c r="M84" s="29">
        <f>IF(C84-Table_146345781324455361[Tanzania]&gt;0, C84-Table_146345781324455361[Tanzania], 0)</f>
        <v>754.11072784521036</v>
      </c>
      <c r="N84" s="29">
        <f>IF(C84-Table_146345781324455361[Uganda]&gt;0, C84-Table_146345781324455361[Uganda], 0)</f>
        <v>662.4125306978425</v>
      </c>
      <c r="P84" s="21" t="s">
        <v>5</v>
      </c>
      <c r="Q84" s="97">
        <f t="shared" si="10"/>
        <v>0.11213539746186396</v>
      </c>
      <c r="R84" s="97">
        <f t="shared" si="9"/>
        <v>0.13655826780466584</v>
      </c>
      <c r="S84" s="97">
        <f t="shared" si="9"/>
        <v>0.14690627033549794</v>
      </c>
      <c r="T84" s="97">
        <f t="shared" si="9"/>
        <v>0.1254427278374447</v>
      </c>
      <c r="U84" s="97">
        <f t="shared" si="9"/>
        <v>-9.3480025308321398E-3</v>
      </c>
      <c r="V84" s="97">
        <f t="shared" si="9"/>
        <v>-9.3480025308321398E-3</v>
      </c>
      <c r="W84" s="97">
        <f t="shared" si="9"/>
        <v>8.5843399989399244E-2</v>
      </c>
      <c r="X84" s="97">
        <f t="shared" si="9"/>
        <v>-9.3480025308321398E-3</v>
      </c>
      <c r="Y84" s="97">
        <f t="shared" si="9"/>
        <v>0.4850568278990679</v>
      </c>
      <c r="Z84" s="97">
        <f t="shared" si="9"/>
        <v>-9.3480025308321398E-3</v>
      </c>
      <c r="AA84" s="97">
        <f t="shared" si="9"/>
        <v>-9.3480025308321398E-3</v>
      </c>
    </row>
    <row r="85" spans="2:31" ht="12.75" customHeight="1" x14ac:dyDescent="0.25">
      <c r="B85" s="21" t="s">
        <v>5</v>
      </c>
      <c r="C85" s="95">
        <f>Annual_sorted!F183</f>
        <v>266.58413727486271</v>
      </c>
      <c r="D85" s="29">
        <f>IF(C85-Table_146345781324455361[Burundi]&gt;0, C85-Table_146345781324455361[Burundi], 0)</f>
        <v>209.28659674928349</v>
      </c>
      <c r="E85" s="29">
        <f>IF(C85-Table_146345781324455361[DRC]&gt;0, C85-Table_146345781324455361[DRC], 0)</f>
        <v>251.36131162556549</v>
      </c>
      <c r="F85" s="29">
        <f>IF(C85-Table_146345781324455361[Egypt]&gt;0, C85-Table_146345781324455361[Egypt], 0)</f>
        <v>269.18842407846881</v>
      </c>
      <c r="G85" s="29">
        <f>IF(C85-Table_146345781324455361[Eritrea]&gt;0, C85-Table_146345781324455361[Eritrea], 0)</f>
        <v>232.21191729753207</v>
      </c>
      <c r="H85" s="29">
        <f>IF(C85-Table_146345781324455361[Ethiopia]&gt;0, C85-Table_146345781324455361[Ethiopia], 0)</f>
        <v>0</v>
      </c>
      <c r="I85" s="29">
        <f>IF(C85-Table_146345781324455361[Kenya]&gt;0, C85-Table_146345781324455361[Kenya], 0)</f>
        <v>0</v>
      </c>
      <c r="J85" s="29">
        <f>IF(C85-Table_146345781324455361[Rwanda]&gt;0, C85-Table_146345781324455361[Rwanda], 0)</f>
        <v>163.99182665654874</v>
      </c>
      <c r="K85" s="29">
        <f>IF(C85-Table_146345781324455361[Sudan]&gt;0, C85-Table_146345781324455361[Sudan], 0)</f>
        <v>0</v>
      </c>
      <c r="L85" s="29">
        <f>IF(C85-Table_146345781324455361[S. Sudan]&gt;0, C85-Table_146345781324455361[S. Sudan], 0)</f>
        <v>851.74027384236342</v>
      </c>
      <c r="M85" s="29">
        <f>IF(C85-Table_146345781324455361[Tanzania]&gt;0, C85-Table_146345781324455361[Tanzania], 0)</f>
        <v>0</v>
      </c>
      <c r="N85" s="29">
        <f>IF(C85-Table_146345781324455361[Uganda]&gt;0, C85-Table_146345781324455361[Uganda], 0)</f>
        <v>0</v>
      </c>
      <c r="P85" s="21" t="s">
        <v>6</v>
      </c>
      <c r="Q85" s="97">
        <f t="shared" si="10"/>
        <v>1.6943994941632592E-2</v>
      </c>
      <c r="R85" s="97">
        <f t="shared" si="9"/>
        <v>4.1366865284434444E-2</v>
      </c>
      <c r="S85" s="97">
        <f t="shared" si="9"/>
        <v>5.1714867815266574E-2</v>
      </c>
      <c r="T85" s="97">
        <f t="shared" si="9"/>
        <v>3.0251325317213321E-2</v>
      </c>
      <c r="U85" s="97">
        <f t="shared" si="9"/>
        <v>-9.3480025308321398E-3</v>
      </c>
      <c r="V85" s="97">
        <f t="shared" si="9"/>
        <v>-9.3480025308321398E-3</v>
      </c>
      <c r="W85" s="97">
        <f t="shared" si="9"/>
        <v>-9.3480025308321398E-3</v>
      </c>
      <c r="X85" s="97">
        <f t="shared" si="9"/>
        <v>-9.3480025308321398E-3</v>
      </c>
      <c r="Y85" s="97">
        <f t="shared" si="9"/>
        <v>0.38986542537883651</v>
      </c>
      <c r="Z85" s="97">
        <f t="shared" si="9"/>
        <v>-9.3480025308321398E-3</v>
      </c>
      <c r="AA85" s="97">
        <f t="shared" si="9"/>
        <v>-9.3480025308321398E-3</v>
      </c>
    </row>
    <row r="86" spans="2:31" ht="12.75" customHeight="1" x14ac:dyDescent="0.25">
      <c r="B86" s="21" t="s">
        <v>6</v>
      </c>
      <c r="C86" s="95">
        <f>Annual_sorted!F184</f>
        <v>102.59231061831397</v>
      </c>
      <c r="D86" s="29">
        <f>IF(C86-Table_146345781324455361[Burundi]&gt;0, C86-Table_146345781324455361[Burundi], 0)</f>
        <v>45.294770092734765</v>
      </c>
      <c r="E86" s="29">
        <f>IF(C86-Table_146345781324455361[DRC]&gt;0, C86-Table_146345781324455361[DRC], 0)</f>
        <v>87.369484969016753</v>
      </c>
      <c r="F86" s="29">
        <f>IF(C86-Table_146345781324455361[Egypt]&gt;0, C86-Table_146345781324455361[Egypt], 0)</f>
        <v>105.19659742192009</v>
      </c>
      <c r="G86" s="29">
        <f>IF(C86-Table_146345781324455361[Eritrea]&gt;0, C86-Table_146345781324455361[Eritrea], 0)</f>
        <v>68.220090640983329</v>
      </c>
      <c r="H86" s="29">
        <f>IF(C86-Table_146345781324455361[Ethiopia]&gt;0, C86-Table_146345781324455361[Ethiopia], 0)</f>
        <v>0</v>
      </c>
      <c r="I86" s="29">
        <f>IF(C86-Table_146345781324455361[Kenya]&gt;0, C86-Table_146345781324455361[Kenya], 0)</f>
        <v>0</v>
      </c>
      <c r="J86" s="29">
        <f>IF(C86-Table_146345781324455361[Rwanda]&gt;0, C86-Table_146345781324455361[Rwanda], 0)</f>
        <v>0</v>
      </c>
      <c r="K86" s="29">
        <f>IF(C86-Table_146345781324455361[Sudan]&gt;0, C86-Table_146345781324455361[Sudan], 0)</f>
        <v>0</v>
      </c>
      <c r="L86" s="29">
        <f>IF(C86-Table_146345781324455361[S. Sudan]&gt;0, C86-Table_146345781324455361[S. Sudan], 0)</f>
        <v>687.74844718581471</v>
      </c>
      <c r="M86" s="29">
        <f>IF(C86-Table_146345781324455361[Tanzania]&gt;0, C86-Table_146345781324455361[Tanzania], 0)</f>
        <v>0</v>
      </c>
      <c r="N86" s="29">
        <f>IF(C86-Table_146345781324455361[Uganda]&gt;0, C86-Table_146345781324455361[Uganda], 0)</f>
        <v>0</v>
      </c>
      <c r="P86" s="21" t="s">
        <v>7</v>
      </c>
      <c r="Q86" s="97">
        <f t="shared" si="10"/>
        <v>0.62707856956279606</v>
      </c>
      <c r="R86" s="97">
        <f t="shared" si="9"/>
        <v>0.65150143990559795</v>
      </c>
      <c r="S86" s="97">
        <f t="shared" si="9"/>
        <v>0.66184944243643007</v>
      </c>
      <c r="T86" s="97">
        <f t="shared" si="9"/>
        <v>0.6403858999383768</v>
      </c>
      <c r="U86" s="97">
        <f t="shared" si="9"/>
        <v>5.2604096965147285E-2</v>
      </c>
      <c r="V86" s="97">
        <f t="shared" si="9"/>
        <v>0.50559516957009987</v>
      </c>
      <c r="W86" s="97">
        <f t="shared" si="9"/>
        <v>0.60078657209033126</v>
      </c>
      <c r="X86" s="97">
        <f t="shared" si="9"/>
        <v>-9.3480025308321398E-3</v>
      </c>
      <c r="Y86" s="97">
        <f t="shared" si="9"/>
        <v>1</v>
      </c>
      <c r="Z86" s="97">
        <f t="shared" si="9"/>
        <v>0.49033846033362488</v>
      </c>
      <c r="AA86" s="97">
        <f t="shared" si="9"/>
        <v>0.43711092959018305</v>
      </c>
    </row>
    <row r="87" spans="2:31" ht="12.75" customHeight="1" x14ac:dyDescent="0.25">
      <c r="B87" s="21" t="s">
        <v>7</v>
      </c>
      <c r="C87" s="95">
        <f>Annual_sorted!F185</f>
        <v>1153.7070200289188</v>
      </c>
      <c r="D87" s="29">
        <f>IF(C87-Table_146345781324455361[Burundi]&gt;0, C87-Table_146345781324455361[Burundi], 0)</f>
        <v>1096.4094795033395</v>
      </c>
      <c r="E87" s="29">
        <f>IF(C87-Table_146345781324455361[DRC]&gt;0, C87-Table_146345781324455361[DRC], 0)</f>
        <v>1138.4841943796216</v>
      </c>
      <c r="F87" s="29">
        <f>IF(C87-Table_146345781324455361[Egypt]&gt;0, C87-Table_146345781324455361[Egypt], 0)</f>
        <v>1156.3113068325249</v>
      </c>
      <c r="G87" s="29">
        <f>IF(C87-Table_146345781324455361[Eritrea]&gt;0, C87-Table_146345781324455361[Eritrea], 0)</f>
        <v>1119.3348000515882</v>
      </c>
      <c r="H87" s="29">
        <f>IF(C87-Table_146345781324455361[Ethiopia]&gt;0, C87-Table_146345781324455361[Ethiopia], 0)</f>
        <v>106.72852476771368</v>
      </c>
      <c r="I87" s="29">
        <f>IF(C87-Table_146345781324455361[Kenya]&gt;0, C87-Table_146345781324455361[Kenya], 0)</f>
        <v>887.12288275405604</v>
      </c>
      <c r="J87" s="29">
        <f>IF(C87-Table_146345781324455361[Rwanda]&gt;0, C87-Table_146345781324455361[Rwanda], 0)</f>
        <v>1051.1147094106047</v>
      </c>
      <c r="K87" s="29">
        <f>IF(C87-Table_146345781324455361[Sudan]&gt;0, C87-Table_146345781324455361[Sudan], 0)</f>
        <v>0</v>
      </c>
      <c r="L87" s="29">
        <f>IF(C87-Table_146345781324455361[S. Sudan]&gt;0, C87-Table_146345781324455361[S. Sudan], 0)</f>
        <v>1738.8631565964197</v>
      </c>
      <c r="M87" s="29">
        <f>IF(C87-Table_146345781324455361[Tanzania]&gt;0, C87-Table_146345781324455361[Tanzania], 0)</f>
        <v>860.83925261292404</v>
      </c>
      <c r="N87" s="29">
        <f>IF(C87-Table_146345781324455361[Uganda]&gt;0, C87-Table_146345781324455361[Uganda], 0)</f>
        <v>769.14105546555618</v>
      </c>
      <c r="P87" s="21" t="s">
        <v>8</v>
      </c>
      <c r="Q87" s="97">
        <f t="shared" si="10"/>
        <v>-9.3480025308321398E-3</v>
      </c>
      <c r="R87" s="97">
        <f t="shared" si="9"/>
        <v>-9.3480025308321398E-3</v>
      </c>
      <c r="S87" s="97">
        <f t="shared" si="9"/>
        <v>-9.3480025308321398E-3</v>
      </c>
      <c r="T87" s="97">
        <f t="shared" si="9"/>
        <v>-9.3480025308321398E-3</v>
      </c>
      <c r="U87" s="97">
        <f t="shared" si="9"/>
        <v>-9.3480025308321398E-3</v>
      </c>
      <c r="V87" s="97">
        <f t="shared" si="9"/>
        <v>-9.3480025308321398E-3</v>
      </c>
      <c r="W87" s="97">
        <f t="shared" si="9"/>
        <v>-9.3480025308321398E-3</v>
      </c>
      <c r="X87" s="97">
        <f t="shared" si="9"/>
        <v>-9.3480025308321398E-3</v>
      </c>
      <c r="Y87" s="97">
        <f t="shared" si="9"/>
        <v>-9.3480025308321398E-3</v>
      </c>
      <c r="Z87" s="97">
        <f t="shared" si="9"/>
        <v>-9.3480025308321398E-3</v>
      </c>
      <c r="AA87" s="97">
        <f t="shared" si="9"/>
        <v>-9.3480025308321398E-3</v>
      </c>
    </row>
    <row r="88" spans="2:31" ht="12.75" customHeight="1" x14ac:dyDescent="0.25">
      <c r="B88" s="21" t="s">
        <v>8</v>
      </c>
      <c r="C88" s="95">
        <f>Annual_sorted!F186</f>
        <v>-585.15613656750077</v>
      </c>
      <c r="D88" s="29">
        <f>IF(C88-Table_146345781324455361[Burundi]&gt;0, C88-Table_146345781324455361[Burundi], 0)</f>
        <v>0</v>
      </c>
      <c r="E88" s="29">
        <f>IF(C88-Table_146345781324455361[DRC]&gt;0, C88-Table_146345781324455361[DRC], 0)</f>
        <v>0</v>
      </c>
      <c r="F88" s="29">
        <f>IF(C88-Table_146345781324455361[Egypt]&gt;0, C88-Table_146345781324455361[Egypt], 0)</f>
        <v>0</v>
      </c>
      <c r="G88" s="29">
        <f>IF(C88-Table_146345781324455361[Eritrea]&gt;0, C88-Table_146345781324455361[Eritrea], 0)</f>
        <v>0</v>
      </c>
      <c r="H88" s="29">
        <f>IF(C88-Table_146345781324455361[Ethiopia]&gt;0, C88-Table_146345781324455361[Ethiopia], 0)</f>
        <v>0</v>
      </c>
      <c r="I88" s="29">
        <f>IF(C88-Table_146345781324455361[Kenya]&gt;0, C88-Table_146345781324455361[Kenya], 0)</f>
        <v>0</v>
      </c>
      <c r="J88" s="29">
        <f>IF(C88-Table_146345781324455361[Rwanda]&gt;0, C88-Table_146345781324455361[Rwanda], 0)</f>
        <v>0</v>
      </c>
      <c r="K88" s="29">
        <f>IF(C88-Table_146345781324455361[Sudan]&gt;0, C88-Table_146345781324455361[Sudan], 0)</f>
        <v>0</v>
      </c>
      <c r="L88" s="29">
        <f>IF(C88-Table_146345781324455361[S. Sudan]&gt;0, C88-Table_146345781324455361[S. Sudan], 0)</f>
        <v>0</v>
      </c>
      <c r="M88" s="29">
        <f>IF(C88-Table_146345781324455361[Tanzania]&gt;0, C88-Table_146345781324455361[Tanzania], 0)</f>
        <v>0</v>
      </c>
      <c r="N88" s="29">
        <f>IF(C88-Table_146345781324455361[Uganda]&gt;0, C88-Table_146345781324455361[Uganda], 0)</f>
        <v>0</v>
      </c>
      <c r="P88" s="21" t="s">
        <v>9</v>
      </c>
      <c r="Q88" s="97">
        <f t="shared" si="10"/>
        <v>0.12739210669833903</v>
      </c>
      <c r="R88" s="97">
        <f t="shared" si="9"/>
        <v>0.15181497704114089</v>
      </c>
      <c r="S88" s="97">
        <f t="shared" si="9"/>
        <v>0.16216297957197304</v>
      </c>
      <c r="T88" s="97">
        <f t="shared" si="9"/>
        <v>0.1406994370739198</v>
      </c>
      <c r="U88" s="97">
        <f t="shared" si="9"/>
        <v>-9.3480025308321398E-3</v>
      </c>
      <c r="V88" s="97">
        <f t="shared" si="9"/>
        <v>5.9087067056429387E-3</v>
      </c>
      <c r="W88" s="97">
        <f t="shared" si="9"/>
        <v>0.10110010922587433</v>
      </c>
      <c r="X88" s="97">
        <f t="shared" si="9"/>
        <v>-9.3480025308321398E-3</v>
      </c>
      <c r="Y88" s="97">
        <f t="shared" si="9"/>
        <v>0.50031353713554294</v>
      </c>
      <c r="Z88" s="97">
        <f t="shared" si="9"/>
        <v>-9.3480025308321398E-3</v>
      </c>
      <c r="AA88" s="97">
        <f t="shared" si="9"/>
        <v>-9.3480025308321398E-3</v>
      </c>
      <c r="AB88" s="186">
        <f>SUM(Q79:AA89)</f>
        <v>15.965834103144793</v>
      </c>
    </row>
    <row r="89" spans="2:31" ht="12.75" customHeight="1" thickBot="1" x14ac:dyDescent="0.3">
      <c r="B89" s="21" t="s">
        <v>9</v>
      </c>
      <c r="C89" s="95">
        <f>Annual_sorted!F187</f>
        <v>292.86776741599476</v>
      </c>
      <c r="D89" s="29">
        <f>IF(C89-Table_146345781324455361[Burundi]&gt;0, C89-Table_146345781324455361[Burundi], 0)</f>
        <v>235.57022689041554</v>
      </c>
      <c r="E89" s="29">
        <f>IF(C89-Table_146345781324455361[DRC]&gt;0, C89-Table_146345781324455361[DRC], 0)</f>
        <v>277.64494176669751</v>
      </c>
      <c r="F89" s="29">
        <f>IF(C89-Table_146345781324455361[Egypt]&gt;0, C89-Table_146345781324455361[Egypt], 0)</f>
        <v>295.47205421960086</v>
      </c>
      <c r="G89" s="29">
        <f>IF(C89-Table_146345781324455361[Eritrea]&gt;0, C89-Table_146345781324455361[Eritrea], 0)</f>
        <v>258.49554743866412</v>
      </c>
      <c r="H89" s="29">
        <f>IF(C89-Table_146345781324455361[Ethiopia]&gt;0, C89-Table_146345781324455361[Ethiopia], 0)</f>
        <v>0</v>
      </c>
      <c r="I89" s="29">
        <f>IF(C89-Table_146345781324455361[Kenya]&gt;0, C89-Table_146345781324455361[Kenya], 0)</f>
        <v>26.283630141132051</v>
      </c>
      <c r="J89" s="29">
        <f>IF(C89-Table_146345781324455361[Rwanda]&gt;0, C89-Table_146345781324455361[Rwanda], 0)</f>
        <v>190.27545679768079</v>
      </c>
      <c r="K89" s="29">
        <f>IF(C89-Table_146345781324455361[Sudan]&gt;0, C89-Table_146345781324455361[Sudan], 0)</f>
        <v>0</v>
      </c>
      <c r="L89" s="29">
        <f>IF(C89-Table_146345781324455361[S. Sudan]&gt;0, C89-Table_146345781324455361[S. Sudan], 0)</f>
        <v>878.02390398349553</v>
      </c>
      <c r="M89" s="29">
        <f>IF(C89-Table_146345781324455361[Tanzania]&gt;0, C89-Table_146345781324455361[Tanzania], 0)</f>
        <v>0</v>
      </c>
      <c r="N89" s="29">
        <f>IF(C89-Table_146345781324455361[Uganda]&gt;0, C89-Table_146345781324455361[Uganda], 0)</f>
        <v>0</v>
      </c>
      <c r="P89" s="22" t="s">
        <v>10</v>
      </c>
      <c r="Q89" s="98">
        <f t="shared" si="10"/>
        <v>0.18061963744178086</v>
      </c>
      <c r="R89" s="98">
        <f t="shared" si="9"/>
        <v>0.20504250778458269</v>
      </c>
      <c r="S89" s="98">
        <f t="shared" si="9"/>
        <v>0.21539051031541484</v>
      </c>
      <c r="T89" s="98">
        <f t="shared" si="9"/>
        <v>0.1939269678173616</v>
      </c>
      <c r="U89" s="98">
        <f t="shared" si="9"/>
        <v>-9.3480025308321398E-3</v>
      </c>
      <c r="V89" s="98">
        <f t="shared" si="9"/>
        <v>5.913623744908475E-2</v>
      </c>
      <c r="W89" s="98">
        <f t="shared" si="9"/>
        <v>0.15432763996931614</v>
      </c>
      <c r="X89" s="98">
        <f t="shared" si="9"/>
        <v>-9.3480025308321398E-3</v>
      </c>
      <c r="Y89" s="98">
        <f t="shared" si="9"/>
        <v>0.55354106787898483</v>
      </c>
      <c r="Z89" s="98">
        <f t="shared" si="9"/>
        <v>4.3879528212609674E-2</v>
      </c>
      <c r="AA89" s="98">
        <f t="shared" si="9"/>
        <v>-9.3480025308321398E-3</v>
      </c>
    </row>
    <row r="90" spans="2:31" ht="12.75" customHeight="1" thickBot="1" x14ac:dyDescent="0.3">
      <c r="B90" s="22" t="s">
        <v>10</v>
      </c>
      <c r="C90" s="96">
        <f>Annual_sorted!F188</f>
        <v>384.56596456336263</v>
      </c>
      <c r="D90" s="32">
        <f>IF(C90-Table_146345781324455361[Burundi]&gt;0, C90-Table_146345781324455361[Burundi], 0)</f>
        <v>327.2684240377834</v>
      </c>
      <c r="E90" s="32">
        <f>IF(C90-Table_146345781324455361[DRC]&gt;0, C90-Table_146345781324455361[DRC], 0)</f>
        <v>369.34313891406538</v>
      </c>
      <c r="F90" s="32">
        <f>IF(C90-Table_146345781324455361[Egypt]&gt;0, C90-Table_146345781324455361[Egypt], 0)</f>
        <v>387.17025136696873</v>
      </c>
      <c r="G90" s="32">
        <f>IF(C90-Table_146345781324455361[Eritrea]&gt;0, C90-Table_146345781324455361[Eritrea], 0)</f>
        <v>350.19374458603198</v>
      </c>
      <c r="H90" s="32">
        <f>IF(C90-Table_146345781324455361[Ethiopia]&gt;0, C90-Table_146345781324455361[Ethiopia], 0)</f>
        <v>0</v>
      </c>
      <c r="I90" s="32">
        <f>IF(C90-Table_146345781324455361[Kenya]&gt;0, C90-Table_146345781324455361[Kenya], 0)</f>
        <v>117.98182728849991</v>
      </c>
      <c r="J90" s="32">
        <f>IF(C90-Table_146345781324455361[Rwanda]&gt;0, C90-Table_146345781324455361[Rwanda], 0)</f>
        <v>281.97365394504868</v>
      </c>
      <c r="K90" s="32">
        <f>IF(C90-Table_146345781324455361[Sudan]&gt;0, C90-Table_146345781324455361[Sudan], 0)</f>
        <v>0</v>
      </c>
      <c r="L90" s="32">
        <f>IF(C90-Table_146345781324455361[S. Sudan]&gt;0, C90-Table_146345781324455361[S. Sudan], 0)</f>
        <v>969.72210113086339</v>
      </c>
      <c r="M90" s="32">
        <f>IF(C90-Table_146345781324455361[Tanzania]&gt;0, C90-Table_146345781324455361[Tanzania], 0)</f>
        <v>91.698197147367864</v>
      </c>
      <c r="N90" s="32">
        <f>IF(C90-Table_146345781324455361[Uganda]&gt;0, C90-Table_146345781324455361[Uganda], 0)</f>
        <v>0</v>
      </c>
    </row>
    <row r="91" spans="2:31" ht="12.75" customHeight="1" x14ac:dyDescent="0.25"/>
    <row r="92" spans="2:31" ht="12.75" customHeight="1" x14ac:dyDescent="0.25"/>
    <row r="93" spans="2:31" ht="12.75" customHeight="1" x14ac:dyDescent="0.25">
      <c r="B93" s="5"/>
      <c r="C93" s="5"/>
      <c r="D93" s="5"/>
      <c r="E93" s="5"/>
      <c r="F93" s="5"/>
      <c r="G93" s="5"/>
      <c r="H93" s="5"/>
      <c r="I93" s="5"/>
      <c r="J93" s="5"/>
      <c r="K93" s="5"/>
      <c r="L93" s="5"/>
      <c r="M93" s="5"/>
      <c r="N93" s="5"/>
      <c r="O93" s="5"/>
      <c r="P93" s="5"/>
      <c r="Q93" s="5"/>
      <c r="R93" s="5"/>
      <c r="S93" s="5"/>
      <c r="T93" s="5"/>
      <c r="U93" s="5"/>
      <c r="V93" s="5"/>
      <c r="W93" s="5"/>
      <c r="X93" s="5"/>
      <c r="Y93" s="5"/>
      <c r="Z93" s="5"/>
      <c r="AA93" s="5"/>
    </row>
    <row r="94" spans="2:31" ht="12.75" customHeight="1" x14ac:dyDescent="0.25">
      <c r="B94" s="5"/>
      <c r="C94" s="5"/>
      <c r="D94" s="5"/>
      <c r="E94" s="5"/>
      <c r="F94" s="5"/>
      <c r="G94" s="5"/>
      <c r="H94" s="5"/>
      <c r="I94" s="5"/>
      <c r="J94" s="5"/>
      <c r="K94" s="5"/>
      <c r="L94" s="5"/>
      <c r="M94" s="5"/>
      <c r="N94" s="5"/>
      <c r="O94" s="5"/>
      <c r="P94" s="5"/>
      <c r="Q94" s="5"/>
      <c r="R94" s="5"/>
      <c r="S94" s="5"/>
      <c r="T94" s="5"/>
      <c r="U94" s="5"/>
      <c r="V94" s="5"/>
      <c r="W94" s="5"/>
      <c r="X94" s="5"/>
      <c r="Y94" s="5"/>
      <c r="Z94" s="5"/>
      <c r="AA94" s="5"/>
    </row>
    <row r="95" spans="2:31" ht="12.75" customHeight="1" thickBot="1" x14ac:dyDescent="0.3">
      <c r="B95" s="253" t="s">
        <v>85</v>
      </c>
      <c r="C95" s="253"/>
      <c r="D95" s="253"/>
      <c r="E95" s="253"/>
      <c r="F95" s="253"/>
      <c r="G95" s="253"/>
      <c r="H95" s="253"/>
      <c r="I95" s="253"/>
      <c r="J95" s="253"/>
      <c r="K95" s="253"/>
      <c r="L95" s="253"/>
      <c r="M95" s="253"/>
      <c r="N95" s="253"/>
      <c r="O95" s="5"/>
      <c r="P95" s="253" t="s">
        <v>87</v>
      </c>
      <c r="Q95" s="253"/>
      <c r="R95" s="253"/>
      <c r="S95" s="253"/>
      <c r="T95" s="253"/>
      <c r="U95" s="253"/>
      <c r="V95" s="253"/>
      <c r="W95" s="253"/>
      <c r="X95" s="253"/>
      <c r="Y95" s="253"/>
      <c r="Z95" s="253"/>
      <c r="AA95" s="253"/>
      <c r="AB95" s="10"/>
      <c r="AC95" s="3" t="s">
        <v>22</v>
      </c>
      <c r="AD95" s="13" t="s">
        <v>23</v>
      </c>
      <c r="AE95" s="74">
        <f t="array" ref="AE95">MIN(IF(D98:N108&gt;0,D98:N108))</f>
        <v>0.96708242145846057</v>
      </c>
    </row>
    <row r="96" spans="2:31" ht="12.75" customHeight="1" thickBot="1" x14ac:dyDescent="0.3">
      <c r="B96" s="75" t="s">
        <v>13</v>
      </c>
      <c r="C96" s="66" t="s">
        <v>14</v>
      </c>
      <c r="D96" s="67" t="s">
        <v>1</v>
      </c>
      <c r="E96" s="67" t="s">
        <v>195</v>
      </c>
      <c r="F96" s="67" t="s">
        <v>2</v>
      </c>
      <c r="G96" s="67" t="s">
        <v>3</v>
      </c>
      <c r="H96" s="67" t="s">
        <v>4</v>
      </c>
      <c r="I96" s="67" t="s">
        <v>5</v>
      </c>
      <c r="J96" s="67" t="s">
        <v>6</v>
      </c>
      <c r="K96" s="67" t="s">
        <v>7</v>
      </c>
      <c r="L96" s="67" t="s">
        <v>295</v>
      </c>
      <c r="M96" s="67" t="s">
        <v>9</v>
      </c>
      <c r="N96" s="67" t="s">
        <v>10</v>
      </c>
      <c r="P96" s="76" t="s">
        <v>19</v>
      </c>
      <c r="Q96" s="77" t="s">
        <v>1</v>
      </c>
      <c r="R96" s="77" t="s">
        <v>195</v>
      </c>
      <c r="S96" s="77" t="s">
        <v>2</v>
      </c>
      <c r="T96" s="77" t="s">
        <v>3</v>
      </c>
      <c r="U96" s="77" t="s">
        <v>4</v>
      </c>
      <c r="V96" s="77" t="s">
        <v>5</v>
      </c>
      <c r="W96" s="77" t="s">
        <v>6</v>
      </c>
      <c r="X96" s="77" t="s">
        <v>7</v>
      </c>
      <c r="Y96" s="77" t="s">
        <v>295</v>
      </c>
      <c r="Z96" s="77" t="s">
        <v>9</v>
      </c>
      <c r="AA96" s="77" t="s">
        <v>10</v>
      </c>
      <c r="AB96" s="254" t="s">
        <v>26</v>
      </c>
      <c r="AC96" s="254"/>
      <c r="AD96" s="13" t="s">
        <v>24</v>
      </c>
      <c r="AE96" s="20">
        <f>MAX(D98:N108)</f>
        <v>972.70830462017875</v>
      </c>
    </row>
    <row r="97" spans="2:31" ht="12.75" customHeight="1" x14ac:dyDescent="0.25">
      <c r="B97" s="93"/>
      <c r="C97" s="94" t="s">
        <v>262</v>
      </c>
      <c r="D97" s="95">
        <f>C98</f>
        <v>-17.338149789451361</v>
      </c>
      <c r="E97" s="95">
        <f>C99</f>
        <v>-21.203974175593384</v>
      </c>
      <c r="F97" s="95">
        <f>C100</f>
        <v>324.36311865230425</v>
      </c>
      <c r="G97" s="95">
        <f>C101</f>
        <v>-9.6694350724325169</v>
      </c>
      <c r="H97" s="95">
        <f>C102</f>
        <v>-432.19638156108937</v>
      </c>
      <c r="I97" s="95">
        <f>C103</f>
        <v>-75.619639583168137</v>
      </c>
      <c r="J97" s="95">
        <f>C104</f>
        <v>-22.171056597051845</v>
      </c>
      <c r="K97" s="95">
        <f>C105</f>
        <v>-35.959873760883397</v>
      </c>
      <c r="L97" s="95">
        <f>C106</f>
        <v>-648.3451859678745</v>
      </c>
      <c r="M97" s="95">
        <f>C107</f>
        <v>-133.61192254762818</v>
      </c>
      <c r="N97" s="95">
        <f>C108</f>
        <v>-274.46563339654</v>
      </c>
      <c r="P97" s="21" t="s">
        <v>1</v>
      </c>
      <c r="Q97" s="97">
        <f>$AE$97+(D98-$AE$95)*($AE$98-$AE$97)/($AE$96-$AE$95)</f>
        <v>5.7894869880982525E-6</v>
      </c>
      <c r="R97" s="97">
        <f t="shared" ref="R97:AA107" si="11">$AE$97+(E98-$AE$95)*($AE$98-$AE$97)/($AE$96-$AE$95)</f>
        <v>3.9800559619839627E-3</v>
      </c>
      <c r="S97" s="97">
        <f t="shared" si="11"/>
        <v>5.7894869880982525E-6</v>
      </c>
      <c r="T97" s="97">
        <f t="shared" si="11"/>
        <v>5.7894869880982525E-6</v>
      </c>
      <c r="U97" s="97">
        <f t="shared" si="11"/>
        <v>0.42650140794199382</v>
      </c>
      <c r="V97" s="97">
        <f t="shared" si="11"/>
        <v>5.9922161226558558E-2</v>
      </c>
      <c r="W97" s="97">
        <f t="shared" si="11"/>
        <v>4.9742664749958644E-3</v>
      </c>
      <c r="X97" s="97">
        <f t="shared" si="11"/>
        <v>1.9149880344189879E-2</v>
      </c>
      <c r="Y97" s="97">
        <f t="shared" si="11"/>
        <v>0.64871350584373366</v>
      </c>
      <c r="Z97" s="97">
        <f t="shared" si="11"/>
        <v>0.11954121345777909</v>
      </c>
      <c r="AA97" s="97">
        <f t="shared" si="11"/>
        <v>0.26434607911910968</v>
      </c>
      <c r="AD97" s="3" t="s">
        <v>25</v>
      </c>
      <c r="AE97" s="2">
        <v>1E-3</v>
      </c>
    </row>
    <row r="98" spans="2:31" ht="12.75" customHeight="1" x14ac:dyDescent="0.25">
      <c r="B98" s="21" t="s">
        <v>1</v>
      </c>
      <c r="C98" s="95">
        <f>Annual_sorted!G178</f>
        <v>-17.338149789451361</v>
      </c>
      <c r="D98" s="29">
        <f>IF(C98-Table_14634578111623445260[Burundi]&gt;0, C98-Table_14634578111623445260[Burundi], 0)</f>
        <v>0</v>
      </c>
      <c r="E98" s="29">
        <f>IF(C98-Table_14634578111623445260[DRC]&gt;0, C98-Table_14634578111623445260[DRC], 0)</f>
        <v>3.8658243861420232</v>
      </c>
      <c r="F98" s="29">
        <f>IF(C98-Table_14634578111623445260[Egypt]&gt;0, C98-Table_14634578111623445260[Egypt], 0)</f>
        <v>0</v>
      </c>
      <c r="G98" s="29">
        <f>IF(C98-Table_14634578111623445260[Eritrea]&gt;0, C98-Table_14634578111623445260[Eritrea], 0)</f>
        <v>0</v>
      </c>
      <c r="H98" s="29">
        <f>IF(C98-Table_14634578111623445260[Ethiopia]&gt;0, C98-Table_14634578111623445260[Ethiopia], 0)</f>
        <v>414.85823177163803</v>
      </c>
      <c r="I98" s="29">
        <f>IF(C98-Table_14634578111623445260[Kenya]&gt;0, C98-Table_14634578111623445260[Kenya], 0)</f>
        <v>58.281489793716773</v>
      </c>
      <c r="J98" s="29">
        <f>IF(C98-Table_14634578111623445260[Rwanda]&gt;0, C98-Table_14634578111623445260[Rwanda], 0)</f>
        <v>4.8329068076004837</v>
      </c>
      <c r="K98" s="29">
        <f>IF(C98-Table_14634578111623445260[Sudan]&gt;0, C98-Table_14634578111623445260[Sudan], 0)</f>
        <v>18.621723971432036</v>
      </c>
      <c r="L98" s="29">
        <f>IF(C98-Table_14634578111623445260[S. Sudan]&gt;0, C98-Table_14634578111623445260[S. Sudan], 0)</f>
        <v>631.00703617842316</v>
      </c>
      <c r="M98" s="29">
        <f>IF(C98-Table_14634578111623445260[Tanzania]&gt;0, C98-Table_14634578111623445260[Tanzania], 0)</f>
        <v>116.27377275817682</v>
      </c>
      <c r="N98" s="29">
        <f>IF(C98-Table_14634578111623445260[Uganda]&gt;0, C98-Table_14634578111623445260[Uganda], 0)</f>
        <v>257.12748360708866</v>
      </c>
      <c r="P98" s="21" t="s">
        <v>195</v>
      </c>
      <c r="Q98" s="97">
        <f t="shared" ref="Q98:Q107" si="12">$AE$97+(D99-$AE$95)*($AE$98-$AE$97)/($AE$96-$AE$95)</f>
        <v>5.7894869880982525E-6</v>
      </c>
      <c r="R98" s="97">
        <f t="shared" si="11"/>
        <v>5.7894869880982525E-6</v>
      </c>
      <c r="S98" s="97">
        <f t="shared" si="11"/>
        <v>5.7894869880982525E-6</v>
      </c>
      <c r="T98" s="97">
        <f t="shared" si="11"/>
        <v>5.7894869880982525E-6</v>
      </c>
      <c r="U98" s="97">
        <f t="shared" si="11"/>
        <v>0.42252714146699799</v>
      </c>
      <c r="V98" s="97">
        <f t="shared" si="11"/>
        <v>5.5947894751562692E-2</v>
      </c>
      <c r="W98" s="97">
        <f t="shared" si="11"/>
        <v>1E-3</v>
      </c>
      <c r="X98" s="97">
        <f t="shared" si="11"/>
        <v>1.5175613869194013E-2</v>
      </c>
      <c r="Y98" s="97">
        <f t="shared" si="11"/>
        <v>0.64473923936873778</v>
      </c>
      <c r="Z98" s="97">
        <f t="shared" si="11"/>
        <v>0.11556694698278323</v>
      </c>
      <c r="AA98" s="97">
        <f t="shared" si="11"/>
        <v>0.26037181264411385</v>
      </c>
      <c r="AD98" s="3" t="s">
        <v>70</v>
      </c>
      <c r="AE98" s="2">
        <v>1</v>
      </c>
    </row>
    <row r="99" spans="2:31" ht="12.75" customHeight="1" x14ac:dyDescent="0.25">
      <c r="B99" s="21" t="s">
        <v>195</v>
      </c>
      <c r="C99" s="95">
        <f>Annual_sorted!G179</f>
        <v>-21.203974175593384</v>
      </c>
      <c r="D99" s="29">
        <f>IF(C99-Table_14634578111623445260[Burundi]&gt;0, C99-Table_14634578111623445260[Burundi], 0)</f>
        <v>0</v>
      </c>
      <c r="E99" s="29">
        <f>IF(C99-Table_14634578111623445260[DRC]&gt;0, C99-Table_14634578111623445260[DRC], 0)</f>
        <v>0</v>
      </c>
      <c r="F99" s="29">
        <f>IF(C99-Table_14634578111623445260[Egypt]&gt;0, C99-Table_14634578111623445260[Egypt], 0)</f>
        <v>0</v>
      </c>
      <c r="G99" s="29">
        <f>IF(C99-Table_14634578111623445260[Eritrea]&gt;0, C99-Table_14634578111623445260[Eritrea], 0)</f>
        <v>0</v>
      </c>
      <c r="H99" s="29">
        <f>IF(C99-Table_14634578111623445260[Ethiopia]&gt;0, C99-Table_14634578111623445260[Ethiopia], 0)</f>
        <v>410.99240738549599</v>
      </c>
      <c r="I99" s="29">
        <f>IF(C99-Table_14634578111623445260[Kenya]&gt;0, C99-Table_14634578111623445260[Kenya], 0)</f>
        <v>54.41566540757475</v>
      </c>
      <c r="J99" s="29">
        <f>IF(C99-Table_14634578111623445260[Rwanda]&gt;0, C99-Table_14634578111623445260[Rwanda], 0)</f>
        <v>0.96708242145846057</v>
      </c>
      <c r="K99" s="29">
        <f>IF(C99-Table_14634578111623445260[Sudan]&gt;0, C99-Table_14634578111623445260[Sudan], 0)</f>
        <v>14.755899585290013</v>
      </c>
      <c r="L99" s="29">
        <f>IF(C99-Table_14634578111623445260[S. Sudan]&gt;0, C99-Table_14634578111623445260[S. Sudan], 0)</f>
        <v>627.14121179228107</v>
      </c>
      <c r="M99" s="29">
        <f>IF(C99-Table_14634578111623445260[Tanzania]&gt;0, C99-Table_14634578111623445260[Tanzania], 0)</f>
        <v>112.4079483720348</v>
      </c>
      <c r="N99" s="29">
        <f>IF(C99-Table_14634578111623445260[Uganda]&gt;0, C99-Table_14634578111623445260[Uganda], 0)</f>
        <v>253.26165922094663</v>
      </c>
      <c r="P99" s="21" t="s">
        <v>2</v>
      </c>
      <c r="Q99" s="97">
        <f t="shared" si="12"/>
        <v>0.35129228364325438</v>
      </c>
      <c r="R99" s="97">
        <f t="shared" si="11"/>
        <v>0.35526655011825026</v>
      </c>
      <c r="S99" s="97">
        <f t="shared" si="11"/>
        <v>5.7894869880982525E-6</v>
      </c>
      <c r="T99" s="97">
        <f t="shared" si="11"/>
        <v>0.34340845014181309</v>
      </c>
      <c r="U99" s="97">
        <f t="shared" si="11"/>
        <v>0.77778790209826021</v>
      </c>
      <c r="V99" s="97">
        <f t="shared" si="11"/>
        <v>0.41120865538282481</v>
      </c>
      <c r="W99" s="97">
        <f t="shared" si="11"/>
        <v>0.35626076063126222</v>
      </c>
      <c r="X99" s="97">
        <f t="shared" si="11"/>
        <v>0.37043637450045619</v>
      </c>
      <c r="Y99" s="97">
        <f t="shared" si="11"/>
        <v>1</v>
      </c>
      <c r="Z99" s="97">
        <f t="shared" si="11"/>
        <v>0.47082770761404541</v>
      </c>
      <c r="AA99" s="97">
        <f t="shared" si="11"/>
        <v>0.61563257327537613</v>
      </c>
    </row>
    <row r="100" spans="2:31" ht="12.75" customHeight="1" x14ac:dyDescent="0.25">
      <c r="B100" s="21" t="s">
        <v>2</v>
      </c>
      <c r="C100" s="95">
        <f>Annual_sorted!G180</f>
        <v>324.36311865230425</v>
      </c>
      <c r="D100" s="29">
        <f>IF(C100-Table_14634578111623445260[Burundi]&gt;0, C100-Table_14634578111623445260[Burundi], 0)</f>
        <v>341.70126844175559</v>
      </c>
      <c r="E100" s="29">
        <f>IF(C100-Table_14634578111623445260[DRC]&gt;0, C100-Table_14634578111623445260[DRC], 0)</f>
        <v>345.56709282789762</v>
      </c>
      <c r="F100" s="29">
        <f>IF(C100-Table_14634578111623445260[Egypt]&gt;0, C100-Table_14634578111623445260[Egypt], 0)</f>
        <v>0</v>
      </c>
      <c r="G100" s="29">
        <f>IF(C100-Table_14634578111623445260[Eritrea]&gt;0, C100-Table_14634578111623445260[Eritrea], 0)</f>
        <v>334.03255372473677</v>
      </c>
      <c r="H100" s="29">
        <f>IF(C100-Table_14634578111623445260[Ethiopia]&gt;0, C100-Table_14634578111623445260[Ethiopia], 0)</f>
        <v>756.55950021339368</v>
      </c>
      <c r="I100" s="29">
        <f>IF(C100-Table_14634578111623445260[Kenya]&gt;0, C100-Table_14634578111623445260[Kenya], 0)</f>
        <v>399.98275823547237</v>
      </c>
      <c r="J100" s="29">
        <f>IF(C100-Table_14634578111623445260[Rwanda]&gt;0, C100-Table_14634578111623445260[Rwanda], 0)</f>
        <v>346.53417524935611</v>
      </c>
      <c r="K100" s="29">
        <f>IF(C100-Table_14634578111623445260[Sudan]&gt;0, C100-Table_14634578111623445260[Sudan], 0)</f>
        <v>360.32299241318765</v>
      </c>
      <c r="L100" s="29">
        <f>IF(C100-Table_14634578111623445260[S. Sudan]&gt;0, C100-Table_14634578111623445260[S. Sudan], 0)</f>
        <v>972.70830462017875</v>
      </c>
      <c r="M100" s="29">
        <f>IF(C100-Table_14634578111623445260[Tanzania]&gt;0, C100-Table_14634578111623445260[Tanzania], 0)</f>
        <v>457.97504119993243</v>
      </c>
      <c r="N100" s="29">
        <f>IF(C100-Table_14634578111623445260[Uganda]&gt;0, C100-Table_14634578111623445260[Uganda], 0)</f>
        <v>598.82875204884431</v>
      </c>
      <c r="P100" s="21" t="s">
        <v>3</v>
      </c>
      <c r="Q100" s="97">
        <f t="shared" si="12"/>
        <v>7.8896229884294396E-3</v>
      </c>
      <c r="R100" s="97">
        <f t="shared" si="11"/>
        <v>1.1863889463425304E-2</v>
      </c>
      <c r="S100" s="97">
        <f t="shared" si="11"/>
        <v>5.7894869880982525E-6</v>
      </c>
      <c r="T100" s="97">
        <f t="shared" si="11"/>
        <v>5.7894869880982525E-6</v>
      </c>
      <c r="U100" s="97">
        <f t="shared" si="11"/>
        <v>0.43438524144343515</v>
      </c>
      <c r="V100" s="97">
        <f t="shared" si="11"/>
        <v>6.7805994727999905E-2</v>
      </c>
      <c r="W100" s="97">
        <f t="shared" si="11"/>
        <v>1.2858099976437207E-2</v>
      </c>
      <c r="X100" s="97">
        <f t="shared" si="11"/>
        <v>2.7033713845631222E-2</v>
      </c>
      <c r="Y100" s="97">
        <f t="shared" si="11"/>
        <v>0.65659733934517495</v>
      </c>
      <c r="Z100" s="97">
        <f t="shared" si="11"/>
        <v>0.12742504695922044</v>
      </c>
      <c r="AA100" s="97">
        <f t="shared" si="11"/>
        <v>0.27222991262055102</v>
      </c>
    </row>
    <row r="101" spans="2:31" ht="12.75" customHeight="1" x14ac:dyDescent="0.25">
      <c r="B101" s="21" t="s">
        <v>3</v>
      </c>
      <c r="C101" s="95">
        <f>Annual_sorted!G181</f>
        <v>-9.6694350724325169</v>
      </c>
      <c r="D101" s="29">
        <f>IF(C101-Table_14634578111623445260[Burundi]&gt;0, C101-Table_14634578111623445260[Burundi], 0)</f>
        <v>7.6687147170188439</v>
      </c>
      <c r="E101" s="29">
        <f>IF(C101-Table_14634578111623445260[DRC]&gt;0, C101-Table_14634578111623445260[DRC], 0)</f>
        <v>11.534539103160867</v>
      </c>
      <c r="F101" s="29">
        <f>IF(C101-Table_14634578111623445260[Egypt]&gt;0, C101-Table_14634578111623445260[Egypt], 0)</f>
        <v>0</v>
      </c>
      <c r="G101" s="29">
        <f>IF(C101-Table_14634578111623445260[Eritrea]&gt;0, C101-Table_14634578111623445260[Eritrea], 0)</f>
        <v>0</v>
      </c>
      <c r="H101" s="29">
        <f>IF(C101-Table_14634578111623445260[Ethiopia]&gt;0, C101-Table_14634578111623445260[Ethiopia], 0)</f>
        <v>422.52694648865685</v>
      </c>
      <c r="I101" s="29">
        <f>IF(C101-Table_14634578111623445260[Kenya]&gt;0, C101-Table_14634578111623445260[Kenya], 0)</f>
        <v>65.950204510735617</v>
      </c>
      <c r="J101" s="29">
        <f>IF(C101-Table_14634578111623445260[Rwanda]&gt;0, C101-Table_14634578111623445260[Rwanda], 0)</f>
        <v>12.501621524619328</v>
      </c>
      <c r="K101" s="29">
        <f>IF(C101-Table_14634578111623445260[Sudan]&gt;0, C101-Table_14634578111623445260[Sudan], 0)</f>
        <v>26.29043868845088</v>
      </c>
      <c r="L101" s="29">
        <f>IF(C101-Table_14634578111623445260[S. Sudan]&gt;0, C101-Table_14634578111623445260[S. Sudan], 0)</f>
        <v>638.67575089544198</v>
      </c>
      <c r="M101" s="29">
        <f>IF(C101-Table_14634578111623445260[Tanzania]&gt;0, C101-Table_14634578111623445260[Tanzania], 0)</f>
        <v>123.94248747519566</v>
      </c>
      <c r="N101" s="29">
        <f>IF(C101-Table_14634578111623445260[Uganda]&gt;0, C101-Table_14634578111623445260[Uganda], 0)</f>
        <v>264.79619832410748</v>
      </c>
      <c r="P101" s="21" t="s">
        <v>4</v>
      </c>
      <c r="Q101" s="97">
        <f t="shared" si="12"/>
        <v>5.7894869880982525E-6</v>
      </c>
      <c r="R101" s="97">
        <f t="shared" si="11"/>
        <v>5.7894869880982525E-6</v>
      </c>
      <c r="S101" s="97">
        <f t="shared" si="11"/>
        <v>5.7894869880982525E-6</v>
      </c>
      <c r="T101" s="97">
        <f t="shared" si="11"/>
        <v>5.7894869880982525E-6</v>
      </c>
      <c r="U101" s="97">
        <f t="shared" si="11"/>
        <v>5.7894869880982525E-6</v>
      </c>
      <c r="V101" s="97">
        <f t="shared" si="11"/>
        <v>5.7894869880982525E-6</v>
      </c>
      <c r="W101" s="97">
        <f t="shared" si="11"/>
        <v>5.7894869880982525E-6</v>
      </c>
      <c r="X101" s="97">
        <f t="shared" si="11"/>
        <v>5.7894869880982525E-6</v>
      </c>
      <c r="Y101" s="97">
        <f t="shared" si="11"/>
        <v>0.22221788738872794</v>
      </c>
      <c r="Z101" s="97">
        <f t="shared" si="11"/>
        <v>5.7894869880982525E-6</v>
      </c>
      <c r="AA101" s="97">
        <f t="shared" si="11"/>
        <v>5.7894869880982525E-6</v>
      </c>
    </row>
    <row r="102" spans="2:31" ht="12.75" customHeight="1" x14ac:dyDescent="0.25">
      <c r="B102" s="21" t="s">
        <v>4</v>
      </c>
      <c r="C102" s="95">
        <f>Annual_sorted!G182</f>
        <v>-432.19638156108937</v>
      </c>
      <c r="D102" s="29">
        <f>IF(C102-Table_14634578111623445260[Burundi]&gt;0, C102-Table_14634578111623445260[Burundi], 0)</f>
        <v>0</v>
      </c>
      <c r="E102" s="29">
        <f>IF(C102-Table_14634578111623445260[DRC]&gt;0, C102-Table_14634578111623445260[DRC], 0)</f>
        <v>0</v>
      </c>
      <c r="F102" s="29">
        <f>IF(C102-Table_14634578111623445260[Egypt]&gt;0, C102-Table_14634578111623445260[Egypt], 0)</f>
        <v>0</v>
      </c>
      <c r="G102" s="29">
        <f>IF(C102-Table_14634578111623445260[Eritrea]&gt;0, C102-Table_14634578111623445260[Eritrea], 0)</f>
        <v>0</v>
      </c>
      <c r="H102" s="29">
        <f>IF(C102-Table_14634578111623445260[Ethiopia]&gt;0, C102-Table_14634578111623445260[Ethiopia], 0)</f>
        <v>0</v>
      </c>
      <c r="I102" s="29">
        <f>IF(C102-Table_14634578111623445260[Kenya]&gt;0, C102-Table_14634578111623445260[Kenya], 0)</f>
        <v>0</v>
      </c>
      <c r="J102" s="29">
        <f>IF(C102-Table_14634578111623445260[Rwanda]&gt;0, C102-Table_14634578111623445260[Rwanda], 0)</f>
        <v>0</v>
      </c>
      <c r="K102" s="29">
        <f>IF(C102-Table_14634578111623445260[Sudan]&gt;0, C102-Table_14634578111623445260[Sudan], 0)</f>
        <v>0</v>
      </c>
      <c r="L102" s="29">
        <f>IF(C102-Table_14634578111623445260[S. Sudan]&gt;0, C102-Table_14634578111623445260[S. Sudan], 0)</f>
        <v>216.14880440678513</v>
      </c>
      <c r="M102" s="29">
        <f>IF(C102-Table_14634578111623445260[Tanzania]&gt;0, C102-Table_14634578111623445260[Tanzania], 0)</f>
        <v>0</v>
      </c>
      <c r="N102" s="29">
        <f>IF(C102-Table_14634578111623445260[Uganda]&gt;0, C102-Table_14634578111623445260[Uganda], 0)</f>
        <v>0</v>
      </c>
      <c r="P102" s="21" t="s">
        <v>5</v>
      </c>
      <c r="Q102" s="97">
        <f t="shared" si="12"/>
        <v>5.7894869880982525E-6</v>
      </c>
      <c r="R102" s="97">
        <f t="shared" si="11"/>
        <v>5.7894869880982525E-6</v>
      </c>
      <c r="S102" s="97">
        <f t="shared" si="11"/>
        <v>5.7894869880982525E-6</v>
      </c>
      <c r="T102" s="97">
        <f t="shared" si="11"/>
        <v>5.7894869880982525E-6</v>
      </c>
      <c r="U102" s="97">
        <f t="shared" si="11"/>
        <v>0.36658503620242339</v>
      </c>
      <c r="V102" s="97">
        <f t="shared" si="11"/>
        <v>5.7894869880982525E-6</v>
      </c>
      <c r="W102" s="97">
        <f t="shared" si="11"/>
        <v>5.7894869880982525E-6</v>
      </c>
      <c r="X102" s="97">
        <f t="shared" si="11"/>
        <v>5.7894869880982525E-6</v>
      </c>
      <c r="Y102" s="97">
        <f t="shared" si="11"/>
        <v>0.58879713410416323</v>
      </c>
      <c r="Z102" s="97">
        <f t="shared" si="11"/>
        <v>5.9624841718208636E-2</v>
      </c>
      <c r="AA102" s="97">
        <f t="shared" si="11"/>
        <v>0.20442970737953928</v>
      </c>
    </row>
    <row r="103" spans="2:31" ht="12.75" customHeight="1" x14ac:dyDescent="0.25">
      <c r="B103" s="21" t="s">
        <v>5</v>
      </c>
      <c r="C103" s="95">
        <f>Annual_sorted!G183</f>
        <v>-75.619639583168137</v>
      </c>
      <c r="D103" s="29">
        <f>IF(C103-Table_14634578111623445260[Burundi]&gt;0, C103-Table_14634578111623445260[Burundi], 0)</f>
        <v>0</v>
      </c>
      <c r="E103" s="29">
        <f>IF(C103-Table_14634578111623445260[DRC]&gt;0, C103-Table_14634578111623445260[DRC], 0)</f>
        <v>0</v>
      </c>
      <c r="F103" s="29">
        <f>IF(C103-Table_14634578111623445260[Egypt]&gt;0, C103-Table_14634578111623445260[Egypt], 0)</f>
        <v>0</v>
      </c>
      <c r="G103" s="29">
        <f>IF(C103-Table_14634578111623445260[Eritrea]&gt;0, C103-Table_14634578111623445260[Eritrea], 0)</f>
        <v>0</v>
      </c>
      <c r="H103" s="29">
        <f>IF(C103-Table_14634578111623445260[Ethiopia]&gt;0, C103-Table_14634578111623445260[Ethiopia], 0)</f>
        <v>356.57674197792124</v>
      </c>
      <c r="I103" s="29">
        <f>IF(C103-Table_14634578111623445260[Kenya]&gt;0, C103-Table_14634578111623445260[Kenya], 0)</f>
        <v>0</v>
      </c>
      <c r="J103" s="29">
        <f>IF(C103-Table_14634578111623445260[Rwanda]&gt;0, C103-Table_14634578111623445260[Rwanda], 0)</f>
        <v>0</v>
      </c>
      <c r="K103" s="29">
        <f>IF(C103-Table_14634578111623445260[Sudan]&gt;0, C103-Table_14634578111623445260[Sudan], 0)</f>
        <v>0</v>
      </c>
      <c r="L103" s="29">
        <f>IF(C103-Table_14634578111623445260[S. Sudan]&gt;0, C103-Table_14634578111623445260[S. Sudan], 0)</f>
        <v>572.72554638470638</v>
      </c>
      <c r="M103" s="29">
        <f>IF(C103-Table_14634578111623445260[Tanzania]&gt;0, C103-Table_14634578111623445260[Tanzania], 0)</f>
        <v>57.992282964460045</v>
      </c>
      <c r="N103" s="29">
        <f>IF(C103-Table_14634578111623445260[Uganda]&gt;0, C103-Table_14634578111623445260[Uganda], 0)</f>
        <v>198.84599381337188</v>
      </c>
      <c r="P103" s="21" t="s">
        <v>6</v>
      </c>
      <c r="Q103" s="97">
        <f t="shared" si="12"/>
        <v>5.7894869880982525E-6</v>
      </c>
      <c r="R103" s="97">
        <f t="shared" si="11"/>
        <v>5.7894869880982525E-6</v>
      </c>
      <c r="S103" s="97">
        <f t="shared" si="11"/>
        <v>5.7894869880982525E-6</v>
      </c>
      <c r="T103" s="97">
        <f t="shared" si="11"/>
        <v>5.7894869880982525E-6</v>
      </c>
      <c r="U103" s="97">
        <f t="shared" si="11"/>
        <v>0.42153293095398603</v>
      </c>
      <c r="V103" s="97">
        <f t="shared" si="11"/>
        <v>5.4953684238550793E-2</v>
      </c>
      <c r="W103" s="97">
        <f t="shared" si="11"/>
        <v>5.7894869880982525E-6</v>
      </c>
      <c r="X103" s="97">
        <f t="shared" si="11"/>
        <v>1.4181403356182114E-2</v>
      </c>
      <c r="Y103" s="97">
        <f t="shared" si="11"/>
        <v>0.64374502885572593</v>
      </c>
      <c r="Z103" s="97">
        <f t="shared" si="11"/>
        <v>0.11457273646977133</v>
      </c>
      <c r="AA103" s="97">
        <f t="shared" si="11"/>
        <v>0.25937760213110195</v>
      </c>
    </row>
    <row r="104" spans="2:31" ht="12.75" customHeight="1" x14ac:dyDescent="0.25">
      <c r="B104" s="21" t="s">
        <v>6</v>
      </c>
      <c r="C104" s="95">
        <f>Annual_sorted!G184</f>
        <v>-22.171056597051845</v>
      </c>
      <c r="D104" s="29">
        <f>IF(C104-Table_14634578111623445260[Burundi]&gt;0, C104-Table_14634578111623445260[Burundi], 0)</f>
        <v>0</v>
      </c>
      <c r="E104" s="29">
        <f>IF(C104-Table_14634578111623445260[DRC]&gt;0, C104-Table_14634578111623445260[DRC], 0)</f>
        <v>0</v>
      </c>
      <c r="F104" s="29">
        <f>IF(C104-Table_14634578111623445260[Egypt]&gt;0, C104-Table_14634578111623445260[Egypt], 0)</f>
        <v>0</v>
      </c>
      <c r="G104" s="29">
        <f>IF(C104-Table_14634578111623445260[Eritrea]&gt;0, C104-Table_14634578111623445260[Eritrea], 0)</f>
        <v>0</v>
      </c>
      <c r="H104" s="29">
        <f>IF(C104-Table_14634578111623445260[Ethiopia]&gt;0, C104-Table_14634578111623445260[Ethiopia], 0)</f>
        <v>410.02532496403751</v>
      </c>
      <c r="I104" s="29">
        <f>IF(C104-Table_14634578111623445260[Kenya]&gt;0, C104-Table_14634578111623445260[Kenya], 0)</f>
        <v>53.448582986116293</v>
      </c>
      <c r="J104" s="29">
        <f>IF(C104-Table_14634578111623445260[Rwanda]&gt;0, C104-Table_14634578111623445260[Rwanda], 0)</f>
        <v>0</v>
      </c>
      <c r="K104" s="29">
        <f>IF(C104-Table_14634578111623445260[Sudan]&gt;0, C104-Table_14634578111623445260[Sudan], 0)</f>
        <v>13.788817163831553</v>
      </c>
      <c r="L104" s="29">
        <f>IF(C104-Table_14634578111623445260[S. Sudan]&gt;0, C104-Table_14634578111623445260[S. Sudan], 0)</f>
        <v>626.1741293708227</v>
      </c>
      <c r="M104" s="29">
        <f>IF(C104-Table_14634578111623445260[Tanzania]&gt;0, C104-Table_14634578111623445260[Tanzania], 0)</f>
        <v>111.44086595057634</v>
      </c>
      <c r="N104" s="29">
        <f>IF(C104-Table_14634578111623445260[Uganda]&gt;0, C104-Table_14634578111623445260[Uganda], 0)</f>
        <v>252.29457679948814</v>
      </c>
      <c r="P104" s="21" t="s">
        <v>7</v>
      </c>
      <c r="Q104" s="97">
        <f t="shared" si="12"/>
        <v>5.7894869880982525E-6</v>
      </c>
      <c r="R104" s="97">
        <f t="shared" si="11"/>
        <v>5.7894869880982525E-6</v>
      </c>
      <c r="S104" s="97">
        <f t="shared" si="11"/>
        <v>5.7894869880982525E-6</v>
      </c>
      <c r="T104" s="97">
        <f t="shared" si="11"/>
        <v>5.7894869880982525E-6</v>
      </c>
      <c r="U104" s="97">
        <f t="shared" si="11"/>
        <v>0.40735731708479206</v>
      </c>
      <c r="V104" s="97">
        <f t="shared" si="11"/>
        <v>4.0778070369356781E-2</v>
      </c>
      <c r="W104" s="97">
        <f t="shared" si="11"/>
        <v>5.7894869880982525E-6</v>
      </c>
      <c r="X104" s="97">
        <f t="shared" si="11"/>
        <v>5.7894869880982525E-6</v>
      </c>
      <c r="Y104" s="97">
        <f t="shared" si="11"/>
        <v>0.62956941498653196</v>
      </c>
      <c r="Z104" s="97">
        <f t="shared" si="11"/>
        <v>0.10039712260057732</v>
      </c>
      <c r="AA104" s="97">
        <f t="shared" si="11"/>
        <v>0.24520198826190792</v>
      </c>
    </row>
    <row r="105" spans="2:31" ht="12.75" customHeight="1" x14ac:dyDescent="0.25">
      <c r="B105" s="21" t="s">
        <v>7</v>
      </c>
      <c r="C105" s="95">
        <f>Annual_sorted!G185</f>
        <v>-35.959873760883397</v>
      </c>
      <c r="D105" s="29">
        <f>IF(C105-Table_14634578111623445260[Burundi]&gt;0, C105-Table_14634578111623445260[Burundi], 0)</f>
        <v>0</v>
      </c>
      <c r="E105" s="29">
        <f>IF(C105-Table_14634578111623445260[DRC]&gt;0, C105-Table_14634578111623445260[DRC], 0)</f>
        <v>0</v>
      </c>
      <c r="F105" s="29">
        <f>IF(C105-Table_14634578111623445260[Egypt]&gt;0, C105-Table_14634578111623445260[Egypt], 0)</f>
        <v>0</v>
      </c>
      <c r="G105" s="29">
        <f>IF(C105-Table_14634578111623445260[Eritrea]&gt;0, C105-Table_14634578111623445260[Eritrea], 0)</f>
        <v>0</v>
      </c>
      <c r="H105" s="29">
        <f>IF(C105-Table_14634578111623445260[Ethiopia]&gt;0, C105-Table_14634578111623445260[Ethiopia], 0)</f>
        <v>396.23650780020597</v>
      </c>
      <c r="I105" s="29">
        <f>IF(C105-Table_14634578111623445260[Kenya]&gt;0, C105-Table_14634578111623445260[Kenya], 0)</f>
        <v>39.65976582228474</v>
      </c>
      <c r="J105" s="29">
        <f>IF(C105-Table_14634578111623445260[Rwanda]&gt;0, C105-Table_14634578111623445260[Rwanda], 0)</f>
        <v>0</v>
      </c>
      <c r="K105" s="29">
        <f>IF(C105-Table_14634578111623445260[Sudan]&gt;0, C105-Table_14634578111623445260[Sudan], 0)</f>
        <v>0</v>
      </c>
      <c r="L105" s="29">
        <f>IF(C105-Table_14634578111623445260[S. Sudan]&gt;0, C105-Table_14634578111623445260[S. Sudan], 0)</f>
        <v>612.3853122069911</v>
      </c>
      <c r="M105" s="29">
        <f>IF(C105-Table_14634578111623445260[Tanzania]&gt;0, C105-Table_14634578111623445260[Tanzania], 0)</f>
        <v>97.652048786744786</v>
      </c>
      <c r="N105" s="29">
        <f>IF(C105-Table_14634578111623445260[Uganda]&gt;0, C105-Table_14634578111623445260[Uganda], 0)</f>
        <v>238.5057596356566</v>
      </c>
      <c r="P105" s="21" t="s">
        <v>8</v>
      </c>
      <c r="Q105" s="97">
        <f t="shared" si="12"/>
        <v>5.7894869880982525E-6</v>
      </c>
      <c r="R105" s="97">
        <f t="shared" si="11"/>
        <v>5.7894869880982525E-6</v>
      </c>
      <c r="S105" s="97">
        <f t="shared" si="11"/>
        <v>5.7894869880982525E-6</v>
      </c>
      <c r="T105" s="97">
        <f t="shared" si="11"/>
        <v>5.7894869880982525E-6</v>
      </c>
      <c r="U105" s="97">
        <f t="shared" si="11"/>
        <v>5.7894869880982525E-6</v>
      </c>
      <c r="V105" s="97">
        <f t="shared" si="11"/>
        <v>5.7894869880982525E-6</v>
      </c>
      <c r="W105" s="97">
        <f t="shared" si="11"/>
        <v>5.7894869880982525E-6</v>
      </c>
      <c r="X105" s="97">
        <f t="shared" si="11"/>
        <v>5.7894869880982525E-6</v>
      </c>
      <c r="Y105" s="97">
        <f t="shared" si="11"/>
        <v>5.7894869880982525E-6</v>
      </c>
      <c r="Z105" s="97">
        <f t="shared" si="11"/>
        <v>5.7894869880982525E-6</v>
      </c>
      <c r="AA105" s="97">
        <f t="shared" si="11"/>
        <v>5.7894869880982525E-6</v>
      </c>
    </row>
    <row r="106" spans="2:31" ht="12.75" customHeight="1" x14ac:dyDescent="0.25">
      <c r="B106" s="21" t="s">
        <v>8</v>
      </c>
      <c r="C106" s="95">
        <f>Annual_sorted!G186</f>
        <v>-648.3451859678745</v>
      </c>
      <c r="D106" s="29">
        <f>IF(C106-Table_14634578111623445260[Burundi]&gt;0, C106-Table_14634578111623445260[Burundi], 0)</f>
        <v>0</v>
      </c>
      <c r="E106" s="29">
        <f>IF(C106-Table_14634578111623445260[DRC]&gt;0, C106-Table_14634578111623445260[DRC], 0)</f>
        <v>0</v>
      </c>
      <c r="F106" s="29">
        <f>IF(C106-Table_14634578111623445260[Egypt]&gt;0, C106-Table_14634578111623445260[Egypt], 0)</f>
        <v>0</v>
      </c>
      <c r="G106" s="29">
        <f>IF(C106-Table_14634578111623445260[Eritrea]&gt;0, C106-Table_14634578111623445260[Eritrea], 0)</f>
        <v>0</v>
      </c>
      <c r="H106" s="29">
        <f>IF(C106-Table_14634578111623445260[Ethiopia]&gt;0, C106-Table_14634578111623445260[Ethiopia], 0)</f>
        <v>0</v>
      </c>
      <c r="I106" s="29">
        <f>IF(C106-Table_14634578111623445260[Kenya]&gt;0, C106-Table_14634578111623445260[Kenya], 0)</f>
        <v>0</v>
      </c>
      <c r="J106" s="29">
        <f>IF(C106-Table_14634578111623445260[Rwanda]&gt;0, C106-Table_14634578111623445260[Rwanda], 0)</f>
        <v>0</v>
      </c>
      <c r="K106" s="29">
        <f>IF(C106-Table_14634578111623445260[Sudan]&gt;0, C106-Table_14634578111623445260[Sudan], 0)</f>
        <v>0</v>
      </c>
      <c r="L106" s="29">
        <f>IF(C106-Table_14634578111623445260[S. Sudan]&gt;0, C106-Table_14634578111623445260[S. Sudan], 0)</f>
        <v>0</v>
      </c>
      <c r="M106" s="29">
        <f>IF(C106-Table_14634578111623445260[Tanzania]&gt;0, C106-Table_14634578111623445260[Tanzania], 0)</f>
        <v>0</v>
      </c>
      <c r="N106" s="29">
        <f>IF(C106-Table_14634578111623445260[Uganda]&gt;0, C106-Table_14634578111623445260[Uganda], 0)</f>
        <v>0</v>
      </c>
      <c r="P106" s="21" t="s">
        <v>9</v>
      </c>
      <c r="Q106" s="97">
        <f t="shared" si="12"/>
        <v>5.7894869880982525E-6</v>
      </c>
      <c r="R106" s="97">
        <f t="shared" si="11"/>
        <v>5.7894869880982525E-6</v>
      </c>
      <c r="S106" s="97">
        <f t="shared" si="11"/>
        <v>5.7894869880982525E-6</v>
      </c>
      <c r="T106" s="97">
        <f t="shared" si="11"/>
        <v>5.7894869880982525E-6</v>
      </c>
      <c r="U106" s="97">
        <f t="shared" si="11"/>
        <v>0.30696598397120278</v>
      </c>
      <c r="V106" s="97">
        <f t="shared" si="11"/>
        <v>5.7894869880982525E-6</v>
      </c>
      <c r="W106" s="97">
        <f t="shared" si="11"/>
        <v>5.7894869880982525E-6</v>
      </c>
      <c r="X106" s="97">
        <f t="shared" si="11"/>
        <v>5.7894869880982525E-6</v>
      </c>
      <c r="Y106" s="97">
        <f t="shared" si="11"/>
        <v>0.52917808187294268</v>
      </c>
      <c r="Z106" s="97">
        <f t="shared" si="11"/>
        <v>5.7894869880982525E-6</v>
      </c>
      <c r="AA106" s="97">
        <f t="shared" si="11"/>
        <v>0.1448106551483187</v>
      </c>
    </row>
    <row r="107" spans="2:31" ht="12.75" customHeight="1" thickBot="1" x14ac:dyDescent="0.3">
      <c r="B107" s="21" t="s">
        <v>9</v>
      </c>
      <c r="C107" s="95">
        <f>Annual_sorted!G187</f>
        <v>-133.61192254762818</v>
      </c>
      <c r="D107" s="29">
        <f>IF(C107-Table_14634578111623445260[Burundi]&gt;0, C107-Table_14634578111623445260[Burundi], 0)</f>
        <v>0</v>
      </c>
      <c r="E107" s="29">
        <f>IF(C107-Table_14634578111623445260[DRC]&gt;0, C107-Table_14634578111623445260[DRC], 0)</f>
        <v>0</v>
      </c>
      <c r="F107" s="29">
        <f>IF(C107-Table_14634578111623445260[Egypt]&gt;0, C107-Table_14634578111623445260[Egypt], 0)</f>
        <v>0</v>
      </c>
      <c r="G107" s="29">
        <f>IF(C107-Table_14634578111623445260[Eritrea]&gt;0, C107-Table_14634578111623445260[Eritrea], 0)</f>
        <v>0</v>
      </c>
      <c r="H107" s="29">
        <f>IF(C107-Table_14634578111623445260[Ethiopia]&gt;0, C107-Table_14634578111623445260[Ethiopia], 0)</f>
        <v>298.58445901346118</v>
      </c>
      <c r="I107" s="29">
        <f>IF(C107-Table_14634578111623445260[Kenya]&gt;0, C107-Table_14634578111623445260[Kenya], 0)</f>
        <v>0</v>
      </c>
      <c r="J107" s="29">
        <f>IF(C107-Table_14634578111623445260[Rwanda]&gt;0, C107-Table_14634578111623445260[Rwanda], 0)</f>
        <v>0</v>
      </c>
      <c r="K107" s="29">
        <f>IF(C107-Table_14634578111623445260[Sudan]&gt;0, C107-Table_14634578111623445260[Sudan], 0)</f>
        <v>0</v>
      </c>
      <c r="L107" s="29">
        <f>IF(C107-Table_14634578111623445260[S. Sudan]&gt;0, C107-Table_14634578111623445260[S. Sudan], 0)</f>
        <v>514.73326342024632</v>
      </c>
      <c r="M107" s="29">
        <f>IF(C107-Table_14634578111623445260[Tanzania]&gt;0, C107-Table_14634578111623445260[Tanzania], 0)</f>
        <v>0</v>
      </c>
      <c r="N107" s="29">
        <f>IF(C107-Table_14634578111623445260[Uganda]&gt;0, C107-Table_14634578111623445260[Uganda], 0)</f>
        <v>140.85371084891182</v>
      </c>
      <c r="P107" s="22" t="s">
        <v>10</v>
      </c>
      <c r="Q107" s="98">
        <f t="shared" si="12"/>
        <v>5.7894869880982525E-6</v>
      </c>
      <c r="R107" s="98">
        <f t="shared" si="11"/>
        <v>5.7894869880982525E-6</v>
      </c>
      <c r="S107" s="98">
        <f t="shared" si="11"/>
        <v>5.7894869880982525E-6</v>
      </c>
      <c r="T107" s="98">
        <f t="shared" si="11"/>
        <v>5.7894869880982525E-6</v>
      </c>
      <c r="U107" s="98">
        <f t="shared" si="11"/>
        <v>0.16216111830987226</v>
      </c>
      <c r="V107" s="98">
        <f t="shared" si="11"/>
        <v>5.7894869880982525E-6</v>
      </c>
      <c r="W107" s="98">
        <f t="shared" si="11"/>
        <v>5.7894869880982525E-6</v>
      </c>
      <c r="X107" s="98">
        <f t="shared" si="11"/>
        <v>5.7894869880982525E-6</v>
      </c>
      <c r="Y107" s="98">
        <f t="shared" si="11"/>
        <v>0.38437321621161208</v>
      </c>
      <c r="Z107" s="98">
        <f t="shared" si="11"/>
        <v>5.7894869880982525E-6</v>
      </c>
      <c r="AA107" s="98">
        <f t="shared" si="11"/>
        <v>5.7894869880982525E-6</v>
      </c>
      <c r="AB107" s="186">
        <f>SUM(Q97:AA107)</f>
        <v>15.633860405986264</v>
      </c>
    </row>
    <row r="108" spans="2:31" ht="12.75" customHeight="1" thickBot="1" x14ac:dyDescent="0.3">
      <c r="B108" s="22" t="s">
        <v>10</v>
      </c>
      <c r="C108" s="96">
        <f>Annual_sorted!G188</f>
        <v>-274.46563339654</v>
      </c>
      <c r="D108" s="32">
        <f>IF(C108-Table_14634578111623445260[Burundi]&gt;0, C108-Table_14634578111623445260[Burundi], 0)</f>
        <v>0</v>
      </c>
      <c r="E108" s="32">
        <f>IF(C108-Table_14634578111623445260[DRC]&gt;0, C108-Table_14634578111623445260[DRC], 0)</f>
        <v>0</v>
      </c>
      <c r="F108" s="32">
        <f>IF(C108-Table_14634578111623445260[Egypt]&gt;0, C108-Table_14634578111623445260[Egypt], 0)</f>
        <v>0</v>
      </c>
      <c r="G108" s="32">
        <f>IF(C108-Table_14634578111623445260[Eritrea]&gt;0, C108-Table_14634578111623445260[Eritrea], 0)</f>
        <v>0</v>
      </c>
      <c r="H108" s="32">
        <f>IF(C108-Table_14634578111623445260[Ethiopia]&gt;0, C108-Table_14634578111623445260[Ethiopia], 0)</f>
        <v>157.73074816454937</v>
      </c>
      <c r="I108" s="32">
        <f>IF(C108-Table_14634578111623445260[Kenya]&gt;0, C108-Table_14634578111623445260[Kenya], 0)</f>
        <v>0</v>
      </c>
      <c r="J108" s="32">
        <f>IF(C108-Table_14634578111623445260[Rwanda]&gt;0, C108-Table_14634578111623445260[Rwanda], 0)</f>
        <v>0</v>
      </c>
      <c r="K108" s="32">
        <f>IF(C108-Table_14634578111623445260[Sudan]&gt;0, C108-Table_14634578111623445260[Sudan], 0)</f>
        <v>0</v>
      </c>
      <c r="L108" s="32">
        <f>IF(C108-Table_14634578111623445260[S. Sudan]&gt;0, C108-Table_14634578111623445260[S. Sudan], 0)</f>
        <v>373.8795525713345</v>
      </c>
      <c r="M108" s="32">
        <f>IF(C108-Table_14634578111623445260[Tanzania]&gt;0, C108-Table_14634578111623445260[Tanzania], 0)</f>
        <v>0</v>
      </c>
      <c r="N108" s="32">
        <f>IF(C108-Table_14634578111623445260[Uganda]&gt;0, C108-Table_14634578111623445260[Uganda], 0)</f>
        <v>0</v>
      </c>
      <c r="Y108" s="186">
        <f>SUM(Y97:Y107)</f>
        <v>5.9479366374643394</v>
      </c>
    </row>
    <row r="109" spans="2:31" ht="12.75" customHeight="1" x14ac:dyDescent="0.25"/>
    <row r="110" spans="2:31" ht="12.75" customHeight="1" x14ac:dyDescent="0.25"/>
    <row r="111" spans="2:31" ht="12.75" customHeight="1" x14ac:dyDescent="0.25">
      <c r="B111" s="5"/>
      <c r="C111" s="5"/>
      <c r="D111" s="5"/>
      <c r="E111" s="5"/>
      <c r="F111" s="5"/>
      <c r="G111" s="5"/>
      <c r="H111" s="5"/>
      <c r="I111" s="5"/>
      <c r="J111" s="5"/>
      <c r="K111" s="5"/>
      <c r="L111" s="5"/>
      <c r="M111" s="5"/>
      <c r="N111" s="5"/>
    </row>
    <row r="112" spans="2:31" ht="12.75" customHeight="1" x14ac:dyDescent="0.25">
      <c r="B112" s="5"/>
      <c r="C112" s="5"/>
      <c r="D112" s="5"/>
      <c r="E112" s="5"/>
      <c r="F112" s="5"/>
      <c r="G112" s="5"/>
      <c r="H112" s="5"/>
      <c r="I112" s="5"/>
      <c r="J112" s="5"/>
      <c r="K112" s="5"/>
      <c r="L112" s="5"/>
      <c r="M112" s="5"/>
      <c r="N112" s="5"/>
      <c r="P112" s="5"/>
      <c r="Q112" s="5"/>
      <c r="R112" s="5"/>
      <c r="S112" s="5"/>
      <c r="T112" s="5"/>
      <c r="U112" s="5"/>
      <c r="V112" s="5"/>
      <c r="W112" s="5"/>
      <c r="X112" s="5"/>
      <c r="Y112" s="5"/>
      <c r="Z112" s="5"/>
      <c r="AA112" s="5"/>
    </row>
    <row r="113" spans="2:31" ht="12.75" customHeight="1" thickBot="1" x14ac:dyDescent="0.3">
      <c r="B113" s="253" t="s">
        <v>86</v>
      </c>
      <c r="C113" s="253"/>
      <c r="D113" s="253"/>
      <c r="E113" s="253"/>
      <c r="F113" s="253"/>
      <c r="G113" s="253"/>
      <c r="H113" s="253"/>
      <c r="I113" s="253"/>
      <c r="J113" s="253"/>
      <c r="K113" s="253"/>
      <c r="L113" s="253"/>
      <c r="M113" s="253"/>
      <c r="N113" s="253"/>
      <c r="P113" s="253" t="s">
        <v>88</v>
      </c>
      <c r="Q113" s="253"/>
      <c r="R113" s="253"/>
      <c r="S113" s="253"/>
      <c r="T113" s="253"/>
      <c r="U113" s="253"/>
      <c r="V113" s="253"/>
      <c r="W113" s="253"/>
      <c r="X113" s="253"/>
      <c r="Y113" s="253"/>
      <c r="Z113" s="253"/>
      <c r="AA113" s="253"/>
      <c r="AB113" s="10"/>
      <c r="AC113" s="3" t="s">
        <v>22</v>
      </c>
      <c r="AD113" s="13" t="s">
        <v>23</v>
      </c>
      <c r="AE113" s="74">
        <f t="array" ref="AE113">MIN(IF(D116:N126&gt;0,D116:N126))</f>
        <v>1.9301411042914389</v>
      </c>
    </row>
    <row r="114" spans="2:31" ht="12.75" customHeight="1" thickBot="1" x14ac:dyDescent="0.3">
      <c r="B114" s="75" t="s">
        <v>13</v>
      </c>
      <c r="C114" s="66" t="s">
        <v>14</v>
      </c>
      <c r="D114" s="67" t="s">
        <v>1</v>
      </c>
      <c r="E114" s="67" t="s">
        <v>195</v>
      </c>
      <c r="F114" s="67" t="s">
        <v>2</v>
      </c>
      <c r="G114" s="67" t="s">
        <v>3</v>
      </c>
      <c r="H114" s="67" t="s">
        <v>4</v>
      </c>
      <c r="I114" s="67" t="s">
        <v>5</v>
      </c>
      <c r="J114" s="67" t="s">
        <v>6</v>
      </c>
      <c r="K114" s="67" t="s">
        <v>7</v>
      </c>
      <c r="L114" s="67" t="s">
        <v>295</v>
      </c>
      <c r="M114" s="67" t="s">
        <v>9</v>
      </c>
      <c r="N114" s="67" t="s">
        <v>10</v>
      </c>
      <c r="P114" s="76" t="s">
        <v>19</v>
      </c>
      <c r="Q114" s="77" t="s">
        <v>1</v>
      </c>
      <c r="R114" s="77" t="s">
        <v>195</v>
      </c>
      <c r="S114" s="77" t="s">
        <v>2</v>
      </c>
      <c r="T114" s="77" t="s">
        <v>3</v>
      </c>
      <c r="U114" s="77" t="s">
        <v>4</v>
      </c>
      <c r="V114" s="77" t="s">
        <v>5</v>
      </c>
      <c r="W114" s="77" t="s">
        <v>6</v>
      </c>
      <c r="X114" s="77" t="s">
        <v>7</v>
      </c>
      <c r="Y114" s="77" t="s">
        <v>295</v>
      </c>
      <c r="Z114" s="77" t="s">
        <v>9</v>
      </c>
      <c r="AA114" s="77" t="s">
        <v>10</v>
      </c>
      <c r="AB114" s="254" t="s">
        <v>26</v>
      </c>
      <c r="AC114" s="254"/>
      <c r="AD114" s="13" t="s">
        <v>24</v>
      </c>
      <c r="AE114" s="20">
        <f>MAX(D116:N126)</f>
        <v>410.88437951313523</v>
      </c>
    </row>
    <row r="115" spans="2:31" ht="12.75" customHeight="1" x14ac:dyDescent="0.25">
      <c r="B115" s="93"/>
      <c r="C115" s="94" t="s">
        <v>263</v>
      </c>
      <c r="D115" s="95">
        <f>C116</f>
        <v>-2.6749400889843775</v>
      </c>
      <c r="E115" s="95">
        <f>C117</f>
        <v>4.5272788969476956</v>
      </c>
      <c r="F115" s="95">
        <f>C118</f>
        <v>327.32968091907202</v>
      </c>
      <c r="G115" s="95">
        <f>C119</f>
        <v>1.2192483919222368</v>
      </c>
      <c r="H115" s="95">
        <f>C120</f>
        <v>-83.554698594063225</v>
      </c>
      <c r="I115" s="95">
        <f>C121</f>
        <v>-13.756103264158464</v>
      </c>
      <c r="J115" s="95">
        <f>C122</f>
        <v>-0.74479898469293859</v>
      </c>
      <c r="K115" s="95">
        <f>C123</f>
        <v>299.65584925157799</v>
      </c>
      <c r="L115" s="95">
        <f>C124</f>
        <v>10.468507913800099</v>
      </c>
      <c r="M115" s="95">
        <f>C125</f>
        <v>-21.718637390276747</v>
      </c>
      <c r="N115" s="95">
        <f>C126</f>
        <v>17.538306754422301</v>
      </c>
      <c r="P115" s="21" t="s">
        <v>1</v>
      </c>
      <c r="Q115" s="97">
        <f>$AE$115+(D116-$AE$113)*($AE$116-$AE$115)/($AE$114-$AE$113)</f>
        <v>-3.7149797754619613E-3</v>
      </c>
      <c r="R115" s="97">
        <f t="shared" ref="R115:AA125" si="13">$AE$115+(E116-$AE$113)*($AE$116-$AE$115)/($AE$114-$AE$113)</f>
        <v>-3.7149797754619613E-3</v>
      </c>
      <c r="S115" s="97">
        <f t="shared" si="13"/>
        <v>-3.7149797754619613E-3</v>
      </c>
      <c r="T115" s="97">
        <f t="shared" si="13"/>
        <v>-3.7149797754619613E-3</v>
      </c>
      <c r="U115" s="97">
        <f t="shared" si="13"/>
        <v>0.19385939691016793</v>
      </c>
      <c r="V115" s="97">
        <f t="shared" si="13"/>
        <v>2.3354264096591571E-2</v>
      </c>
      <c r="W115" s="97">
        <f t="shared" si="13"/>
        <v>-3.7149797754619613E-3</v>
      </c>
      <c r="X115" s="97">
        <f t="shared" si="13"/>
        <v>-3.7149797754619613E-3</v>
      </c>
      <c r="Y115" s="97">
        <f t="shared" si="13"/>
        <v>-3.7149797754619613E-3</v>
      </c>
      <c r="Z115" s="97">
        <f t="shared" si="13"/>
        <v>4.2805270700513209E-2</v>
      </c>
      <c r="AA115" s="97">
        <f t="shared" si="13"/>
        <v>-3.7149797754619613E-3</v>
      </c>
      <c r="AD115" s="3" t="s">
        <v>25</v>
      </c>
      <c r="AE115" s="2">
        <v>1E-3</v>
      </c>
    </row>
    <row r="116" spans="2:31" ht="12.75" customHeight="1" x14ac:dyDescent="0.25">
      <c r="B116" s="21" t="s">
        <v>1</v>
      </c>
      <c r="C116" s="95">
        <f>Annual_sorted!H178</f>
        <v>-2.6749400889843775</v>
      </c>
      <c r="D116" s="29">
        <f>IF(C116-Table_146345781121722435159[Burundi]&gt;0, C116-Table_146345781121722435159[Burundi], 0)</f>
        <v>0</v>
      </c>
      <c r="E116" s="29">
        <f>IF(C116-Table_146345781121722435159[DRC]&gt;0, C116-Table_146345781121722435159[DRC], 0)</f>
        <v>0</v>
      </c>
      <c r="F116" s="29">
        <f>IF(C116-Table_146345781121722435159[Egypt]&gt;0, C116-Table_146345781121722435159[Egypt], 0)</f>
        <v>0</v>
      </c>
      <c r="G116" s="29">
        <f>IF(C116-Table_146345781121722435159[Eritrea]&gt;0, C116-Table_146345781121722435159[Eritrea], 0)</f>
        <v>0</v>
      </c>
      <c r="H116" s="29">
        <f>IF(C116-Table_146345781121722435159[Ethiopia]&gt;0, C116-Table_146345781121722435159[Ethiopia], 0)</f>
        <v>80.879758505078854</v>
      </c>
      <c r="I116" s="29">
        <f>IF(C116-Table_146345781121722435159[Kenya]&gt;0, C116-Table_146345781121722435159[Kenya], 0)</f>
        <v>11.081163175174087</v>
      </c>
      <c r="J116" s="29">
        <f>IF(C116-Table_146345781121722435159[Rwanda]&gt;0, C116-Table_146345781121722435159[Rwanda], 0)</f>
        <v>0</v>
      </c>
      <c r="K116" s="29">
        <f>IF(C116-Table_146345781121722435159[Sudan]&gt;0, C116-Table_146345781121722435159[Sudan], 0)</f>
        <v>0</v>
      </c>
      <c r="L116" s="29">
        <f>IF(C116-Table_146345781121722435159[S. Sudan]&gt;0, C116-Table_146345781121722435159[S. Sudan], 0)</f>
        <v>0</v>
      </c>
      <c r="M116" s="29">
        <f>IF(C116-Table_146345781121722435159[Tanzania]&gt;0, C116-Table_146345781121722435159[Tanzania], 0)</f>
        <v>19.043697301292369</v>
      </c>
      <c r="N116" s="29">
        <f>IF(C116-Table_146345781121722435159[Uganda]&gt;0, C116-Table_146345781121722435159[Uganda], 0)</f>
        <v>0</v>
      </c>
      <c r="P116" s="21" t="s">
        <v>195</v>
      </c>
      <c r="Q116" s="97">
        <f t="shared" ref="Q116:Q125" si="14">$AE$115+(D117-$AE$113)*($AE$116-$AE$115)/($AE$114-$AE$113)</f>
        <v>1.3878716758752872E-2</v>
      </c>
      <c r="R116" s="97">
        <f t="shared" si="13"/>
        <v>-3.7149797754619613E-3</v>
      </c>
      <c r="S116" s="97">
        <f t="shared" si="13"/>
        <v>-3.7149797754619613E-3</v>
      </c>
      <c r="T116" s="97">
        <f t="shared" si="13"/>
        <v>4.3659304197188591E-3</v>
      </c>
      <c r="U116" s="97">
        <f t="shared" si="13"/>
        <v>0.21145309344438271</v>
      </c>
      <c r="V116" s="97">
        <f t="shared" si="13"/>
        <v>4.0947960630806399E-2</v>
      </c>
      <c r="W116" s="97">
        <f t="shared" si="13"/>
        <v>9.1637369832909092E-3</v>
      </c>
      <c r="X116" s="97">
        <f t="shared" si="13"/>
        <v>-3.7149797754619613E-3</v>
      </c>
      <c r="Y116" s="97">
        <f t="shared" si="13"/>
        <v>-3.7149797754619613E-3</v>
      </c>
      <c r="Z116" s="97">
        <f t="shared" si="13"/>
        <v>6.0398967234728033E-2</v>
      </c>
      <c r="AA116" s="97">
        <f t="shared" si="13"/>
        <v>-3.7149797754619613E-3</v>
      </c>
      <c r="AD116" s="3" t="s">
        <v>70</v>
      </c>
      <c r="AE116" s="2">
        <v>1</v>
      </c>
    </row>
    <row r="117" spans="2:31" ht="12.75" customHeight="1" x14ac:dyDescent="0.25">
      <c r="B117" s="21" t="s">
        <v>195</v>
      </c>
      <c r="C117" s="95">
        <f>Annual_sorted!H179</f>
        <v>4.5272788969476956</v>
      </c>
      <c r="D117" s="29">
        <f>IF(C117-Table_146345781121722435159[Burundi]&gt;0, C117-Table_146345781121722435159[Burundi], 0)</f>
        <v>7.2022189859320731</v>
      </c>
      <c r="E117" s="29">
        <f>IF(C117-Table_146345781121722435159[DRC]&gt;0, C117-Table_146345781121722435159[DRC], 0)</f>
        <v>0</v>
      </c>
      <c r="F117" s="29">
        <f>IF(C117-Table_146345781121722435159[Egypt]&gt;0, C117-Table_146345781121722435159[Egypt], 0)</f>
        <v>0</v>
      </c>
      <c r="G117" s="29">
        <f>IF(C117-Table_146345781121722435159[Eritrea]&gt;0, C117-Table_146345781121722435159[Eritrea], 0)</f>
        <v>3.3080305050254588</v>
      </c>
      <c r="H117" s="29">
        <f>IF(C117-Table_146345781121722435159[Ethiopia]&gt;0, C117-Table_146345781121722435159[Ethiopia], 0)</f>
        <v>88.081977491010917</v>
      </c>
      <c r="I117" s="29">
        <f>IF(C117-Table_146345781121722435159[Kenya]&gt;0, C117-Table_146345781121722435159[Kenya], 0)</f>
        <v>18.283382161106161</v>
      </c>
      <c r="J117" s="29">
        <f>IF(C117-Table_146345781121722435159[Rwanda]&gt;0, C117-Table_146345781121722435159[Rwanda], 0)</f>
        <v>5.2720778816406337</v>
      </c>
      <c r="K117" s="29">
        <f>IF(C117-Table_146345781121722435159[Sudan]&gt;0, C117-Table_146345781121722435159[Sudan], 0)</f>
        <v>0</v>
      </c>
      <c r="L117" s="29">
        <f>IF(C117-Table_146345781121722435159[S. Sudan]&gt;0, C117-Table_146345781121722435159[S. Sudan], 0)</f>
        <v>0</v>
      </c>
      <c r="M117" s="29">
        <f>IF(C117-Table_146345781121722435159[Tanzania]&gt;0, C117-Table_146345781121722435159[Tanzania], 0)</f>
        <v>26.245916287224443</v>
      </c>
      <c r="N117" s="29">
        <f>IF(C117-Table_146345781121722435159[Uganda]&gt;0, C117-Table_146345781121722435159[Uganda], 0)</f>
        <v>0</v>
      </c>
      <c r="P117" s="21" t="s">
        <v>2</v>
      </c>
      <c r="Q117" s="97">
        <f t="shared" si="14"/>
        <v>0.80242562331437017</v>
      </c>
      <c r="R117" s="97">
        <f t="shared" si="13"/>
        <v>0.78483192678015534</v>
      </c>
      <c r="S117" s="97">
        <f t="shared" si="13"/>
        <v>-3.7149797754619613E-3</v>
      </c>
      <c r="T117" s="97">
        <f t="shared" si="13"/>
        <v>0.79291283697533621</v>
      </c>
      <c r="U117" s="97">
        <f t="shared" si="13"/>
        <v>1</v>
      </c>
      <c r="V117" s="97">
        <f t="shared" si="13"/>
        <v>0.82949486718642373</v>
      </c>
      <c r="W117" s="97">
        <f t="shared" si="13"/>
        <v>0.79771064353890819</v>
      </c>
      <c r="X117" s="97">
        <f t="shared" si="13"/>
        <v>6.3887101922950079E-2</v>
      </c>
      <c r="Y117" s="97">
        <f t="shared" si="13"/>
        <v>0.77031859685128956</v>
      </c>
      <c r="Z117" s="97">
        <f t="shared" si="13"/>
        <v>0.84894587379034536</v>
      </c>
      <c r="AA117" s="97">
        <f t="shared" si="13"/>
        <v>0.75304837838073124</v>
      </c>
    </row>
    <row r="118" spans="2:31" ht="12.75" customHeight="1" x14ac:dyDescent="0.25">
      <c r="B118" s="21" t="s">
        <v>2</v>
      </c>
      <c r="C118" s="95">
        <f>Annual_sorted!H180</f>
        <v>327.32968091907202</v>
      </c>
      <c r="D118" s="29">
        <f>IF(C118-Table_146345781121722435159[Burundi]&gt;0, C118-Table_146345781121722435159[Burundi], 0)</f>
        <v>330.0046210080564</v>
      </c>
      <c r="E118" s="29">
        <f>IF(C118-Table_146345781121722435159[DRC]&gt;0, C118-Table_146345781121722435159[DRC], 0)</f>
        <v>322.80240202212434</v>
      </c>
      <c r="F118" s="29">
        <f>IF(C118-Table_146345781121722435159[Egypt]&gt;0, C118-Table_146345781121722435159[Egypt], 0)</f>
        <v>0</v>
      </c>
      <c r="G118" s="29">
        <f>IF(C118-Table_146345781121722435159[Eritrea]&gt;0, C118-Table_146345781121722435159[Eritrea], 0)</f>
        <v>326.11043252714978</v>
      </c>
      <c r="H118" s="29">
        <f>IF(C118-Table_146345781121722435159[Ethiopia]&gt;0, C118-Table_146345781121722435159[Ethiopia], 0)</f>
        <v>410.88437951313523</v>
      </c>
      <c r="I118" s="29">
        <f>IF(C118-Table_146345781121722435159[Kenya]&gt;0, C118-Table_146345781121722435159[Kenya], 0)</f>
        <v>341.08578418323049</v>
      </c>
      <c r="J118" s="29">
        <f>IF(C118-Table_146345781121722435159[Rwanda]&gt;0, C118-Table_146345781121722435159[Rwanda], 0)</f>
        <v>328.07447990376494</v>
      </c>
      <c r="K118" s="29">
        <f>IF(C118-Table_146345781121722435159[Sudan]&gt;0, C118-Table_146345781121722435159[Sudan], 0)</f>
        <v>27.673831667494028</v>
      </c>
      <c r="L118" s="29">
        <f>IF(C118-Table_146345781121722435159[S. Sudan]&gt;0, C118-Table_146345781121722435159[S. Sudan], 0)</f>
        <v>316.86117300527189</v>
      </c>
      <c r="M118" s="29">
        <f>IF(C118-Table_146345781121722435159[Tanzania]&gt;0, C118-Table_146345781121722435159[Tanzania], 0)</f>
        <v>349.04831830934876</v>
      </c>
      <c r="N118" s="29">
        <f>IF(C118-Table_146345781121722435159[Uganda]&gt;0, C118-Table_146345781121722435159[Uganda], 0)</f>
        <v>309.79137416464971</v>
      </c>
      <c r="P118" s="21" t="s">
        <v>3</v>
      </c>
      <c r="Q118" s="97">
        <f t="shared" si="14"/>
        <v>5.7978065635720518E-3</v>
      </c>
      <c r="R118" s="97">
        <f t="shared" si="13"/>
        <v>-3.7149797754619613E-3</v>
      </c>
      <c r="S118" s="97">
        <f t="shared" si="13"/>
        <v>-3.7149797754619613E-3</v>
      </c>
      <c r="T118" s="97">
        <f t="shared" si="13"/>
        <v>-3.7149797754619613E-3</v>
      </c>
      <c r="U118" s="97">
        <f t="shared" si="13"/>
        <v>0.20337218324920189</v>
      </c>
      <c r="V118" s="97">
        <f t="shared" si="13"/>
        <v>3.2867050435625586E-2</v>
      </c>
      <c r="W118" s="97">
        <f t="shared" si="13"/>
        <v>1.0828267881100905E-3</v>
      </c>
      <c r="X118" s="97">
        <f t="shared" si="13"/>
        <v>-3.7149797754619613E-3</v>
      </c>
      <c r="Y118" s="97">
        <f t="shared" si="13"/>
        <v>-3.7149797754619613E-3</v>
      </c>
      <c r="Z118" s="97">
        <f t="shared" si="13"/>
        <v>5.2318057039547221E-2</v>
      </c>
      <c r="AA118" s="97">
        <f t="shared" si="13"/>
        <v>-3.7149797754619613E-3</v>
      </c>
    </row>
    <row r="119" spans="2:31" ht="12.75" customHeight="1" x14ac:dyDescent="0.25">
      <c r="B119" s="21" t="s">
        <v>3</v>
      </c>
      <c r="C119" s="95">
        <f>Annual_sorted!H181</f>
        <v>1.2192483919222368</v>
      </c>
      <c r="D119" s="29">
        <f>IF(C119-Table_146345781121722435159[Burundi]&gt;0, C119-Table_146345781121722435159[Burundi], 0)</f>
        <v>3.8941884809066143</v>
      </c>
      <c r="E119" s="29">
        <f>IF(C119-Table_146345781121722435159[DRC]&gt;0, C119-Table_146345781121722435159[DRC], 0)</f>
        <v>0</v>
      </c>
      <c r="F119" s="29">
        <f>IF(C119-Table_146345781121722435159[Egypt]&gt;0, C119-Table_146345781121722435159[Egypt], 0)</f>
        <v>0</v>
      </c>
      <c r="G119" s="29">
        <f>IF(C119-Table_146345781121722435159[Eritrea]&gt;0, C119-Table_146345781121722435159[Eritrea], 0)</f>
        <v>0</v>
      </c>
      <c r="H119" s="29">
        <f>IF(C119-Table_146345781121722435159[Ethiopia]&gt;0, C119-Table_146345781121722435159[Ethiopia], 0)</f>
        <v>84.773946985985461</v>
      </c>
      <c r="I119" s="29">
        <f>IF(C119-Table_146345781121722435159[Kenya]&gt;0, C119-Table_146345781121722435159[Kenya], 0)</f>
        <v>14.975351656080701</v>
      </c>
      <c r="J119" s="29">
        <f>IF(C119-Table_146345781121722435159[Rwanda]&gt;0, C119-Table_146345781121722435159[Rwanda], 0)</f>
        <v>1.9640473766151754</v>
      </c>
      <c r="K119" s="29">
        <f>IF(C119-Table_146345781121722435159[Sudan]&gt;0, C119-Table_146345781121722435159[Sudan], 0)</f>
        <v>0</v>
      </c>
      <c r="L119" s="29">
        <f>IF(C119-Table_146345781121722435159[S. Sudan]&gt;0, C119-Table_146345781121722435159[S. Sudan], 0)</f>
        <v>0</v>
      </c>
      <c r="M119" s="29">
        <f>IF(C119-Table_146345781121722435159[Tanzania]&gt;0, C119-Table_146345781121722435159[Tanzania], 0)</f>
        <v>22.937885782198983</v>
      </c>
      <c r="N119" s="29">
        <f>IF(C119-Table_146345781121722435159[Uganda]&gt;0, C119-Table_146345781121722435159[Uganda], 0)</f>
        <v>0</v>
      </c>
      <c r="P119" s="21" t="s">
        <v>4</v>
      </c>
      <c r="Q119" s="97">
        <f t="shared" si="14"/>
        <v>-3.7149797754619613E-3</v>
      </c>
      <c r="R119" s="97">
        <f t="shared" si="13"/>
        <v>-3.7149797754619613E-3</v>
      </c>
      <c r="S119" s="97">
        <f t="shared" si="13"/>
        <v>-3.7149797754619613E-3</v>
      </c>
      <c r="T119" s="97">
        <f t="shared" si="13"/>
        <v>-3.7149797754619613E-3</v>
      </c>
      <c r="U119" s="97">
        <f t="shared" si="13"/>
        <v>-3.7149797754619613E-3</v>
      </c>
      <c r="V119" s="97">
        <f t="shared" si="13"/>
        <v>-3.7149797754619613E-3</v>
      </c>
      <c r="W119" s="97">
        <f t="shared" si="13"/>
        <v>-3.7149797754619613E-3</v>
      </c>
      <c r="X119" s="97">
        <f t="shared" si="13"/>
        <v>-3.7149797754619613E-3</v>
      </c>
      <c r="Y119" s="97">
        <f t="shared" si="13"/>
        <v>-3.7149797754619613E-3</v>
      </c>
      <c r="Z119" s="97">
        <f t="shared" si="13"/>
        <v>-3.7149797754619613E-3</v>
      </c>
      <c r="AA119" s="97">
        <f t="shared" si="13"/>
        <v>-3.7149797754619613E-3</v>
      </c>
    </row>
    <row r="120" spans="2:31" ht="12.75" customHeight="1" x14ac:dyDescent="0.25">
      <c r="B120" s="21" t="s">
        <v>4</v>
      </c>
      <c r="C120" s="95">
        <f>Annual_sorted!H182</f>
        <v>-83.554698594063225</v>
      </c>
      <c r="D120" s="29">
        <f>IF(C120-Table_146345781121722435159[Burundi]&gt;0, C120-Table_146345781121722435159[Burundi], 0)</f>
        <v>0</v>
      </c>
      <c r="E120" s="29">
        <f>IF(C120-Table_146345781121722435159[DRC]&gt;0, C120-Table_146345781121722435159[DRC], 0)</f>
        <v>0</v>
      </c>
      <c r="F120" s="29">
        <f>IF(C120-Table_146345781121722435159[Egypt]&gt;0, C120-Table_146345781121722435159[Egypt], 0)</f>
        <v>0</v>
      </c>
      <c r="G120" s="29">
        <f>IF(C120-Table_146345781121722435159[Eritrea]&gt;0, C120-Table_146345781121722435159[Eritrea], 0)</f>
        <v>0</v>
      </c>
      <c r="H120" s="29">
        <f>IF(C120-Table_146345781121722435159[Ethiopia]&gt;0, C120-Table_146345781121722435159[Ethiopia], 0)</f>
        <v>0</v>
      </c>
      <c r="I120" s="29">
        <f>IF(C120-Table_146345781121722435159[Kenya]&gt;0, C120-Table_146345781121722435159[Kenya], 0)</f>
        <v>0</v>
      </c>
      <c r="J120" s="29">
        <f>IF(C120-Table_146345781121722435159[Rwanda]&gt;0, C120-Table_146345781121722435159[Rwanda], 0)</f>
        <v>0</v>
      </c>
      <c r="K120" s="29">
        <f>IF(C120-Table_146345781121722435159[Sudan]&gt;0, C120-Table_146345781121722435159[Sudan], 0)</f>
        <v>0</v>
      </c>
      <c r="L120" s="29">
        <f>IF(C120-Table_146345781121722435159[S. Sudan]&gt;0, C120-Table_146345781121722435159[S. Sudan], 0)</f>
        <v>0</v>
      </c>
      <c r="M120" s="29">
        <f>IF(C120-Table_146345781121722435159[Tanzania]&gt;0, C120-Table_146345781121722435159[Tanzania], 0)</f>
        <v>0</v>
      </c>
      <c r="N120" s="29">
        <f>IF(C120-Table_146345781121722435159[Uganda]&gt;0, C120-Table_146345781121722435159[Uganda], 0)</f>
        <v>0</v>
      </c>
      <c r="P120" s="21" t="s">
        <v>5</v>
      </c>
      <c r="Q120" s="97">
        <f t="shared" si="14"/>
        <v>-3.7149797754619613E-3</v>
      </c>
      <c r="R120" s="97">
        <f t="shared" si="13"/>
        <v>-3.7149797754619613E-3</v>
      </c>
      <c r="S120" s="97">
        <f t="shared" si="13"/>
        <v>-3.7149797754619613E-3</v>
      </c>
      <c r="T120" s="97">
        <f t="shared" si="13"/>
        <v>-3.7149797754619613E-3</v>
      </c>
      <c r="U120" s="97">
        <f t="shared" si="13"/>
        <v>0.16679015303811434</v>
      </c>
      <c r="V120" s="97">
        <f t="shared" si="13"/>
        <v>-3.7149797754619613E-3</v>
      </c>
      <c r="W120" s="97">
        <f t="shared" si="13"/>
        <v>-3.7149797754619613E-3</v>
      </c>
      <c r="X120" s="97">
        <f t="shared" si="13"/>
        <v>-3.7149797754619613E-3</v>
      </c>
      <c r="Y120" s="97">
        <f t="shared" si="13"/>
        <v>-3.7149797754619613E-3</v>
      </c>
      <c r="Z120" s="97">
        <f t="shared" si="13"/>
        <v>1.573602682845968E-2</v>
      </c>
      <c r="AA120" s="97">
        <f t="shared" si="13"/>
        <v>-3.7149797754619613E-3</v>
      </c>
    </row>
    <row r="121" spans="2:31" ht="12.75" customHeight="1" x14ac:dyDescent="0.25">
      <c r="B121" s="21" t="s">
        <v>5</v>
      </c>
      <c r="C121" s="95">
        <f>Annual_sorted!H183</f>
        <v>-13.756103264158464</v>
      </c>
      <c r="D121" s="29">
        <f>IF(C121-Table_146345781121722435159[Burundi]&gt;0, C121-Table_146345781121722435159[Burundi], 0)</f>
        <v>0</v>
      </c>
      <c r="E121" s="29">
        <f>IF(C121-Table_146345781121722435159[DRC]&gt;0, C121-Table_146345781121722435159[DRC], 0)</f>
        <v>0</v>
      </c>
      <c r="F121" s="29">
        <f>IF(C121-Table_146345781121722435159[Egypt]&gt;0, C121-Table_146345781121722435159[Egypt], 0)</f>
        <v>0</v>
      </c>
      <c r="G121" s="29">
        <f>IF(C121-Table_146345781121722435159[Eritrea]&gt;0, C121-Table_146345781121722435159[Eritrea], 0)</f>
        <v>0</v>
      </c>
      <c r="H121" s="29">
        <f>IF(C121-Table_146345781121722435159[Ethiopia]&gt;0, C121-Table_146345781121722435159[Ethiopia], 0)</f>
        <v>69.798595329904757</v>
      </c>
      <c r="I121" s="29">
        <f>IF(C121-Table_146345781121722435159[Kenya]&gt;0, C121-Table_146345781121722435159[Kenya], 0)</f>
        <v>0</v>
      </c>
      <c r="J121" s="29">
        <f>IF(C121-Table_146345781121722435159[Rwanda]&gt;0, C121-Table_146345781121722435159[Rwanda], 0)</f>
        <v>0</v>
      </c>
      <c r="K121" s="29">
        <f>IF(C121-Table_146345781121722435159[Sudan]&gt;0, C121-Table_146345781121722435159[Sudan], 0)</f>
        <v>0</v>
      </c>
      <c r="L121" s="29">
        <f>IF(C121-Table_146345781121722435159[S. Sudan]&gt;0, C121-Table_146345781121722435159[S. Sudan], 0)</f>
        <v>0</v>
      </c>
      <c r="M121" s="29">
        <f>IF(C121-Table_146345781121722435159[Tanzania]&gt;0, C121-Table_146345781121722435159[Tanzania], 0)</f>
        <v>7.9625341261182836</v>
      </c>
      <c r="N121" s="29">
        <f>IF(C121-Table_146345781121722435159[Uganda]&gt;0, C121-Table_146345781121722435159[Uganda], 0)</f>
        <v>0</v>
      </c>
      <c r="P121" s="21" t="s">
        <v>6</v>
      </c>
      <c r="Q121" s="97">
        <f t="shared" si="14"/>
        <v>1E-3</v>
      </c>
      <c r="R121" s="97">
        <f t="shared" si="13"/>
        <v>-3.7149797754619613E-3</v>
      </c>
      <c r="S121" s="97">
        <f t="shared" si="13"/>
        <v>-3.7149797754619613E-3</v>
      </c>
      <c r="T121" s="97">
        <f t="shared" si="13"/>
        <v>-3.7149797754619613E-3</v>
      </c>
      <c r="U121" s="97">
        <f t="shared" si="13"/>
        <v>0.19857437668562986</v>
      </c>
      <c r="V121" s="97">
        <f t="shared" si="13"/>
        <v>2.8069243872053534E-2</v>
      </c>
      <c r="W121" s="97">
        <f t="shared" si="13"/>
        <v>-3.7149797754619613E-3</v>
      </c>
      <c r="X121" s="97">
        <f t="shared" si="13"/>
        <v>-3.7149797754619613E-3</v>
      </c>
      <c r="Y121" s="97">
        <f t="shared" si="13"/>
        <v>-3.7149797754619613E-3</v>
      </c>
      <c r="Z121" s="97">
        <f t="shared" si="13"/>
        <v>4.7520250475975169E-2</v>
      </c>
      <c r="AA121" s="97">
        <f t="shared" si="13"/>
        <v>-3.7149797754619613E-3</v>
      </c>
    </row>
    <row r="122" spans="2:31" ht="12.75" customHeight="1" x14ac:dyDescent="0.25">
      <c r="B122" s="21" t="s">
        <v>6</v>
      </c>
      <c r="C122" s="95">
        <f>Annual_sorted!H184</f>
        <v>-0.74479898469293859</v>
      </c>
      <c r="D122" s="29">
        <f>IF(C122-Table_146345781121722435159[Burundi]&gt;0, C122-Table_146345781121722435159[Burundi], 0)</f>
        <v>1.9301411042914389</v>
      </c>
      <c r="E122" s="29">
        <f>IF(C122-Table_146345781121722435159[DRC]&gt;0, C122-Table_146345781121722435159[DRC], 0)</f>
        <v>0</v>
      </c>
      <c r="F122" s="29">
        <f>IF(C122-Table_146345781121722435159[Egypt]&gt;0, C122-Table_146345781121722435159[Egypt], 0)</f>
        <v>0</v>
      </c>
      <c r="G122" s="29">
        <f>IF(C122-Table_146345781121722435159[Eritrea]&gt;0, C122-Table_146345781121722435159[Eritrea], 0)</f>
        <v>0</v>
      </c>
      <c r="H122" s="29">
        <f>IF(C122-Table_146345781121722435159[Ethiopia]&gt;0, C122-Table_146345781121722435159[Ethiopia], 0)</f>
        <v>82.809899609370291</v>
      </c>
      <c r="I122" s="29">
        <f>IF(C122-Table_146345781121722435159[Kenya]&gt;0, C122-Table_146345781121722435159[Kenya], 0)</f>
        <v>13.011304279465525</v>
      </c>
      <c r="J122" s="29">
        <f>IF(C122-Table_146345781121722435159[Rwanda]&gt;0, C122-Table_146345781121722435159[Rwanda], 0)</f>
        <v>0</v>
      </c>
      <c r="K122" s="29">
        <f>IF(C122-Table_146345781121722435159[Sudan]&gt;0, C122-Table_146345781121722435159[Sudan], 0)</f>
        <v>0</v>
      </c>
      <c r="L122" s="29">
        <f>IF(C122-Table_146345781121722435159[S. Sudan]&gt;0, C122-Table_146345781121722435159[S. Sudan], 0)</f>
        <v>0</v>
      </c>
      <c r="M122" s="29">
        <f>IF(C122-Table_146345781121722435159[Tanzania]&gt;0, C122-Table_146345781121722435159[Tanzania], 0)</f>
        <v>20.973838405583809</v>
      </c>
      <c r="N122" s="29">
        <f>IF(C122-Table_146345781121722435159[Uganda]&gt;0, C122-Table_146345781121722435159[Uganda], 0)</f>
        <v>0</v>
      </c>
      <c r="P122" s="21" t="s">
        <v>7</v>
      </c>
      <c r="Q122" s="97">
        <f t="shared" si="14"/>
        <v>0.73482354161595809</v>
      </c>
      <c r="R122" s="97">
        <f t="shared" si="13"/>
        <v>0.71722984508174326</v>
      </c>
      <c r="S122" s="97">
        <f t="shared" si="13"/>
        <v>-3.7149797754619613E-3</v>
      </c>
      <c r="T122" s="97">
        <f t="shared" si="13"/>
        <v>0.72531075527692412</v>
      </c>
      <c r="U122" s="97">
        <f t="shared" si="13"/>
        <v>0.93239791830158802</v>
      </c>
      <c r="V122" s="97">
        <f t="shared" si="13"/>
        <v>0.76189278548801165</v>
      </c>
      <c r="W122" s="97">
        <f t="shared" si="13"/>
        <v>0.73010856184049611</v>
      </c>
      <c r="X122" s="97">
        <f t="shared" si="13"/>
        <v>-3.7149797754619613E-3</v>
      </c>
      <c r="Y122" s="97">
        <f>$AE$115+(L123-$AE$113)*($AE$116-$AE$115)/($AE$114-$AE$113)</f>
        <v>0.70271651515287747</v>
      </c>
      <c r="Z122" s="97">
        <f t="shared" si="13"/>
        <v>0.78134379209193328</v>
      </c>
      <c r="AA122" s="97">
        <f t="shared" si="13"/>
        <v>0.68544629668231916</v>
      </c>
    </row>
    <row r="123" spans="2:31" ht="12.75" customHeight="1" x14ac:dyDescent="0.25">
      <c r="B123" s="21" t="s">
        <v>7</v>
      </c>
      <c r="C123" s="95">
        <f>Annual_sorted!H185</f>
        <v>299.65584925157799</v>
      </c>
      <c r="D123" s="29">
        <f>IF(C123-Table_146345781121722435159[Burundi]&gt;0, C123-Table_146345781121722435159[Burundi], 0)</f>
        <v>302.33078934056238</v>
      </c>
      <c r="E123" s="29">
        <f>IF(C123-Table_146345781121722435159[DRC]&gt;0, C123-Table_146345781121722435159[DRC], 0)</f>
        <v>295.12857035463031</v>
      </c>
      <c r="F123" s="29">
        <f>IF(C123-Table_146345781121722435159[Egypt]&gt;0, C123-Table_146345781121722435159[Egypt], 0)</f>
        <v>0</v>
      </c>
      <c r="G123" s="29">
        <f>IF(C123-Table_146345781121722435159[Eritrea]&gt;0, C123-Table_146345781121722435159[Eritrea], 0)</f>
        <v>298.43660085965575</v>
      </c>
      <c r="H123" s="29">
        <f>IF(C123-Table_146345781121722435159[Ethiopia]&gt;0, C123-Table_146345781121722435159[Ethiopia], 0)</f>
        <v>383.2105478456412</v>
      </c>
      <c r="I123" s="29">
        <f>IF(C123-Table_146345781121722435159[Kenya]&gt;0, C123-Table_146345781121722435159[Kenya], 0)</f>
        <v>313.41195251573646</v>
      </c>
      <c r="J123" s="29">
        <f>IF(C123-Table_146345781121722435159[Rwanda]&gt;0, C123-Table_146345781121722435159[Rwanda], 0)</f>
        <v>300.40064823627091</v>
      </c>
      <c r="K123" s="29">
        <f>IF(C123-Table_146345781121722435159[Sudan]&gt;0, C123-Table_146345781121722435159[Sudan], 0)</f>
        <v>0</v>
      </c>
      <c r="L123" s="29">
        <f>IF(C123-Table_146345781121722435159[S. Sudan]&gt;0, C123-Table_146345781121722435159[S. Sudan], 0)</f>
        <v>289.18734133777787</v>
      </c>
      <c r="M123" s="29">
        <f>IF(C123-Table_146345781121722435159[Tanzania]&gt;0, C123-Table_146345781121722435159[Tanzania], 0)</f>
        <v>321.37448664185473</v>
      </c>
      <c r="N123" s="29">
        <f>IF(C123-Table_146345781121722435159[Uganda]&gt;0, C123-Table_146345781121722435159[Uganda], 0)</f>
        <v>282.11754249715568</v>
      </c>
      <c r="P123" s="21" t="s">
        <v>8</v>
      </c>
      <c r="Q123" s="97">
        <f t="shared" si="14"/>
        <v>2.8392046687618574E-2</v>
      </c>
      <c r="R123" s="97">
        <f t="shared" si="13"/>
        <v>1.0798350153403739E-2</v>
      </c>
      <c r="S123" s="97">
        <f t="shared" si="13"/>
        <v>-3.7149797754619613E-3</v>
      </c>
      <c r="T123" s="97">
        <f t="shared" si="13"/>
        <v>1.8879260348584559E-2</v>
      </c>
      <c r="U123" s="97">
        <f t="shared" si="13"/>
        <v>0.2259664233732484</v>
      </c>
      <c r="V123" s="97">
        <f t="shared" si="13"/>
        <v>5.5461290559672104E-2</v>
      </c>
      <c r="W123" s="97">
        <f t="shared" si="13"/>
        <v>2.3677066912156614E-2</v>
      </c>
      <c r="X123" s="97">
        <f t="shared" si="13"/>
        <v>-3.7149797754619613E-3</v>
      </c>
      <c r="Y123" s="97">
        <f t="shared" si="13"/>
        <v>-3.7149797754619613E-3</v>
      </c>
      <c r="Z123" s="97">
        <f t="shared" si="13"/>
        <v>7.4912297163593752E-2</v>
      </c>
      <c r="AA123" s="97">
        <f t="shared" si="13"/>
        <v>-3.7149797754619613E-3</v>
      </c>
    </row>
    <row r="124" spans="2:31" ht="12.75" customHeight="1" x14ac:dyDescent="0.25">
      <c r="B124" s="21" t="s">
        <v>8</v>
      </c>
      <c r="C124" s="95">
        <f>Annual_sorted!H186</f>
        <v>10.468507913800099</v>
      </c>
      <c r="D124" s="29">
        <f>IF(C124-Table_146345781121722435159[Burundi]&gt;0, C124-Table_146345781121722435159[Burundi], 0)</f>
        <v>13.143448002784478</v>
      </c>
      <c r="E124" s="29">
        <f>IF(C124-Table_146345781121722435159[DRC]&gt;0, C124-Table_146345781121722435159[DRC], 0)</f>
        <v>5.9412290168524038</v>
      </c>
      <c r="F124" s="29">
        <f>IF(C124-Table_146345781121722435159[Egypt]&gt;0, C124-Table_146345781121722435159[Egypt], 0)</f>
        <v>0</v>
      </c>
      <c r="G124" s="29">
        <f>IF(C124-Table_146345781121722435159[Eritrea]&gt;0, C124-Table_146345781121722435159[Eritrea], 0)</f>
        <v>9.2492595218778622</v>
      </c>
      <c r="H124" s="29">
        <f>IF(C124-Table_146345781121722435159[Ethiopia]&gt;0, C124-Table_146345781121722435159[Ethiopia], 0)</f>
        <v>94.023206507863321</v>
      </c>
      <c r="I124" s="29">
        <f>IF(C124-Table_146345781121722435159[Kenya]&gt;0, C124-Table_146345781121722435159[Kenya], 0)</f>
        <v>24.224611177958565</v>
      </c>
      <c r="J124" s="29">
        <f>IF(C124-Table_146345781121722435159[Rwanda]&gt;0, C124-Table_146345781121722435159[Rwanda], 0)</f>
        <v>11.213306898493038</v>
      </c>
      <c r="K124" s="29">
        <f>IF(C124-Table_146345781121722435159[Sudan]&gt;0, C124-Table_146345781121722435159[Sudan], 0)</f>
        <v>0</v>
      </c>
      <c r="L124" s="29">
        <f>IF(C124-Table_146345781121722435159[S. Sudan]&gt;0, C124-Table_146345781121722435159[S. Sudan], 0)</f>
        <v>0</v>
      </c>
      <c r="M124" s="29">
        <f>IF(C124-Table_146345781121722435159[Tanzania]&gt;0, C124-Table_146345781121722435159[Tanzania], 0)</f>
        <v>32.18714530407685</v>
      </c>
      <c r="N124" s="29">
        <f>IF(C124-Table_146345781121722435159[Uganda]&gt;0, C124-Table_146345781121722435159[Uganda], 0)</f>
        <v>0</v>
      </c>
      <c r="P124" s="21" t="s">
        <v>9</v>
      </c>
      <c r="Q124" s="97">
        <f t="shared" si="14"/>
        <v>-3.7149797754619613E-3</v>
      </c>
      <c r="R124" s="97">
        <f t="shared" si="13"/>
        <v>-3.7149797754619613E-3</v>
      </c>
      <c r="S124" s="97">
        <f t="shared" si="13"/>
        <v>-3.7149797754619613E-3</v>
      </c>
      <c r="T124" s="97">
        <f t="shared" si="13"/>
        <v>-3.7149797754619613E-3</v>
      </c>
      <c r="U124" s="97">
        <f t="shared" si="13"/>
        <v>0.14733914643419271</v>
      </c>
      <c r="V124" s="97">
        <f t="shared" si="13"/>
        <v>-3.7149797754619613E-3</v>
      </c>
      <c r="W124" s="97">
        <f t="shared" si="13"/>
        <v>-3.7149797754619613E-3</v>
      </c>
      <c r="X124" s="97">
        <f t="shared" si="13"/>
        <v>-3.7149797754619613E-3</v>
      </c>
      <c r="Y124" s="97">
        <f t="shared" si="13"/>
        <v>-3.7149797754619613E-3</v>
      </c>
      <c r="Z124" s="97">
        <f t="shared" si="13"/>
        <v>-3.7149797754619613E-3</v>
      </c>
      <c r="AA124" s="97">
        <f t="shared" si="13"/>
        <v>-3.7149797754619613E-3</v>
      </c>
    </row>
    <row r="125" spans="2:31" ht="12.75" customHeight="1" thickBot="1" x14ac:dyDescent="0.3">
      <c r="B125" s="21" t="s">
        <v>9</v>
      </c>
      <c r="C125" s="95">
        <f>Annual_sorted!H187</f>
        <v>-21.718637390276747</v>
      </c>
      <c r="D125" s="29">
        <f>IF(C125-Table_146345781121722435159[Burundi]&gt;0, C125-Table_146345781121722435159[Burundi], 0)</f>
        <v>0</v>
      </c>
      <c r="E125" s="29">
        <f>IF(C125-Table_146345781121722435159[DRC]&gt;0, C125-Table_146345781121722435159[DRC], 0)</f>
        <v>0</v>
      </c>
      <c r="F125" s="29">
        <f>IF(C125-Table_146345781121722435159[Egypt]&gt;0, C125-Table_146345781121722435159[Egypt], 0)</f>
        <v>0</v>
      </c>
      <c r="G125" s="29">
        <f>IF(C125-Table_146345781121722435159[Eritrea]&gt;0, C125-Table_146345781121722435159[Eritrea], 0)</f>
        <v>0</v>
      </c>
      <c r="H125" s="29">
        <f>IF(C125-Table_146345781121722435159[Ethiopia]&gt;0, C125-Table_146345781121722435159[Ethiopia], 0)</f>
        <v>61.836061203786478</v>
      </c>
      <c r="I125" s="29">
        <f>IF(C125-Table_146345781121722435159[Kenya]&gt;0, C125-Table_146345781121722435159[Kenya], 0)</f>
        <v>0</v>
      </c>
      <c r="J125" s="29">
        <f>IF(C125-Table_146345781121722435159[Rwanda]&gt;0, C125-Table_146345781121722435159[Rwanda], 0)</f>
        <v>0</v>
      </c>
      <c r="K125" s="29">
        <f>IF(C125-Table_146345781121722435159[Sudan]&gt;0, C125-Table_146345781121722435159[Sudan], 0)</f>
        <v>0</v>
      </c>
      <c r="L125" s="29">
        <f>IF(C125-Table_146345781121722435159[S. Sudan]&gt;0, C125-Table_146345781121722435159[S. Sudan], 0)</f>
        <v>0</v>
      </c>
      <c r="M125" s="29">
        <f>IF(C125-Table_146345781121722435159[Tanzania]&gt;0, C125-Table_146345781121722435159[Tanzania], 0)</f>
        <v>0</v>
      </c>
      <c r="N125" s="29">
        <f>IF(C125-Table_146345781121722435159[Uganda]&gt;0, C125-Table_146345781121722435159[Uganda], 0)</f>
        <v>0</v>
      </c>
      <c r="P125" s="22" t="s">
        <v>10</v>
      </c>
      <c r="Q125" s="98">
        <f t="shared" si="14"/>
        <v>4.5662265158177028E-2</v>
      </c>
      <c r="R125" s="98">
        <f t="shared" si="13"/>
        <v>2.8068568623962196E-2</v>
      </c>
      <c r="S125" s="98">
        <f t="shared" si="13"/>
        <v>-3.7149797754619613E-3</v>
      </c>
      <c r="T125" s="98">
        <f t="shared" si="13"/>
        <v>3.6149478819143016E-2</v>
      </c>
      <c r="U125" s="98">
        <f t="shared" si="13"/>
        <v>0.24323664184380686</v>
      </c>
      <c r="V125" s="98">
        <f t="shared" si="13"/>
        <v>7.2731509030230554E-2</v>
      </c>
      <c r="W125" s="98">
        <f t="shared" si="13"/>
        <v>4.0947285382715068E-2</v>
      </c>
      <c r="X125" s="98">
        <f t="shared" si="13"/>
        <v>-3.7149797754619613E-3</v>
      </c>
      <c r="Y125" s="98">
        <f t="shared" si="13"/>
        <v>1.3555238695096495E-2</v>
      </c>
      <c r="Z125" s="98">
        <f t="shared" si="13"/>
        <v>9.218251563415221E-2</v>
      </c>
      <c r="AA125" s="98">
        <f t="shared" si="13"/>
        <v>-3.7149797754619613E-3</v>
      </c>
    </row>
    <row r="126" spans="2:31" ht="12.75" customHeight="1" thickBot="1" x14ac:dyDescent="0.3">
      <c r="B126" s="22" t="s">
        <v>10</v>
      </c>
      <c r="C126" s="96">
        <f>Annual_sorted!H188</f>
        <v>17.538306754422301</v>
      </c>
      <c r="D126" s="32">
        <f>IF(C126-Table_146345781121722435159[Burundi]&gt;0, C126-Table_146345781121722435159[Burundi], 0)</f>
        <v>20.213246843406679</v>
      </c>
      <c r="E126" s="32">
        <f>IF(C126-Table_146345781121722435159[DRC]&gt;0, C126-Table_146345781121722435159[DRC], 0)</f>
        <v>13.011027857474605</v>
      </c>
      <c r="F126" s="32">
        <f>IF(C126-Table_146345781121722435159[Egypt]&gt;0, C126-Table_146345781121722435159[Egypt], 0)</f>
        <v>0</v>
      </c>
      <c r="G126" s="32">
        <f>IF(C126-Table_146345781121722435159[Eritrea]&gt;0, C126-Table_146345781121722435159[Eritrea], 0)</f>
        <v>16.319058362500066</v>
      </c>
      <c r="H126" s="32">
        <f>IF(C126-Table_146345781121722435159[Ethiopia]&gt;0, C126-Table_146345781121722435159[Ethiopia], 0)</f>
        <v>101.09300534848552</v>
      </c>
      <c r="I126" s="32">
        <f>IF(C126-Table_146345781121722435159[Kenya]&gt;0, C126-Table_146345781121722435159[Kenya], 0)</f>
        <v>31.294410018580763</v>
      </c>
      <c r="J126" s="32">
        <f>IF(C126-Table_146345781121722435159[Rwanda]&gt;0, C126-Table_146345781121722435159[Rwanda], 0)</f>
        <v>18.283105739115239</v>
      </c>
      <c r="K126" s="32">
        <f>IF(C126-Table_146345781121722435159[Sudan]&gt;0, C126-Table_146345781121722435159[Sudan], 0)</f>
        <v>0</v>
      </c>
      <c r="L126" s="32">
        <f>IF(C126-Table_146345781121722435159[S. Sudan]&gt;0, C126-Table_146345781121722435159[S. Sudan], 0)</f>
        <v>7.0697988406222017</v>
      </c>
      <c r="M126" s="32">
        <f>IF(C126-Table_146345781121722435159[Tanzania]&gt;0, C126-Table_146345781121722435159[Tanzania], 0)</f>
        <v>39.256944144699048</v>
      </c>
      <c r="N126" s="32">
        <f>IF(C126-Table_146345781121722435159[Uganda]&gt;0, C126-Table_146345781121722435159[Uganda], 0)</f>
        <v>0</v>
      </c>
      <c r="Z126" s="186"/>
    </row>
    <row r="127" spans="2:31" ht="12.75" customHeight="1" x14ac:dyDescent="0.25"/>
    <row r="128" spans="2:31" ht="12.75" customHeight="1" x14ac:dyDescent="0.25"/>
    <row r="129" spans="2:31" ht="12.75" customHeight="1" x14ac:dyDescent="0.25">
      <c r="P129" s="5"/>
      <c r="Q129" s="5"/>
      <c r="R129" s="5"/>
      <c r="S129" s="5"/>
      <c r="T129" s="5"/>
      <c r="U129" s="5"/>
      <c r="V129" s="5"/>
      <c r="W129" s="5"/>
      <c r="X129" s="5"/>
      <c r="Y129" s="5"/>
      <c r="Z129" s="5"/>
      <c r="AA129" s="5"/>
    </row>
    <row r="130" spans="2:31" ht="12.75" customHeight="1" x14ac:dyDescent="0.25">
      <c r="B130" s="5"/>
      <c r="C130" s="5"/>
      <c r="D130" s="5"/>
      <c r="E130" s="5"/>
      <c r="F130" s="5"/>
      <c r="G130" s="5"/>
      <c r="H130" s="5"/>
      <c r="I130" s="5"/>
      <c r="J130" s="5"/>
      <c r="K130" s="5"/>
      <c r="L130" s="5"/>
      <c r="M130" s="5"/>
      <c r="N130" s="5"/>
      <c r="P130" s="5"/>
      <c r="Q130" s="5"/>
      <c r="R130" s="5"/>
      <c r="S130" s="5"/>
      <c r="T130" s="5"/>
      <c r="U130" s="5"/>
      <c r="V130" s="5"/>
      <c r="W130" s="5"/>
      <c r="X130" s="5"/>
      <c r="Y130" s="5"/>
      <c r="Z130" s="5"/>
      <c r="AA130" s="5"/>
    </row>
    <row r="131" spans="2:31" ht="12.75" customHeight="1" thickBot="1" x14ac:dyDescent="0.3">
      <c r="B131" s="253" t="s">
        <v>89</v>
      </c>
      <c r="C131" s="253"/>
      <c r="D131" s="253"/>
      <c r="E131" s="253"/>
      <c r="F131" s="253"/>
      <c r="G131" s="253"/>
      <c r="H131" s="253"/>
      <c r="I131" s="253"/>
      <c r="J131" s="253"/>
      <c r="K131" s="253"/>
      <c r="L131" s="253"/>
      <c r="M131" s="253"/>
      <c r="N131" s="253"/>
      <c r="P131" s="253" t="s">
        <v>90</v>
      </c>
      <c r="Q131" s="253"/>
      <c r="R131" s="253"/>
      <c r="S131" s="253"/>
      <c r="T131" s="253"/>
      <c r="U131" s="253"/>
      <c r="V131" s="253"/>
      <c r="W131" s="253"/>
      <c r="X131" s="253"/>
      <c r="Y131" s="253"/>
      <c r="Z131" s="253"/>
      <c r="AA131" s="253"/>
      <c r="AB131" s="10"/>
      <c r="AC131" s="3" t="s">
        <v>22</v>
      </c>
      <c r="AD131" s="13" t="s">
        <v>23</v>
      </c>
      <c r="AE131" s="74">
        <f t="array" ref="AE131">MIN(IF(D134:N144&gt;0,D134:N144))</f>
        <v>0.72461117795856289</v>
      </c>
    </row>
    <row r="132" spans="2:31" ht="12.75" customHeight="1" thickBot="1" x14ac:dyDescent="0.3">
      <c r="B132" s="75" t="s">
        <v>13</v>
      </c>
      <c r="C132" s="66" t="s">
        <v>14</v>
      </c>
      <c r="D132" s="67" t="s">
        <v>1</v>
      </c>
      <c r="E132" s="67" t="s">
        <v>195</v>
      </c>
      <c r="F132" s="67" t="s">
        <v>2</v>
      </c>
      <c r="G132" s="67" t="s">
        <v>3</v>
      </c>
      <c r="H132" s="67" t="s">
        <v>4</v>
      </c>
      <c r="I132" s="67" t="s">
        <v>5</v>
      </c>
      <c r="J132" s="67" t="s">
        <v>6</v>
      </c>
      <c r="K132" s="67" t="s">
        <v>7</v>
      </c>
      <c r="L132" s="67" t="s">
        <v>295</v>
      </c>
      <c r="M132" s="67" t="s">
        <v>9</v>
      </c>
      <c r="N132" s="67" t="s">
        <v>10</v>
      </c>
      <c r="P132" s="76" t="s">
        <v>19</v>
      </c>
      <c r="Q132" s="77" t="s">
        <v>1</v>
      </c>
      <c r="R132" s="77" t="s">
        <v>195</v>
      </c>
      <c r="S132" s="77" t="s">
        <v>2</v>
      </c>
      <c r="T132" s="77" t="s">
        <v>3</v>
      </c>
      <c r="U132" s="77" t="s">
        <v>4</v>
      </c>
      <c r="V132" s="77" t="s">
        <v>5</v>
      </c>
      <c r="W132" s="77" t="s">
        <v>6</v>
      </c>
      <c r="X132" s="77" t="s">
        <v>7</v>
      </c>
      <c r="Y132" s="77" t="s">
        <v>295</v>
      </c>
      <c r="Z132" s="77" t="s">
        <v>9</v>
      </c>
      <c r="AA132" s="77" t="s">
        <v>10</v>
      </c>
      <c r="AB132" s="254" t="s">
        <v>26</v>
      </c>
      <c r="AC132" s="254"/>
      <c r="AD132" s="13" t="s">
        <v>24</v>
      </c>
      <c r="AE132" s="20">
        <f>MAX(D134:N144)</f>
        <v>354.38437951313523</v>
      </c>
    </row>
    <row r="133" spans="2:31" ht="12.75" customHeight="1" x14ac:dyDescent="0.25">
      <c r="B133" s="93"/>
      <c r="C133" s="94" t="s">
        <v>264</v>
      </c>
      <c r="D133" s="95">
        <f>C134</f>
        <v>-2.6749400889843775</v>
      </c>
      <c r="E133" s="95">
        <f>C135</f>
        <v>4.5272788969476956</v>
      </c>
      <c r="F133" s="95">
        <f>C136</f>
        <v>270.82968091907202</v>
      </c>
      <c r="G133" s="95">
        <f>C137</f>
        <v>1.2192483919222368</v>
      </c>
      <c r="H133" s="95">
        <f>C138</f>
        <v>-83.554698594063225</v>
      </c>
      <c r="I133" s="95">
        <f>C139</f>
        <v>-13.756103264158464</v>
      </c>
      <c r="J133" s="95">
        <f>C140</f>
        <v>-4.5447989846929389</v>
      </c>
      <c r="K133" s="95">
        <f>C141</f>
        <v>265.85584925157798</v>
      </c>
      <c r="L133" s="95">
        <f>C142</f>
        <v>-13.031492086199901</v>
      </c>
      <c r="M133" s="95">
        <f>C143</f>
        <v>-21.718637390276747</v>
      </c>
      <c r="N133" s="95">
        <f>C144</f>
        <v>-3.5616932455777004</v>
      </c>
      <c r="P133" s="21" t="s">
        <v>1</v>
      </c>
      <c r="Q133" s="97">
        <f>$AE$133+(D134-$AE$131)*($AE$134-$AE$133)/($AE$132-$AE$131)</f>
        <v>-1.0468445426751222E-3</v>
      </c>
      <c r="R133" s="97">
        <f t="shared" ref="R133:AA143" si="15">$AE$133+(E134-$AE$131)*($AE$134-$AE$133)/($AE$132-$AE$131)</f>
        <v>-1.0468445426751222E-3</v>
      </c>
      <c r="S133" s="97">
        <f t="shared" si="15"/>
        <v>-1.0468445426751222E-3</v>
      </c>
      <c r="T133" s="97">
        <f t="shared" si="15"/>
        <v>-1.0468445426751222E-3</v>
      </c>
      <c r="U133" s="97">
        <f t="shared" si="15"/>
        <v>0.22741815481794661</v>
      </c>
      <c r="V133" s="97">
        <f t="shared" si="15"/>
        <v>3.0254657644329025E-2</v>
      </c>
      <c r="W133" s="97">
        <f t="shared" si="15"/>
        <v>4.2350370962974202E-3</v>
      </c>
      <c r="X133" s="97">
        <f t="shared" si="15"/>
        <v>-1.0468445426751222E-3</v>
      </c>
      <c r="Y133" s="97">
        <f t="shared" si="15"/>
        <v>2.8207813101653895E-2</v>
      </c>
      <c r="Z133" s="97">
        <f t="shared" si="15"/>
        <v>5.2746816222155476E-2</v>
      </c>
      <c r="AA133" s="97">
        <f t="shared" si="15"/>
        <v>1.4580103567296658E-3</v>
      </c>
      <c r="AD133" s="3" t="s">
        <v>25</v>
      </c>
      <c r="AE133" s="2">
        <v>1E-3</v>
      </c>
    </row>
    <row r="134" spans="2:31" ht="12.75" customHeight="1" x14ac:dyDescent="0.25">
      <c r="B134" s="21" t="s">
        <v>1</v>
      </c>
      <c r="C134" s="95">
        <f>Annual_sorted!I178</f>
        <v>-2.6749400889843775</v>
      </c>
      <c r="D134" s="29">
        <f>IF(C134-Table_1463457811291821425058[Burundi]&gt;0, C134-Table_1463457811291821425058[Burundi], 0)</f>
        <v>0</v>
      </c>
      <c r="E134" s="29">
        <f>IF(C134-Table_1463457811291821425058[DRC]&gt;0, C134-Table_1463457811291821425058[DRC], 0)</f>
        <v>0</v>
      </c>
      <c r="F134" s="29">
        <f>IF(C134-Table_1463457811291821425058[Egypt]&gt;0, C134-Table_1463457811291821425058[Egypt], 0)</f>
        <v>0</v>
      </c>
      <c r="G134" s="29">
        <f>IF(C134-Table_1463457811291821425058[Eritrea]&gt;0, C134-Table_1463457811291821425058[Eritrea], 0)</f>
        <v>0</v>
      </c>
      <c r="H134" s="29">
        <f>IF(C134-Table_1463457811291821425058[Ethiopia]&gt;0, C134-Table_1463457811291821425058[Ethiopia], 0)</f>
        <v>80.879758505078854</v>
      </c>
      <c r="I134" s="29">
        <f>IF(C134-Table_1463457811291821425058[Kenya]&gt;0, C134-Table_1463457811291821425058[Kenya], 0)</f>
        <v>11.081163175174087</v>
      </c>
      <c r="J134" s="29">
        <f>IF(C134-Table_1463457811291821425058[Rwanda]&gt;0, C134-Table_1463457811291821425058[Rwanda], 0)</f>
        <v>1.8698588957085613</v>
      </c>
      <c r="K134" s="29">
        <f>IF(C134-Table_1463457811291821425058[Sudan]&gt;0, C134-Table_1463457811291821425058[Sudan], 0)</f>
        <v>0</v>
      </c>
      <c r="L134" s="29">
        <f>IF(C134-Table_1463457811291821425058[S. Sudan]&gt;0, C134-Table_1463457811291821425058[S. Sudan], 0)</f>
        <v>10.356551997215522</v>
      </c>
      <c r="M134" s="29">
        <f>IF(C134-Table_1463457811291821425058[Tanzania]&gt;0, C134-Table_1463457811291821425058[Tanzania], 0)</f>
        <v>19.043697301292369</v>
      </c>
      <c r="N134" s="29">
        <f>IF(C134-Table_1463457811291821425058[Uganda]&gt;0, C134-Table_1463457811291821425058[Uganda], 0)</f>
        <v>0.88675315659332288</v>
      </c>
      <c r="P134" s="21" t="s">
        <v>195</v>
      </c>
      <c r="Q134" s="97">
        <f t="shared" ref="Q134:Q143" si="16">$AE$133+(D135-$AE$131)*($AE$134-$AE$133)/($AE$132-$AE$131)</f>
        <v>1.9297614768645676E-2</v>
      </c>
      <c r="R134" s="97">
        <f t="shared" si="15"/>
        <v>-1.0468445426751222E-3</v>
      </c>
      <c r="S134" s="97">
        <f t="shared" si="15"/>
        <v>-1.0468445426751222E-3</v>
      </c>
      <c r="T134" s="97">
        <f t="shared" si="15"/>
        <v>8.297510598643705E-3</v>
      </c>
      <c r="U134" s="97">
        <f t="shared" si="15"/>
        <v>0.24776261412926737</v>
      </c>
      <c r="V134" s="97">
        <f t="shared" si="15"/>
        <v>5.0599116955649823E-2</v>
      </c>
      <c r="W134" s="97">
        <f t="shared" si="15"/>
        <v>2.4579496407618216E-2</v>
      </c>
      <c r="X134" s="97">
        <f t="shared" si="15"/>
        <v>-1.0468445426751222E-3</v>
      </c>
      <c r="Y134" s="97">
        <f t="shared" si="15"/>
        <v>4.855227241297469E-2</v>
      </c>
      <c r="Z134" s="97">
        <f t="shared" si="15"/>
        <v>7.3091275533476288E-2</v>
      </c>
      <c r="AA134" s="97">
        <f t="shared" si="15"/>
        <v>2.1802469668050464E-2</v>
      </c>
      <c r="AD134" s="3" t="s">
        <v>70</v>
      </c>
      <c r="AE134" s="2">
        <v>1</v>
      </c>
    </row>
    <row r="135" spans="2:31" ht="12.75" customHeight="1" x14ac:dyDescent="0.25">
      <c r="B135" s="21" t="s">
        <v>195</v>
      </c>
      <c r="C135" s="95">
        <f>Annual_sorted!I179</f>
        <v>4.5272788969476956</v>
      </c>
      <c r="D135" s="29">
        <f>IF(C135-Table_1463457811291821425058[Burundi]&gt;0, C135-Table_1463457811291821425058[Burundi], 0)</f>
        <v>7.2022189859320731</v>
      </c>
      <c r="E135" s="29">
        <f>IF(C135-Table_1463457811291821425058[DRC]&gt;0, C135-Table_1463457811291821425058[DRC], 0)</f>
        <v>0</v>
      </c>
      <c r="F135" s="29">
        <f>IF(C135-Table_1463457811291821425058[Egypt]&gt;0, C135-Table_1463457811291821425058[Egypt], 0)</f>
        <v>0</v>
      </c>
      <c r="G135" s="29">
        <f>IF(C135-Table_1463457811291821425058[Eritrea]&gt;0, C135-Table_1463457811291821425058[Eritrea], 0)</f>
        <v>3.3080305050254588</v>
      </c>
      <c r="H135" s="29">
        <f>IF(C135-Table_1463457811291821425058[Ethiopia]&gt;0, C135-Table_1463457811291821425058[Ethiopia], 0)</f>
        <v>88.081977491010917</v>
      </c>
      <c r="I135" s="29">
        <f>IF(C135-Table_1463457811291821425058[Kenya]&gt;0, C135-Table_1463457811291821425058[Kenya], 0)</f>
        <v>18.283382161106161</v>
      </c>
      <c r="J135" s="29">
        <f>IF(C135-Table_1463457811291821425058[Rwanda]&gt;0, C135-Table_1463457811291821425058[Rwanda], 0)</f>
        <v>9.0720778816406344</v>
      </c>
      <c r="K135" s="29">
        <f>IF(C135-Table_1463457811291821425058[Sudan]&gt;0, C135-Table_1463457811291821425058[Sudan], 0)</f>
        <v>0</v>
      </c>
      <c r="L135" s="29">
        <f>IF(C135-Table_1463457811291821425058[S. Sudan]&gt;0, C135-Table_1463457811291821425058[S. Sudan], 0)</f>
        <v>17.558770983147596</v>
      </c>
      <c r="M135" s="29">
        <f>IF(C135-Table_1463457811291821425058[Tanzania]&gt;0, C135-Table_1463457811291821425058[Tanzania], 0)</f>
        <v>26.245916287224443</v>
      </c>
      <c r="N135" s="29">
        <f>IF(C135-Table_1463457811291821425058[Uganda]&gt;0, C135-Table_1463457811291821425058[Uganda], 0)</f>
        <v>8.088972142525396</v>
      </c>
      <c r="P135" s="21" t="s">
        <v>2</v>
      </c>
      <c r="Q135" s="97">
        <f t="shared" si="16"/>
        <v>0.7715350006393783</v>
      </c>
      <c r="R135" s="97">
        <f t="shared" si="15"/>
        <v>0.75119054132805752</v>
      </c>
      <c r="S135" s="97">
        <f t="shared" si="15"/>
        <v>-1.0468445426751222E-3</v>
      </c>
      <c r="T135" s="97">
        <f t="shared" si="15"/>
        <v>0.76053489646937633</v>
      </c>
      <c r="U135" s="97">
        <f t="shared" si="15"/>
        <v>1</v>
      </c>
      <c r="V135" s="97">
        <f t="shared" si="15"/>
        <v>0.80283650282638241</v>
      </c>
      <c r="W135" s="97">
        <f t="shared" si="15"/>
        <v>0.77681688227835077</v>
      </c>
      <c r="X135" s="97">
        <f t="shared" si="15"/>
        <v>1.3002980404100761E-2</v>
      </c>
      <c r="Y135" s="97">
        <f t="shared" si="15"/>
        <v>0.8007896582837073</v>
      </c>
      <c r="Z135" s="97">
        <f t="shared" si="15"/>
        <v>0.8253286614042088</v>
      </c>
      <c r="AA135" s="97">
        <f t="shared" si="15"/>
        <v>0.77403985553878318</v>
      </c>
    </row>
    <row r="136" spans="2:31" ht="12.75" customHeight="1" x14ac:dyDescent="0.25">
      <c r="B136" s="21" t="s">
        <v>2</v>
      </c>
      <c r="C136" s="95">
        <f>Annual_sorted!I180</f>
        <v>270.82968091907202</v>
      </c>
      <c r="D136" s="29">
        <f>IF(C136-Table_1463457811291821425058[Burundi]&gt;0, C136-Table_1463457811291821425058[Burundi], 0)</f>
        <v>273.5046210080564</v>
      </c>
      <c r="E136" s="29">
        <f>IF(C136-Table_1463457811291821425058[DRC]&gt;0, C136-Table_1463457811291821425058[DRC], 0)</f>
        <v>266.30240202212434</v>
      </c>
      <c r="F136" s="29">
        <f>IF(C136-Table_1463457811291821425058[Egypt]&gt;0, C136-Table_1463457811291821425058[Egypt], 0)</f>
        <v>0</v>
      </c>
      <c r="G136" s="29">
        <f>IF(C136-Table_1463457811291821425058[Eritrea]&gt;0, C136-Table_1463457811291821425058[Eritrea], 0)</f>
        <v>269.61043252714978</v>
      </c>
      <c r="H136" s="29">
        <f>IF(C136-Table_1463457811291821425058[Ethiopia]&gt;0, C136-Table_1463457811291821425058[Ethiopia], 0)</f>
        <v>354.38437951313523</v>
      </c>
      <c r="I136" s="29">
        <f>IF(C136-Table_1463457811291821425058[Kenya]&gt;0, C136-Table_1463457811291821425058[Kenya], 0)</f>
        <v>284.58578418323049</v>
      </c>
      <c r="J136" s="29">
        <f>IF(C136-Table_1463457811291821425058[Rwanda]&gt;0, C136-Table_1463457811291821425058[Rwanda], 0)</f>
        <v>275.37447990376495</v>
      </c>
      <c r="K136" s="29">
        <f>IF(C136-Table_1463457811291821425058[Sudan]&gt;0, C136-Table_1463457811291821425058[Sudan], 0)</f>
        <v>4.9738316674940393</v>
      </c>
      <c r="L136" s="29">
        <f>IF(C136-Table_1463457811291821425058[S. Sudan]&gt;0, C136-Table_1463457811291821425058[S. Sudan], 0)</f>
        <v>283.86117300527189</v>
      </c>
      <c r="M136" s="29">
        <f>IF(C136-Table_1463457811291821425058[Tanzania]&gt;0, C136-Table_1463457811291821425058[Tanzania], 0)</f>
        <v>292.54831830934876</v>
      </c>
      <c r="N136" s="29">
        <f>IF(C136-Table_1463457811291821425058[Uganda]&gt;0, C136-Table_1463457811291821425058[Uganda], 0)</f>
        <v>274.39137416464973</v>
      </c>
      <c r="P136" s="21" t="s">
        <v>3</v>
      </c>
      <c r="Q136" s="97">
        <f t="shared" si="16"/>
        <v>9.9532596273268492E-3</v>
      </c>
      <c r="R136" s="97">
        <f t="shared" si="15"/>
        <v>-1.0468445426751222E-3</v>
      </c>
      <c r="S136" s="97">
        <f t="shared" si="15"/>
        <v>-1.0468445426751222E-3</v>
      </c>
      <c r="T136" s="97">
        <f t="shared" si="15"/>
        <v>-1.0468445426751222E-3</v>
      </c>
      <c r="U136" s="97">
        <f t="shared" si="15"/>
        <v>0.23841825898794855</v>
      </c>
      <c r="V136" s="97">
        <f t="shared" si="15"/>
        <v>4.1254761814330992E-2</v>
      </c>
      <c r="W136" s="97">
        <f t="shared" si="15"/>
        <v>1.5235141266299389E-2</v>
      </c>
      <c r="X136" s="97">
        <f t="shared" si="15"/>
        <v>-1.0468445426751222E-3</v>
      </c>
      <c r="Y136" s="97">
        <f t="shared" si="15"/>
        <v>3.9207917271655866E-2</v>
      </c>
      <c r="Z136" s="97">
        <f t="shared" si="15"/>
        <v>6.3746920392157444E-2</v>
      </c>
      <c r="AA136" s="97">
        <f t="shared" si="15"/>
        <v>1.2458114526731637E-2</v>
      </c>
    </row>
    <row r="137" spans="2:31" ht="12.75" customHeight="1" x14ac:dyDescent="0.25">
      <c r="B137" s="21" t="s">
        <v>3</v>
      </c>
      <c r="C137" s="95">
        <f>Annual_sorted!I181</f>
        <v>1.2192483919222368</v>
      </c>
      <c r="D137" s="29">
        <f>IF(C137-Table_1463457811291821425058[Burundi]&gt;0, C137-Table_1463457811291821425058[Burundi], 0)</f>
        <v>3.8941884809066143</v>
      </c>
      <c r="E137" s="29">
        <f>IF(C137-Table_1463457811291821425058[DRC]&gt;0, C137-Table_1463457811291821425058[DRC], 0)</f>
        <v>0</v>
      </c>
      <c r="F137" s="29">
        <f>IF(C137-Table_1463457811291821425058[Egypt]&gt;0, C137-Table_1463457811291821425058[Egypt], 0)</f>
        <v>0</v>
      </c>
      <c r="G137" s="29">
        <f>IF(C137-Table_1463457811291821425058[Eritrea]&gt;0, C137-Table_1463457811291821425058[Eritrea], 0)</f>
        <v>0</v>
      </c>
      <c r="H137" s="29">
        <f>IF(C137-Table_1463457811291821425058[Ethiopia]&gt;0, C137-Table_1463457811291821425058[Ethiopia], 0)</f>
        <v>84.773946985985461</v>
      </c>
      <c r="I137" s="29">
        <f>IF(C137-Table_1463457811291821425058[Kenya]&gt;0, C137-Table_1463457811291821425058[Kenya], 0)</f>
        <v>14.975351656080701</v>
      </c>
      <c r="J137" s="29">
        <f>IF(C137-Table_1463457811291821425058[Rwanda]&gt;0, C137-Table_1463457811291821425058[Rwanda], 0)</f>
        <v>5.7640473766151761</v>
      </c>
      <c r="K137" s="29">
        <f>IF(C137-Table_1463457811291821425058[Sudan]&gt;0, C137-Table_1463457811291821425058[Sudan], 0)</f>
        <v>0</v>
      </c>
      <c r="L137" s="29">
        <f>IF(C137-Table_1463457811291821425058[S. Sudan]&gt;0, C137-Table_1463457811291821425058[S. Sudan], 0)</f>
        <v>14.250740478122138</v>
      </c>
      <c r="M137" s="29">
        <f>IF(C137-Table_1463457811291821425058[Tanzania]&gt;0, C137-Table_1463457811291821425058[Tanzania], 0)</f>
        <v>22.937885782198983</v>
      </c>
      <c r="N137" s="29">
        <f>IF(C137-Table_1463457811291821425058[Uganda]&gt;0, C137-Table_1463457811291821425058[Uganda], 0)</f>
        <v>4.7809416374999376</v>
      </c>
      <c r="P137" s="21" t="s">
        <v>4</v>
      </c>
      <c r="Q137" s="97">
        <f t="shared" si="16"/>
        <v>-1.0468445426751222E-3</v>
      </c>
      <c r="R137" s="97">
        <f t="shared" si="15"/>
        <v>-1.0468445426751222E-3</v>
      </c>
      <c r="S137" s="97">
        <f t="shared" si="15"/>
        <v>-1.0468445426751222E-3</v>
      </c>
      <c r="T137" s="97">
        <f t="shared" si="15"/>
        <v>-1.0468445426751222E-3</v>
      </c>
      <c r="U137" s="97">
        <f t="shared" si="15"/>
        <v>-1.0468445426751222E-3</v>
      </c>
      <c r="V137" s="97">
        <f t="shared" si="15"/>
        <v>-1.0468445426751222E-3</v>
      </c>
      <c r="W137" s="97">
        <f t="shared" si="15"/>
        <v>-1.0468445426751222E-3</v>
      </c>
      <c r="X137" s="97">
        <f t="shared" si="15"/>
        <v>-1.0468445426751222E-3</v>
      </c>
      <c r="Y137" s="97">
        <f t="shared" si="15"/>
        <v>-1.0468445426751222E-3</v>
      </c>
      <c r="Z137" s="97">
        <f t="shared" si="15"/>
        <v>-1.0468445426751222E-3</v>
      </c>
      <c r="AA137" s="97">
        <f t="shared" si="15"/>
        <v>-1.0468445426751222E-3</v>
      </c>
    </row>
    <row r="138" spans="2:31" ht="12.75" customHeight="1" x14ac:dyDescent="0.25">
      <c r="B138" s="21" t="s">
        <v>4</v>
      </c>
      <c r="C138" s="95">
        <f>Annual_sorted!I182</f>
        <v>-83.554698594063225</v>
      </c>
      <c r="D138" s="29">
        <f>IF(C138-Table_1463457811291821425058[Burundi]&gt;0, C138-Table_1463457811291821425058[Burundi], 0)</f>
        <v>0</v>
      </c>
      <c r="E138" s="29">
        <f>IF(C138-Table_1463457811291821425058[DRC]&gt;0, C138-Table_1463457811291821425058[DRC], 0)</f>
        <v>0</v>
      </c>
      <c r="F138" s="29">
        <f>IF(C138-Table_1463457811291821425058[Egypt]&gt;0, C138-Table_1463457811291821425058[Egypt], 0)</f>
        <v>0</v>
      </c>
      <c r="G138" s="29">
        <f>IF(C138-Table_1463457811291821425058[Eritrea]&gt;0, C138-Table_1463457811291821425058[Eritrea], 0)</f>
        <v>0</v>
      </c>
      <c r="H138" s="29">
        <f>IF(C138-Table_1463457811291821425058[Ethiopia]&gt;0, C138-Table_1463457811291821425058[Ethiopia], 0)</f>
        <v>0</v>
      </c>
      <c r="I138" s="29">
        <f>IF(C138-Table_1463457811291821425058[Kenya]&gt;0, C138-Table_1463457811291821425058[Kenya], 0)</f>
        <v>0</v>
      </c>
      <c r="J138" s="29">
        <f>IF(C138-Table_1463457811291821425058[Rwanda]&gt;0, C138-Table_1463457811291821425058[Rwanda], 0)</f>
        <v>0</v>
      </c>
      <c r="K138" s="29">
        <f>IF(C138-Table_1463457811291821425058[Sudan]&gt;0, C138-Table_1463457811291821425058[Sudan], 0)</f>
        <v>0</v>
      </c>
      <c r="L138" s="29">
        <f>IF(C138-Table_1463457811291821425058[S. Sudan]&gt;0, C138-Table_1463457811291821425058[S. Sudan], 0)</f>
        <v>0</v>
      </c>
      <c r="M138" s="29">
        <f>IF(C138-Table_1463457811291821425058[Tanzania]&gt;0, C138-Table_1463457811291821425058[Tanzania], 0)</f>
        <v>0</v>
      </c>
      <c r="N138" s="29">
        <f>IF(C138-Table_1463457811291821425058[Uganda]&gt;0, C138-Table_1463457811291821425058[Uganda], 0)</f>
        <v>0</v>
      </c>
      <c r="P138" s="21" t="s">
        <v>5</v>
      </c>
      <c r="Q138" s="97">
        <f t="shared" si="16"/>
        <v>-1.0468445426751222E-3</v>
      </c>
      <c r="R138" s="97">
        <f t="shared" si="15"/>
        <v>-1.0468445426751222E-3</v>
      </c>
      <c r="S138" s="97">
        <f t="shared" si="15"/>
        <v>-1.0468445426751222E-3</v>
      </c>
      <c r="T138" s="97">
        <f t="shared" si="15"/>
        <v>-1.0468445426751222E-3</v>
      </c>
      <c r="U138" s="97">
        <f t="shared" si="15"/>
        <v>0.19611665263094244</v>
      </c>
      <c r="V138" s="97">
        <f t="shared" si="15"/>
        <v>-1.0468445426751222E-3</v>
      </c>
      <c r="W138" s="97">
        <f t="shared" si="15"/>
        <v>-1.0468445426751222E-3</v>
      </c>
      <c r="X138" s="97">
        <f t="shared" si="15"/>
        <v>-1.0468445426751222E-3</v>
      </c>
      <c r="Y138" s="97">
        <f t="shared" si="15"/>
        <v>-1.0468445426751222E-3</v>
      </c>
      <c r="Z138" s="97">
        <f t="shared" si="15"/>
        <v>2.1445314035151344E-2</v>
      </c>
      <c r="AA138" s="97">
        <f t="shared" si="15"/>
        <v>-1.0468445426751222E-3</v>
      </c>
    </row>
    <row r="139" spans="2:31" ht="12.75" customHeight="1" x14ac:dyDescent="0.25">
      <c r="B139" s="21" t="s">
        <v>5</v>
      </c>
      <c r="C139" s="95">
        <f>Annual_sorted!I183</f>
        <v>-13.756103264158464</v>
      </c>
      <c r="D139" s="29">
        <f>IF(C139-Table_1463457811291821425058[Burundi]&gt;0, C139-Table_1463457811291821425058[Burundi], 0)</f>
        <v>0</v>
      </c>
      <c r="E139" s="29">
        <f>IF(C139-Table_1463457811291821425058[DRC]&gt;0, C139-Table_1463457811291821425058[DRC], 0)</f>
        <v>0</v>
      </c>
      <c r="F139" s="29">
        <f>IF(C139-Table_1463457811291821425058[Egypt]&gt;0, C139-Table_1463457811291821425058[Egypt], 0)</f>
        <v>0</v>
      </c>
      <c r="G139" s="29">
        <f>IF(C139-Table_1463457811291821425058[Eritrea]&gt;0, C139-Table_1463457811291821425058[Eritrea], 0)</f>
        <v>0</v>
      </c>
      <c r="H139" s="29">
        <f>IF(C139-Table_1463457811291821425058[Ethiopia]&gt;0, C139-Table_1463457811291821425058[Ethiopia], 0)</f>
        <v>69.798595329904757</v>
      </c>
      <c r="I139" s="29">
        <f>IF(C139-Table_1463457811291821425058[Kenya]&gt;0, C139-Table_1463457811291821425058[Kenya], 0)</f>
        <v>0</v>
      </c>
      <c r="J139" s="29">
        <f>IF(C139-Table_1463457811291821425058[Rwanda]&gt;0, C139-Table_1463457811291821425058[Rwanda], 0)</f>
        <v>0</v>
      </c>
      <c r="K139" s="29">
        <f>IF(C139-Table_1463457811291821425058[Sudan]&gt;0, C139-Table_1463457811291821425058[Sudan], 0)</f>
        <v>0</v>
      </c>
      <c r="L139" s="29">
        <f>IF(C139-Table_1463457811291821425058[S. Sudan]&gt;0, C139-Table_1463457811291821425058[S. Sudan], 0)</f>
        <v>0</v>
      </c>
      <c r="M139" s="29">
        <f>IF(C139-Table_1463457811291821425058[Tanzania]&gt;0, C139-Table_1463457811291821425058[Tanzania], 0)</f>
        <v>7.9625341261182836</v>
      </c>
      <c r="N139" s="29">
        <f>IF(C139-Table_1463457811291821425058[Uganda]&gt;0, C139-Table_1463457811291821425058[Uganda], 0)</f>
        <v>0</v>
      </c>
      <c r="P139" s="21" t="s">
        <v>6</v>
      </c>
      <c r="Q139" s="97">
        <f t="shared" si="16"/>
        <v>-1.0468445426751222E-3</v>
      </c>
      <c r="R139" s="97">
        <f t="shared" si="15"/>
        <v>-1.0468445426751222E-3</v>
      </c>
      <c r="S139" s="97">
        <f t="shared" si="15"/>
        <v>-1.0468445426751222E-3</v>
      </c>
      <c r="T139" s="97">
        <f t="shared" si="15"/>
        <v>-1.0468445426751222E-3</v>
      </c>
      <c r="U139" s="97">
        <f t="shared" si="15"/>
        <v>0.22213627317897403</v>
      </c>
      <c r="V139" s="97">
        <f t="shared" si="15"/>
        <v>2.4972776005356481E-2</v>
      </c>
      <c r="W139" s="97">
        <f t="shared" si="15"/>
        <v>-1.0468445426751222E-3</v>
      </c>
      <c r="X139" s="97">
        <f t="shared" si="15"/>
        <v>-1.0468445426751222E-3</v>
      </c>
      <c r="Y139" s="97">
        <f t="shared" si="15"/>
        <v>2.2925931462681359E-2</v>
      </c>
      <c r="Z139" s="97">
        <f t="shared" si="15"/>
        <v>4.746493458318294E-2</v>
      </c>
      <c r="AA139" s="97">
        <f t="shared" si="15"/>
        <v>-1.0468445426751222E-3</v>
      </c>
    </row>
    <row r="140" spans="2:31" ht="12.75" customHeight="1" x14ac:dyDescent="0.25">
      <c r="B140" s="21" t="s">
        <v>6</v>
      </c>
      <c r="C140" s="95">
        <f>Annual_sorted!I184</f>
        <v>-4.5447989846929389</v>
      </c>
      <c r="D140" s="29">
        <f>IF(C140-Table_1463457811291821425058[Burundi]&gt;0, C140-Table_1463457811291821425058[Burundi], 0)</f>
        <v>0</v>
      </c>
      <c r="E140" s="29">
        <f>IF(C140-Table_1463457811291821425058[DRC]&gt;0, C140-Table_1463457811291821425058[DRC], 0)</f>
        <v>0</v>
      </c>
      <c r="F140" s="29">
        <f>IF(C140-Table_1463457811291821425058[Egypt]&gt;0, C140-Table_1463457811291821425058[Egypt], 0)</f>
        <v>0</v>
      </c>
      <c r="G140" s="29">
        <f>IF(C140-Table_1463457811291821425058[Eritrea]&gt;0, C140-Table_1463457811291821425058[Eritrea], 0)</f>
        <v>0</v>
      </c>
      <c r="H140" s="29">
        <f>IF(C140-Table_1463457811291821425058[Ethiopia]&gt;0, C140-Table_1463457811291821425058[Ethiopia], 0)</f>
        <v>79.009899609370279</v>
      </c>
      <c r="I140" s="29">
        <f>IF(C140-Table_1463457811291821425058[Kenya]&gt;0, C140-Table_1463457811291821425058[Kenya], 0)</f>
        <v>9.2113042794655247</v>
      </c>
      <c r="J140" s="29">
        <f>IF(C140-Table_1463457811291821425058[Rwanda]&gt;0, C140-Table_1463457811291821425058[Rwanda], 0)</f>
        <v>0</v>
      </c>
      <c r="K140" s="29">
        <f>IF(C140-Table_1463457811291821425058[Sudan]&gt;0, C140-Table_1463457811291821425058[Sudan], 0)</f>
        <v>0</v>
      </c>
      <c r="L140" s="29">
        <f>IF(C140-Table_1463457811291821425058[S. Sudan]&gt;0, C140-Table_1463457811291821425058[S. Sudan], 0)</f>
        <v>8.4866931015069618</v>
      </c>
      <c r="M140" s="29">
        <f>IF(C140-Table_1463457811291821425058[Tanzania]&gt;0, C140-Table_1463457811291821425058[Tanzania], 0)</f>
        <v>17.173838405583808</v>
      </c>
      <c r="N140" s="29">
        <f>IF(C140-Table_1463457811291821425058[Uganda]&gt;0, C140-Table_1463457811291821425058[Uganda], 0)</f>
        <v>0</v>
      </c>
      <c r="P140" s="21" t="s">
        <v>7</v>
      </c>
      <c r="Q140" s="97">
        <f t="shared" si="16"/>
        <v>0.75748517569260243</v>
      </c>
      <c r="R140" s="97">
        <f t="shared" si="15"/>
        <v>0.73714071638128176</v>
      </c>
      <c r="S140" s="97">
        <f t="shared" si="15"/>
        <v>-1.0468445426751222E-3</v>
      </c>
      <c r="T140" s="97">
        <f t="shared" si="15"/>
        <v>0.74648507152260057</v>
      </c>
      <c r="U140" s="97">
        <f t="shared" si="15"/>
        <v>0.98595017505322413</v>
      </c>
      <c r="V140" s="97">
        <f t="shared" si="15"/>
        <v>0.78878667787960655</v>
      </c>
      <c r="W140" s="97">
        <f t="shared" si="15"/>
        <v>0.7627670573315749</v>
      </c>
      <c r="X140" s="97">
        <f t="shared" si="15"/>
        <v>-1.0468445426751222E-3</v>
      </c>
      <c r="Y140" s="97">
        <f t="shared" si="15"/>
        <v>0.78673983333693143</v>
      </c>
      <c r="Z140" s="97">
        <f t="shared" si="15"/>
        <v>0.81127883645743304</v>
      </c>
      <c r="AA140" s="97">
        <f t="shared" si="15"/>
        <v>0.7599900305920072</v>
      </c>
    </row>
    <row r="141" spans="2:31" ht="12.75" customHeight="1" x14ac:dyDescent="0.25">
      <c r="B141" s="21" t="s">
        <v>7</v>
      </c>
      <c r="C141" s="95">
        <f>Annual_sorted!I185</f>
        <v>265.85584925157798</v>
      </c>
      <c r="D141" s="29">
        <f>IF(C141-Table_1463457811291821425058[Burundi]&gt;0, C141-Table_1463457811291821425058[Burundi], 0)</f>
        <v>268.53078934056236</v>
      </c>
      <c r="E141" s="29">
        <f>IF(C141-Table_1463457811291821425058[DRC]&gt;0, C141-Table_1463457811291821425058[DRC], 0)</f>
        <v>261.3285703546303</v>
      </c>
      <c r="F141" s="29">
        <f>IF(C141-Table_1463457811291821425058[Egypt]&gt;0, C141-Table_1463457811291821425058[Egypt], 0)</f>
        <v>0</v>
      </c>
      <c r="G141" s="29">
        <f>IF(C141-Table_1463457811291821425058[Eritrea]&gt;0, C141-Table_1463457811291821425058[Eritrea], 0)</f>
        <v>264.63660085965574</v>
      </c>
      <c r="H141" s="29">
        <f>IF(C141-Table_1463457811291821425058[Ethiopia]&gt;0, C141-Table_1463457811291821425058[Ethiopia], 0)</f>
        <v>349.41054784564119</v>
      </c>
      <c r="I141" s="29">
        <f>IF(C141-Table_1463457811291821425058[Kenya]&gt;0, C141-Table_1463457811291821425058[Kenya], 0)</f>
        <v>279.61195251573645</v>
      </c>
      <c r="J141" s="29">
        <f>IF(C141-Table_1463457811291821425058[Rwanda]&gt;0, C141-Table_1463457811291821425058[Rwanda], 0)</f>
        <v>270.40064823627091</v>
      </c>
      <c r="K141" s="29">
        <f>IF(C141-Table_1463457811291821425058[Sudan]&gt;0, C141-Table_1463457811291821425058[Sudan], 0)</f>
        <v>0</v>
      </c>
      <c r="L141" s="29">
        <f>IF(C141-Table_1463457811291821425058[S. Sudan]&gt;0, C141-Table_1463457811291821425058[S. Sudan], 0)</f>
        <v>278.88734133777785</v>
      </c>
      <c r="M141" s="29">
        <f>IF(C141-Table_1463457811291821425058[Tanzania]&gt;0, C141-Table_1463457811291821425058[Tanzania], 0)</f>
        <v>287.57448664185472</v>
      </c>
      <c r="N141" s="29">
        <f>IF(C141-Table_1463457811291821425058[Uganda]&gt;0, C141-Table_1463457811291821425058[Uganda], 0)</f>
        <v>269.41754249715569</v>
      </c>
      <c r="P141" s="21" t="s">
        <v>8</v>
      </c>
      <c r="Q141" s="97">
        <f t="shared" si="16"/>
        <v>-1.0468445426751222E-3</v>
      </c>
      <c r="R141" s="97">
        <f t="shared" si="15"/>
        <v>-1.0468445426751222E-3</v>
      </c>
      <c r="S141" s="97">
        <f t="shared" si="15"/>
        <v>-1.0468445426751222E-3</v>
      </c>
      <c r="T141" s="97">
        <f t="shared" si="15"/>
        <v>-1.0468445426751222E-3</v>
      </c>
      <c r="U141" s="97">
        <f t="shared" si="15"/>
        <v>0.19816349717361759</v>
      </c>
      <c r="V141" s="97">
        <f t="shared" si="15"/>
        <v>1E-3</v>
      </c>
      <c r="W141" s="97">
        <f t="shared" si="15"/>
        <v>-1.0468445426751222E-3</v>
      </c>
      <c r="X141" s="97">
        <f t="shared" si="15"/>
        <v>-1.0468445426751222E-3</v>
      </c>
      <c r="Y141" s="97">
        <f t="shared" si="15"/>
        <v>-1.0468445426751222E-3</v>
      </c>
      <c r="Z141" s="97">
        <f t="shared" si="15"/>
        <v>2.3492158577826466E-2</v>
      </c>
      <c r="AA141" s="97">
        <f t="shared" si="15"/>
        <v>-1.0468445426751222E-3</v>
      </c>
    </row>
    <row r="142" spans="2:31" ht="12.75" customHeight="1" x14ac:dyDescent="0.25">
      <c r="B142" s="21" t="s">
        <v>8</v>
      </c>
      <c r="C142" s="95">
        <f>Annual_sorted!I186</f>
        <v>-13.031492086199901</v>
      </c>
      <c r="D142" s="29">
        <f>IF(C142-Table_1463457811291821425058[Burundi]&gt;0, C142-Table_1463457811291821425058[Burundi], 0)</f>
        <v>0</v>
      </c>
      <c r="E142" s="29">
        <f>IF(C142-Table_1463457811291821425058[DRC]&gt;0, C142-Table_1463457811291821425058[DRC], 0)</f>
        <v>0</v>
      </c>
      <c r="F142" s="29">
        <f>IF(C142-Table_1463457811291821425058[Egypt]&gt;0, C142-Table_1463457811291821425058[Egypt], 0)</f>
        <v>0</v>
      </c>
      <c r="G142" s="29">
        <f>IF(C142-Table_1463457811291821425058[Eritrea]&gt;0, C142-Table_1463457811291821425058[Eritrea], 0)</f>
        <v>0</v>
      </c>
      <c r="H142" s="29">
        <f>IF(C142-Table_1463457811291821425058[Ethiopia]&gt;0, C142-Table_1463457811291821425058[Ethiopia], 0)</f>
        <v>70.523206507863321</v>
      </c>
      <c r="I142" s="29">
        <f>IF(C142-Table_1463457811291821425058[Kenya]&gt;0, C142-Table_1463457811291821425058[Kenya], 0)</f>
        <v>0.72461117795856289</v>
      </c>
      <c r="J142" s="29">
        <f>IF(C142-Table_1463457811291821425058[Rwanda]&gt;0, C142-Table_1463457811291821425058[Rwanda], 0)</f>
        <v>0</v>
      </c>
      <c r="K142" s="29">
        <f>IF(C142-Table_1463457811291821425058[Sudan]&gt;0, C142-Table_1463457811291821425058[Sudan], 0)</f>
        <v>0</v>
      </c>
      <c r="L142" s="29">
        <f>IF(C142-Table_1463457811291821425058[S. Sudan]&gt;0, C142-Table_1463457811291821425058[S. Sudan], 0)</f>
        <v>0</v>
      </c>
      <c r="M142" s="29">
        <f>IF(C142-Table_1463457811291821425058[Tanzania]&gt;0, C142-Table_1463457811291821425058[Tanzania], 0)</f>
        <v>8.6871453040768465</v>
      </c>
      <c r="N142" s="29">
        <f>IF(C142-Table_1463457811291821425058[Uganda]&gt;0, C142-Table_1463457811291821425058[Uganda], 0)</f>
        <v>0</v>
      </c>
      <c r="P142" s="21" t="s">
        <v>9</v>
      </c>
      <c r="Q142" s="97">
        <f t="shared" si="16"/>
        <v>-1.0468445426751222E-3</v>
      </c>
      <c r="R142" s="97">
        <f t="shared" si="15"/>
        <v>-1.0468445426751222E-3</v>
      </c>
      <c r="S142" s="97">
        <f t="shared" si="15"/>
        <v>-1.0468445426751222E-3</v>
      </c>
      <c r="T142" s="97">
        <f t="shared" si="15"/>
        <v>-1.0468445426751222E-3</v>
      </c>
      <c r="U142" s="97">
        <f t="shared" si="15"/>
        <v>0.173624494053116</v>
      </c>
      <c r="V142" s="97">
        <f t="shared" si="15"/>
        <v>-1.0468445426751222E-3</v>
      </c>
      <c r="W142" s="97">
        <f t="shared" si="15"/>
        <v>-1.0468445426751222E-3</v>
      </c>
      <c r="X142" s="97">
        <f t="shared" si="15"/>
        <v>-1.0468445426751222E-3</v>
      </c>
      <c r="Y142" s="97">
        <f t="shared" si="15"/>
        <v>-1.0468445426751222E-3</v>
      </c>
      <c r="Z142" s="97">
        <f t="shared" si="15"/>
        <v>-1.0468445426751222E-3</v>
      </c>
      <c r="AA142" s="97">
        <f t="shared" si="15"/>
        <v>-1.0468445426751222E-3</v>
      </c>
    </row>
    <row r="143" spans="2:31" ht="12.75" customHeight="1" thickBot="1" x14ac:dyDescent="0.3">
      <c r="B143" s="21" t="s">
        <v>9</v>
      </c>
      <c r="C143" s="95">
        <f>Annual_sorted!I187</f>
        <v>-21.718637390276747</v>
      </c>
      <c r="D143" s="29">
        <f>IF(C143-Table_1463457811291821425058[Burundi]&gt;0, C143-Table_1463457811291821425058[Burundi], 0)</f>
        <v>0</v>
      </c>
      <c r="E143" s="29">
        <f>IF(C143-Table_1463457811291821425058[DRC]&gt;0, C143-Table_1463457811291821425058[DRC], 0)</f>
        <v>0</v>
      </c>
      <c r="F143" s="29">
        <f>IF(C143-Table_1463457811291821425058[Egypt]&gt;0, C143-Table_1463457811291821425058[Egypt], 0)</f>
        <v>0</v>
      </c>
      <c r="G143" s="29">
        <f>IF(C143-Table_1463457811291821425058[Eritrea]&gt;0, C143-Table_1463457811291821425058[Eritrea], 0)</f>
        <v>0</v>
      </c>
      <c r="H143" s="29">
        <f>IF(C143-Table_1463457811291821425058[Ethiopia]&gt;0, C143-Table_1463457811291821425058[Ethiopia], 0)</f>
        <v>61.836061203786478</v>
      </c>
      <c r="I143" s="29">
        <f>IF(C143-Table_1463457811291821425058[Kenya]&gt;0, C143-Table_1463457811291821425058[Kenya], 0)</f>
        <v>0</v>
      </c>
      <c r="J143" s="29">
        <f>IF(C143-Table_1463457811291821425058[Rwanda]&gt;0, C143-Table_1463457811291821425058[Rwanda], 0)</f>
        <v>0</v>
      </c>
      <c r="K143" s="29">
        <f>IF(C143-Table_1463457811291821425058[Sudan]&gt;0, C143-Table_1463457811291821425058[Sudan], 0)</f>
        <v>0</v>
      </c>
      <c r="L143" s="29">
        <f>IF(C143-Table_1463457811291821425058[S. Sudan]&gt;0, C143-Table_1463457811291821425058[S. Sudan], 0)</f>
        <v>0</v>
      </c>
      <c r="M143" s="29">
        <f>IF(C143-Table_1463457811291821425058[Tanzania]&gt;0, C143-Table_1463457811291821425058[Tanzania], 0)</f>
        <v>0</v>
      </c>
      <c r="N143" s="29">
        <f>IF(C143-Table_1463457811291821425058[Uganda]&gt;0, C143-Table_1463457811291821425058[Uganda], 0)</f>
        <v>0</v>
      </c>
      <c r="P143" s="22" t="s">
        <v>10</v>
      </c>
      <c r="Q143" s="98">
        <f t="shared" si="16"/>
        <v>-1.0468445426751222E-3</v>
      </c>
      <c r="R143" s="98">
        <f t="shared" si="15"/>
        <v>-1.0468445426751222E-3</v>
      </c>
      <c r="S143" s="98">
        <f t="shared" si="15"/>
        <v>-1.0468445426751222E-3</v>
      </c>
      <c r="T143" s="98">
        <f t="shared" si="15"/>
        <v>-1.0468445426751222E-3</v>
      </c>
      <c r="U143" s="98">
        <f t="shared" si="15"/>
        <v>0.22491329991854181</v>
      </c>
      <c r="V143" s="98">
        <f t="shared" si="15"/>
        <v>2.7749802744924237E-2</v>
      </c>
      <c r="W143" s="98">
        <f t="shared" si="15"/>
        <v>1.7301821968926329E-3</v>
      </c>
      <c r="X143" s="98">
        <f t="shared" si="15"/>
        <v>-1.0468445426751222E-3</v>
      </c>
      <c r="Y143" s="98">
        <f t="shared" si="15"/>
        <v>2.5702958202249115E-2</v>
      </c>
      <c r="Z143" s="98">
        <f t="shared" si="15"/>
        <v>5.0241961322750689E-2</v>
      </c>
      <c r="AA143" s="98">
        <f t="shared" si="15"/>
        <v>-1.0468445426751222E-3</v>
      </c>
      <c r="AB143" s="186">
        <f>SUM(Q133:AA143)</f>
        <v>16.863864283289178</v>
      </c>
    </row>
    <row r="144" spans="2:31" ht="12.75" customHeight="1" thickBot="1" x14ac:dyDescent="0.3">
      <c r="B144" s="22" t="s">
        <v>10</v>
      </c>
      <c r="C144" s="96">
        <f>Annual_sorted!I188</f>
        <v>-3.5616932455777004</v>
      </c>
      <c r="D144" s="32">
        <f>IF(C144-Table_1463457811291821425058[Burundi]&gt;0, C144-Table_1463457811291821425058[Burundi], 0)</f>
        <v>0</v>
      </c>
      <c r="E144" s="32">
        <f>IF(C144-Table_1463457811291821425058[DRC]&gt;0, C144-Table_1463457811291821425058[DRC], 0)</f>
        <v>0</v>
      </c>
      <c r="F144" s="32">
        <f>IF(C144-Table_1463457811291821425058[Egypt]&gt;0, C144-Table_1463457811291821425058[Egypt], 0)</f>
        <v>0</v>
      </c>
      <c r="G144" s="32">
        <f>IF(C144-Table_1463457811291821425058[Eritrea]&gt;0, C144-Table_1463457811291821425058[Eritrea], 0)</f>
        <v>0</v>
      </c>
      <c r="H144" s="32">
        <f>IF(C144-Table_1463457811291821425058[Ethiopia]&gt;0, C144-Table_1463457811291821425058[Ethiopia], 0)</f>
        <v>79.993005348485525</v>
      </c>
      <c r="I144" s="32">
        <f>IF(C144-Table_1463457811291821425058[Kenya]&gt;0, C144-Table_1463457811291821425058[Kenya], 0)</f>
        <v>10.194410018580763</v>
      </c>
      <c r="J144" s="32">
        <f>IF(C144-Table_1463457811291821425058[Rwanda]&gt;0, C144-Table_1463457811291821425058[Rwanda], 0)</f>
        <v>0.98310573911523846</v>
      </c>
      <c r="K144" s="32">
        <f>IF(C144-Table_1463457811291821425058[Sudan]&gt;0, C144-Table_1463457811291821425058[Sudan], 0)</f>
        <v>0</v>
      </c>
      <c r="L144" s="32">
        <f>IF(C144-Table_1463457811291821425058[S. Sudan]&gt;0, C144-Table_1463457811291821425058[S. Sudan], 0)</f>
        <v>9.4697988406222002</v>
      </c>
      <c r="M144" s="32">
        <f>IF(C144-Table_1463457811291821425058[Tanzania]&gt;0, C144-Table_1463457811291821425058[Tanzania], 0)</f>
        <v>18.156944144699047</v>
      </c>
      <c r="N144" s="32">
        <f>IF(C144-Table_1463457811291821425058[Uganda]&gt;0, C144-Table_1463457811291821425058[Uganda], 0)</f>
        <v>0</v>
      </c>
    </row>
    <row r="145" ht="12.75" customHeight="1" x14ac:dyDescent="0.25"/>
    <row r="146" ht="12.75" customHeight="1" x14ac:dyDescent="0.25"/>
    <row r="147" ht="12.75" customHeight="1" x14ac:dyDescent="0.25"/>
    <row r="148" ht="12.75" customHeight="1" x14ac:dyDescent="0.25"/>
    <row r="149" ht="12.75" customHeight="1" x14ac:dyDescent="0.25"/>
    <row r="150" ht="12.75" customHeight="1" x14ac:dyDescent="0.25"/>
    <row r="151" ht="12.75" customHeight="1" x14ac:dyDescent="0.25"/>
    <row r="152" ht="12.75" customHeight="1" x14ac:dyDescent="0.25"/>
    <row r="153" ht="12.75" customHeight="1" x14ac:dyDescent="0.25"/>
    <row r="154" ht="12.75" customHeight="1" x14ac:dyDescent="0.25"/>
    <row r="155" ht="12.75" customHeight="1" x14ac:dyDescent="0.25"/>
    <row r="156" ht="12.75" customHeight="1" x14ac:dyDescent="0.25"/>
    <row r="157" ht="12.75" customHeight="1" x14ac:dyDescent="0.25"/>
    <row r="158" ht="12.75" customHeight="1" x14ac:dyDescent="0.25"/>
    <row r="159" ht="12.75" customHeight="1" x14ac:dyDescent="0.25"/>
    <row r="160" ht="12.75" customHeight="1" x14ac:dyDescent="0.25"/>
    <row r="161" ht="12.75" customHeight="1" x14ac:dyDescent="0.25"/>
    <row r="162" ht="12.75" customHeight="1" x14ac:dyDescent="0.25"/>
    <row r="163" ht="12.75" customHeight="1" x14ac:dyDescent="0.25"/>
    <row r="164" ht="12.75" customHeight="1" x14ac:dyDescent="0.25"/>
    <row r="165" ht="12.75" customHeight="1" x14ac:dyDescent="0.25"/>
    <row r="166" ht="12.75" customHeight="1" x14ac:dyDescent="0.25"/>
    <row r="167" ht="12.75" customHeight="1" x14ac:dyDescent="0.25"/>
    <row r="168" ht="12.75" customHeight="1" x14ac:dyDescent="0.25"/>
    <row r="169" ht="12.75" customHeight="1" x14ac:dyDescent="0.25"/>
    <row r="170" ht="12.75" customHeight="1" x14ac:dyDescent="0.25"/>
    <row r="171" ht="12.75" customHeight="1" x14ac:dyDescent="0.25"/>
    <row r="172" ht="12.75" customHeight="1" x14ac:dyDescent="0.25"/>
    <row r="173" ht="12.75" customHeight="1" x14ac:dyDescent="0.25"/>
    <row r="174" ht="12.75" customHeight="1" x14ac:dyDescent="0.25"/>
    <row r="175" ht="12.75" customHeight="1" x14ac:dyDescent="0.25"/>
    <row r="176" ht="12.75" customHeight="1" x14ac:dyDescent="0.25"/>
    <row r="177" ht="12.75" customHeight="1" x14ac:dyDescent="0.25"/>
    <row r="178" ht="12.75" customHeight="1" x14ac:dyDescent="0.25"/>
    <row r="179" ht="12.75" customHeight="1" x14ac:dyDescent="0.25"/>
    <row r="180" ht="12.75" customHeight="1" x14ac:dyDescent="0.25"/>
    <row r="181" ht="12.75" customHeight="1" x14ac:dyDescent="0.25"/>
    <row r="182" ht="12.75" customHeight="1" x14ac:dyDescent="0.25"/>
    <row r="183" ht="12.75" customHeight="1" x14ac:dyDescent="0.25"/>
    <row r="184" ht="12.75" customHeight="1" x14ac:dyDescent="0.25"/>
    <row r="185" ht="12.75" customHeight="1" x14ac:dyDescent="0.25"/>
    <row r="186" ht="12.75" customHeight="1" x14ac:dyDescent="0.25"/>
    <row r="187" ht="12.75" customHeight="1" x14ac:dyDescent="0.25"/>
    <row r="188" ht="12.75" customHeight="1" x14ac:dyDescent="0.25"/>
    <row r="189" ht="12.75" customHeight="1" x14ac:dyDescent="0.25"/>
    <row r="190" ht="12.75" customHeight="1" x14ac:dyDescent="0.25"/>
    <row r="191" ht="12.75" customHeight="1" x14ac:dyDescent="0.25"/>
    <row r="192" ht="12.75" customHeight="1" x14ac:dyDescent="0.25"/>
    <row r="193" ht="12.75" customHeight="1" x14ac:dyDescent="0.25"/>
    <row r="194" ht="12.75" customHeight="1" x14ac:dyDescent="0.25"/>
    <row r="195" ht="12.75" customHeight="1" x14ac:dyDescent="0.25"/>
    <row r="196" ht="12.75" customHeight="1" x14ac:dyDescent="0.25"/>
    <row r="197" ht="12.75" customHeight="1" x14ac:dyDescent="0.25"/>
    <row r="198" ht="12.75" customHeight="1" x14ac:dyDescent="0.25"/>
    <row r="199" ht="12.75" customHeight="1" x14ac:dyDescent="0.25"/>
    <row r="200" ht="12.75" customHeight="1" x14ac:dyDescent="0.25"/>
    <row r="201" ht="12.75" customHeight="1" x14ac:dyDescent="0.25"/>
    <row r="202" ht="12.75" customHeight="1" x14ac:dyDescent="0.25"/>
    <row r="203" ht="12.75" customHeight="1" x14ac:dyDescent="0.25"/>
    <row r="204" ht="12.75" customHeight="1" x14ac:dyDescent="0.25"/>
    <row r="205" ht="12.75" customHeight="1" x14ac:dyDescent="0.25"/>
    <row r="206" ht="12.75" customHeight="1" x14ac:dyDescent="0.25"/>
    <row r="207" ht="12.75" customHeight="1" x14ac:dyDescent="0.25"/>
    <row r="208" ht="12.75" customHeight="1" x14ac:dyDescent="0.25"/>
    <row r="209" ht="12.75" customHeight="1" x14ac:dyDescent="0.25"/>
    <row r="210" ht="12.75" customHeight="1" x14ac:dyDescent="0.25"/>
    <row r="211" ht="12.75" customHeight="1" x14ac:dyDescent="0.25"/>
    <row r="212" ht="12.75" customHeight="1" x14ac:dyDescent="0.25"/>
    <row r="213" ht="12.75" customHeight="1" x14ac:dyDescent="0.25"/>
    <row r="214" ht="12.75" customHeight="1" x14ac:dyDescent="0.25"/>
    <row r="215" ht="12.75" customHeight="1" x14ac:dyDescent="0.25"/>
    <row r="216" ht="12.75" customHeight="1" x14ac:dyDescent="0.25"/>
    <row r="217" ht="12.75" customHeight="1" x14ac:dyDescent="0.25"/>
    <row r="218" ht="12.75" customHeight="1" x14ac:dyDescent="0.25"/>
    <row r="219" ht="12.75" customHeight="1" x14ac:dyDescent="0.25"/>
    <row r="220" ht="12.75" customHeight="1" x14ac:dyDescent="0.25"/>
    <row r="221" ht="12.75" customHeight="1" x14ac:dyDescent="0.25"/>
    <row r="222" ht="12.75" customHeight="1" x14ac:dyDescent="0.25"/>
    <row r="223" ht="12.75" customHeight="1" x14ac:dyDescent="0.25"/>
    <row r="224" ht="12.75" customHeight="1" x14ac:dyDescent="0.25"/>
    <row r="225" ht="12.75" customHeight="1" x14ac:dyDescent="0.25"/>
    <row r="226" ht="12.75" customHeight="1" x14ac:dyDescent="0.25"/>
    <row r="227" ht="12.75" customHeight="1" x14ac:dyDescent="0.25"/>
    <row r="228" ht="12.75" customHeight="1" x14ac:dyDescent="0.25"/>
    <row r="229" ht="12.75" customHeight="1" x14ac:dyDescent="0.25"/>
    <row r="230" ht="12.75" customHeight="1" x14ac:dyDescent="0.25"/>
    <row r="231" ht="12.75" customHeight="1" x14ac:dyDescent="0.25"/>
    <row r="232" ht="12.75" customHeight="1" x14ac:dyDescent="0.25"/>
    <row r="233" ht="12.75" customHeight="1" x14ac:dyDescent="0.25"/>
    <row r="234" ht="12.75" customHeight="1" x14ac:dyDescent="0.25"/>
    <row r="235" ht="12.75" customHeight="1" x14ac:dyDescent="0.25"/>
    <row r="236" ht="12.75" customHeight="1" x14ac:dyDescent="0.25"/>
    <row r="237" ht="12.75" customHeight="1" x14ac:dyDescent="0.25"/>
    <row r="238" ht="12.75" customHeight="1" x14ac:dyDescent="0.25"/>
    <row r="239" ht="12.75" customHeight="1" x14ac:dyDescent="0.25"/>
    <row r="240" ht="12.75" customHeight="1" x14ac:dyDescent="0.25"/>
    <row r="241" ht="12.75" customHeight="1" x14ac:dyDescent="0.25"/>
    <row r="242" ht="12.75" customHeight="1" x14ac:dyDescent="0.25"/>
    <row r="243" ht="12.75" customHeight="1" x14ac:dyDescent="0.25"/>
    <row r="244" ht="12.75" customHeight="1" x14ac:dyDescent="0.25"/>
    <row r="245" ht="12.75" customHeight="1" x14ac:dyDescent="0.25"/>
    <row r="246" ht="12.75" customHeight="1" x14ac:dyDescent="0.25"/>
    <row r="247" ht="12.75" customHeight="1" x14ac:dyDescent="0.25"/>
    <row r="248" ht="12.75" customHeight="1" x14ac:dyDescent="0.25"/>
    <row r="249" ht="12.75" customHeight="1" x14ac:dyDescent="0.25"/>
    <row r="250" ht="12.75" customHeight="1" x14ac:dyDescent="0.25"/>
    <row r="251" ht="12.75" customHeight="1" x14ac:dyDescent="0.25"/>
    <row r="252" ht="12.75" customHeight="1" x14ac:dyDescent="0.25"/>
    <row r="253" ht="12.75" customHeight="1" x14ac:dyDescent="0.25"/>
    <row r="254" ht="12.75" customHeight="1" x14ac:dyDescent="0.25"/>
    <row r="255" ht="12.75" customHeight="1" x14ac:dyDescent="0.25"/>
    <row r="256" ht="12.75" customHeight="1" x14ac:dyDescent="0.25"/>
    <row r="257" ht="12.75" customHeight="1" x14ac:dyDescent="0.25"/>
    <row r="258" ht="12.75" customHeight="1" x14ac:dyDescent="0.25"/>
    <row r="259" ht="12.75" customHeight="1" x14ac:dyDescent="0.25"/>
    <row r="260" ht="12.75" customHeight="1" x14ac:dyDescent="0.25"/>
    <row r="261" ht="12.75" customHeight="1" x14ac:dyDescent="0.25"/>
    <row r="262" ht="12.75" customHeight="1" x14ac:dyDescent="0.25"/>
    <row r="263" ht="12.75" customHeight="1" x14ac:dyDescent="0.25"/>
    <row r="264" ht="12.75" customHeight="1" x14ac:dyDescent="0.25"/>
    <row r="265" ht="12.75" customHeight="1" x14ac:dyDescent="0.25"/>
    <row r="266" ht="12.75" customHeight="1" x14ac:dyDescent="0.25"/>
    <row r="267" ht="12.75" customHeight="1" x14ac:dyDescent="0.25"/>
    <row r="268" ht="12.75" customHeight="1" x14ac:dyDescent="0.25"/>
    <row r="269" ht="12.75" customHeight="1" x14ac:dyDescent="0.25"/>
    <row r="270" ht="12.75" customHeight="1" x14ac:dyDescent="0.25"/>
    <row r="271" ht="12.75" customHeight="1" x14ac:dyDescent="0.25"/>
    <row r="272" ht="12.75" customHeight="1" x14ac:dyDescent="0.25"/>
    <row r="273" ht="12.75" customHeight="1" x14ac:dyDescent="0.25"/>
    <row r="274" ht="12.75" customHeight="1" x14ac:dyDescent="0.25"/>
    <row r="275" ht="12.75" customHeight="1" x14ac:dyDescent="0.25"/>
    <row r="276" ht="12.75" customHeight="1" x14ac:dyDescent="0.25"/>
    <row r="277" ht="12.75" customHeight="1" x14ac:dyDescent="0.25"/>
    <row r="278" ht="12.75" customHeight="1" x14ac:dyDescent="0.25"/>
    <row r="279" ht="12.75" customHeight="1" x14ac:dyDescent="0.25"/>
    <row r="280" ht="12.75" customHeight="1" x14ac:dyDescent="0.25"/>
    <row r="281" ht="12.75" customHeight="1" x14ac:dyDescent="0.25"/>
    <row r="282" ht="12.75" customHeight="1" x14ac:dyDescent="0.25"/>
    <row r="283" ht="12.75" customHeight="1" x14ac:dyDescent="0.25"/>
    <row r="284" ht="12.75" customHeight="1" x14ac:dyDescent="0.25"/>
    <row r="285" ht="12.75" customHeight="1" x14ac:dyDescent="0.25"/>
    <row r="286" ht="12.75" customHeight="1" x14ac:dyDescent="0.25"/>
    <row r="287" ht="12.75" customHeight="1" x14ac:dyDescent="0.25"/>
    <row r="288" ht="12.75" customHeight="1" x14ac:dyDescent="0.25"/>
    <row r="289" ht="12.75" customHeight="1" x14ac:dyDescent="0.25"/>
    <row r="290" ht="12.75" customHeight="1" x14ac:dyDescent="0.25"/>
    <row r="291" ht="12.75" customHeight="1" x14ac:dyDescent="0.25"/>
    <row r="292" ht="12.75" customHeight="1" x14ac:dyDescent="0.25"/>
    <row r="293" ht="12.75" customHeight="1" x14ac:dyDescent="0.25"/>
    <row r="294" ht="12.75" customHeight="1" x14ac:dyDescent="0.25"/>
    <row r="295" ht="12.75" customHeight="1" x14ac:dyDescent="0.25"/>
    <row r="296" ht="12.75" customHeight="1" x14ac:dyDescent="0.25"/>
    <row r="297" ht="12.75" customHeight="1" x14ac:dyDescent="0.25"/>
    <row r="298" ht="12.75" customHeight="1" x14ac:dyDescent="0.25"/>
    <row r="299" ht="12.75" customHeight="1" x14ac:dyDescent="0.25"/>
    <row r="300" ht="12.75" customHeight="1" x14ac:dyDescent="0.25"/>
    <row r="301" ht="12.75" customHeight="1" x14ac:dyDescent="0.25"/>
    <row r="302" ht="12.75" customHeight="1" x14ac:dyDescent="0.25"/>
    <row r="303" ht="12.75" customHeight="1" x14ac:dyDescent="0.25"/>
    <row r="304" ht="12.75" customHeight="1" x14ac:dyDescent="0.25"/>
    <row r="305" ht="12.75" customHeight="1" x14ac:dyDescent="0.25"/>
    <row r="306" ht="12.75" customHeight="1" x14ac:dyDescent="0.25"/>
    <row r="307" ht="12.75" customHeight="1" x14ac:dyDescent="0.25"/>
    <row r="308" ht="12.75" customHeight="1" x14ac:dyDescent="0.25"/>
    <row r="309" ht="12.75" customHeight="1" x14ac:dyDescent="0.25"/>
    <row r="310" ht="12.75" customHeight="1" x14ac:dyDescent="0.25"/>
    <row r="311" ht="12.75" customHeight="1" x14ac:dyDescent="0.25"/>
    <row r="312" ht="12.75" customHeight="1" x14ac:dyDescent="0.25"/>
    <row r="313" ht="12.75" customHeight="1" x14ac:dyDescent="0.25"/>
    <row r="314" ht="12.75" customHeight="1" x14ac:dyDescent="0.25"/>
    <row r="315" ht="12.75" customHeight="1" x14ac:dyDescent="0.25"/>
    <row r="316" ht="12.75" customHeight="1" x14ac:dyDescent="0.25"/>
    <row r="317" ht="12.75" customHeight="1" x14ac:dyDescent="0.25"/>
    <row r="318" ht="12.75" customHeight="1" x14ac:dyDescent="0.25"/>
    <row r="319" ht="12.75" customHeight="1" x14ac:dyDescent="0.25"/>
    <row r="320" ht="12.75" customHeight="1" x14ac:dyDescent="0.25"/>
    <row r="321" ht="12.75" customHeight="1" x14ac:dyDescent="0.25"/>
    <row r="322" ht="12.75" customHeight="1" x14ac:dyDescent="0.25"/>
    <row r="323" ht="12.75" customHeight="1" x14ac:dyDescent="0.25"/>
    <row r="324" ht="12.75" customHeight="1" x14ac:dyDescent="0.25"/>
    <row r="325" ht="12.75" customHeight="1" x14ac:dyDescent="0.25"/>
    <row r="326" ht="12.75" customHeight="1" x14ac:dyDescent="0.25"/>
    <row r="327" ht="12.75" customHeight="1" x14ac:dyDescent="0.25"/>
    <row r="328" ht="12.75" customHeight="1" x14ac:dyDescent="0.25"/>
    <row r="329" ht="12.75" customHeight="1" x14ac:dyDescent="0.25"/>
    <row r="330" ht="12.75" customHeight="1" x14ac:dyDescent="0.25"/>
    <row r="331" ht="12.75" customHeight="1" x14ac:dyDescent="0.25"/>
    <row r="332" ht="12.75" customHeight="1" x14ac:dyDescent="0.25"/>
    <row r="333" ht="12.75" customHeight="1" x14ac:dyDescent="0.25"/>
    <row r="334" ht="12.75" customHeight="1" x14ac:dyDescent="0.25"/>
    <row r="335" ht="12.75" customHeight="1" x14ac:dyDescent="0.25"/>
    <row r="336" ht="12.75" customHeight="1" x14ac:dyDescent="0.25"/>
    <row r="337" ht="12.75" customHeight="1" x14ac:dyDescent="0.25"/>
    <row r="338" ht="12.75" customHeight="1" x14ac:dyDescent="0.25"/>
    <row r="339" ht="12.75" customHeight="1" x14ac:dyDescent="0.25"/>
    <row r="340" ht="12.75" customHeight="1" x14ac:dyDescent="0.25"/>
    <row r="341" ht="12.75" customHeight="1" x14ac:dyDescent="0.25"/>
    <row r="342" ht="12.75" customHeight="1" x14ac:dyDescent="0.25"/>
    <row r="343" ht="12.75" customHeight="1" x14ac:dyDescent="0.25"/>
    <row r="344" ht="12.75" customHeight="1" x14ac:dyDescent="0.25"/>
    <row r="345" ht="12.75" customHeight="1" x14ac:dyDescent="0.25"/>
    <row r="346" ht="12.75" customHeight="1" x14ac:dyDescent="0.25"/>
    <row r="347" ht="12.75" customHeight="1" x14ac:dyDescent="0.25"/>
    <row r="348" ht="12.75" customHeight="1" x14ac:dyDescent="0.25"/>
    <row r="349" ht="12.75" customHeight="1" x14ac:dyDescent="0.25"/>
    <row r="350" ht="12.75" customHeight="1" x14ac:dyDescent="0.25"/>
    <row r="351" ht="12.75" customHeight="1" x14ac:dyDescent="0.25"/>
    <row r="352" ht="12.75" customHeight="1" x14ac:dyDescent="0.25"/>
    <row r="353" ht="12.75" customHeight="1" x14ac:dyDescent="0.25"/>
    <row r="354" ht="12.75" customHeight="1" x14ac:dyDescent="0.25"/>
    <row r="355" ht="12.75" customHeight="1" x14ac:dyDescent="0.25"/>
    <row r="356" ht="12.75" customHeight="1" x14ac:dyDescent="0.25"/>
    <row r="357" ht="12.75" customHeight="1" x14ac:dyDescent="0.25"/>
    <row r="358" ht="12.75" customHeight="1" x14ac:dyDescent="0.25"/>
    <row r="359" ht="12.75" customHeight="1" x14ac:dyDescent="0.25"/>
    <row r="360" ht="12.75" customHeight="1" x14ac:dyDescent="0.25"/>
    <row r="361" ht="12.75" customHeight="1" x14ac:dyDescent="0.25"/>
    <row r="362" ht="12.75" customHeight="1" x14ac:dyDescent="0.25"/>
    <row r="363" ht="12.75" customHeight="1" x14ac:dyDescent="0.25"/>
    <row r="364" ht="12.75" customHeight="1" x14ac:dyDescent="0.25"/>
    <row r="365" ht="12.75" customHeight="1" x14ac:dyDescent="0.25"/>
    <row r="366" ht="12.75" customHeight="1" x14ac:dyDescent="0.25"/>
    <row r="367" ht="12.75" customHeight="1" x14ac:dyDescent="0.25"/>
    <row r="368" ht="12.75" customHeight="1" x14ac:dyDescent="0.25"/>
    <row r="369" ht="12.75" customHeight="1" x14ac:dyDescent="0.25"/>
    <row r="370" ht="12.75" customHeight="1" x14ac:dyDescent="0.25"/>
    <row r="371" ht="12.75" customHeight="1" x14ac:dyDescent="0.25"/>
    <row r="372" ht="12.75" customHeight="1" x14ac:dyDescent="0.25"/>
    <row r="373" ht="12.75" customHeight="1" x14ac:dyDescent="0.25"/>
    <row r="374" ht="12.75" customHeight="1" x14ac:dyDescent="0.25"/>
    <row r="375" ht="12.75" customHeight="1" x14ac:dyDescent="0.25"/>
    <row r="376" ht="12.75" customHeight="1" x14ac:dyDescent="0.25"/>
    <row r="377" ht="12.75" customHeight="1" x14ac:dyDescent="0.25"/>
    <row r="378" ht="12.75" customHeight="1" x14ac:dyDescent="0.25"/>
    <row r="379" ht="12.75" customHeight="1" x14ac:dyDescent="0.25"/>
    <row r="380" ht="12.75" customHeight="1" x14ac:dyDescent="0.25"/>
    <row r="381" ht="12.75" customHeight="1" x14ac:dyDescent="0.25"/>
    <row r="382" ht="12.75" customHeight="1" x14ac:dyDescent="0.25"/>
    <row r="383" ht="12.75" customHeight="1" x14ac:dyDescent="0.25"/>
    <row r="384" ht="12.75" customHeight="1" x14ac:dyDescent="0.25"/>
    <row r="385" ht="12.75" customHeight="1" x14ac:dyDescent="0.25"/>
    <row r="386" ht="12.75" customHeight="1" x14ac:dyDescent="0.25"/>
    <row r="387" ht="12.75" customHeight="1" x14ac:dyDescent="0.25"/>
    <row r="388" ht="12.75" customHeight="1" x14ac:dyDescent="0.25"/>
    <row r="389" ht="12.75" customHeight="1" x14ac:dyDescent="0.25"/>
    <row r="390" ht="12.75" customHeight="1" x14ac:dyDescent="0.25"/>
    <row r="391" ht="12.75" customHeight="1" x14ac:dyDescent="0.25"/>
    <row r="392" ht="12.75" customHeight="1" x14ac:dyDescent="0.25"/>
    <row r="393" ht="12.75" customHeight="1" x14ac:dyDescent="0.25"/>
    <row r="394" ht="12.75" customHeight="1" x14ac:dyDescent="0.25"/>
    <row r="395" ht="12.75" customHeight="1" x14ac:dyDescent="0.25"/>
    <row r="396" ht="12.75" customHeight="1" x14ac:dyDescent="0.25"/>
    <row r="397" ht="12.75" customHeight="1" x14ac:dyDescent="0.25"/>
    <row r="398" ht="12.75" customHeight="1" x14ac:dyDescent="0.25"/>
    <row r="399" ht="12.75" customHeight="1" x14ac:dyDescent="0.25"/>
    <row r="400" ht="12.75" customHeight="1" x14ac:dyDescent="0.25"/>
    <row r="401" ht="12.75" customHeight="1" x14ac:dyDescent="0.25"/>
    <row r="402" ht="12.75" customHeight="1" x14ac:dyDescent="0.25"/>
    <row r="403" ht="12.75" customHeight="1" x14ac:dyDescent="0.25"/>
    <row r="404" ht="12.75" customHeight="1" x14ac:dyDescent="0.25"/>
    <row r="405" ht="12.75" customHeight="1" x14ac:dyDescent="0.25"/>
    <row r="406" ht="12.75" customHeight="1" x14ac:dyDescent="0.25"/>
    <row r="407" ht="12.75" customHeight="1" x14ac:dyDescent="0.25"/>
    <row r="408" ht="12.75" customHeight="1" x14ac:dyDescent="0.25"/>
    <row r="409" ht="12.75" customHeight="1" x14ac:dyDescent="0.25"/>
    <row r="410" ht="12.75" customHeight="1" x14ac:dyDescent="0.25"/>
    <row r="411" ht="12.75" customHeight="1" x14ac:dyDescent="0.25"/>
    <row r="412" ht="12.75" customHeight="1" x14ac:dyDescent="0.25"/>
    <row r="413" ht="12.75" customHeight="1" x14ac:dyDescent="0.25"/>
    <row r="414" ht="12.75" customHeight="1" x14ac:dyDescent="0.25"/>
    <row r="415" ht="12.75" customHeight="1" x14ac:dyDescent="0.25"/>
    <row r="416" ht="12.75" customHeight="1" x14ac:dyDescent="0.25"/>
    <row r="417" ht="12.75" customHeight="1" x14ac:dyDescent="0.25"/>
    <row r="418" ht="12.75" customHeight="1" x14ac:dyDescent="0.25"/>
    <row r="419" ht="12.75" customHeight="1" x14ac:dyDescent="0.25"/>
    <row r="420" ht="12.75" customHeight="1" x14ac:dyDescent="0.25"/>
    <row r="421" ht="12.75" customHeight="1" x14ac:dyDescent="0.25"/>
    <row r="422" ht="12.75" customHeight="1" x14ac:dyDescent="0.25"/>
    <row r="423" ht="12.75" customHeight="1" x14ac:dyDescent="0.25"/>
    <row r="424" ht="12.75" customHeight="1" x14ac:dyDescent="0.25"/>
    <row r="425" ht="12.75" customHeight="1" x14ac:dyDescent="0.25"/>
    <row r="426" ht="12.75" customHeight="1" x14ac:dyDescent="0.25"/>
    <row r="427" ht="12.75" customHeight="1" x14ac:dyDescent="0.25"/>
    <row r="428" ht="12.75" customHeight="1" x14ac:dyDescent="0.25"/>
    <row r="429" ht="12.75" customHeight="1" x14ac:dyDescent="0.25"/>
    <row r="430" ht="12.75" customHeight="1" x14ac:dyDescent="0.25"/>
    <row r="431" ht="12.75" customHeight="1" x14ac:dyDescent="0.25"/>
    <row r="432" ht="12.75" customHeight="1" x14ac:dyDescent="0.25"/>
    <row r="433" ht="12.75" customHeight="1" x14ac:dyDescent="0.25"/>
    <row r="434" ht="12.75" customHeight="1" x14ac:dyDescent="0.25"/>
    <row r="435" ht="12.75" customHeight="1" x14ac:dyDescent="0.25"/>
    <row r="436" ht="12.75" customHeight="1" x14ac:dyDescent="0.25"/>
    <row r="437" ht="12.75" customHeight="1" x14ac:dyDescent="0.25"/>
    <row r="438" ht="12.75" customHeight="1" x14ac:dyDescent="0.25"/>
    <row r="439" ht="12.75" customHeight="1" x14ac:dyDescent="0.25"/>
    <row r="440" ht="12.75" customHeight="1" x14ac:dyDescent="0.25"/>
    <row r="441" ht="12.75" customHeight="1" x14ac:dyDescent="0.25"/>
    <row r="442" ht="12.75" customHeight="1" x14ac:dyDescent="0.25"/>
    <row r="443" ht="12.75" customHeight="1" x14ac:dyDescent="0.25"/>
    <row r="444" ht="12.75" customHeight="1" x14ac:dyDescent="0.25"/>
    <row r="445" ht="12.75" customHeight="1" x14ac:dyDescent="0.25"/>
    <row r="446" ht="12.75" customHeight="1" x14ac:dyDescent="0.25"/>
    <row r="447" ht="12.75" customHeight="1" x14ac:dyDescent="0.25"/>
    <row r="448" ht="12.75" customHeight="1" x14ac:dyDescent="0.25"/>
    <row r="449" ht="12.75" customHeight="1" x14ac:dyDescent="0.25"/>
    <row r="450" ht="12.75" customHeight="1" x14ac:dyDescent="0.25"/>
    <row r="451" ht="12.75" customHeight="1" x14ac:dyDescent="0.25"/>
    <row r="452" ht="12.75" customHeight="1" x14ac:dyDescent="0.25"/>
    <row r="453" ht="12.75" customHeight="1" x14ac:dyDescent="0.25"/>
    <row r="454" ht="12.75" customHeight="1" x14ac:dyDescent="0.25"/>
    <row r="455" ht="12.75" customHeight="1" x14ac:dyDescent="0.25"/>
    <row r="456" ht="12.75" customHeight="1" x14ac:dyDescent="0.25"/>
    <row r="457" ht="12.75" customHeight="1" x14ac:dyDescent="0.25"/>
    <row r="458" ht="12.75" customHeight="1" x14ac:dyDescent="0.25"/>
    <row r="459" ht="12.75" customHeight="1" x14ac:dyDescent="0.25"/>
    <row r="460" ht="12.75" customHeight="1" x14ac:dyDescent="0.25"/>
    <row r="461" ht="12.75" customHeight="1" x14ac:dyDescent="0.25"/>
    <row r="462" ht="12.75" customHeight="1" x14ac:dyDescent="0.25"/>
    <row r="463" ht="12.75" customHeight="1" x14ac:dyDescent="0.25"/>
    <row r="464" ht="12.75" customHeight="1" x14ac:dyDescent="0.25"/>
    <row r="465" ht="12.75" customHeight="1" x14ac:dyDescent="0.25"/>
    <row r="466" ht="12.75" customHeight="1" x14ac:dyDescent="0.25"/>
    <row r="467" ht="12.75" customHeight="1" x14ac:dyDescent="0.25"/>
    <row r="468" ht="12.75" customHeight="1" x14ac:dyDescent="0.25"/>
    <row r="469" ht="12.75" customHeight="1" x14ac:dyDescent="0.25"/>
    <row r="470" ht="12.75" customHeight="1" x14ac:dyDescent="0.25"/>
    <row r="471" ht="12.75" customHeight="1" x14ac:dyDescent="0.25"/>
    <row r="472" ht="12.75" customHeight="1" x14ac:dyDescent="0.25"/>
    <row r="473" ht="12.75" customHeight="1" x14ac:dyDescent="0.25"/>
    <row r="474" ht="12.75" customHeight="1" x14ac:dyDescent="0.25"/>
    <row r="475" ht="12.75" customHeight="1" x14ac:dyDescent="0.25"/>
    <row r="476" ht="12.75" customHeight="1" x14ac:dyDescent="0.25"/>
    <row r="477" ht="12.75" customHeight="1" x14ac:dyDescent="0.25"/>
    <row r="478" ht="12.75" customHeight="1" x14ac:dyDescent="0.25"/>
    <row r="479" ht="12.75" customHeight="1" x14ac:dyDescent="0.25"/>
    <row r="480" ht="12.75" customHeight="1" x14ac:dyDescent="0.25"/>
    <row r="481" ht="12.75" customHeight="1" x14ac:dyDescent="0.25"/>
    <row r="482" ht="12.75" customHeight="1" x14ac:dyDescent="0.25"/>
    <row r="483" ht="12.75" customHeight="1" x14ac:dyDescent="0.25"/>
    <row r="484" ht="12.75" customHeight="1" x14ac:dyDescent="0.25"/>
    <row r="485" ht="12.75" customHeight="1" x14ac:dyDescent="0.25"/>
    <row r="486" ht="12.75" customHeight="1" x14ac:dyDescent="0.25"/>
    <row r="487" ht="12.75" customHeight="1" x14ac:dyDescent="0.25"/>
    <row r="488" ht="12.75" customHeight="1" x14ac:dyDescent="0.25"/>
    <row r="489" ht="12.75" customHeight="1" x14ac:dyDescent="0.25"/>
    <row r="490" ht="12.75" customHeight="1" x14ac:dyDescent="0.25"/>
    <row r="491" ht="12.75" customHeight="1" x14ac:dyDescent="0.25"/>
    <row r="492" ht="12.75" customHeight="1" x14ac:dyDescent="0.25"/>
    <row r="493" ht="12.75" customHeight="1" x14ac:dyDescent="0.25"/>
    <row r="494" ht="12.75" customHeight="1" x14ac:dyDescent="0.25"/>
    <row r="495" ht="12.75" customHeight="1" x14ac:dyDescent="0.25"/>
    <row r="496" ht="12.75" customHeight="1" x14ac:dyDescent="0.25"/>
    <row r="497" ht="12.75" customHeight="1" x14ac:dyDescent="0.25"/>
    <row r="498" ht="12.75" customHeight="1" x14ac:dyDescent="0.25"/>
    <row r="499" ht="12.75" customHeight="1" x14ac:dyDescent="0.25"/>
    <row r="500" ht="12.75" customHeight="1" x14ac:dyDescent="0.25"/>
    <row r="501" ht="12.75" customHeight="1" x14ac:dyDescent="0.25"/>
    <row r="502" ht="12.75" customHeight="1" x14ac:dyDescent="0.25"/>
    <row r="503" ht="12.75" customHeight="1" x14ac:dyDescent="0.25"/>
    <row r="504" ht="12.75" customHeight="1" x14ac:dyDescent="0.25"/>
    <row r="505" ht="12.75" customHeight="1" x14ac:dyDescent="0.25"/>
    <row r="506" ht="12.75" customHeight="1" x14ac:dyDescent="0.25"/>
    <row r="507" ht="12.75" customHeight="1" x14ac:dyDescent="0.25"/>
    <row r="508" ht="12.75" customHeight="1" x14ac:dyDescent="0.25"/>
    <row r="509" ht="12.75" customHeight="1" x14ac:dyDescent="0.25"/>
    <row r="510" ht="12.75" customHeight="1" x14ac:dyDescent="0.25"/>
    <row r="511" ht="12.75" customHeight="1" x14ac:dyDescent="0.25"/>
    <row r="512" ht="12.75" customHeight="1" x14ac:dyDescent="0.25"/>
    <row r="513" ht="12.75" customHeight="1" x14ac:dyDescent="0.25"/>
    <row r="514" ht="12.75" customHeight="1" x14ac:dyDescent="0.25"/>
    <row r="515" ht="12.75" customHeight="1" x14ac:dyDescent="0.25"/>
    <row r="516" ht="12.75" customHeight="1" x14ac:dyDescent="0.25"/>
    <row r="517" ht="12.75" customHeight="1" x14ac:dyDescent="0.25"/>
    <row r="518" ht="12.75" customHeight="1" x14ac:dyDescent="0.25"/>
    <row r="519" ht="12.75" customHeight="1" x14ac:dyDescent="0.25"/>
    <row r="520" ht="12.75" customHeight="1" x14ac:dyDescent="0.25"/>
    <row r="521" ht="12.75" customHeight="1" x14ac:dyDescent="0.25"/>
    <row r="522" ht="12.75" customHeight="1" x14ac:dyDescent="0.25"/>
    <row r="523" ht="12.75" customHeight="1" x14ac:dyDescent="0.25"/>
    <row r="524" ht="12.75" customHeight="1" x14ac:dyDescent="0.25"/>
    <row r="525" ht="12.75" customHeight="1" x14ac:dyDescent="0.25"/>
    <row r="526" ht="12.75" customHeight="1" x14ac:dyDescent="0.25"/>
    <row r="527" ht="12.75" customHeight="1" x14ac:dyDescent="0.25"/>
    <row r="528" ht="12.75" customHeight="1" x14ac:dyDescent="0.25"/>
    <row r="529" ht="12.75" customHeight="1" x14ac:dyDescent="0.25"/>
    <row r="530" ht="12.75" customHeight="1" x14ac:dyDescent="0.25"/>
    <row r="531" ht="12.75" customHeight="1" x14ac:dyDescent="0.25"/>
    <row r="532" ht="12.75" customHeight="1" x14ac:dyDescent="0.25"/>
    <row r="533" ht="12.75" customHeight="1" x14ac:dyDescent="0.25"/>
    <row r="534" ht="12.75" customHeight="1" x14ac:dyDescent="0.25"/>
    <row r="535" ht="12.75" customHeight="1" x14ac:dyDescent="0.25"/>
    <row r="536" ht="12.75" customHeight="1" x14ac:dyDescent="0.25"/>
    <row r="537" ht="12.75" customHeight="1" x14ac:dyDescent="0.25"/>
    <row r="538" ht="12.75" customHeight="1" x14ac:dyDescent="0.25"/>
    <row r="539" ht="12.75" customHeight="1" x14ac:dyDescent="0.25"/>
    <row r="540" ht="12.75" customHeight="1" x14ac:dyDescent="0.25"/>
    <row r="541" ht="12.75" customHeight="1" x14ac:dyDescent="0.25"/>
    <row r="542" ht="12.75" customHeight="1" x14ac:dyDescent="0.25"/>
    <row r="543" ht="12.75" customHeight="1" x14ac:dyDescent="0.25"/>
    <row r="544" ht="12.75" customHeight="1" x14ac:dyDescent="0.25"/>
    <row r="545" ht="12.75" customHeight="1" x14ac:dyDescent="0.25"/>
    <row r="546" ht="12.75" customHeight="1" x14ac:dyDescent="0.25"/>
    <row r="547" ht="12.75" customHeight="1" x14ac:dyDescent="0.25"/>
    <row r="548" ht="12.75" customHeight="1" x14ac:dyDescent="0.25"/>
    <row r="549" ht="12.75" customHeight="1" x14ac:dyDescent="0.25"/>
    <row r="550" ht="12.75" customHeight="1" x14ac:dyDescent="0.25"/>
    <row r="551" ht="12.75" customHeight="1" x14ac:dyDescent="0.25"/>
    <row r="552" ht="12.75" customHeight="1" x14ac:dyDescent="0.25"/>
    <row r="553" ht="12.75" customHeight="1" x14ac:dyDescent="0.25"/>
    <row r="554" ht="12.75" customHeight="1" x14ac:dyDescent="0.25"/>
    <row r="555" ht="12.75" customHeight="1" x14ac:dyDescent="0.25"/>
    <row r="556" ht="12.75" customHeight="1" x14ac:dyDescent="0.25"/>
    <row r="557" ht="12.75" customHeight="1" x14ac:dyDescent="0.25"/>
    <row r="558" ht="12.75" customHeight="1" x14ac:dyDescent="0.25"/>
    <row r="559" ht="12.75" customHeight="1" x14ac:dyDescent="0.25"/>
    <row r="560" ht="12.75" customHeight="1" x14ac:dyDescent="0.25"/>
    <row r="561" ht="12.75" customHeight="1" x14ac:dyDescent="0.25"/>
    <row r="562" ht="12.75" customHeight="1" x14ac:dyDescent="0.25"/>
    <row r="563" ht="12.75" customHeight="1" x14ac:dyDescent="0.25"/>
    <row r="564" ht="12.75" customHeight="1" x14ac:dyDescent="0.25"/>
    <row r="565" ht="12.75" customHeight="1" x14ac:dyDescent="0.25"/>
    <row r="566" ht="12.75" customHeight="1" x14ac:dyDescent="0.25"/>
    <row r="567" ht="12.75" customHeight="1" x14ac:dyDescent="0.25"/>
    <row r="568" ht="12.75" customHeight="1" x14ac:dyDescent="0.25"/>
    <row r="569" ht="12.75" customHeight="1" x14ac:dyDescent="0.25"/>
    <row r="570" ht="12.75" customHeight="1" x14ac:dyDescent="0.25"/>
    <row r="571" ht="12.75" customHeight="1" x14ac:dyDescent="0.25"/>
    <row r="572" ht="12.75" customHeight="1" x14ac:dyDescent="0.25"/>
    <row r="573" ht="12.75" customHeight="1" x14ac:dyDescent="0.25"/>
    <row r="574" ht="12.75" customHeight="1" x14ac:dyDescent="0.25"/>
    <row r="575" ht="12.75" customHeight="1" x14ac:dyDescent="0.25"/>
    <row r="576" ht="12.75" customHeight="1" x14ac:dyDescent="0.25"/>
    <row r="577" ht="12.75" customHeight="1" x14ac:dyDescent="0.25"/>
    <row r="578" ht="12.75" customHeight="1" x14ac:dyDescent="0.25"/>
    <row r="579" ht="12.75" customHeight="1" x14ac:dyDescent="0.25"/>
    <row r="580" ht="12.75" customHeight="1" x14ac:dyDescent="0.25"/>
    <row r="581" ht="12.75" customHeight="1" x14ac:dyDescent="0.25"/>
    <row r="582" ht="12.75" customHeight="1" x14ac:dyDescent="0.25"/>
    <row r="583" ht="12.75" customHeight="1" x14ac:dyDescent="0.25"/>
    <row r="584" ht="12.75" customHeight="1" x14ac:dyDescent="0.25"/>
    <row r="585" ht="12.75" customHeight="1" x14ac:dyDescent="0.25"/>
    <row r="586" ht="12.75" customHeight="1" x14ac:dyDescent="0.25"/>
    <row r="587" ht="12.75" customHeight="1" x14ac:dyDescent="0.25"/>
    <row r="588" ht="12.75" customHeight="1" x14ac:dyDescent="0.25"/>
    <row r="589" ht="12.75" customHeight="1" x14ac:dyDescent="0.25"/>
    <row r="590" ht="12.75" customHeight="1" x14ac:dyDescent="0.25"/>
    <row r="591" ht="12.75" customHeight="1" x14ac:dyDescent="0.25"/>
    <row r="592" ht="12.75" customHeight="1" x14ac:dyDescent="0.25"/>
    <row r="593" ht="12.75" customHeight="1" x14ac:dyDescent="0.25"/>
    <row r="594" ht="12.75" customHeight="1" x14ac:dyDescent="0.25"/>
    <row r="595" ht="12.75" customHeight="1" x14ac:dyDescent="0.25"/>
    <row r="596" ht="12.75" customHeight="1" x14ac:dyDescent="0.25"/>
    <row r="597" ht="12.75" customHeight="1" x14ac:dyDescent="0.25"/>
    <row r="598" ht="12.75" customHeight="1" x14ac:dyDescent="0.25"/>
    <row r="599" ht="12.75" customHeight="1" x14ac:dyDescent="0.25"/>
    <row r="600" ht="12.75" customHeight="1" x14ac:dyDescent="0.25"/>
    <row r="601" ht="12.75" customHeight="1" x14ac:dyDescent="0.25"/>
    <row r="602" ht="12.75" customHeight="1" x14ac:dyDescent="0.25"/>
    <row r="603" ht="12.75" customHeight="1" x14ac:dyDescent="0.25"/>
    <row r="604" ht="12.75" customHeight="1" x14ac:dyDescent="0.25"/>
    <row r="605" ht="12.75" customHeight="1" x14ac:dyDescent="0.25"/>
    <row r="606" ht="12.75" customHeight="1" x14ac:dyDescent="0.25"/>
    <row r="607" ht="12.75" customHeight="1" x14ac:dyDescent="0.25"/>
    <row r="608" ht="12.75" customHeight="1" x14ac:dyDescent="0.25"/>
    <row r="609" ht="12.75" customHeight="1" x14ac:dyDescent="0.25"/>
    <row r="610" ht="12.75" customHeight="1" x14ac:dyDescent="0.25"/>
    <row r="611" ht="12.75" customHeight="1" x14ac:dyDescent="0.25"/>
    <row r="612" ht="12.75" customHeight="1" x14ac:dyDescent="0.25"/>
    <row r="613" ht="12.75" customHeight="1" x14ac:dyDescent="0.25"/>
    <row r="614" ht="12.75" customHeight="1" x14ac:dyDescent="0.25"/>
    <row r="615" ht="12.75" customHeight="1" x14ac:dyDescent="0.25"/>
    <row r="616" ht="12.75" customHeight="1" x14ac:dyDescent="0.25"/>
    <row r="617" ht="12.75" customHeight="1" x14ac:dyDescent="0.25"/>
    <row r="618" ht="12.75" customHeight="1" x14ac:dyDescent="0.25"/>
    <row r="619" ht="12.75" customHeight="1" x14ac:dyDescent="0.25"/>
    <row r="620" ht="12.75" customHeight="1" x14ac:dyDescent="0.25"/>
    <row r="621" ht="12.75" customHeight="1" x14ac:dyDescent="0.25"/>
    <row r="622" ht="12.75" customHeight="1" x14ac:dyDescent="0.25"/>
    <row r="623" ht="12.75" customHeight="1" x14ac:dyDescent="0.25"/>
    <row r="624" ht="12.75" customHeight="1" x14ac:dyDescent="0.25"/>
    <row r="625" ht="12.75" customHeight="1" x14ac:dyDescent="0.25"/>
    <row r="626" ht="12.75" customHeight="1" x14ac:dyDescent="0.25"/>
    <row r="627" ht="12.75" customHeight="1" x14ac:dyDescent="0.25"/>
    <row r="628" ht="12.75" customHeight="1" x14ac:dyDescent="0.25"/>
    <row r="629" ht="12.75" customHeight="1" x14ac:dyDescent="0.25"/>
    <row r="630" ht="12.75" customHeight="1" x14ac:dyDescent="0.25"/>
    <row r="631" ht="12.75" customHeight="1" x14ac:dyDescent="0.25"/>
    <row r="632" ht="12.75" customHeight="1" x14ac:dyDescent="0.25"/>
    <row r="633" ht="12.75" customHeight="1" x14ac:dyDescent="0.25"/>
    <row r="634" ht="12.75" customHeight="1" x14ac:dyDescent="0.25"/>
    <row r="635" ht="12.75" customHeight="1" x14ac:dyDescent="0.25"/>
    <row r="636" ht="12.75" customHeight="1" x14ac:dyDescent="0.25"/>
    <row r="637" ht="12.75" customHeight="1" x14ac:dyDescent="0.25"/>
    <row r="638" ht="12.75" customHeight="1" x14ac:dyDescent="0.25"/>
    <row r="639" ht="12.75" customHeight="1" x14ac:dyDescent="0.25"/>
    <row r="640" ht="12.75" customHeight="1" x14ac:dyDescent="0.25"/>
    <row r="641" ht="12.75" customHeight="1" x14ac:dyDescent="0.25"/>
    <row r="642" ht="12.75" customHeight="1" x14ac:dyDescent="0.25"/>
    <row r="643" ht="12.75" customHeight="1" x14ac:dyDescent="0.25"/>
    <row r="644" ht="12.75" customHeight="1" x14ac:dyDescent="0.25"/>
    <row r="645" ht="12.75" customHeight="1" x14ac:dyDescent="0.25"/>
    <row r="646" ht="12.75" customHeight="1" x14ac:dyDescent="0.25"/>
    <row r="647" ht="12.75" customHeight="1" x14ac:dyDescent="0.25"/>
    <row r="648" ht="12.75" customHeight="1" x14ac:dyDescent="0.25"/>
    <row r="649" ht="12.75" customHeight="1" x14ac:dyDescent="0.25"/>
    <row r="650" ht="12.75" customHeight="1" x14ac:dyDescent="0.25"/>
    <row r="651" ht="12.75" customHeight="1" x14ac:dyDescent="0.25"/>
    <row r="652" ht="12.75" customHeight="1" x14ac:dyDescent="0.25"/>
    <row r="653" ht="12.75" customHeight="1" x14ac:dyDescent="0.25"/>
    <row r="654" ht="12.75" customHeight="1" x14ac:dyDescent="0.25"/>
    <row r="655" ht="12.75" customHeight="1" x14ac:dyDescent="0.25"/>
    <row r="656" ht="12.75" customHeight="1" x14ac:dyDescent="0.25"/>
    <row r="657" ht="12.75" customHeight="1" x14ac:dyDescent="0.25"/>
    <row r="658" ht="12.75" customHeight="1" x14ac:dyDescent="0.25"/>
    <row r="659" ht="12.75" customHeight="1" x14ac:dyDescent="0.25"/>
    <row r="660" ht="12.75" customHeight="1" x14ac:dyDescent="0.25"/>
    <row r="661" ht="12.75" customHeight="1" x14ac:dyDescent="0.25"/>
    <row r="662" ht="12.75" customHeight="1" x14ac:dyDescent="0.25"/>
    <row r="663" ht="12.75" customHeight="1" x14ac:dyDescent="0.25"/>
    <row r="664" ht="12.75" customHeight="1" x14ac:dyDescent="0.25"/>
    <row r="665" ht="12.75" customHeight="1" x14ac:dyDescent="0.25"/>
    <row r="666" ht="12.75" customHeight="1" x14ac:dyDescent="0.25"/>
    <row r="667" ht="12.75" customHeight="1" x14ac:dyDescent="0.25"/>
    <row r="668" ht="12.75" customHeight="1" x14ac:dyDescent="0.25"/>
    <row r="669" ht="12.75" customHeight="1" x14ac:dyDescent="0.25"/>
    <row r="670" ht="12.75" customHeight="1" x14ac:dyDescent="0.25"/>
    <row r="671" ht="12.75" customHeight="1" x14ac:dyDescent="0.25"/>
    <row r="672" ht="12.75" customHeight="1" x14ac:dyDescent="0.25"/>
    <row r="673" ht="12.75" customHeight="1" x14ac:dyDescent="0.25"/>
    <row r="674" ht="12.75" customHeight="1" x14ac:dyDescent="0.25"/>
    <row r="675" ht="12.75" customHeight="1" x14ac:dyDescent="0.25"/>
    <row r="676" ht="12.75" customHeight="1" x14ac:dyDescent="0.25"/>
    <row r="677" ht="12.75" customHeight="1" x14ac:dyDescent="0.25"/>
    <row r="678" ht="12.75" customHeight="1" x14ac:dyDescent="0.25"/>
    <row r="679" ht="12.75" customHeight="1" x14ac:dyDescent="0.25"/>
    <row r="680" ht="12.75" customHeight="1" x14ac:dyDescent="0.25"/>
    <row r="681" ht="12.75" customHeight="1" x14ac:dyDescent="0.25"/>
    <row r="682" ht="12.75" customHeight="1" x14ac:dyDescent="0.25"/>
    <row r="683" ht="12.75" customHeight="1" x14ac:dyDescent="0.25"/>
    <row r="684" ht="12.75" customHeight="1" x14ac:dyDescent="0.25"/>
    <row r="685" ht="12.75" customHeight="1" x14ac:dyDescent="0.25"/>
    <row r="686" ht="12.75" customHeight="1" x14ac:dyDescent="0.25"/>
    <row r="687" ht="12.75" customHeight="1" x14ac:dyDescent="0.25"/>
    <row r="688" ht="12.75" customHeight="1" x14ac:dyDescent="0.25"/>
    <row r="689" ht="12.75" customHeight="1" x14ac:dyDescent="0.25"/>
    <row r="690" ht="12.75" customHeight="1" x14ac:dyDescent="0.25"/>
    <row r="691" ht="12.75" customHeight="1" x14ac:dyDescent="0.25"/>
    <row r="692" ht="12.75" customHeight="1" x14ac:dyDescent="0.25"/>
    <row r="693" ht="12.75" customHeight="1" x14ac:dyDescent="0.25"/>
    <row r="694" ht="12.75" customHeight="1" x14ac:dyDescent="0.25"/>
    <row r="695" ht="12.75" customHeight="1" x14ac:dyDescent="0.25"/>
    <row r="696" ht="12.75" customHeight="1" x14ac:dyDescent="0.25"/>
    <row r="697" ht="12.75" customHeight="1" x14ac:dyDescent="0.25"/>
    <row r="698" ht="12.75" customHeight="1" x14ac:dyDescent="0.25"/>
    <row r="699" ht="12.75" customHeight="1" x14ac:dyDescent="0.25"/>
    <row r="700" ht="12.75" customHeight="1" x14ac:dyDescent="0.25"/>
    <row r="701" ht="12.75" customHeight="1" x14ac:dyDescent="0.25"/>
    <row r="702" ht="12.75" customHeight="1" x14ac:dyDescent="0.25"/>
    <row r="703" ht="12.75" customHeight="1" x14ac:dyDescent="0.25"/>
    <row r="704" ht="12.75" customHeight="1" x14ac:dyDescent="0.25"/>
    <row r="705" ht="12.75" customHeight="1" x14ac:dyDescent="0.25"/>
    <row r="706" ht="12.75" customHeight="1" x14ac:dyDescent="0.25"/>
    <row r="707" ht="12.75" customHeight="1" x14ac:dyDescent="0.25"/>
    <row r="708" ht="12.75" customHeight="1" x14ac:dyDescent="0.25"/>
    <row r="709" ht="12.75" customHeight="1" x14ac:dyDescent="0.25"/>
    <row r="710" ht="12.75" customHeight="1" x14ac:dyDescent="0.25"/>
    <row r="711" ht="12.75" customHeight="1" x14ac:dyDescent="0.25"/>
    <row r="712" ht="12.75" customHeight="1" x14ac:dyDescent="0.25"/>
    <row r="713" ht="12.75" customHeight="1" x14ac:dyDescent="0.25"/>
    <row r="714" ht="12.75" customHeight="1" x14ac:dyDescent="0.25"/>
    <row r="715" ht="12.75" customHeight="1" x14ac:dyDescent="0.25"/>
    <row r="716" ht="12.75" customHeight="1" x14ac:dyDescent="0.25"/>
    <row r="717" ht="12.75" customHeight="1" x14ac:dyDescent="0.25"/>
    <row r="718" ht="12.75" customHeight="1" x14ac:dyDescent="0.25"/>
    <row r="719" ht="12.75" customHeight="1" x14ac:dyDescent="0.25"/>
    <row r="720" ht="12.75" customHeight="1" x14ac:dyDescent="0.25"/>
    <row r="721" ht="12.75" customHeight="1" x14ac:dyDescent="0.25"/>
    <row r="722" ht="12.75" customHeight="1" x14ac:dyDescent="0.25"/>
    <row r="723" ht="12.75" customHeight="1" x14ac:dyDescent="0.25"/>
    <row r="724" ht="12.75" customHeight="1" x14ac:dyDescent="0.25"/>
    <row r="725" ht="12.75" customHeight="1" x14ac:dyDescent="0.25"/>
    <row r="726" ht="12.75" customHeight="1" x14ac:dyDescent="0.25"/>
    <row r="727" ht="12.75" customHeight="1" x14ac:dyDescent="0.25"/>
    <row r="728" ht="12.75" customHeight="1" x14ac:dyDescent="0.25"/>
    <row r="729" ht="12.75" customHeight="1" x14ac:dyDescent="0.25"/>
    <row r="730" ht="12.75" customHeight="1" x14ac:dyDescent="0.25"/>
    <row r="731" ht="12.75" customHeight="1" x14ac:dyDescent="0.25"/>
    <row r="732" ht="12.75" customHeight="1" x14ac:dyDescent="0.25"/>
    <row r="733" ht="12.75" customHeight="1" x14ac:dyDescent="0.25"/>
    <row r="734" ht="12.75" customHeight="1" x14ac:dyDescent="0.25"/>
    <row r="735" ht="12.75" customHeight="1" x14ac:dyDescent="0.25"/>
    <row r="736" ht="12.75" customHeight="1" x14ac:dyDescent="0.25"/>
    <row r="737" ht="12.75" customHeight="1" x14ac:dyDescent="0.25"/>
    <row r="738" ht="12.75" customHeight="1" x14ac:dyDescent="0.25"/>
    <row r="739" ht="12.75" customHeight="1" x14ac:dyDescent="0.25"/>
    <row r="740" ht="12.75" customHeight="1" x14ac:dyDescent="0.25"/>
    <row r="741" ht="12.75" customHeight="1" x14ac:dyDescent="0.25"/>
    <row r="742" ht="12.75" customHeight="1" x14ac:dyDescent="0.25"/>
    <row r="743" ht="12.75" customHeight="1" x14ac:dyDescent="0.25"/>
    <row r="744" ht="12.75" customHeight="1" x14ac:dyDescent="0.25"/>
    <row r="745" ht="12.75" customHeight="1" x14ac:dyDescent="0.25"/>
    <row r="746" ht="12.75" customHeight="1" x14ac:dyDescent="0.25"/>
    <row r="747" ht="12.75" customHeight="1" x14ac:dyDescent="0.25"/>
    <row r="748" ht="12.75" customHeight="1" x14ac:dyDescent="0.25"/>
    <row r="749" ht="12.75" customHeight="1" x14ac:dyDescent="0.25"/>
    <row r="750" ht="12.75" customHeight="1" x14ac:dyDescent="0.25"/>
    <row r="751" ht="12.75" customHeight="1" x14ac:dyDescent="0.25"/>
    <row r="752" ht="12.75" customHeight="1" x14ac:dyDescent="0.25"/>
    <row r="753" ht="12.75" customHeight="1" x14ac:dyDescent="0.25"/>
    <row r="754" ht="12.75" customHeight="1" x14ac:dyDescent="0.25"/>
    <row r="755" ht="12.75" customHeight="1" x14ac:dyDescent="0.25"/>
    <row r="756" ht="12.75" customHeight="1" x14ac:dyDescent="0.25"/>
    <row r="757" ht="12.75" customHeight="1" x14ac:dyDescent="0.25"/>
    <row r="758" ht="12.75" customHeight="1" x14ac:dyDescent="0.25"/>
    <row r="759" ht="12.75" customHeight="1" x14ac:dyDescent="0.25"/>
    <row r="760" ht="12.75" customHeight="1" x14ac:dyDescent="0.25"/>
    <row r="761" ht="12.75" customHeight="1" x14ac:dyDescent="0.25"/>
    <row r="762" ht="12.75" customHeight="1" x14ac:dyDescent="0.25"/>
    <row r="763" ht="12.75" customHeight="1" x14ac:dyDescent="0.25"/>
    <row r="764" ht="12.75" customHeight="1" x14ac:dyDescent="0.25"/>
    <row r="765" ht="12.75" customHeight="1" x14ac:dyDescent="0.25"/>
    <row r="766" ht="12.75" customHeight="1" x14ac:dyDescent="0.25"/>
    <row r="767" ht="12.75" customHeight="1" x14ac:dyDescent="0.25"/>
    <row r="768" ht="12.75" customHeight="1" x14ac:dyDescent="0.25"/>
    <row r="769" ht="12.75" customHeight="1" x14ac:dyDescent="0.25"/>
    <row r="770" ht="12.75" customHeight="1" x14ac:dyDescent="0.25"/>
    <row r="771" ht="12.75" customHeight="1" x14ac:dyDescent="0.25"/>
    <row r="772" ht="12.75" customHeight="1" x14ac:dyDescent="0.25"/>
    <row r="773" ht="12.75" customHeight="1" x14ac:dyDescent="0.25"/>
    <row r="774" ht="12.75" customHeight="1" x14ac:dyDescent="0.25"/>
    <row r="775" ht="12.75" customHeight="1" x14ac:dyDescent="0.25"/>
    <row r="776" ht="12.75" customHeight="1" x14ac:dyDescent="0.25"/>
    <row r="777" ht="12.75" customHeight="1" x14ac:dyDescent="0.25"/>
    <row r="778" ht="12.75" customHeight="1" x14ac:dyDescent="0.25"/>
    <row r="779" ht="12.75" customHeight="1" x14ac:dyDescent="0.25"/>
    <row r="780" ht="12.75" customHeight="1" x14ac:dyDescent="0.25"/>
    <row r="781" ht="12.75" customHeight="1" x14ac:dyDescent="0.25"/>
    <row r="782" ht="12.75" customHeight="1" x14ac:dyDescent="0.25"/>
    <row r="783" ht="12.75" customHeight="1" x14ac:dyDescent="0.25"/>
    <row r="784" ht="12.75" customHeight="1" x14ac:dyDescent="0.25"/>
    <row r="785" ht="12.75" customHeight="1" x14ac:dyDescent="0.25"/>
    <row r="786" ht="12.75" customHeight="1" x14ac:dyDescent="0.25"/>
    <row r="787" ht="12.75" customHeight="1" x14ac:dyDescent="0.25"/>
    <row r="788" ht="12.75" customHeight="1" x14ac:dyDescent="0.25"/>
    <row r="789" ht="12.75" customHeight="1" x14ac:dyDescent="0.25"/>
    <row r="790" ht="12.75" customHeight="1" x14ac:dyDescent="0.25"/>
    <row r="791" ht="12.75" customHeight="1" x14ac:dyDescent="0.25"/>
    <row r="792" ht="12.75" customHeight="1" x14ac:dyDescent="0.25"/>
    <row r="793" ht="12.75" customHeight="1" x14ac:dyDescent="0.25"/>
    <row r="794" ht="12.75" customHeight="1" x14ac:dyDescent="0.25"/>
    <row r="795" ht="12.75" customHeight="1" x14ac:dyDescent="0.25"/>
    <row r="796" ht="12.75" customHeight="1" x14ac:dyDescent="0.25"/>
    <row r="797" ht="12.75" customHeight="1" x14ac:dyDescent="0.25"/>
    <row r="798" ht="12.75" customHeight="1" x14ac:dyDescent="0.25"/>
    <row r="799" ht="12.75" customHeight="1" x14ac:dyDescent="0.25"/>
    <row r="800" ht="12.75" customHeight="1" x14ac:dyDescent="0.25"/>
    <row r="801" ht="12.75" customHeight="1" x14ac:dyDescent="0.25"/>
    <row r="802" ht="12.75" customHeight="1" x14ac:dyDescent="0.25"/>
    <row r="803" ht="12.75" customHeight="1" x14ac:dyDescent="0.25"/>
    <row r="804" ht="12.75" customHeight="1" x14ac:dyDescent="0.25"/>
    <row r="805" ht="12.75" customHeight="1" x14ac:dyDescent="0.25"/>
    <row r="806" ht="12.75" customHeight="1" x14ac:dyDescent="0.25"/>
    <row r="807" ht="12.75" customHeight="1" x14ac:dyDescent="0.25"/>
    <row r="808" ht="12.75" customHeight="1" x14ac:dyDescent="0.25"/>
    <row r="809" ht="12.75" customHeight="1" x14ac:dyDescent="0.25"/>
    <row r="810" ht="12.75" customHeight="1" x14ac:dyDescent="0.25"/>
    <row r="811" ht="12.75" customHeight="1" x14ac:dyDescent="0.25"/>
    <row r="812" ht="12.75" customHeight="1" x14ac:dyDescent="0.25"/>
    <row r="813" ht="12.75" customHeight="1" x14ac:dyDescent="0.25"/>
    <row r="814" ht="12.75" customHeight="1" x14ac:dyDescent="0.25"/>
    <row r="815" ht="12.75" customHeight="1" x14ac:dyDescent="0.25"/>
    <row r="816" ht="12.75" customHeight="1" x14ac:dyDescent="0.25"/>
    <row r="817" ht="12.75" customHeight="1" x14ac:dyDescent="0.25"/>
    <row r="818" ht="12.75" customHeight="1" x14ac:dyDescent="0.25"/>
    <row r="819" ht="12.75" customHeight="1" x14ac:dyDescent="0.25"/>
    <row r="820" ht="12.75" customHeight="1" x14ac:dyDescent="0.25"/>
    <row r="821" ht="12.75" customHeight="1" x14ac:dyDescent="0.25"/>
    <row r="822" ht="12.75" customHeight="1" x14ac:dyDescent="0.25"/>
    <row r="823" ht="12.75" customHeight="1" x14ac:dyDescent="0.25"/>
    <row r="824" ht="12.75" customHeight="1" x14ac:dyDescent="0.25"/>
    <row r="825" ht="12.75" customHeight="1" x14ac:dyDescent="0.25"/>
    <row r="826" ht="12.75" customHeight="1" x14ac:dyDescent="0.25"/>
    <row r="827" ht="12.75" customHeight="1" x14ac:dyDescent="0.25"/>
    <row r="828" ht="12.75" customHeight="1" x14ac:dyDescent="0.25"/>
    <row r="829" ht="12.75" customHeight="1" x14ac:dyDescent="0.25"/>
    <row r="830" ht="12.75" customHeight="1" x14ac:dyDescent="0.25"/>
    <row r="831" ht="12.75" customHeight="1" x14ac:dyDescent="0.25"/>
    <row r="832" ht="12.75" customHeight="1" x14ac:dyDescent="0.25"/>
    <row r="833" ht="12.75" customHeight="1" x14ac:dyDescent="0.25"/>
    <row r="834" ht="12.75" customHeight="1" x14ac:dyDescent="0.25"/>
    <row r="835" ht="12.75" customHeight="1" x14ac:dyDescent="0.25"/>
    <row r="836" ht="12.75" customHeight="1" x14ac:dyDescent="0.25"/>
    <row r="837" ht="12.75" customHeight="1" x14ac:dyDescent="0.25"/>
    <row r="838" ht="12.75" customHeight="1" x14ac:dyDescent="0.25"/>
    <row r="839" ht="12.75" customHeight="1" x14ac:dyDescent="0.25"/>
    <row r="840" ht="12.75" customHeight="1" x14ac:dyDescent="0.25"/>
    <row r="841" ht="12.75" customHeight="1" x14ac:dyDescent="0.25"/>
    <row r="842" ht="12.75" customHeight="1" x14ac:dyDescent="0.25"/>
    <row r="843" ht="12.75" customHeight="1" x14ac:dyDescent="0.25"/>
    <row r="844" ht="12.75" customHeight="1" x14ac:dyDescent="0.25"/>
    <row r="845" ht="12.75" customHeight="1" x14ac:dyDescent="0.25"/>
    <row r="846" ht="12.75" customHeight="1" x14ac:dyDescent="0.25"/>
    <row r="847" ht="12.75" customHeight="1" x14ac:dyDescent="0.25"/>
    <row r="848" ht="12.75" customHeight="1" x14ac:dyDescent="0.25"/>
    <row r="849" ht="12.75" customHeight="1" x14ac:dyDescent="0.25"/>
    <row r="850" ht="12.75" customHeight="1" x14ac:dyDescent="0.25"/>
    <row r="851" ht="12.75" customHeight="1" x14ac:dyDescent="0.25"/>
    <row r="852" ht="12.75" customHeight="1" x14ac:dyDescent="0.25"/>
    <row r="853" ht="12.75" customHeight="1" x14ac:dyDescent="0.25"/>
    <row r="854" ht="12.75" customHeight="1" x14ac:dyDescent="0.25"/>
    <row r="855" ht="12.75" customHeight="1" x14ac:dyDescent="0.25"/>
    <row r="856" ht="12.75" customHeight="1" x14ac:dyDescent="0.25"/>
    <row r="857" ht="12.75" customHeight="1" x14ac:dyDescent="0.25"/>
    <row r="858" ht="12.75" customHeight="1" x14ac:dyDescent="0.25"/>
    <row r="859" ht="12.75" customHeight="1" x14ac:dyDescent="0.25"/>
    <row r="860" ht="12.75" customHeight="1" x14ac:dyDescent="0.25"/>
    <row r="861" ht="12.75" customHeight="1" x14ac:dyDescent="0.25"/>
    <row r="862" ht="12.75" customHeight="1" x14ac:dyDescent="0.25"/>
    <row r="863" ht="12.75" customHeight="1" x14ac:dyDescent="0.25"/>
    <row r="864" ht="12.75" customHeight="1" x14ac:dyDescent="0.25"/>
    <row r="865" ht="12.75" customHeight="1" x14ac:dyDescent="0.25"/>
    <row r="866" ht="12.75" customHeight="1" x14ac:dyDescent="0.25"/>
    <row r="867" ht="12.75" customHeight="1" x14ac:dyDescent="0.25"/>
    <row r="868" ht="12.75" customHeight="1" x14ac:dyDescent="0.25"/>
    <row r="869" ht="12.75" customHeight="1" x14ac:dyDescent="0.25"/>
    <row r="870" ht="12.75" customHeight="1" x14ac:dyDescent="0.25"/>
    <row r="871" ht="12.75" customHeight="1" x14ac:dyDescent="0.25"/>
    <row r="872" ht="12.75" customHeight="1" x14ac:dyDescent="0.25"/>
    <row r="873" ht="12.75" customHeight="1" x14ac:dyDescent="0.25"/>
    <row r="874" ht="12.75" customHeight="1" x14ac:dyDescent="0.25"/>
    <row r="875" ht="12.75" customHeight="1" x14ac:dyDescent="0.25"/>
    <row r="876" ht="12.75" customHeight="1" x14ac:dyDescent="0.25"/>
    <row r="877" ht="12.75" customHeight="1" x14ac:dyDescent="0.25"/>
    <row r="878" ht="12.75" customHeight="1" x14ac:dyDescent="0.25"/>
    <row r="879" ht="12.75" customHeight="1" x14ac:dyDescent="0.25"/>
    <row r="880" ht="12.75" customHeight="1" x14ac:dyDescent="0.25"/>
    <row r="881" ht="12.75" customHeight="1" x14ac:dyDescent="0.25"/>
    <row r="882" ht="12.75" customHeight="1" x14ac:dyDescent="0.25"/>
    <row r="883" ht="12.75" customHeight="1" x14ac:dyDescent="0.25"/>
    <row r="884" ht="12.75" customHeight="1" x14ac:dyDescent="0.25"/>
    <row r="885" ht="12.75" customHeight="1" x14ac:dyDescent="0.25"/>
    <row r="886" ht="12.75" customHeight="1" x14ac:dyDescent="0.25"/>
    <row r="887" ht="12.75" customHeight="1" x14ac:dyDescent="0.25"/>
    <row r="888" ht="12.75" customHeight="1" x14ac:dyDescent="0.25"/>
    <row r="889" ht="12.75" customHeight="1" x14ac:dyDescent="0.25"/>
    <row r="890" ht="12.75" customHeight="1" x14ac:dyDescent="0.25"/>
    <row r="891" ht="12.75" customHeight="1" x14ac:dyDescent="0.25"/>
    <row r="892" ht="12.75" customHeight="1" x14ac:dyDescent="0.25"/>
    <row r="893" ht="12.75" customHeight="1" x14ac:dyDescent="0.25"/>
    <row r="894" ht="12.75" customHeight="1" x14ac:dyDescent="0.25"/>
    <row r="895" ht="12.75" customHeight="1" x14ac:dyDescent="0.25"/>
    <row r="896" ht="12.75" customHeight="1" x14ac:dyDescent="0.25"/>
    <row r="897" ht="12.75" customHeight="1" x14ac:dyDescent="0.25"/>
    <row r="898" ht="12.75" customHeight="1" x14ac:dyDescent="0.25"/>
    <row r="899" ht="12.75" customHeight="1" x14ac:dyDescent="0.25"/>
    <row r="900" ht="12.75" customHeight="1" x14ac:dyDescent="0.25"/>
    <row r="901" ht="12.75" customHeight="1" x14ac:dyDescent="0.25"/>
    <row r="902" ht="12.75" customHeight="1" x14ac:dyDescent="0.25"/>
    <row r="903" ht="12.75" customHeight="1" x14ac:dyDescent="0.25"/>
    <row r="904" ht="12.75" customHeight="1" x14ac:dyDescent="0.25"/>
    <row r="905" ht="12.75" customHeight="1" x14ac:dyDescent="0.25"/>
    <row r="906" ht="12.75" customHeight="1" x14ac:dyDescent="0.25"/>
    <row r="907" ht="12.75" customHeight="1" x14ac:dyDescent="0.25"/>
    <row r="908" ht="12.75" customHeight="1" x14ac:dyDescent="0.25"/>
    <row r="909" ht="12.75" customHeight="1" x14ac:dyDescent="0.25"/>
    <row r="910" ht="12.75" customHeight="1" x14ac:dyDescent="0.25"/>
    <row r="911" ht="12.75" customHeight="1" x14ac:dyDescent="0.25"/>
    <row r="912" ht="12.75" customHeight="1" x14ac:dyDescent="0.25"/>
    <row r="913" ht="12.75" customHeight="1" x14ac:dyDescent="0.25"/>
    <row r="914" ht="12.75" customHeight="1" x14ac:dyDescent="0.25"/>
    <row r="915" ht="12.75" customHeight="1" x14ac:dyDescent="0.25"/>
    <row r="916" ht="12.75" customHeight="1" x14ac:dyDescent="0.25"/>
  </sheetData>
  <mergeCells count="26">
    <mergeCell ref="AB132:AC132"/>
    <mergeCell ref="AB96:AC96"/>
    <mergeCell ref="B113:N113"/>
    <mergeCell ref="P113:AA113"/>
    <mergeCell ref="AB114:AC114"/>
    <mergeCell ref="B131:N131"/>
    <mergeCell ref="P131:AA131"/>
    <mergeCell ref="B95:N95"/>
    <mergeCell ref="P95:AA95"/>
    <mergeCell ref="AB22:AC22"/>
    <mergeCell ref="B39:N39"/>
    <mergeCell ref="P39:AA39"/>
    <mergeCell ref="AB40:AC40"/>
    <mergeCell ref="B57:N57"/>
    <mergeCell ref="P57:AA57"/>
    <mergeCell ref="AB58:AC58"/>
    <mergeCell ref="A74:F74"/>
    <mergeCell ref="B77:N77"/>
    <mergeCell ref="P77:AA77"/>
    <mergeCell ref="AB78:AC78"/>
    <mergeCell ref="A1:F1"/>
    <mergeCell ref="B3:N3"/>
    <mergeCell ref="P3:AA3"/>
    <mergeCell ref="AB4:AC4"/>
    <mergeCell ref="B21:N21"/>
    <mergeCell ref="P21:AA21"/>
  </mergeCells>
  <conditionalFormatting sqref="Q5:AA15">
    <cfRule type="dataBar" priority="15">
      <dataBar>
        <cfvo type="min"/>
        <cfvo type="max"/>
        <color rgb="FFFFB628"/>
      </dataBar>
      <extLst>
        <ext xmlns:x14="http://schemas.microsoft.com/office/spreadsheetml/2009/9/main" uri="{B025F937-C7B1-47D3-B67F-A62EFF666E3E}">
          <x14:id>{0C8DF1D9-BDB0-4E17-A136-0ABEB396D605}</x14:id>
        </ext>
      </extLst>
    </cfRule>
    <cfRule type="dataBar" priority="16">
      <dataBar>
        <cfvo type="min"/>
        <cfvo type="max"/>
        <color rgb="FFFF555A"/>
      </dataBar>
      <extLst>
        <ext xmlns:x14="http://schemas.microsoft.com/office/spreadsheetml/2009/9/main" uri="{B025F937-C7B1-47D3-B67F-A62EFF666E3E}">
          <x14:id>{333ED2EA-1646-4992-9CB9-0A8C279BB4F2}</x14:id>
        </ext>
      </extLst>
    </cfRule>
  </conditionalFormatting>
  <conditionalFormatting sqref="Q23:AA33">
    <cfRule type="dataBar" priority="13">
      <dataBar>
        <cfvo type="min"/>
        <cfvo type="max"/>
        <color rgb="FFFFB628"/>
      </dataBar>
      <extLst>
        <ext xmlns:x14="http://schemas.microsoft.com/office/spreadsheetml/2009/9/main" uri="{B025F937-C7B1-47D3-B67F-A62EFF666E3E}">
          <x14:id>{26D854F5-4C82-4227-AE08-BB863CC54295}</x14:id>
        </ext>
      </extLst>
    </cfRule>
    <cfRule type="dataBar" priority="14">
      <dataBar>
        <cfvo type="min"/>
        <cfvo type="max"/>
        <color rgb="FFFF555A"/>
      </dataBar>
      <extLst>
        <ext xmlns:x14="http://schemas.microsoft.com/office/spreadsheetml/2009/9/main" uri="{B025F937-C7B1-47D3-B67F-A62EFF666E3E}">
          <x14:id>{B5E679C9-F12E-4A50-989B-3354D98C2A0C}</x14:id>
        </ext>
      </extLst>
    </cfRule>
  </conditionalFormatting>
  <conditionalFormatting sqref="Q41:AA51">
    <cfRule type="dataBar" priority="11">
      <dataBar>
        <cfvo type="min"/>
        <cfvo type="max"/>
        <color rgb="FFFFB628"/>
      </dataBar>
      <extLst>
        <ext xmlns:x14="http://schemas.microsoft.com/office/spreadsheetml/2009/9/main" uri="{B025F937-C7B1-47D3-B67F-A62EFF666E3E}">
          <x14:id>{2E9913B0-EA7D-425B-9B15-773988F64997}</x14:id>
        </ext>
      </extLst>
    </cfRule>
    <cfRule type="dataBar" priority="12">
      <dataBar>
        <cfvo type="min"/>
        <cfvo type="max"/>
        <color rgb="FFFF555A"/>
      </dataBar>
      <extLst>
        <ext xmlns:x14="http://schemas.microsoft.com/office/spreadsheetml/2009/9/main" uri="{B025F937-C7B1-47D3-B67F-A62EFF666E3E}">
          <x14:id>{84F7C03C-E427-43C0-A12F-079F455ECE77}</x14:id>
        </ext>
      </extLst>
    </cfRule>
  </conditionalFormatting>
  <conditionalFormatting sqref="Q59:AA69">
    <cfRule type="dataBar" priority="9">
      <dataBar>
        <cfvo type="min"/>
        <cfvo type="max"/>
        <color rgb="FFFFB628"/>
      </dataBar>
      <extLst>
        <ext xmlns:x14="http://schemas.microsoft.com/office/spreadsheetml/2009/9/main" uri="{B025F937-C7B1-47D3-B67F-A62EFF666E3E}">
          <x14:id>{ACA00BD8-7026-47ED-948E-DBC4B3A10604}</x14:id>
        </ext>
      </extLst>
    </cfRule>
    <cfRule type="dataBar" priority="10">
      <dataBar>
        <cfvo type="min"/>
        <cfvo type="max"/>
        <color rgb="FFFF555A"/>
      </dataBar>
      <extLst>
        <ext xmlns:x14="http://schemas.microsoft.com/office/spreadsheetml/2009/9/main" uri="{B025F937-C7B1-47D3-B67F-A62EFF666E3E}">
          <x14:id>{BFA24835-0EB0-44BE-B690-60352B936DE9}</x14:id>
        </ext>
      </extLst>
    </cfRule>
  </conditionalFormatting>
  <conditionalFormatting sqref="Q79:AA89">
    <cfRule type="dataBar" priority="7">
      <dataBar>
        <cfvo type="min"/>
        <cfvo type="max"/>
        <color rgb="FFFFB628"/>
      </dataBar>
      <extLst>
        <ext xmlns:x14="http://schemas.microsoft.com/office/spreadsheetml/2009/9/main" uri="{B025F937-C7B1-47D3-B67F-A62EFF666E3E}">
          <x14:id>{53798358-214D-4379-8B9D-A8B037E20D8C}</x14:id>
        </ext>
      </extLst>
    </cfRule>
    <cfRule type="dataBar" priority="8">
      <dataBar>
        <cfvo type="min"/>
        <cfvo type="max"/>
        <color rgb="FFFF555A"/>
      </dataBar>
      <extLst>
        <ext xmlns:x14="http://schemas.microsoft.com/office/spreadsheetml/2009/9/main" uri="{B025F937-C7B1-47D3-B67F-A62EFF666E3E}">
          <x14:id>{2CF18C92-392B-4679-B2E0-29AF46C7EBA2}</x14:id>
        </ext>
      </extLst>
    </cfRule>
  </conditionalFormatting>
  <conditionalFormatting sqref="Q97:AA107">
    <cfRule type="dataBar" priority="5">
      <dataBar>
        <cfvo type="min"/>
        <cfvo type="max"/>
        <color rgb="FFFFB628"/>
      </dataBar>
      <extLst>
        <ext xmlns:x14="http://schemas.microsoft.com/office/spreadsheetml/2009/9/main" uri="{B025F937-C7B1-47D3-B67F-A62EFF666E3E}">
          <x14:id>{15E42A88-EF65-4360-8CE3-B7BBBE0BDBB9}</x14:id>
        </ext>
      </extLst>
    </cfRule>
    <cfRule type="dataBar" priority="6">
      <dataBar>
        <cfvo type="min"/>
        <cfvo type="max"/>
        <color rgb="FFFF555A"/>
      </dataBar>
      <extLst>
        <ext xmlns:x14="http://schemas.microsoft.com/office/spreadsheetml/2009/9/main" uri="{B025F937-C7B1-47D3-B67F-A62EFF666E3E}">
          <x14:id>{0B3C80CF-41C6-41DE-A56F-9E0BAD5BB175}</x14:id>
        </ext>
      </extLst>
    </cfRule>
  </conditionalFormatting>
  <conditionalFormatting sqref="Q115:AA125">
    <cfRule type="dataBar" priority="3">
      <dataBar>
        <cfvo type="min"/>
        <cfvo type="max"/>
        <color rgb="FFFFB628"/>
      </dataBar>
      <extLst>
        <ext xmlns:x14="http://schemas.microsoft.com/office/spreadsheetml/2009/9/main" uri="{B025F937-C7B1-47D3-B67F-A62EFF666E3E}">
          <x14:id>{7A9051E6-ED77-47C8-BDAA-FA6C5EA245DC}</x14:id>
        </ext>
      </extLst>
    </cfRule>
    <cfRule type="dataBar" priority="4">
      <dataBar>
        <cfvo type="min"/>
        <cfvo type="max"/>
        <color rgb="FFFF555A"/>
      </dataBar>
      <extLst>
        <ext xmlns:x14="http://schemas.microsoft.com/office/spreadsheetml/2009/9/main" uri="{B025F937-C7B1-47D3-B67F-A62EFF666E3E}">
          <x14:id>{B1A08988-1175-47C7-84FD-3A6CAEF1D914}</x14:id>
        </ext>
      </extLst>
    </cfRule>
  </conditionalFormatting>
  <conditionalFormatting sqref="Q133:AA143">
    <cfRule type="dataBar" priority="1">
      <dataBar>
        <cfvo type="min"/>
        <cfvo type="max"/>
        <color rgb="FFFFB628"/>
      </dataBar>
      <extLst>
        <ext xmlns:x14="http://schemas.microsoft.com/office/spreadsheetml/2009/9/main" uri="{B025F937-C7B1-47D3-B67F-A62EFF666E3E}">
          <x14:id>{9FA93F05-5C32-451D-8900-A8CC07E68505}</x14:id>
        </ext>
      </extLst>
    </cfRule>
    <cfRule type="dataBar" priority="2">
      <dataBar>
        <cfvo type="min"/>
        <cfvo type="max"/>
        <color rgb="FFFF555A"/>
      </dataBar>
      <extLst>
        <ext xmlns:x14="http://schemas.microsoft.com/office/spreadsheetml/2009/9/main" uri="{B025F937-C7B1-47D3-B67F-A62EFF666E3E}">
          <x14:id>{A7C091C2-88A8-402C-BF6A-3606BCE3C352}</x14:id>
        </ext>
      </extLst>
    </cfRule>
  </conditionalFormatting>
  <pageMargins left="0.7" right="0.7" top="0.75" bottom="0.75" header="0" footer="0"/>
  <pageSetup paperSize="9" orientation="portrait" r:id="rId1"/>
  <tableParts count="8">
    <tablePart r:id="rId2"/>
    <tablePart r:id="rId3"/>
    <tablePart r:id="rId4"/>
    <tablePart r:id="rId5"/>
    <tablePart r:id="rId6"/>
    <tablePart r:id="rId7"/>
    <tablePart r:id="rId8"/>
    <tablePart r:id="rId9"/>
  </tableParts>
  <extLst>
    <ext xmlns:x14="http://schemas.microsoft.com/office/spreadsheetml/2009/9/main" uri="{78C0D931-6437-407d-A8EE-F0AAD7539E65}">
      <x14:conditionalFormattings>
        <x14:conditionalFormatting xmlns:xm="http://schemas.microsoft.com/office/excel/2006/main">
          <x14:cfRule type="dataBar" id="{0C8DF1D9-BDB0-4E17-A136-0ABEB396D605}">
            <x14:dataBar minLength="0" maxLength="100" gradient="0">
              <x14:cfvo type="autoMin"/>
              <x14:cfvo type="autoMax"/>
              <x14:negativeFillColor rgb="FFFF0000"/>
              <x14:axisColor rgb="FF000000"/>
            </x14:dataBar>
          </x14:cfRule>
          <x14:cfRule type="dataBar" id="{333ED2EA-1646-4992-9CB9-0A8C279BB4F2}">
            <x14:dataBar minLength="0" maxLength="100" border="1" negativeBarBorderColorSameAsPositive="0">
              <x14:cfvo type="autoMin"/>
              <x14:cfvo type="autoMax"/>
              <x14:borderColor rgb="FFFF555A"/>
              <x14:negativeFillColor rgb="FFFF0000"/>
              <x14:negativeBorderColor rgb="FFFF0000"/>
              <x14:axisColor rgb="FF000000"/>
            </x14:dataBar>
          </x14:cfRule>
          <xm:sqref>Q5:AA15</xm:sqref>
        </x14:conditionalFormatting>
        <x14:conditionalFormatting xmlns:xm="http://schemas.microsoft.com/office/excel/2006/main">
          <x14:cfRule type="dataBar" id="{26D854F5-4C82-4227-AE08-BB863CC54295}">
            <x14:dataBar minLength="0" maxLength="100" gradient="0">
              <x14:cfvo type="autoMin"/>
              <x14:cfvo type="autoMax"/>
              <x14:negativeFillColor rgb="FFFF0000"/>
              <x14:axisColor rgb="FF000000"/>
            </x14:dataBar>
          </x14:cfRule>
          <x14:cfRule type="dataBar" id="{B5E679C9-F12E-4A50-989B-3354D98C2A0C}">
            <x14:dataBar minLength="0" maxLength="100" border="1" negativeBarBorderColorSameAsPositive="0">
              <x14:cfvo type="autoMin"/>
              <x14:cfvo type="autoMax"/>
              <x14:borderColor rgb="FFFF555A"/>
              <x14:negativeFillColor rgb="FFFF0000"/>
              <x14:negativeBorderColor rgb="FFFF0000"/>
              <x14:axisColor rgb="FF000000"/>
            </x14:dataBar>
          </x14:cfRule>
          <xm:sqref>Q23:AA33</xm:sqref>
        </x14:conditionalFormatting>
        <x14:conditionalFormatting xmlns:xm="http://schemas.microsoft.com/office/excel/2006/main">
          <x14:cfRule type="dataBar" id="{2E9913B0-EA7D-425B-9B15-773988F64997}">
            <x14:dataBar minLength="0" maxLength="100" gradient="0">
              <x14:cfvo type="autoMin"/>
              <x14:cfvo type="autoMax"/>
              <x14:negativeFillColor rgb="FFFF0000"/>
              <x14:axisColor rgb="FF000000"/>
            </x14:dataBar>
          </x14:cfRule>
          <x14:cfRule type="dataBar" id="{84F7C03C-E427-43C0-A12F-079F455ECE77}">
            <x14:dataBar minLength="0" maxLength="100" border="1" negativeBarBorderColorSameAsPositive="0">
              <x14:cfvo type="autoMin"/>
              <x14:cfvo type="autoMax"/>
              <x14:borderColor rgb="FFFF555A"/>
              <x14:negativeFillColor rgb="FFFF0000"/>
              <x14:negativeBorderColor rgb="FFFF0000"/>
              <x14:axisColor rgb="FF000000"/>
            </x14:dataBar>
          </x14:cfRule>
          <xm:sqref>Q41:AA51</xm:sqref>
        </x14:conditionalFormatting>
        <x14:conditionalFormatting xmlns:xm="http://schemas.microsoft.com/office/excel/2006/main">
          <x14:cfRule type="dataBar" id="{ACA00BD8-7026-47ED-948E-DBC4B3A10604}">
            <x14:dataBar minLength="0" maxLength="100" gradient="0">
              <x14:cfvo type="autoMin"/>
              <x14:cfvo type="autoMax"/>
              <x14:negativeFillColor rgb="FFFF0000"/>
              <x14:axisColor rgb="FF000000"/>
            </x14:dataBar>
          </x14:cfRule>
          <x14:cfRule type="dataBar" id="{BFA24835-0EB0-44BE-B690-60352B936DE9}">
            <x14:dataBar minLength="0" maxLength="100" border="1" negativeBarBorderColorSameAsPositive="0">
              <x14:cfvo type="autoMin"/>
              <x14:cfvo type="autoMax"/>
              <x14:borderColor rgb="FFFF555A"/>
              <x14:negativeFillColor rgb="FFFF0000"/>
              <x14:negativeBorderColor rgb="FFFF0000"/>
              <x14:axisColor rgb="FF000000"/>
            </x14:dataBar>
          </x14:cfRule>
          <xm:sqref>Q59:AA69</xm:sqref>
        </x14:conditionalFormatting>
        <x14:conditionalFormatting xmlns:xm="http://schemas.microsoft.com/office/excel/2006/main">
          <x14:cfRule type="dataBar" id="{53798358-214D-4379-8B9D-A8B037E20D8C}">
            <x14:dataBar minLength="0" maxLength="100" gradient="0">
              <x14:cfvo type="autoMin"/>
              <x14:cfvo type="autoMax"/>
              <x14:negativeFillColor rgb="FFFF0000"/>
              <x14:axisColor rgb="FF000000"/>
            </x14:dataBar>
          </x14:cfRule>
          <x14:cfRule type="dataBar" id="{2CF18C92-392B-4679-B2E0-29AF46C7EBA2}">
            <x14:dataBar minLength="0" maxLength="100" border="1" negativeBarBorderColorSameAsPositive="0">
              <x14:cfvo type="autoMin"/>
              <x14:cfvo type="autoMax"/>
              <x14:borderColor rgb="FFFF555A"/>
              <x14:negativeFillColor rgb="FFFF0000"/>
              <x14:negativeBorderColor rgb="FFFF0000"/>
              <x14:axisColor rgb="FF000000"/>
            </x14:dataBar>
          </x14:cfRule>
          <xm:sqref>Q79:AA89</xm:sqref>
        </x14:conditionalFormatting>
        <x14:conditionalFormatting xmlns:xm="http://schemas.microsoft.com/office/excel/2006/main">
          <x14:cfRule type="dataBar" id="{15E42A88-EF65-4360-8CE3-B7BBBE0BDBB9}">
            <x14:dataBar minLength="0" maxLength="100" gradient="0">
              <x14:cfvo type="autoMin"/>
              <x14:cfvo type="autoMax"/>
              <x14:negativeFillColor rgb="FFFF0000"/>
              <x14:axisColor rgb="FF000000"/>
            </x14:dataBar>
          </x14:cfRule>
          <x14:cfRule type="dataBar" id="{0B3C80CF-41C6-41DE-A56F-9E0BAD5BB175}">
            <x14:dataBar minLength="0" maxLength="100" border="1" negativeBarBorderColorSameAsPositive="0">
              <x14:cfvo type="autoMin"/>
              <x14:cfvo type="autoMax"/>
              <x14:borderColor rgb="FFFF555A"/>
              <x14:negativeFillColor rgb="FFFF0000"/>
              <x14:negativeBorderColor rgb="FFFF0000"/>
              <x14:axisColor rgb="FF000000"/>
            </x14:dataBar>
          </x14:cfRule>
          <xm:sqref>Q97:AA107</xm:sqref>
        </x14:conditionalFormatting>
        <x14:conditionalFormatting xmlns:xm="http://schemas.microsoft.com/office/excel/2006/main">
          <x14:cfRule type="dataBar" id="{7A9051E6-ED77-47C8-BDAA-FA6C5EA245DC}">
            <x14:dataBar minLength="0" maxLength="100" gradient="0">
              <x14:cfvo type="autoMin"/>
              <x14:cfvo type="autoMax"/>
              <x14:negativeFillColor rgb="FFFF0000"/>
              <x14:axisColor rgb="FF000000"/>
            </x14:dataBar>
          </x14:cfRule>
          <x14:cfRule type="dataBar" id="{B1A08988-1175-47C7-84FD-3A6CAEF1D914}">
            <x14:dataBar minLength="0" maxLength="100" border="1" negativeBarBorderColorSameAsPositive="0">
              <x14:cfvo type="autoMin"/>
              <x14:cfvo type="autoMax"/>
              <x14:borderColor rgb="FFFF555A"/>
              <x14:negativeFillColor rgb="FFFF0000"/>
              <x14:negativeBorderColor rgb="FFFF0000"/>
              <x14:axisColor rgb="FF000000"/>
            </x14:dataBar>
          </x14:cfRule>
          <xm:sqref>Q115:AA125</xm:sqref>
        </x14:conditionalFormatting>
        <x14:conditionalFormatting xmlns:xm="http://schemas.microsoft.com/office/excel/2006/main">
          <x14:cfRule type="dataBar" id="{9FA93F05-5C32-451D-8900-A8CC07E68505}">
            <x14:dataBar minLength="0" maxLength="100" gradient="0">
              <x14:cfvo type="autoMin"/>
              <x14:cfvo type="autoMax"/>
              <x14:negativeFillColor rgb="FFFF0000"/>
              <x14:axisColor rgb="FF000000"/>
            </x14:dataBar>
          </x14:cfRule>
          <x14:cfRule type="dataBar" id="{A7C091C2-88A8-402C-BF6A-3606BCE3C352}">
            <x14:dataBar minLength="0" maxLength="100" border="1" negativeBarBorderColorSameAsPositive="0">
              <x14:cfvo type="autoMin"/>
              <x14:cfvo type="autoMax"/>
              <x14:borderColor rgb="FFFF555A"/>
              <x14:negativeFillColor rgb="FFFF0000"/>
              <x14:negativeBorderColor rgb="FFFF0000"/>
              <x14:axisColor rgb="FF000000"/>
            </x14:dataBar>
          </x14:cfRule>
          <xm:sqref>Q133:AA143</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DA70CB-8366-4AAF-A8D2-96C1627FED7B}">
  <dimension ref="A1:AE916"/>
  <sheetViews>
    <sheetView showGridLines="0" zoomScale="65" zoomScaleNormal="40" workbookViewId="0">
      <selection activeCell="H19" sqref="H19"/>
    </sheetView>
  </sheetViews>
  <sheetFormatPr defaultColWidth="12.6640625" defaultRowHeight="15" customHeight="1" x14ac:dyDescent="0.25"/>
  <cols>
    <col min="1" max="1" width="8.6640625" style="2" customWidth="1"/>
    <col min="2" max="2" width="12.6640625" style="2" customWidth="1"/>
    <col min="3" max="3" width="38.44140625" style="2" bestFit="1" customWidth="1"/>
    <col min="4" max="4" width="9.88671875" style="2" bestFit="1" customWidth="1"/>
    <col min="5" max="6" width="8.77734375" style="2" bestFit="1" customWidth="1"/>
    <col min="7" max="7" width="9" style="2" bestFit="1" customWidth="1"/>
    <col min="8" max="8" width="10.5546875" style="2" bestFit="1" customWidth="1"/>
    <col min="9" max="9" width="9" style="2" bestFit="1" customWidth="1"/>
    <col min="10" max="10" width="9.88671875" style="2" bestFit="1" customWidth="1"/>
    <col min="11" max="11" width="10.5546875" style="2" customWidth="1"/>
    <col min="12" max="13" width="11.21875" style="2" bestFit="1" customWidth="1"/>
    <col min="14" max="14" width="9.6640625" style="2" bestFit="1" customWidth="1"/>
    <col min="15" max="15" width="8.6640625" style="2" customWidth="1"/>
    <col min="16" max="16" width="14.6640625" style="2" bestFit="1" customWidth="1"/>
    <col min="17" max="17" width="10" style="2" bestFit="1" customWidth="1"/>
    <col min="18" max="18" width="8.6640625" style="2" customWidth="1"/>
    <col min="19" max="19" width="7.33203125" style="2" bestFit="1" customWidth="1"/>
    <col min="20" max="20" width="8.33203125" style="2" bestFit="1" customWidth="1"/>
    <col min="21" max="21" width="10" style="2" bestFit="1" customWidth="1"/>
    <col min="22" max="22" width="8" style="2" customWidth="1"/>
    <col min="23" max="23" width="9.6640625" style="2" bestFit="1" customWidth="1"/>
    <col min="24" max="24" width="10.5546875" style="2" bestFit="1" customWidth="1"/>
    <col min="25" max="25" width="11.21875" style="2" bestFit="1" customWidth="1"/>
    <col min="26" max="26" width="11.109375" style="2" bestFit="1" customWidth="1"/>
    <col min="27" max="27" width="9.5546875" style="2" bestFit="1" customWidth="1"/>
    <col min="28" max="16384" width="12.6640625" style="2"/>
  </cols>
  <sheetData>
    <row r="1" spans="1:31" ht="25.05" customHeight="1" x14ac:dyDescent="0.25">
      <c r="A1" s="252" t="s">
        <v>81</v>
      </c>
      <c r="B1" s="252"/>
      <c r="C1" s="252"/>
      <c r="D1" s="252"/>
      <c r="E1" s="252"/>
      <c r="F1" s="252"/>
    </row>
    <row r="2" spans="1:31" ht="15" customHeight="1" x14ac:dyDescent="0.25">
      <c r="B2" s="5"/>
      <c r="C2" s="5"/>
      <c r="D2" s="5"/>
      <c r="E2" s="5"/>
      <c r="F2" s="5"/>
      <c r="G2" s="5"/>
      <c r="H2" s="5"/>
      <c r="I2" s="5"/>
      <c r="J2" s="5"/>
      <c r="K2" s="5"/>
      <c r="L2" s="5"/>
      <c r="M2" s="5"/>
      <c r="N2" s="5"/>
      <c r="O2" s="5"/>
      <c r="P2" s="5"/>
      <c r="Q2" s="5"/>
      <c r="R2" s="5"/>
      <c r="S2" s="5"/>
      <c r="T2" s="5"/>
      <c r="U2" s="5"/>
      <c r="V2" s="5"/>
      <c r="W2" s="5"/>
      <c r="X2" s="5"/>
      <c r="Y2" s="5"/>
      <c r="Z2" s="5"/>
      <c r="AA2" s="5"/>
    </row>
    <row r="3" spans="1:31" ht="15" customHeight="1" thickBot="1" x14ac:dyDescent="0.3">
      <c r="B3" s="253" t="s">
        <v>71</v>
      </c>
      <c r="C3" s="253"/>
      <c r="D3" s="253"/>
      <c r="E3" s="253"/>
      <c r="F3" s="253"/>
      <c r="G3" s="253"/>
      <c r="H3" s="253"/>
      <c r="I3" s="253"/>
      <c r="J3" s="253"/>
      <c r="K3" s="253"/>
      <c r="L3" s="253"/>
      <c r="M3" s="253"/>
      <c r="N3" s="253"/>
      <c r="P3" s="253" t="s">
        <v>76</v>
      </c>
      <c r="Q3" s="253"/>
      <c r="R3" s="253"/>
      <c r="S3" s="253"/>
      <c r="T3" s="253"/>
      <c r="U3" s="253"/>
      <c r="V3" s="253"/>
      <c r="W3" s="253"/>
      <c r="X3" s="253"/>
      <c r="Y3" s="253"/>
      <c r="Z3" s="253"/>
      <c r="AA3" s="253"/>
      <c r="AB3" s="10"/>
      <c r="AC3" s="3" t="s">
        <v>22</v>
      </c>
      <c r="AD3" s="13" t="s">
        <v>23</v>
      </c>
      <c r="AE3" s="15">
        <f t="array" ref="AE3">MIN(IF(D6:N16&gt;0,D6:N16))</f>
        <v>0.19233543107757711</v>
      </c>
    </row>
    <row r="4" spans="1:31" ht="15" customHeight="1" thickBot="1" x14ac:dyDescent="0.3">
      <c r="B4" s="75" t="s">
        <v>13</v>
      </c>
      <c r="C4" s="66" t="s">
        <v>14</v>
      </c>
      <c r="D4" s="67" t="s">
        <v>1</v>
      </c>
      <c r="E4" s="67" t="s">
        <v>195</v>
      </c>
      <c r="F4" s="67" t="s">
        <v>2</v>
      </c>
      <c r="G4" s="67" t="s">
        <v>3</v>
      </c>
      <c r="H4" s="67" t="s">
        <v>4</v>
      </c>
      <c r="I4" s="67" t="s">
        <v>5</v>
      </c>
      <c r="J4" s="67" t="s">
        <v>6</v>
      </c>
      <c r="K4" s="67" t="s">
        <v>7</v>
      </c>
      <c r="L4" s="67" t="s">
        <v>295</v>
      </c>
      <c r="M4" s="67" t="s">
        <v>9</v>
      </c>
      <c r="N4" s="67" t="s">
        <v>10</v>
      </c>
      <c r="P4" s="76" t="s">
        <v>19</v>
      </c>
      <c r="Q4" s="77" t="s">
        <v>1</v>
      </c>
      <c r="R4" s="77" t="s">
        <v>195</v>
      </c>
      <c r="S4" s="77" t="s">
        <v>2</v>
      </c>
      <c r="T4" s="77" t="s">
        <v>3</v>
      </c>
      <c r="U4" s="77" t="s">
        <v>4</v>
      </c>
      <c r="V4" s="77" t="s">
        <v>5</v>
      </c>
      <c r="W4" s="77" t="s">
        <v>6</v>
      </c>
      <c r="X4" s="77" t="s">
        <v>7</v>
      </c>
      <c r="Y4" s="77" t="s">
        <v>295</v>
      </c>
      <c r="Z4" s="77" t="s">
        <v>9</v>
      </c>
      <c r="AA4" s="77" t="s">
        <v>10</v>
      </c>
      <c r="AB4" s="254" t="s">
        <v>26</v>
      </c>
      <c r="AC4" s="254"/>
      <c r="AD4" s="13" t="s">
        <v>24</v>
      </c>
      <c r="AE4" s="20">
        <f>MAX(D6:N16)</f>
        <v>651.70334205597783</v>
      </c>
    </row>
    <row r="5" spans="1:31" ht="15.6" customHeight="1" x14ac:dyDescent="0.25">
      <c r="B5" s="93"/>
      <c r="C5" s="94" t="s">
        <v>69</v>
      </c>
      <c r="D5" s="95">
        <f>C6</f>
        <v>-14.390118637098917</v>
      </c>
      <c r="E5" s="95">
        <f>C7</f>
        <v>-24.33465561626986</v>
      </c>
      <c r="F5" s="95">
        <f>C8</f>
        <v>-1.193521936755283</v>
      </c>
      <c r="G5" s="95">
        <f>C9</f>
        <v>-14.19778320602134</v>
      </c>
      <c r="H5" s="95">
        <f>C10</f>
        <v>-460.11707029149767</v>
      </c>
      <c r="I5" s="95">
        <f>C11</f>
        <v>-70.348493060278969</v>
      </c>
      <c r="J5" s="95">
        <f>C12</f>
        <v>-19.816355572223742</v>
      </c>
      <c r="K5" s="95">
        <f>C13</f>
        <v>-394.46983617925207</v>
      </c>
      <c r="L5" s="95">
        <f>C14</f>
        <v>-652.89686399273307</v>
      </c>
      <c r="M5" s="95">
        <f>C15</f>
        <v>-126.86376364854696</v>
      </c>
      <c r="N5" s="95">
        <f>C16</f>
        <v>-293.32738557301025</v>
      </c>
      <c r="P5" s="21" t="s">
        <v>1</v>
      </c>
      <c r="Q5" s="97">
        <f t="shared" ref="Q5:AA15" si="0">$AE$5+(D6-$AE$3)*($AE$6-$AE$5)/($AE$4-$AE$3)</f>
        <v>7.0508081414943219E-4</v>
      </c>
      <c r="R5" s="97">
        <f t="shared" si="0"/>
        <v>1.59536220378152E-2</v>
      </c>
      <c r="S5" s="97">
        <f t="shared" si="0"/>
        <v>7.0508081414943219E-4</v>
      </c>
      <c r="T5" s="97">
        <f t="shared" si="0"/>
        <v>7.0508081414943219E-4</v>
      </c>
      <c r="U5" s="97">
        <f t="shared" si="0"/>
        <v>0.68416433196247228</v>
      </c>
      <c r="V5" s="97">
        <f t="shared" si="0"/>
        <v>8.6509335048248703E-2</v>
      </c>
      <c r="W5" s="97">
        <f t="shared" si="0"/>
        <v>9.0254478425926959E-3</v>
      </c>
      <c r="X5" s="97">
        <f t="shared" si="0"/>
        <v>0.58350358147435177</v>
      </c>
      <c r="Y5" s="97">
        <f t="shared" si="0"/>
        <v>0.97976488506013304</v>
      </c>
      <c r="Z5" s="97">
        <f t="shared" si="0"/>
        <v>0.17316751080211618</v>
      </c>
      <c r="AA5" s="97">
        <f t="shared" si="0"/>
        <v>0.42841593578886772</v>
      </c>
      <c r="AD5" s="3" t="s">
        <v>25</v>
      </c>
      <c r="AE5" s="2">
        <v>1E-3</v>
      </c>
    </row>
    <row r="6" spans="1:31" ht="15" customHeight="1" x14ac:dyDescent="0.25">
      <c r="B6" s="21" t="s">
        <v>1</v>
      </c>
      <c r="C6" s="95">
        <f>Annual_sorted!M147</f>
        <v>-14.390118637098917</v>
      </c>
      <c r="D6" s="29">
        <f>IF(C6-Table_146310938465462[Burundi]&gt;0, C6-Table_146310938465462[Burundi], 0)</f>
        <v>0</v>
      </c>
      <c r="E6" s="29">
        <f>IF(C6-Table_146310938465462[DRC]&gt;0, C6-Table_146310938465462[DRC], 0)</f>
        <v>9.9445369791709428</v>
      </c>
      <c r="F6" s="29">
        <f>IF(C6-Table_146310938465462[Egypt]&gt;0, C6-Table_146310938465462[Egypt], 0)</f>
        <v>0</v>
      </c>
      <c r="G6" s="29">
        <f>IF(C6-Table_146310938465462[Eritrea]&gt;0, C6-Table_146310938465462[Eritrea], 0)</f>
        <v>0</v>
      </c>
      <c r="H6" s="29">
        <f>IF(C6-Table_146310938465462[Ethiopia]&gt;0, C6-Table_146310938465462[Ethiopia], 0)</f>
        <v>445.72695165439876</v>
      </c>
      <c r="I6" s="29">
        <f>IF(C6-Table_146310938465462[Kenya]&gt;0, C6-Table_146310938465462[Kenya], 0)</f>
        <v>55.958374423180054</v>
      </c>
      <c r="J6" s="29">
        <f>IF(C6-Table_146310938465462[Rwanda]&gt;0, C6-Table_146310938465462[Rwanda], 0)</f>
        <v>5.426236935124825</v>
      </c>
      <c r="K6" s="29">
        <f>IF(C6-Table_146310938465462[Sudan]&gt;0, C6-Table_146310938465462[Sudan], 0)</f>
        <v>380.07971754215316</v>
      </c>
      <c r="L6" s="29">
        <f>IF(C6-Table_146310938465462[S. Sudan]&gt;0, C6-Table_146310938465462[S. Sudan], 0)</f>
        <v>638.50674535563417</v>
      </c>
      <c r="M6" s="29">
        <f>IF(C6-Table_146310938465462[Tanzania]&gt;0, C6-Table_146310938465462[Tanzania], 0)</f>
        <v>112.47364501144804</v>
      </c>
      <c r="N6" s="29">
        <f>IF(C6-Table_146310938465462[Uganda]&gt;0, C6-Table_146310938465462[Uganda], 0)</f>
        <v>278.93726693591134</v>
      </c>
      <c r="P6" s="21" t="s">
        <v>195</v>
      </c>
      <c r="Q6" s="97">
        <f t="shared" si="0"/>
        <v>7.0508081414943219E-4</v>
      </c>
      <c r="R6" s="97">
        <f t="shared" si="0"/>
        <v>7.0508081414943219E-4</v>
      </c>
      <c r="S6" s="97">
        <f t="shared" si="0"/>
        <v>7.0508081414943219E-4</v>
      </c>
      <c r="T6" s="97">
        <f t="shared" si="0"/>
        <v>7.0508081414943219E-4</v>
      </c>
      <c r="U6" s="97">
        <f t="shared" si="0"/>
        <v>0.66891579073880658</v>
      </c>
      <c r="V6" s="97">
        <f t="shared" si="0"/>
        <v>7.1260793824582933E-2</v>
      </c>
      <c r="W6" s="97">
        <f t="shared" si="0"/>
        <v>7.0508081414943219E-4</v>
      </c>
      <c r="X6" s="97">
        <f t="shared" si="0"/>
        <v>0.56825504025068596</v>
      </c>
      <c r="Y6" s="97">
        <f t="shared" si="0"/>
        <v>0.96451634383646712</v>
      </c>
      <c r="Z6" s="97">
        <f t="shared" si="0"/>
        <v>0.15791896957845042</v>
      </c>
      <c r="AA6" s="97">
        <f t="shared" si="0"/>
        <v>0.41316739456520191</v>
      </c>
      <c r="AD6" s="3" t="s">
        <v>70</v>
      </c>
      <c r="AE6" s="2">
        <v>1</v>
      </c>
    </row>
    <row r="7" spans="1:31" ht="15" customHeight="1" x14ac:dyDescent="0.25">
      <c r="B7" s="21" t="s">
        <v>195</v>
      </c>
      <c r="C7" s="95">
        <f>Annual_sorted!M148</f>
        <v>-24.33465561626986</v>
      </c>
      <c r="D7" s="29">
        <f>IF(C7-Table_146310938465462[Burundi]&gt;0, C7-Table_146310938465462[Burundi], 0)</f>
        <v>0</v>
      </c>
      <c r="E7" s="29">
        <f>IF(C7-Table_146310938465462[DRC]&gt;0, C7-Table_146310938465462[DRC], 0)</f>
        <v>0</v>
      </c>
      <c r="F7" s="29">
        <f>IF(C7-Table_146310938465462[Egypt]&gt;0, C7-Table_146310938465462[Egypt], 0)</f>
        <v>0</v>
      </c>
      <c r="G7" s="29">
        <f>IF(C7-Table_146310938465462[Eritrea]&gt;0, C7-Table_146310938465462[Eritrea], 0)</f>
        <v>0</v>
      </c>
      <c r="H7" s="29">
        <f>IF(C7-Table_146310938465462[Ethiopia]&gt;0, C7-Table_146310938465462[Ethiopia], 0)</f>
        <v>435.78241467522781</v>
      </c>
      <c r="I7" s="29">
        <f>IF(C7-Table_146310938465462[Kenya]&gt;0, C7-Table_146310938465462[Kenya], 0)</f>
        <v>46.013837444009113</v>
      </c>
      <c r="J7" s="29">
        <f>IF(C7-Table_146310938465462[Rwanda]&gt;0, C7-Table_146310938465462[Rwanda], 0)</f>
        <v>0</v>
      </c>
      <c r="K7" s="29">
        <f>IF(C7-Table_146310938465462[Sudan]&gt;0, C7-Table_146310938465462[Sudan], 0)</f>
        <v>370.13518056298221</v>
      </c>
      <c r="L7" s="29">
        <f>IF(C7-Table_146310938465462[S. Sudan]&gt;0, C7-Table_146310938465462[S. Sudan], 0)</f>
        <v>628.56220837646322</v>
      </c>
      <c r="M7" s="29">
        <f>IF(C7-Table_146310938465462[Tanzania]&gt;0, C7-Table_146310938465462[Tanzania], 0)</f>
        <v>102.52910803227711</v>
      </c>
      <c r="N7" s="29">
        <f>IF(C7-Table_146310938465462[Uganda]&gt;0, C7-Table_146310938465462[Uganda], 0)</f>
        <v>268.99272995674039</v>
      </c>
      <c r="P7" s="21" t="s">
        <v>2</v>
      </c>
      <c r="Q7" s="97">
        <f t="shared" si="0"/>
        <v>2.0940195754016407E-2</v>
      </c>
      <c r="R7" s="97">
        <f t="shared" si="0"/>
        <v>3.6188736977682177E-2</v>
      </c>
      <c r="S7" s="97">
        <f t="shared" si="0"/>
        <v>7.0508081414943219E-4</v>
      </c>
      <c r="T7" s="97">
        <f t="shared" si="0"/>
        <v>2.0645276568165838E-2</v>
      </c>
      <c r="U7" s="97">
        <f t="shared" si="0"/>
        <v>0.70439944690233924</v>
      </c>
      <c r="V7" s="97">
        <f t="shared" si="0"/>
        <v>0.10674444998811566</v>
      </c>
      <c r="W7" s="97">
        <f t="shared" si="0"/>
        <v>2.926056278245967E-2</v>
      </c>
      <c r="X7" s="97">
        <f t="shared" si="0"/>
        <v>0.60373869641421862</v>
      </c>
      <c r="Y7" s="97">
        <f t="shared" si="0"/>
        <v>1</v>
      </c>
      <c r="Z7" s="97">
        <f t="shared" si="0"/>
        <v>0.19340262574198316</v>
      </c>
      <c r="AA7" s="97">
        <f t="shared" si="0"/>
        <v>0.44865105072873457</v>
      </c>
    </row>
    <row r="8" spans="1:31" ht="15" customHeight="1" x14ac:dyDescent="0.25">
      <c r="B8" s="21" t="s">
        <v>2</v>
      </c>
      <c r="C8" s="95">
        <f>Annual_sorted!M149</f>
        <v>-1.193521936755283</v>
      </c>
      <c r="D8" s="29">
        <f>IF(C8-Table_146310938465462[Burundi]&gt;0, C8-Table_146310938465462[Burundi], 0)</f>
        <v>13.196596700343633</v>
      </c>
      <c r="E8" s="29">
        <f>IF(C8-Table_146310938465462[DRC]&gt;0, C8-Table_146310938465462[DRC], 0)</f>
        <v>23.141133679514578</v>
      </c>
      <c r="F8" s="29">
        <f>IF(C8-Table_146310938465462[Egypt]&gt;0, C8-Table_146310938465462[Egypt], 0)</f>
        <v>0</v>
      </c>
      <c r="G8" s="29">
        <f>IF(C8-Table_146310938465462[Eritrea]&gt;0, C8-Table_146310938465462[Eritrea], 0)</f>
        <v>13.004261269266056</v>
      </c>
      <c r="H8" s="29">
        <f>IF(C8-Table_146310938465462[Ethiopia]&gt;0, C8-Table_146310938465462[Ethiopia], 0)</f>
        <v>458.92354835474237</v>
      </c>
      <c r="I8" s="29">
        <f>IF(C8-Table_146310938465462[Kenya]&gt;0, C8-Table_146310938465462[Kenya], 0)</f>
        <v>69.15497112352368</v>
      </c>
      <c r="J8" s="29">
        <f>IF(C8-Table_146310938465462[Rwanda]&gt;0, C8-Table_146310938465462[Rwanda], 0)</f>
        <v>18.62283363546846</v>
      </c>
      <c r="K8" s="29">
        <f>IF(C8-Table_146310938465462[Sudan]&gt;0, C8-Table_146310938465462[Sudan], 0)</f>
        <v>393.27631424249677</v>
      </c>
      <c r="L8" s="29">
        <f>IF(C8-Table_146310938465462[S. Sudan]&gt;0, C8-Table_146310938465462[S. Sudan], 0)</f>
        <v>651.70334205597783</v>
      </c>
      <c r="M8" s="29">
        <f>IF(C8-Table_146310938465462[Tanzania]&gt;0, C8-Table_146310938465462[Tanzania], 0)</f>
        <v>125.67024171179168</v>
      </c>
      <c r="N8" s="29">
        <f>IF(C8-Table_146310938465462[Uganda]&gt;0, C8-Table_146310938465462[Uganda], 0)</f>
        <v>292.13386363625494</v>
      </c>
      <c r="P8" s="21" t="s">
        <v>3</v>
      </c>
      <c r="Q8" s="97">
        <f t="shared" si="0"/>
        <v>1E-3</v>
      </c>
      <c r="R8" s="97">
        <f t="shared" si="0"/>
        <v>1.6248541223665768E-2</v>
      </c>
      <c r="S8" s="97">
        <f t="shared" si="0"/>
        <v>7.0508081414943219E-4</v>
      </c>
      <c r="T8" s="97">
        <f t="shared" si="0"/>
        <v>7.0508081414943219E-4</v>
      </c>
      <c r="U8" s="97">
        <f t="shared" si="0"/>
        <v>0.68445925114832284</v>
      </c>
      <c r="V8" s="97">
        <f t="shared" si="0"/>
        <v>8.6804254234099265E-2</v>
      </c>
      <c r="W8" s="97">
        <f t="shared" si="0"/>
        <v>9.3203670284432646E-3</v>
      </c>
      <c r="X8" s="97">
        <f t="shared" si="0"/>
        <v>0.58379850066020234</v>
      </c>
      <c r="Y8" s="97">
        <f t="shared" si="0"/>
        <v>0.9800598042459836</v>
      </c>
      <c r="Z8" s="97">
        <f t="shared" si="0"/>
        <v>0.17346242998796674</v>
      </c>
      <c r="AA8" s="97">
        <f t="shared" si="0"/>
        <v>0.42871085497471834</v>
      </c>
    </row>
    <row r="9" spans="1:31" ht="15" customHeight="1" x14ac:dyDescent="0.25">
      <c r="B9" s="21" t="s">
        <v>3</v>
      </c>
      <c r="C9" s="95">
        <f>Annual_sorted!M150</f>
        <v>-14.19778320602134</v>
      </c>
      <c r="D9" s="29">
        <f>IF(C9-Table_146310938465462[Burundi]&gt;0, C9-Table_146310938465462[Burundi], 0)</f>
        <v>0.19233543107757711</v>
      </c>
      <c r="E9" s="29">
        <f>IF(C9-Table_146310938465462[DRC]&gt;0, C9-Table_146310938465462[DRC], 0)</f>
        <v>10.13687241024852</v>
      </c>
      <c r="F9" s="29">
        <f>IF(C9-Table_146310938465462[Egypt]&gt;0, C9-Table_146310938465462[Egypt], 0)</f>
        <v>0</v>
      </c>
      <c r="G9" s="29">
        <f>IF(C9-Table_146310938465462[Eritrea]&gt;0, C9-Table_146310938465462[Eritrea], 0)</f>
        <v>0</v>
      </c>
      <c r="H9" s="29">
        <f>IF(C9-Table_146310938465462[Ethiopia]&gt;0, C9-Table_146310938465462[Ethiopia], 0)</f>
        <v>445.91928708547636</v>
      </c>
      <c r="I9" s="29">
        <f>IF(C9-Table_146310938465462[Kenya]&gt;0, C9-Table_146310938465462[Kenya], 0)</f>
        <v>56.150709854257627</v>
      </c>
      <c r="J9" s="29">
        <f>IF(C9-Table_146310938465462[Rwanda]&gt;0, C9-Table_146310938465462[Rwanda], 0)</f>
        <v>5.6185723662024021</v>
      </c>
      <c r="K9" s="29">
        <f>IF(C9-Table_146310938465462[Sudan]&gt;0, C9-Table_146310938465462[Sudan], 0)</f>
        <v>380.27205297323076</v>
      </c>
      <c r="L9" s="29">
        <f>IF(C9-Table_146310938465462[S. Sudan]&gt;0, C9-Table_146310938465462[S. Sudan], 0)</f>
        <v>638.69908078671176</v>
      </c>
      <c r="M9" s="29">
        <f>IF(C9-Table_146310938465462[Tanzania]&gt;0, C9-Table_146310938465462[Tanzania], 0)</f>
        <v>112.66598044252562</v>
      </c>
      <c r="N9" s="29">
        <f>IF(C9-Table_146310938465462[Uganda]&gt;0, C9-Table_146310938465462[Uganda], 0)</f>
        <v>279.12960236698893</v>
      </c>
      <c r="P9" s="21" t="s">
        <v>4</v>
      </c>
      <c r="Q9" s="97">
        <f t="shared" si="0"/>
        <v>7.0508081414943219E-4</v>
      </c>
      <c r="R9" s="97">
        <f t="shared" si="0"/>
        <v>7.0508081414943219E-4</v>
      </c>
      <c r="S9" s="97">
        <f t="shared" si="0"/>
        <v>7.0508081414943219E-4</v>
      </c>
      <c r="T9" s="97">
        <f t="shared" si="0"/>
        <v>7.0508081414943219E-4</v>
      </c>
      <c r="U9" s="97">
        <f t="shared" si="0"/>
        <v>7.0508081414943219E-4</v>
      </c>
      <c r="V9" s="97">
        <f t="shared" si="0"/>
        <v>7.0508081414943219E-4</v>
      </c>
      <c r="W9" s="97">
        <f t="shared" si="0"/>
        <v>7.0508081414943219E-4</v>
      </c>
      <c r="X9" s="97">
        <f t="shared" si="0"/>
        <v>7.0508081414943219E-4</v>
      </c>
      <c r="Y9" s="97">
        <f t="shared" si="0"/>
        <v>0.29630563391181008</v>
      </c>
      <c r="Z9" s="97">
        <f t="shared" si="0"/>
        <v>7.0508081414943219E-4</v>
      </c>
      <c r="AA9" s="97">
        <f t="shared" si="0"/>
        <v>7.0508081414943219E-4</v>
      </c>
    </row>
    <row r="10" spans="1:31" ht="15" customHeight="1" x14ac:dyDescent="0.25">
      <c r="B10" s="21" t="s">
        <v>4</v>
      </c>
      <c r="C10" s="95">
        <f>Annual_sorted!M151</f>
        <v>-460.11707029149767</v>
      </c>
      <c r="D10" s="29">
        <f>IF(C10-Table_146310938465462[Burundi]&gt;0, C10-Table_146310938465462[Burundi], 0)</f>
        <v>0</v>
      </c>
      <c r="E10" s="29">
        <f>IF(C10-Table_146310938465462[DRC]&gt;0, C10-Table_146310938465462[DRC], 0)</f>
        <v>0</v>
      </c>
      <c r="F10" s="29">
        <f>IF(C10-Table_146310938465462[Egypt]&gt;0, C10-Table_146310938465462[Egypt], 0)</f>
        <v>0</v>
      </c>
      <c r="G10" s="29">
        <f>IF(C10-Table_146310938465462[Eritrea]&gt;0, C10-Table_146310938465462[Eritrea], 0)</f>
        <v>0</v>
      </c>
      <c r="H10" s="29">
        <f>IF(C10-Table_146310938465462[Ethiopia]&gt;0, C10-Table_146310938465462[Ethiopia], 0)</f>
        <v>0</v>
      </c>
      <c r="I10" s="29">
        <f>IF(C10-Table_146310938465462[Kenya]&gt;0, C10-Table_146310938465462[Kenya], 0)</f>
        <v>0</v>
      </c>
      <c r="J10" s="29">
        <f>IF(C10-Table_146310938465462[Rwanda]&gt;0, C10-Table_146310938465462[Rwanda], 0)</f>
        <v>0</v>
      </c>
      <c r="K10" s="29">
        <f>IF(C10-Table_146310938465462[Sudan]&gt;0, C10-Table_146310938465462[Sudan], 0)</f>
        <v>0</v>
      </c>
      <c r="L10" s="29">
        <f>IF(C10-Table_146310938465462[S. Sudan]&gt;0, C10-Table_146310938465462[S. Sudan], 0)</f>
        <v>192.77979370123541</v>
      </c>
      <c r="M10" s="29">
        <f>IF(C10-Table_146310938465462[Tanzania]&gt;0, C10-Table_146310938465462[Tanzania], 0)</f>
        <v>0</v>
      </c>
      <c r="N10" s="29">
        <f>IF(C10-Table_146310938465462[Uganda]&gt;0, C10-Table_146310938465462[Uganda], 0)</f>
        <v>0</v>
      </c>
      <c r="P10" s="21" t="s">
        <v>5</v>
      </c>
      <c r="Q10" s="97">
        <f t="shared" si="0"/>
        <v>7.0508081414943219E-4</v>
      </c>
      <c r="R10" s="97">
        <f t="shared" si="0"/>
        <v>7.0508081414943219E-4</v>
      </c>
      <c r="S10" s="97">
        <f t="shared" si="0"/>
        <v>7.0508081414943219E-4</v>
      </c>
      <c r="T10" s="97">
        <f t="shared" si="0"/>
        <v>7.0508081414943219E-4</v>
      </c>
      <c r="U10" s="97">
        <f t="shared" si="0"/>
        <v>0.59836007772837307</v>
      </c>
      <c r="V10" s="97">
        <f t="shared" si="0"/>
        <v>7.0508081414943219E-4</v>
      </c>
      <c r="W10" s="97">
        <f t="shared" si="0"/>
        <v>7.0508081414943219E-4</v>
      </c>
      <c r="X10" s="97">
        <f t="shared" si="0"/>
        <v>0.4976993272402524</v>
      </c>
      <c r="Y10" s="97">
        <f t="shared" si="0"/>
        <v>0.89396063082603372</v>
      </c>
      <c r="Z10" s="97">
        <f t="shared" si="0"/>
        <v>8.7363256568016912E-2</v>
      </c>
      <c r="AA10" s="97">
        <f t="shared" si="0"/>
        <v>0.34261168155476845</v>
      </c>
    </row>
    <row r="11" spans="1:31" ht="15" customHeight="1" x14ac:dyDescent="0.25">
      <c r="B11" s="21" t="s">
        <v>5</v>
      </c>
      <c r="C11" s="95">
        <f>Annual_sorted!M152</f>
        <v>-70.348493060278969</v>
      </c>
      <c r="D11" s="29">
        <f>IF(C11-Table_146310938465462[Burundi]&gt;0, C11-Table_146310938465462[Burundi], 0)</f>
        <v>0</v>
      </c>
      <c r="E11" s="29">
        <f>IF(C11-Table_146310938465462[DRC]&gt;0, C11-Table_146310938465462[DRC], 0)</f>
        <v>0</v>
      </c>
      <c r="F11" s="29">
        <f>IF(C11-Table_146310938465462[Egypt]&gt;0, C11-Table_146310938465462[Egypt], 0)</f>
        <v>0</v>
      </c>
      <c r="G11" s="29">
        <f>IF(C11-Table_146310938465462[Eritrea]&gt;0, C11-Table_146310938465462[Eritrea], 0)</f>
        <v>0</v>
      </c>
      <c r="H11" s="29">
        <f>IF(C11-Table_146310938465462[Ethiopia]&gt;0, C11-Table_146310938465462[Ethiopia], 0)</f>
        <v>389.76857723121873</v>
      </c>
      <c r="I11" s="29">
        <f>IF(C11-Table_146310938465462[Kenya]&gt;0, C11-Table_146310938465462[Kenya], 0)</f>
        <v>0</v>
      </c>
      <c r="J11" s="29">
        <f>IF(C11-Table_146310938465462[Rwanda]&gt;0, C11-Table_146310938465462[Rwanda], 0)</f>
        <v>0</v>
      </c>
      <c r="K11" s="29">
        <f>IF(C11-Table_146310938465462[Sudan]&gt;0, C11-Table_146310938465462[Sudan], 0)</f>
        <v>324.12134311897307</v>
      </c>
      <c r="L11" s="29">
        <f>IF(C11-Table_146310938465462[S. Sudan]&gt;0, C11-Table_146310938465462[S. Sudan], 0)</f>
        <v>582.54837093245408</v>
      </c>
      <c r="M11" s="29">
        <f>IF(C11-Table_146310938465462[Tanzania]&gt;0, C11-Table_146310938465462[Tanzania], 0)</f>
        <v>56.515270588267995</v>
      </c>
      <c r="N11" s="29">
        <f>IF(C11-Table_146310938465462[Uganda]&gt;0, C11-Table_146310938465462[Uganda], 0)</f>
        <v>222.97889251273128</v>
      </c>
      <c r="P11" s="21" t="s">
        <v>6</v>
      </c>
      <c r="Q11" s="97">
        <f t="shared" si="0"/>
        <v>7.0508081414943219E-4</v>
      </c>
      <c r="R11" s="97">
        <f t="shared" si="0"/>
        <v>7.6332550093719358E-3</v>
      </c>
      <c r="S11" s="97">
        <f t="shared" si="0"/>
        <v>7.0508081414943219E-4</v>
      </c>
      <c r="T11" s="97">
        <f t="shared" si="0"/>
        <v>7.0508081414943219E-4</v>
      </c>
      <c r="U11" s="97">
        <f t="shared" si="0"/>
        <v>0.6758439649340291</v>
      </c>
      <c r="V11" s="97">
        <f t="shared" si="0"/>
        <v>7.8188968019805433E-2</v>
      </c>
      <c r="W11" s="97">
        <f t="shared" si="0"/>
        <v>7.0508081414943219E-4</v>
      </c>
      <c r="X11" s="97">
        <f t="shared" si="0"/>
        <v>0.57518321444590848</v>
      </c>
      <c r="Y11" s="97">
        <f t="shared" si="0"/>
        <v>0.97144451803168974</v>
      </c>
      <c r="Z11" s="97">
        <f t="shared" si="0"/>
        <v>0.16484714377367291</v>
      </c>
      <c r="AA11" s="97">
        <f t="shared" si="0"/>
        <v>0.42009556876042442</v>
      </c>
    </row>
    <row r="12" spans="1:31" ht="15" customHeight="1" x14ac:dyDescent="0.25">
      <c r="B12" s="21" t="s">
        <v>6</v>
      </c>
      <c r="C12" s="95">
        <f>Annual_sorted!M153</f>
        <v>-19.816355572223742</v>
      </c>
      <c r="D12" s="29">
        <f>IF(C12-Table_146310938465462[Burundi]&gt;0, C12-Table_146310938465462[Burundi], 0)</f>
        <v>0</v>
      </c>
      <c r="E12" s="29">
        <f>IF(C12-Table_146310938465462[DRC]&gt;0, C12-Table_146310938465462[DRC], 0)</f>
        <v>4.5183000440461178</v>
      </c>
      <c r="F12" s="29">
        <f>IF(C12-Table_146310938465462[Egypt]&gt;0, C12-Table_146310938465462[Egypt], 0)</f>
        <v>0</v>
      </c>
      <c r="G12" s="29">
        <f>IF(C12-Table_146310938465462[Eritrea]&gt;0, C12-Table_146310938465462[Eritrea], 0)</f>
        <v>0</v>
      </c>
      <c r="H12" s="29">
        <f>IF(C12-Table_146310938465462[Ethiopia]&gt;0, C12-Table_146310938465462[Ethiopia], 0)</f>
        <v>440.30071471927391</v>
      </c>
      <c r="I12" s="29">
        <f>IF(C12-Table_146310938465462[Kenya]&gt;0, C12-Table_146310938465462[Kenya], 0)</f>
        <v>50.532137488055227</v>
      </c>
      <c r="J12" s="29">
        <f>IF(C12-Table_146310938465462[Rwanda]&gt;0, C12-Table_146310938465462[Rwanda], 0)</f>
        <v>0</v>
      </c>
      <c r="K12" s="29">
        <f>IF(C12-Table_146310938465462[Sudan]&gt;0, C12-Table_146310938465462[Sudan], 0)</f>
        <v>374.65348060702831</v>
      </c>
      <c r="L12" s="29">
        <f>IF(C12-Table_146310938465462[S. Sudan]&gt;0, C12-Table_146310938465462[S. Sudan], 0)</f>
        <v>633.08050842050932</v>
      </c>
      <c r="M12" s="29">
        <f>IF(C12-Table_146310938465462[Tanzania]&gt;0, C12-Table_146310938465462[Tanzania], 0)</f>
        <v>107.04740807632322</v>
      </c>
      <c r="N12" s="29">
        <f>IF(C12-Table_146310938465462[Uganda]&gt;0, C12-Table_146310938465462[Uganda], 0)</f>
        <v>273.51103000078649</v>
      </c>
      <c r="P12" s="21" t="s">
        <v>7</v>
      </c>
      <c r="Q12" s="97">
        <f t="shared" si="0"/>
        <v>7.0508081414943219E-4</v>
      </c>
      <c r="R12" s="97">
        <f t="shared" si="0"/>
        <v>7.0508081414943219E-4</v>
      </c>
      <c r="S12" s="97">
        <f t="shared" si="0"/>
        <v>7.0508081414943219E-4</v>
      </c>
      <c r="T12" s="97">
        <f t="shared" si="0"/>
        <v>7.0508081414943219E-4</v>
      </c>
      <c r="U12" s="97">
        <f t="shared" si="0"/>
        <v>0.10136583130227</v>
      </c>
      <c r="V12" s="97">
        <f t="shared" si="0"/>
        <v>7.0508081414943219E-4</v>
      </c>
      <c r="W12" s="97">
        <f t="shared" si="0"/>
        <v>7.0508081414943219E-4</v>
      </c>
      <c r="X12" s="97">
        <f t="shared" si="0"/>
        <v>7.0508081414943219E-4</v>
      </c>
      <c r="Y12" s="97">
        <f t="shared" si="0"/>
        <v>0.39696638439993065</v>
      </c>
      <c r="Z12" s="97">
        <f t="shared" si="0"/>
        <v>7.0508081414943219E-4</v>
      </c>
      <c r="AA12" s="97">
        <f t="shared" si="0"/>
        <v>7.0508081414943219E-4</v>
      </c>
    </row>
    <row r="13" spans="1:31" ht="15" customHeight="1" x14ac:dyDescent="0.25">
      <c r="B13" s="21" t="s">
        <v>7</v>
      </c>
      <c r="C13" s="95">
        <f>Annual_sorted!M154</f>
        <v>-394.46983617925207</v>
      </c>
      <c r="D13" s="29">
        <f>IF(C13-Table_146310938465462[Burundi]&gt;0, C13-Table_146310938465462[Burundi], 0)</f>
        <v>0</v>
      </c>
      <c r="E13" s="29">
        <f>IF(C13-Table_146310938465462[DRC]&gt;0, C13-Table_146310938465462[DRC], 0)</f>
        <v>0</v>
      </c>
      <c r="F13" s="29">
        <f>IF(C13-Table_146310938465462[Egypt]&gt;0, C13-Table_146310938465462[Egypt], 0)</f>
        <v>0</v>
      </c>
      <c r="G13" s="29">
        <f>IF(C13-Table_146310938465462[Eritrea]&gt;0, C13-Table_146310938465462[Eritrea], 0)</f>
        <v>0</v>
      </c>
      <c r="H13" s="29">
        <f>IF(C13-Table_146310938465462[Ethiopia]&gt;0, C13-Table_146310938465462[Ethiopia], 0)</f>
        <v>65.647234112245599</v>
      </c>
      <c r="I13" s="29">
        <f>IF(C13-Table_146310938465462[Kenya]&gt;0, C13-Table_146310938465462[Kenya], 0)</f>
        <v>0</v>
      </c>
      <c r="J13" s="29">
        <f>IF(C13-Table_146310938465462[Rwanda]&gt;0, C13-Table_146310938465462[Rwanda], 0)</f>
        <v>0</v>
      </c>
      <c r="K13" s="29">
        <f>IF(C13-Table_146310938465462[Sudan]&gt;0, C13-Table_146310938465462[Sudan], 0)</f>
        <v>0</v>
      </c>
      <c r="L13" s="29">
        <f>IF(C13-Table_146310938465462[S. Sudan]&gt;0, C13-Table_146310938465462[S. Sudan], 0)</f>
        <v>258.427027813481</v>
      </c>
      <c r="M13" s="29">
        <f>IF(C13-Table_146310938465462[Tanzania]&gt;0, C13-Table_146310938465462[Tanzania], 0)</f>
        <v>0</v>
      </c>
      <c r="N13" s="29">
        <f>IF(C13-Table_146310938465462[Uganda]&gt;0, C13-Table_146310938465462[Uganda], 0)</f>
        <v>0</v>
      </c>
      <c r="P13" s="21" t="s">
        <v>8</v>
      </c>
      <c r="Q13" s="97">
        <f t="shared" si="0"/>
        <v>7.0508081414943219E-4</v>
      </c>
      <c r="R13" s="97">
        <f t="shared" si="0"/>
        <v>7.0508081414943219E-4</v>
      </c>
      <c r="S13" s="97">
        <f t="shared" si="0"/>
        <v>7.0508081414943219E-4</v>
      </c>
      <c r="T13" s="97">
        <f t="shared" si="0"/>
        <v>7.0508081414943219E-4</v>
      </c>
      <c r="U13" s="97">
        <f t="shared" si="0"/>
        <v>7.0508081414943219E-4</v>
      </c>
      <c r="V13" s="97">
        <f t="shared" si="0"/>
        <v>7.0508081414943219E-4</v>
      </c>
      <c r="W13" s="97">
        <f t="shared" si="0"/>
        <v>7.0508081414943219E-4</v>
      </c>
      <c r="X13" s="97">
        <f t="shared" si="0"/>
        <v>7.0508081414943219E-4</v>
      </c>
      <c r="Y13" s="97">
        <f t="shared" si="0"/>
        <v>7.0508081414943219E-4</v>
      </c>
      <c r="Z13" s="97">
        <f t="shared" si="0"/>
        <v>7.0508081414943219E-4</v>
      </c>
      <c r="AA13" s="97">
        <f t="shared" si="0"/>
        <v>7.0508081414943219E-4</v>
      </c>
    </row>
    <row r="14" spans="1:31" ht="15" customHeight="1" x14ac:dyDescent="0.25">
      <c r="B14" s="21" t="s">
        <v>8</v>
      </c>
      <c r="C14" s="95">
        <f>Annual_sorted!M155</f>
        <v>-652.89686399273307</v>
      </c>
      <c r="D14" s="29">
        <f>IF(C14-Table_146310938465462[Burundi]&gt;0, C14-Table_146310938465462[Burundi], 0)</f>
        <v>0</v>
      </c>
      <c r="E14" s="29">
        <f>IF(C14-Table_146310938465462[DRC]&gt;0, C14-Table_146310938465462[DRC], 0)</f>
        <v>0</v>
      </c>
      <c r="F14" s="29">
        <f>IF(C14-Table_146310938465462[Egypt]&gt;0, C14-Table_146310938465462[Egypt], 0)</f>
        <v>0</v>
      </c>
      <c r="G14" s="29">
        <f>IF(C14-Table_146310938465462[Eritrea]&gt;0, C14-Table_146310938465462[Eritrea], 0)</f>
        <v>0</v>
      </c>
      <c r="H14" s="29">
        <f>IF(C14-Table_146310938465462[Ethiopia]&gt;0, C14-Table_146310938465462[Ethiopia], 0)</f>
        <v>0</v>
      </c>
      <c r="I14" s="29">
        <f>IF(C14-Table_146310938465462[Kenya]&gt;0, C14-Table_146310938465462[Kenya], 0)</f>
        <v>0</v>
      </c>
      <c r="J14" s="29">
        <f>IF(C14-Table_146310938465462[Rwanda]&gt;0, C14-Table_146310938465462[Rwanda], 0)</f>
        <v>0</v>
      </c>
      <c r="K14" s="29">
        <f>IF(C14-Table_146310938465462[Sudan]&gt;0, C14-Table_146310938465462[Sudan], 0)</f>
        <v>0</v>
      </c>
      <c r="L14" s="29">
        <f>IF(C14-Table_146310938465462[S. Sudan]&gt;0, C14-Table_146310938465462[S. Sudan], 0)</f>
        <v>0</v>
      </c>
      <c r="M14" s="29">
        <f>IF(C14-Table_146310938465462[Tanzania]&gt;0, C14-Table_146310938465462[Tanzania], 0)</f>
        <v>0</v>
      </c>
      <c r="N14" s="29">
        <f>IF(C14-Table_146310938465462[Uganda]&gt;0, C14-Table_146310938465462[Uganda], 0)</f>
        <v>0</v>
      </c>
      <c r="P14" s="21" t="s">
        <v>9</v>
      </c>
      <c r="Q14" s="97">
        <f t="shared" si="0"/>
        <v>7.0508081414943219E-4</v>
      </c>
      <c r="R14" s="97">
        <f t="shared" si="0"/>
        <v>7.0508081414943219E-4</v>
      </c>
      <c r="S14" s="97">
        <f t="shared" si="0"/>
        <v>7.0508081414943219E-4</v>
      </c>
      <c r="T14" s="97">
        <f t="shared" si="0"/>
        <v>7.0508081414943219E-4</v>
      </c>
      <c r="U14" s="97">
        <f t="shared" si="0"/>
        <v>0.51170190197450549</v>
      </c>
      <c r="V14" s="97">
        <f t="shared" si="0"/>
        <v>7.0508081414943219E-4</v>
      </c>
      <c r="W14" s="97">
        <f t="shared" si="0"/>
        <v>7.0508081414943219E-4</v>
      </c>
      <c r="X14" s="97">
        <f t="shared" si="0"/>
        <v>0.41104115148638498</v>
      </c>
      <c r="Y14" s="97">
        <f t="shared" si="0"/>
        <v>0.80730245507216614</v>
      </c>
      <c r="Z14" s="97">
        <f t="shared" si="0"/>
        <v>7.0508081414943219E-4</v>
      </c>
      <c r="AA14" s="97">
        <f t="shared" si="0"/>
        <v>0.25595350580090093</v>
      </c>
    </row>
    <row r="15" spans="1:31" ht="15" customHeight="1" thickBot="1" x14ac:dyDescent="0.3">
      <c r="B15" s="21" t="s">
        <v>9</v>
      </c>
      <c r="C15" s="95">
        <f>Annual_sorted!M156</f>
        <v>-126.86376364854696</v>
      </c>
      <c r="D15" s="29">
        <f>IF(C15-Table_146310938465462[Burundi]&gt;0, C15-Table_146310938465462[Burundi], 0)</f>
        <v>0</v>
      </c>
      <c r="E15" s="29">
        <f>IF(C15-Table_146310938465462[DRC]&gt;0, C15-Table_146310938465462[DRC], 0)</f>
        <v>0</v>
      </c>
      <c r="F15" s="29">
        <f>IF(C15-Table_146310938465462[Egypt]&gt;0, C15-Table_146310938465462[Egypt], 0)</f>
        <v>0</v>
      </c>
      <c r="G15" s="29">
        <f>IF(C15-Table_146310938465462[Eritrea]&gt;0, C15-Table_146310938465462[Eritrea], 0)</f>
        <v>0</v>
      </c>
      <c r="H15" s="29">
        <f>IF(C15-Table_146310938465462[Ethiopia]&gt;0, C15-Table_146310938465462[Ethiopia], 0)</f>
        <v>333.25330664295069</v>
      </c>
      <c r="I15" s="29">
        <f>IF(C15-Table_146310938465462[Kenya]&gt;0, C15-Table_146310938465462[Kenya], 0)</f>
        <v>0</v>
      </c>
      <c r="J15" s="29">
        <f>IF(C15-Table_146310938465462[Rwanda]&gt;0, C15-Table_146310938465462[Rwanda], 0)</f>
        <v>0</v>
      </c>
      <c r="K15" s="29">
        <f>IF(C15-Table_146310938465462[Sudan]&gt;0, C15-Table_146310938465462[Sudan], 0)</f>
        <v>267.60607253070509</v>
      </c>
      <c r="L15" s="29">
        <f>IF(C15-Table_146310938465462[S. Sudan]&gt;0, C15-Table_146310938465462[S. Sudan], 0)</f>
        <v>526.0331003441861</v>
      </c>
      <c r="M15" s="29">
        <f>IF(C15-Table_146310938465462[Tanzania]&gt;0, C15-Table_146310938465462[Tanzania], 0)</f>
        <v>0</v>
      </c>
      <c r="N15" s="29">
        <f>IF(C15-Table_146310938465462[Uganda]&gt;0, C15-Table_146310938465462[Uganda], 0)</f>
        <v>166.46362192446327</v>
      </c>
      <c r="P15" s="22" t="s">
        <v>10</v>
      </c>
      <c r="Q15" s="98">
        <f t="shared" si="0"/>
        <v>7.0508081414943219E-4</v>
      </c>
      <c r="R15" s="98">
        <f t="shared" si="0"/>
        <v>7.0508081414943219E-4</v>
      </c>
      <c r="S15" s="98">
        <f t="shared" si="0"/>
        <v>7.0508081414943219E-4</v>
      </c>
      <c r="T15" s="98">
        <f t="shared" si="0"/>
        <v>7.0508081414943219E-4</v>
      </c>
      <c r="U15" s="98">
        <f t="shared" si="0"/>
        <v>0.25645347698775411</v>
      </c>
      <c r="V15" s="98">
        <f t="shared" si="0"/>
        <v>7.0508081414943219E-4</v>
      </c>
      <c r="W15" s="98">
        <f t="shared" si="0"/>
        <v>7.0508081414943219E-4</v>
      </c>
      <c r="X15" s="98">
        <f t="shared" si="0"/>
        <v>0.15579272649963347</v>
      </c>
      <c r="Y15" s="98">
        <f t="shared" si="0"/>
        <v>0.55205403008541465</v>
      </c>
      <c r="Z15" s="98">
        <f t="shared" si="0"/>
        <v>7.0508081414943219E-4</v>
      </c>
      <c r="AA15" s="98">
        <f t="shared" si="0"/>
        <v>7.0508081414943219E-4</v>
      </c>
    </row>
    <row r="16" spans="1:31" ht="15" customHeight="1" thickBot="1" x14ac:dyDescent="0.3">
      <c r="B16" s="22" t="s">
        <v>10</v>
      </c>
      <c r="C16" s="96">
        <f>Annual_sorted!M157</f>
        <v>-293.32738557301025</v>
      </c>
      <c r="D16" s="32">
        <f>IF(C16-Table_146310938465462[Burundi]&gt;0, C16-Table_146310938465462[Burundi], 0)</f>
        <v>0</v>
      </c>
      <c r="E16" s="32">
        <f>IF(C16-Table_146310938465462[DRC]&gt;0, C16-Table_146310938465462[DRC], 0)</f>
        <v>0</v>
      </c>
      <c r="F16" s="32">
        <f>IF(C16-Table_146310938465462[Egypt]&gt;0, C16-Table_146310938465462[Egypt], 0)</f>
        <v>0</v>
      </c>
      <c r="G16" s="32">
        <f>IF(C16-Table_146310938465462[Eritrea]&gt;0, C16-Table_146310938465462[Eritrea], 0)</f>
        <v>0</v>
      </c>
      <c r="H16" s="32">
        <f>IF(C16-Table_146310938465462[Ethiopia]&gt;0, C16-Table_146310938465462[Ethiopia], 0)</f>
        <v>166.78968471848742</v>
      </c>
      <c r="I16" s="32">
        <f>IF(C16-Table_146310938465462[Kenya]&gt;0, C16-Table_146310938465462[Kenya], 0)</f>
        <v>0</v>
      </c>
      <c r="J16" s="32">
        <f>IF(C16-Table_146310938465462[Rwanda]&gt;0, C16-Table_146310938465462[Rwanda], 0)</f>
        <v>0</v>
      </c>
      <c r="K16" s="32">
        <f>IF(C16-Table_146310938465462[Sudan]&gt;0, C16-Table_146310938465462[Sudan], 0)</f>
        <v>101.14245060624182</v>
      </c>
      <c r="L16" s="32">
        <f>IF(C16-Table_146310938465462[S. Sudan]&gt;0, C16-Table_146310938465462[S. Sudan], 0)</f>
        <v>359.56947841972283</v>
      </c>
      <c r="M16" s="32">
        <f>IF(C16-Table_146310938465462[Tanzania]&gt;0, C16-Table_146310938465462[Tanzania], 0)</f>
        <v>0</v>
      </c>
      <c r="N16" s="32">
        <f>IF(C16-Table_146310938465462[Uganda]&gt;0, C16-Table_146310938465462[Uganda], 0)</f>
        <v>0</v>
      </c>
      <c r="Q16" s="186">
        <f t="shared" ref="Q16:X16" si="1">SUM(Q5:Q15)</f>
        <v>2.8285923081361297E-2</v>
      </c>
      <c r="R16" s="186">
        <f t="shared" si="1"/>
        <v>8.0959720947581137E-2</v>
      </c>
      <c r="S16" s="186">
        <f t="shared" si="1"/>
        <v>7.7558889556437541E-3</v>
      </c>
      <c r="T16" s="186">
        <f t="shared" si="1"/>
        <v>2.769608470966016E-2</v>
      </c>
      <c r="U16" s="186">
        <f t="shared" si="1"/>
        <v>4.8870742353071712</v>
      </c>
      <c r="V16" s="186">
        <f t="shared" si="1"/>
        <v>0.43373828599974862</v>
      </c>
      <c r="W16" s="186">
        <f t="shared" si="1"/>
        <v>5.3247024166691088E-2</v>
      </c>
      <c r="X16" s="186">
        <f t="shared" si="1"/>
        <v>3.9811274809140866</v>
      </c>
      <c r="Y16" s="186">
        <f>SUM(Y5:Y15)</f>
        <v>7.843079766283779</v>
      </c>
      <c r="Z16" s="186">
        <f t="shared" ref="Z16:AA16" si="2">SUM(Z5:Z15)</f>
        <v>0.95368734052295345</v>
      </c>
      <c r="AA16" s="186">
        <f t="shared" si="2"/>
        <v>2.7404263154302146</v>
      </c>
      <c r="AB16" s="186">
        <f>SUM(Q5:AA15)</f>
        <v>21.037078066318916</v>
      </c>
    </row>
    <row r="18" spans="2:31" ht="12.75" customHeight="1" x14ac:dyDescent="0.25">
      <c r="B18" s="5"/>
      <c r="C18" s="5"/>
      <c r="D18" s="5"/>
      <c r="E18" s="5"/>
      <c r="F18" s="5"/>
      <c r="G18" s="5"/>
      <c r="H18" s="5"/>
      <c r="I18" s="5"/>
      <c r="J18" s="5"/>
      <c r="K18" s="5"/>
      <c r="L18" s="5"/>
      <c r="M18" s="5"/>
      <c r="N18" s="5"/>
    </row>
    <row r="19" spans="2:31" ht="12.75" customHeight="1" x14ac:dyDescent="0.25">
      <c r="B19" s="5"/>
      <c r="C19" s="5"/>
      <c r="D19" s="5"/>
      <c r="E19" s="5"/>
      <c r="F19" s="5"/>
      <c r="G19" s="5"/>
      <c r="H19" s="5"/>
      <c r="I19" s="5"/>
      <c r="J19" s="5"/>
      <c r="K19" s="5"/>
      <c r="L19" s="5"/>
      <c r="M19" s="5"/>
      <c r="N19" s="44"/>
      <c r="O19" s="5"/>
      <c r="P19" s="5"/>
      <c r="Q19" s="5"/>
      <c r="R19" s="5"/>
      <c r="S19" s="5"/>
      <c r="T19" s="5"/>
      <c r="U19" s="5"/>
      <c r="V19" s="5"/>
      <c r="W19" s="5"/>
      <c r="X19" s="5"/>
      <c r="Y19" s="5"/>
      <c r="Z19" s="5"/>
      <c r="AA19" s="5"/>
    </row>
    <row r="20" spans="2:31" ht="12.75" customHeight="1" x14ac:dyDescent="0.25">
      <c r="B20" s="5"/>
      <c r="C20" s="5"/>
      <c r="D20" s="5"/>
      <c r="E20" s="5"/>
      <c r="F20" s="5"/>
      <c r="G20" s="5"/>
      <c r="H20" s="5"/>
      <c r="I20" s="5"/>
      <c r="J20" s="5"/>
      <c r="K20" s="5"/>
      <c r="L20" s="5"/>
      <c r="M20" s="5"/>
      <c r="N20" s="44"/>
      <c r="O20" s="5"/>
      <c r="P20" s="5"/>
      <c r="Q20" s="5"/>
      <c r="R20" s="5"/>
      <c r="S20" s="5"/>
      <c r="T20" s="5"/>
      <c r="U20" s="5"/>
      <c r="V20" s="5"/>
      <c r="W20" s="5"/>
      <c r="X20" s="5"/>
      <c r="Y20" s="5"/>
      <c r="Z20" s="5"/>
      <c r="AA20" s="5"/>
    </row>
    <row r="21" spans="2:31" ht="12.75" customHeight="1" thickBot="1" x14ac:dyDescent="0.3">
      <c r="B21" s="253" t="s">
        <v>102</v>
      </c>
      <c r="C21" s="253"/>
      <c r="D21" s="253"/>
      <c r="E21" s="253"/>
      <c r="F21" s="253"/>
      <c r="G21" s="253"/>
      <c r="H21" s="253"/>
      <c r="I21" s="253"/>
      <c r="J21" s="253"/>
      <c r="K21" s="253"/>
      <c r="L21" s="253"/>
      <c r="M21" s="253"/>
      <c r="N21" s="253"/>
      <c r="P21" s="253" t="s">
        <v>103</v>
      </c>
      <c r="Q21" s="253"/>
      <c r="R21" s="253"/>
      <c r="S21" s="253"/>
      <c r="T21" s="253"/>
      <c r="U21" s="253"/>
      <c r="V21" s="253"/>
      <c r="W21" s="253"/>
      <c r="X21" s="253"/>
      <c r="Y21" s="253"/>
      <c r="Z21" s="253"/>
      <c r="AA21" s="253"/>
      <c r="AB21" s="10"/>
      <c r="AC21" s="3" t="s">
        <v>22</v>
      </c>
      <c r="AD21" s="13" t="s">
        <v>23</v>
      </c>
      <c r="AE21" s="74">
        <f t="array" ref="AE21">MIN(IF(D24:N34&gt;0,D24:N34))</f>
        <v>1.1181285201246922</v>
      </c>
    </row>
    <row r="22" spans="2:31" ht="12.75" customHeight="1" thickBot="1" x14ac:dyDescent="0.3">
      <c r="B22" s="75" t="s">
        <v>13</v>
      </c>
      <c r="C22" s="66" t="s">
        <v>14</v>
      </c>
      <c r="D22" s="67" t="s">
        <v>1</v>
      </c>
      <c r="E22" s="67" t="s">
        <v>195</v>
      </c>
      <c r="F22" s="67" t="s">
        <v>2</v>
      </c>
      <c r="G22" s="67" t="s">
        <v>3</v>
      </c>
      <c r="H22" s="67" t="s">
        <v>4</v>
      </c>
      <c r="I22" s="67" t="s">
        <v>5</v>
      </c>
      <c r="J22" s="67" t="s">
        <v>6</v>
      </c>
      <c r="K22" s="67" t="s">
        <v>7</v>
      </c>
      <c r="L22" s="67" t="s">
        <v>295</v>
      </c>
      <c r="M22" s="67" t="s">
        <v>9</v>
      </c>
      <c r="N22" s="67" t="s">
        <v>10</v>
      </c>
      <c r="P22" s="76" t="s">
        <v>19</v>
      </c>
      <c r="Q22" s="77" t="s">
        <v>1</v>
      </c>
      <c r="R22" s="77" t="s">
        <v>195</v>
      </c>
      <c r="S22" s="77" t="s">
        <v>2</v>
      </c>
      <c r="T22" s="77" t="s">
        <v>3</v>
      </c>
      <c r="U22" s="77" t="s">
        <v>4</v>
      </c>
      <c r="V22" s="77" t="s">
        <v>5</v>
      </c>
      <c r="W22" s="77" t="s">
        <v>6</v>
      </c>
      <c r="X22" s="77" t="s">
        <v>7</v>
      </c>
      <c r="Y22" s="77" t="s">
        <v>295</v>
      </c>
      <c r="Z22" s="77" t="s">
        <v>9</v>
      </c>
      <c r="AA22" s="77" t="s">
        <v>10</v>
      </c>
      <c r="AB22" s="254" t="s">
        <v>26</v>
      </c>
      <c r="AC22" s="254"/>
      <c r="AD22" s="13" t="s">
        <v>24</v>
      </c>
      <c r="AE22" s="20">
        <f>MAX(D24:N34)</f>
        <v>757.31862291655193</v>
      </c>
    </row>
    <row r="23" spans="2:31" ht="13.2" x14ac:dyDescent="0.25">
      <c r="B23" s="93"/>
      <c r="C23" s="94" t="s">
        <v>258</v>
      </c>
      <c r="D23" s="95">
        <f>C24</f>
        <v>-12.882050784556501</v>
      </c>
      <c r="E23" s="95">
        <f>C25</f>
        <v>-25.792474393070872</v>
      </c>
      <c r="F23" s="95">
        <f>C26</f>
        <v>-60.32166582740421</v>
      </c>
      <c r="G23" s="95">
        <f>C27</f>
        <v>-11.763922264431809</v>
      </c>
      <c r="H23" s="95">
        <f>C28</f>
        <v>-352.73051215145512</v>
      </c>
      <c r="I23" s="95">
        <f>C29</f>
        <v>-57.483835236459001</v>
      </c>
      <c r="J23" s="95">
        <f>C30</f>
        <v>-19.61126729277985</v>
      </c>
      <c r="K23" s="95">
        <f>C31</f>
        <v>-432.35086881169468</v>
      </c>
      <c r="L23" s="95">
        <f>C32</f>
        <v>-769.08254518098374</v>
      </c>
      <c r="M23" s="95">
        <f>C33</f>
        <v>-119.64294307749007</v>
      </c>
      <c r="N23" s="95">
        <f>C34</f>
        <v>-279.47111355498788</v>
      </c>
      <c r="P23" s="21" t="s">
        <v>1</v>
      </c>
      <c r="Q23" s="97">
        <f>AE23+(D24-AE21)*(AE24-AE23)/(AE22-AE21)</f>
        <v>-4.7713523051333916E-4</v>
      </c>
      <c r="R23" s="97">
        <f t="shared" ref="R23:AA33" si="3">$AE$23+(E24-$AE$21)*($AE$24-$AE$23)/($AE$22-$AE$21)</f>
        <v>1.6578544156737263E-2</v>
      </c>
      <c r="S23" s="97">
        <f t="shared" si="3"/>
        <v>6.2194306773279105E-2</v>
      </c>
      <c r="T23" s="97">
        <f t="shared" si="3"/>
        <v>-4.7713523051333916E-4</v>
      </c>
      <c r="U23" s="97">
        <f t="shared" si="3"/>
        <v>0.44848926378846066</v>
      </c>
      <c r="V23" s="97">
        <f t="shared" si="3"/>
        <v>5.8445310599166508E-2</v>
      </c>
      <c r="W23" s="97">
        <f t="shared" si="3"/>
        <v>8.4126861085758141E-3</v>
      </c>
      <c r="X23" s="97">
        <f t="shared" si="3"/>
        <v>0.55367398251449895</v>
      </c>
      <c r="Y23" s="97">
        <f t="shared" si="3"/>
        <v>0.9985228647694866</v>
      </c>
      <c r="Z23" s="97">
        <f t="shared" si="3"/>
        <v>0.1405623538877373</v>
      </c>
      <c r="AA23" s="97">
        <f t="shared" si="3"/>
        <v>0.35170786819272598</v>
      </c>
      <c r="AD23" s="3" t="s">
        <v>25</v>
      </c>
      <c r="AE23" s="2">
        <v>1E-3</v>
      </c>
    </row>
    <row r="24" spans="2:31" ht="12.75" customHeight="1" x14ac:dyDescent="0.25">
      <c r="B24" s="21" t="s">
        <v>1</v>
      </c>
      <c r="C24" s="95">
        <f>Annual_sorted!N147</f>
        <v>-12.882050784556501</v>
      </c>
      <c r="D24" s="29">
        <f>IF(C24-Table_14634121139475563[Burundi]&gt;0, C24-Table_14634121139475563[Burundi], 0)</f>
        <v>0</v>
      </c>
      <c r="E24" s="29">
        <f>IF(C24-Table_14634121139475563[DRC]&gt;0, C24-Table_14634121139475563[DRC], 0)</f>
        <v>12.910423608514371</v>
      </c>
      <c r="F24" s="29">
        <f>IF(C24-Table_14634121139475563[Egypt]&gt;0, C24-Table_14634121139475563[Egypt], 0)</f>
        <v>47.439615042847706</v>
      </c>
      <c r="G24" s="29">
        <f>IF(C24-Table_14634121139475563[Eritrea]&gt;0, C24-Table_14634121139475563[Eritrea], 0)</f>
        <v>0</v>
      </c>
      <c r="H24" s="29">
        <f>IF(C24-Table_14634121139475563[Ethiopia]&gt;0, C24-Table_14634121139475563[Ethiopia], 0)</f>
        <v>339.84846136689862</v>
      </c>
      <c r="I24" s="29">
        <f>IF(C24-Table_14634121139475563[Kenya]&gt;0, C24-Table_14634121139475563[Kenya], 0)</f>
        <v>44.601784451902503</v>
      </c>
      <c r="J24" s="29">
        <f>IF(C24-Table_14634121139475563[Rwanda]&gt;0, C24-Table_14634121139475563[Rwanda], 0)</f>
        <v>6.7292165082233488</v>
      </c>
      <c r="K24" s="29">
        <f>IF(C24-Table_14634121139475563[Sudan]&gt;0, C24-Table_14634121139475563[Sudan], 0)</f>
        <v>419.46881802713818</v>
      </c>
      <c r="L24" s="29">
        <f>IF(C24-Table_14634121139475563[S. Sudan]&gt;0, C24-Table_14634121139475563[S. Sudan], 0)</f>
        <v>756.20049439642719</v>
      </c>
      <c r="M24" s="29">
        <f>IF(C24-Table_14634121139475563[Tanzania]&gt;0, C24-Table_14634121139475563[Tanzania], 0)</f>
        <v>106.76089229293358</v>
      </c>
      <c r="N24" s="29">
        <f>IF(C24-Table_14634121139475563[Uganda]&gt;0, C24-Table_14634121139475563[Uganda], 0)</f>
        <v>266.58906277043138</v>
      </c>
      <c r="P24" s="21" t="s">
        <v>195</v>
      </c>
      <c r="Q24" s="97">
        <f t="shared" ref="Q24:Q33" si="4">$AE$23+(D25-$AE$21)*($AE$24-$AE$23)/($AE$22-$AE$21)</f>
        <v>-4.7713523051333916E-4</v>
      </c>
      <c r="R24" s="97">
        <f t="shared" si="3"/>
        <v>-4.7713523051333916E-4</v>
      </c>
      <c r="S24" s="97">
        <f t="shared" si="3"/>
        <v>4.5138627386028508E-2</v>
      </c>
      <c r="T24" s="97">
        <f t="shared" si="3"/>
        <v>-4.7713523051333916E-4</v>
      </c>
      <c r="U24" s="97">
        <f t="shared" si="3"/>
        <v>0.4314335844012101</v>
      </c>
      <c r="V24" s="97">
        <f t="shared" si="3"/>
        <v>4.1389631211915905E-2</v>
      </c>
      <c r="W24" s="97">
        <f t="shared" si="3"/>
        <v>-4.7713523051333916E-4</v>
      </c>
      <c r="X24" s="97">
        <f t="shared" si="3"/>
        <v>0.53661830312724845</v>
      </c>
      <c r="Y24" s="97">
        <f t="shared" si="3"/>
        <v>0.9814671853822361</v>
      </c>
      <c r="Z24" s="97">
        <f t="shared" si="3"/>
        <v>0.12350667450048668</v>
      </c>
      <c r="AA24" s="97">
        <f t="shared" si="3"/>
        <v>0.33465218880547537</v>
      </c>
      <c r="AD24" s="3" t="s">
        <v>70</v>
      </c>
      <c r="AE24" s="2">
        <v>1</v>
      </c>
    </row>
    <row r="25" spans="2:31" ht="12.75" customHeight="1" x14ac:dyDescent="0.25">
      <c r="B25" s="21" t="s">
        <v>195</v>
      </c>
      <c r="C25" s="95">
        <f>Annual_sorted!N148</f>
        <v>-25.792474393070872</v>
      </c>
      <c r="D25" s="29">
        <f>IF(C25-Table_14634121139475563[Burundi]&gt;0, C25-Table_14634121139475563[Burundi], 0)</f>
        <v>0</v>
      </c>
      <c r="E25" s="29">
        <f>IF(C25-Table_14634121139475563[DRC]&gt;0, C25-Table_14634121139475563[DRC], 0)</f>
        <v>0</v>
      </c>
      <c r="F25" s="29">
        <f>IF(C25-Table_14634121139475563[Egypt]&gt;0, C25-Table_14634121139475563[Egypt], 0)</f>
        <v>34.529191434333342</v>
      </c>
      <c r="G25" s="29">
        <f>IF(C25-Table_14634121139475563[Eritrea]&gt;0, C25-Table_14634121139475563[Eritrea], 0)</f>
        <v>0</v>
      </c>
      <c r="H25" s="29">
        <f>IF(C25-Table_14634121139475563[Ethiopia]&gt;0, C25-Table_14634121139475563[Ethiopia], 0)</f>
        <v>326.93803775838427</v>
      </c>
      <c r="I25" s="29">
        <f>IF(C25-Table_14634121139475563[Kenya]&gt;0, C25-Table_14634121139475563[Kenya], 0)</f>
        <v>31.691360843388129</v>
      </c>
      <c r="J25" s="29">
        <f>IF(C25-Table_14634121139475563[Rwanda]&gt;0, C25-Table_14634121139475563[Rwanda], 0)</f>
        <v>0</v>
      </c>
      <c r="K25" s="29">
        <f>IF(C25-Table_14634121139475563[Sudan]&gt;0, C25-Table_14634121139475563[Sudan], 0)</f>
        <v>406.55839441862383</v>
      </c>
      <c r="L25" s="29">
        <f>IF(C25-Table_14634121139475563[S. Sudan]&gt;0, C25-Table_14634121139475563[S. Sudan], 0)</f>
        <v>743.2900707879129</v>
      </c>
      <c r="M25" s="29">
        <f>IF(C25-Table_14634121139475563[Tanzania]&gt;0, C25-Table_14634121139475563[Tanzania], 0)</f>
        <v>93.850468684419198</v>
      </c>
      <c r="N25" s="29">
        <f>IF(C25-Table_14634121139475563[Uganda]&gt;0, C25-Table_14634121139475563[Uganda], 0)</f>
        <v>253.678639161917</v>
      </c>
      <c r="P25" s="21" t="s">
        <v>2</v>
      </c>
      <c r="Q25" s="97">
        <f t="shared" si="4"/>
        <v>-4.7713523051333916E-4</v>
      </c>
      <c r="R25" s="97">
        <f t="shared" si="3"/>
        <v>-4.7713523051333916E-4</v>
      </c>
      <c r="S25" s="97">
        <f t="shared" si="3"/>
        <v>-4.7713523051333916E-4</v>
      </c>
      <c r="T25" s="97">
        <f t="shared" si="3"/>
        <v>-4.7713523051333916E-4</v>
      </c>
      <c r="U25" s="97">
        <f t="shared" si="3"/>
        <v>0.38581782178466817</v>
      </c>
      <c r="V25" s="97">
        <f t="shared" si="3"/>
        <v>-4.7713523051333916E-4</v>
      </c>
      <c r="W25" s="97">
        <f t="shared" si="3"/>
        <v>-4.7713523051333916E-4</v>
      </c>
      <c r="X25" s="97">
        <f t="shared" si="3"/>
        <v>0.49100254051070652</v>
      </c>
      <c r="Y25" s="97">
        <f t="shared" si="3"/>
        <v>0.93585142276569422</v>
      </c>
      <c r="Z25" s="97">
        <f t="shared" si="3"/>
        <v>7.7890911883944855E-2</v>
      </c>
      <c r="AA25" s="97">
        <f t="shared" si="3"/>
        <v>0.28903642618893349</v>
      </c>
    </row>
    <row r="26" spans="2:31" ht="12.75" customHeight="1" x14ac:dyDescent="0.25">
      <c r="B26" s="21" t="s">
        <v>2</v>
      </c>
      <c r="C26" s="95">
        <f>Annual_sorted!N149</f>
        <v>-60.32166582740421</v>
      </c>
      <c r="D26" s="29">
        <f>IF(C26-Table_14634121139475563[Burundi]&gt;0, C26-Table_14634121139475563[Burundi], 0)</f>
        <v>0</v>
      </c>
      <c r="E26" s="29">
        <f>IF(C26-Table_14634121139475563[DRC]&gt;0, C26-Table_14634121139475563[DRC], 0)</f>
        <v>0</v>
      </c>
      <c r="F26" s="29">
        <f>IF(C26-Table_14634121139475563[Egypt]&gt;0, C26-Table_14634121139475563[Egypt], 0)</f>
        <v>0</v>
      </c>
      <c r="G26" s="29">
        <f>IF(C26-Table_14634121139475563[Eritrea]&gt;0, C26-Table_14634121139475563[Eritrea], 0)</f>
        <v>0</v>
      </c>
      <c r="H26" s="29">
        <f>IF(C26-Table_14634121139475563[Ethiopia]&gt;0, C26-Table_14634121139475563[Ethiopia], 0)</f>
        <v>292.4088463240509</v>
      </c>
      <c r="I26" s="29">
        <f>IF(C26-Table_14634121139475563[Kenya]&gt;0, C26-Table_14634121139475563[Kenya], 0)</f>
        <v>0</v>
      </c>
      <c r="J26" s="29">
        <f>IF(C26-Table_14634121139475563[Rwanda]&gt;0, C26-Table_14634121139475563[Rwanda], 0)</f>
        <v>0</v>
      </c>
      <c r="K26" s="29">
        <f>IF(C26-Table_14634121139475563[Sudan]&gt;0, C26-Table_14634121139475563[Sudan], 0)</f>
        <v>372.02920298429046</v>
      </c>
      <c r="L26" s="29">
        <f>IF(C26-Table_14634121139475563[S. Sudan]&gt;0, C26-Table_14634121139475563[S. Sudan], 0)</f>
        <v>708.76087935357953</v>
      </c>
      <c r="M26" s="29">
        <f>IF(C26-Table_14634121139475563[Tanzania]&gt;0, C26-Table_14634121139475563[Tanzania], 0)</f>
        <v>59.321277250085863</v>
      </c>
      <c r="N26" s="29">
        <f>IF(C26-Table_14634121139475563[Uganda]&gt;0, C26-Table_14634121139475563[Uganda], 0)</f>
        <v>219.14944772758366</v>
      </c>
      <c r="P26" s="21" t="s">
        <v>3</v>
      </c>
      <c r="Q26" s="97">
        <f t="shared" si="4"/>
        <v>1E-3</v>
      </c>
      <c r="R26" s="97">
        <f t="shared" si="3"/>
        <v>1.8055679387250601E-2</v>
      </c>
      <c r="S26" s="97">
        <f t="shared" si="3"/>
        <v>6.3671442003792447E-2</v>
      </c>
      <c r="T26" s="97">
        <f t="shared" si="3"/>
        <v>-4.7713523051333916E-4</v>
      </c>
      <c r="U26" s="97">
        <f t="shared" si="3"/>
        <v>0.44996639901897395</v>
      </c>
      <c r="V26" s="97">
        <f t="shared" si="3"/>
        <v>5.9922445829679843E-2</v>
      </c>
      <c r="W26" s="97">
        <f t="shared" si="3"/>
        <v>9.8898213390891526E-3</v>
      </c>
      <c r="X26" s="97">
        <f t="shared" si="3"/>
        <v>0.55515111774501225</v>
      </c>
      <c r="Y26" s="97">
        <f>$AE$23+(L27-$AE$21)*($AE$24-$AE$23)/($AE$22-$AE$21)</f>
        <v>1</v>
      </c>
      <c r="Z26" s="97">
        <f t="shared" si="3"/>
        <v>0.14203948911825062</v>
      </c>
      <c r="AA26" s="97">
        <f t="shared" si="3"/>
        <v>0.35318500342323927</v>
      </c>
    </row>
    <row r="27" spans="2:31" ht="12.75" customHeight="1" x14ac:dyDescent="0.25">
      <c r="B27" s="21" t="s">
        <v>3</v>
      </c>
      <c r="C27" s="95">
        <f>Annual_sorted!N150</f>
        <v>-11.763922264431809</v>
      </c>
      <c r="D27" s="29">
        <f>IF(C27-Table_14634121139475563[Burundi]&gt;0, C27-Table_14634121139475563[Burundi], 0)</f>
        <v>1.1181285201246922</v>
      </c>
      <c r="E27" s="29">
        <f>IF(C27-Table_14634121139475563[DRC]&gt;0, C27-Table_14634121139475563[DRC], 0)</f>
        <v>14.028552128639063</v>
      </c>
      <c r="F27" s="29">
        <f>IF(C27-Table_14634121139475563[Egypt]&gt;0, C27-Table_14634121139475563[Egypt], 0)</f>
        <v>48.557743562972405</v>
      </c>
      <c r="G27" s="29">
        <f>IF(C27-Table_14634121139475563[Eritrea]&gt;0, C27-Table_14634121139475563[Eritrea], 0)</f>
        <v>0</v>
      </c>
      <c r="H27" s="29">
        <f>IF(C27-Table_14634121139475563[Ethiopia]&gt;0, C27-Table_14634121139475563[Ethiopia], 0)</f>
        <v>340.9665898870233</v>
      </c>
      <c r="I27" s="29">
        <f>IF(C27-Table_14634121139475563[Kenya]&gt;0, C27-Table_14634121139475563[Kenya], 0)</f>
        <v>45.719912972027188</v>
      </c>
      <c r="J27" s="29">
        <f>IF(C27-Table_14634121139475563[Rwanda]&gt;0, C27-Table_14634121139475563[Rwanda], 0)</f>
        <v>7.847345028348041</v>
      </c>
      <c r="K27" s="29">
        <f>IF(C27-Table_14634121139475563[Sudan]&gt;0, C27-Table_14634121139475563[Sudan], 0)</f>
        <v>420.58694654726287</v>
      </c>
      <c r="L27" s="29">
        <f>IF(C27-Table_14634121139475563[S. Sudan]&gt;0, C27-Table_14634121139475563[S. Sudan], 0)</f>
        <v>757.31862291655193</v>
      </c>
      <c r="M27" s="29">
        <f>IF(C27-Table_14634121139475563[Tanzania]&gt;0, C27-Table_14634121139475563[Tanzania], 0)</f>
        <v>107.87902081305826</v>
      </c>
      <c r="N27" s="29">
        <f>IF(C27-Table_14634121139475563[Uganda]&gt;0, C27-Table_14634121139475563[Uganda], 0)</f>
        <v>267.70719129055607</v>
      </c>
      <c r="P27" s="21" t="s">
        <v>4</v>
      </c>
      <c r="Q27" s="97">
        <f t="shared" si="4"/>
        <v>-4.7713523051333916E-4</v>
      </c>
      <c r="R27" s="97">
        <f t="shared" si="3"/>
        <v>-4.7713523051333916E-4</v>
      </c>
      <c r="S27" s="97">
        <f t="shared" si="3"/>
        <v>-4.7713523051333916E-4</v>
      </c>
      <c r="T27" s="97">
        <f t="shared" si="3"/>
        <v>-4.7713523051333916E-4</v>
      </c>
      <c r="U27" s="97">
        <f t="shared" si="3"/>
        <v>-4.7713523051333916E-4</v>
      </c>
      <c r="V27" s="97">
        <f t="shared" si="3"/>
        <v>-4.7713523051333916E-4</v>
      </c>
      <c r="W27" s="97">
        <f t="shared" si="3"/>
        <v>-4.7713523051333916E-4</v>
      </c>
      <c r="X27" s="97">
        <f t="shared" si="3"/>
        <v>0.10470758349552502</v>
      </c>
      <c r="Y27" s="97">
        <f t="shared" si="3"/>
        <v>0.54955646575051276</v>
      </c>
      <c r="Z27" s="97">
        <f t="shared" si="3"/>
        <v>-4.7713523051333916E-4</v>
      </c>
      <c r="AA27" s="97">
        <f t="shared" si="3"/>
        <v>-4.7713523051333916E-4</v>
      </c>
    </row>
    <row r="28" spans="2:31" ht="12.75" customHeight="1" x14ac:dyDescent="0.25">
      <c r="B28" s="21" t="s">
        <v>4</v>
      </c>
      <c r="C28" s="95">
        <f>Annual_sorted!N151</f>
        <v>-352.73051215145512</v>
      </c>
      <c r="D28" s="29">
        <f>IF(C28-Table_14634121139475563[Burundi]&gt;0, C28-Table_14634121139475563[Burundi], 0)</f>
        <v>0</v>
      </c>
      <c r="E28" s="29">
        <f>IF(C28-Table_14634121139475563[DRC]&gt;0, C28-Table_14634121139475563[DRC], 0)</f>
        <v>0</v>
      </c>
      <c r="F28" s="29">
        <f>IF(C28-Table_14634121139475563[Egypt]&gt;0, C28-Table_14634121139475563[Egypt], 0)</f>
        <v>0</v>
      </c>
      <c r="G28" s="29">
        <f>IF(C28-Table_14634121139475563[Eritrea]&gt;0, C28-Table_14634121139475563[Eritrea], 0)</f>
        <v>0</v>
      </c>
      <c r="H28" s="29">
        <f>IF(C28-Table_14634121139475563[Ethiopia]&gt;0, C28-Table_14634121139475563[Ethiopia], 0)</f>
        <v>0</v>
      </c>
      <c r="I28" s="29">
        <f>IF(C28-Table_14634121139475563[Kenya]&gt;0, C28-Table_14634121139475563[Kenya], 0)</f>
        <v>0</v>
      </c>
      <c r="J28" s="29">
        <f>IF(C28-Table_14634121139475563[Rwanda]&gt;0, C28-Table_14634121139475563[Rwanda], 0)</f>
        <v>0</v>
      </c>
      <c r="K28" s="29">
        <f>IF(C28-Table_14634121139475563[Sudan]&gt;0, C28-Table_14634121139475563[Sudan], 0)</f>
        <v>79.620356660239565</v>
      </c>
      <c r="L28" s="29">
        <f>IF(C28-Table_14634121139475563[S. Sudan]&gt;0, C28-Table_14634121139475563[S. Sudan], 0)</f>
        <v>416.35203302952863</v>
      </c>
      <c r="M28" s="29">
        <f>IF(C28-Table_14634121139475563[Tanzania]&gt;0, C28-Table_14634121139475563[Tanzania], 0)</f>
        <v>0</v>
      </c>
      <c r="N28" s="29">
        <f>IF(C28-Table_14634121139475563[Uganda]&gt;0, C28-Table_14634121139475563[Uganda], 0)</f>
        <v>0</v>
      </c>
      <c r="P28" s="21" t="s">
        <v>5</v>
      </c>
      <c r="Q28" s="97">
        <f t="shared" si="4"/>
        <v>-4.7713523051333916E-4</v>
      </c>
      <c r="R28" s="97">
        <f t="shared" si="3"/>
        <v>-4.7713523051333916E-4</v>
      </c>
      <c r="S28" s="97">
        <f t="shared" si="3"/>
        <v>3.2718609435992635E-3</v>
      </c>
      <c r="T28" s="97">
        <f t="shared" si="3"/>
        <v>-4.7713523051333916E-4</v>
      </c>
      <c r="U28" s="97">
        <f t="shared" si="3"/>
        <v>0.38956681795878073</v>
      </c>
      <c r="V28" s="97">
        <f t="shared" si="3"/>
        <v>-4.7713523051333916E-4</v>
      </c>
      <c r="W28" s="97">
        <f t="shared" si="3"/>
        <v>-4.7713523051333916E-4</v>
      </c>
      <c r="X28" s="97">
        <f t="shared" si="3"/>
        <v>0.49475153668481914</v>
      </c>
      <c r="Y28" s="97">
        <f t="shared" si="3"/>
        <v>0.93960041893980695</v>
      </c>
      <c r="Z28" s="97">
        <f t="shared" si="3"/>
        <v>8.1639908058057445E-2</v>
      </c>
      <c r="AA28" s="97">
        <f t="shared" si="3"/>
        <v>0.29278542236304611</v>
      </c>
    </row>
    <row r="29" spans="2:31" ht="12.75" customHeight="1" x14ac:dyDescent="0.25">
      <c r="B29" s="21" t="s">
        <v>5</v>
      </c>
      <c r="C29" s="95">
        <f>Annual_sorted!N152</f>
        <v>-57.483835236459001</v>
      </c>
      <c r="D29" s="29">
        <f>IF(C29-Table_14634121139475563[Burundi]&gt;0, C29-Table_14634121139475563[Burundi], 0)</f>
        <v>0</v>
      </c>
      <c r="E29" s="29">
        <f>IF(C29-Table_14634121139475563[DRC]&gt;0, C29-Table_14634121139475563[DRC], 0)</f>
        <v>0</v>
      </c>
      <c r="F29" s="29">
        <f>IF(C29-Table_14634121139475563[Egypt]&gt;0, C29-Table_14634121139475563[Egypt], 0)</f>
        <v>2.8378305909452095</v>
      </c>
      <c r="G29" s="29">
        <f>IF(C29-Table_14634121139475563[Eritrea]&gt;0, C29-Table_14634121139475563[Eritrea], 0)</f>
        <v>0</v>
      </c>
      <c r="H29" s="29">
        <f>IF(C29-Table_14634121139475563[Ethiopia]&gt;0, C29-Table_14634121139475563[Ethiopia], 0)</f>
        <v>295.2466769149961</v>
      </c>
      <c r="I29" s="29">
        <f>IF(C29-Table_14634121139475563[Kenya]&gt;0, C29-Table_14634121139475563[Kenya], 0)</f>
        <v>0</v>
      </c>
      <c r="J29" s="29">
        <f>IF(C29-Table_14634121139475563[Rwanda]&gt;0, C29-Table_14634121139475563[Rwanda], 0)</f>
        <v>0</v>
      </c>
      <c r="K29" s="29">
        <f>IF(C29-Table_14634121139475563[Sudan]&gt;0, C29-Table_14634121139475563[Sudan], 0)</f>
        <v>374.86703357523567</v>
      </c>
      <c r="L29" s="29">
        <f>IF(C29-Table_14634121139475563[S. Sudan]&gt;0, C29-Table_14634121139475563[S. Sudan], 0)</f>
        <v>711.59870994452478</v>
      </c>
      <c r="M29" s="29">
        <f>IF(C29-Table_14634121139475563[Tanzania]&gt;0, C29-Table_14634121139475563[Tanzania], 0)</f>
        <v>62.159107841031073</v>
      </c>
      <c r="N29" s="29">
        <f>IF(C29-Table_14634121139475563[Uganda]&gt;0, C29-Table_14634121139475563[Uganda], 0)</f>
        <v>221.98727831852887</v>
      </c>
      <c r="P29" s="21" t="s">
        <v>6</v>
      </c>
      <c r="Q29" s="97">
        <f t="shared" si="4"/>
        <v>-4.7713523051333916E-4</v>
      </c>
      <c r="R29" s="97">
        <f t="shared" si="3"/>
        <v>7.6887228176481092E-3</v>
      </c>
      <c r="S29" s="97">
        <f t="shared" si="3"/>
        <v>5.3304485434189953E-2</v>
      </c>
      <c r="T29" s="97">
        <f t="shared" si="3"/>
        <v>-4.7713523051333916E-4</v>
      </c>
      <c r="U29" s="97">
        <f t="shared" si="3"/>
        <v>0.43959944244937144</v>
      </c>
      <c r="V29" s="97">
        <f t="shared" si="3"/>
        <v>4.9555489260077357E-2</v>
      </c>
      <c r="W29" s="97">
        <f t="shared" si="3"/>
        <v>-4.7713523051333916E-4</v>
      </c>
      <c r="X29" s="97">
        <f t="shared" si="3"/>
        <v>0.54478416117540984</v>
      </c>
      <c r="Y29" s="97">
        <f t="shared" si="3"/>
        <v>0.98963304343039749</v>
      </c>
      <c r="Z29" s="97">
        <f t="shared" si="3"/>
        <v>0.13167253254864814</v>
      </c>
      <c r="AA29" s="97">
        <f t="shared" si="3"/>
        <v>0.34281804685363676</v>
      </c>
    </row>
    <row r="30" spans="2:31" ht="12.75" customHeight="1" x14ac:dyDescent="0.25">
      <c r="B30" s="21" t="s">
        <v>6</v>
      </c>
      <c r="C30" s="95">
        <f>Annual_sorted!N153</f>
        <v>-19.61126729277985</v>
      </c>
      <c r="D30" s="29">
        <f>IF(C30-Table_14634121139475563[Burundi]&gt;0, C30-Table_14634121139475563[Burundi], 0)</f>
        <v>0</v>
      </c>
      <c r="E30" s="29">
        <f>IF(C30-Table_14634121139475563[DRC]&gt;0, C30-Table_14634121139475563[DRC], 0)</f>
        <v>6.1812071002910223</v>
      </c>
      <c r="F30" s="29">
        <f>IF(C30-Table_14634121139475563[Egypt]&gt;0, C30-Table_14634121139475563[Egypt], 0)</f>
        <v>40.71039853462436</v>
      </c>
      <c r="G30" s="29">
        <f>IF(C30-Table_14634121139475563[Eritrea]&gt;0, C30-Table_14634121139475563[Eritrea], 0)</f>
        <v>0</v>
      </c>
      <c r="H30" s="29">
        <f>IF(C30-Table_14634121139475563[Ethiopia]&gt;0, C30-Table_14634121139475563[Ethiopia], 0)</f>
        <v>333.11924485867524</v>
      </c>
      <c r="I30" s="29">
        <f>IF(C30-Table_14634121139475563[Kenya]&gt;0, C30-Table_14634121139475563[Kenya], 0)</f>
        <v>37.872567943679151</v>
      </c>
      <c r="J30" s="29">
        <f>IF(C30-Table_14634121139475563[Rwanda]&gt;0, C30-Table_14634121139475563[Rwanda], 0)</f>
        <v>0</v>
      </c>
      <c r="K30" s="29">
        <f>IF(C30-Table_14634121139475563[Sudan]&gt;0, C30-Table_14634121139475563[Sudan], 0)</f>
        <v>412.73960151891481</v>
      </c>
      <c r="L30" s="29">
        <f>IF(C30-Table_14634121139475563[S. Sudan]&gt;0, C30-Table_14634121139475563[S. Sudan], 0)</f>
        <v>749.47127788820387</v>
      </c>
      <c r="M30" s="29">
        <f>IF(C30-Table_14634121139475563[Tanzania]&gt;0, C30-Table_14634121139475563[Tanzania], 0)</f>
        <v>100.03167578471022</v>
      </c>
      <c r="N30" s="29">
        <f>IF(C30-Table_14634121139475563[Uganda]&gt;0, C30-Table_14634121139475563[Uganda], 0)</f>
        <v>259.85984626220801</v>
      </c>
      <c r="P30" s="21" t="s">
        <v>7</v>
      </c>
      <c r="Q30" s="97">
        <f t="shared" si="4"/>
        <v>-4.7713523051333916E-4</v>
      </c>
      <c r="R30" s="97">
        <f t="shared" si="3"/>
        <v>-4.7713523051333916E-4</v>
      </c>
      <c r="S30" s="97">
        <f t="shared" si="3"/>
        <v>-4.7713523051333916E-4</v>
      </c>
      <c r="T30" s="97">
        <f t="shared" si="3"/>
        <v>-4.7713523051333916E-4</v>
      </c>
      <c r="U30" s="97">
        <f t="shared" si="3"/>
        <v>-4.7713523051333916E-4</v>
      </c>
      <c r="V30" s="97">
        <f t="shared" si="3"/>
        <v>-4.7713523051333916E-4</v>
      </c>
      <c r="W30" s="97">
        <f t="shared" si="3"/>
        <v>-4.7713523051333916E-4</v>
      </c>
      <c r="X30" s="97">
        <f t="shared" si="3"/>
        <v>-4.7713523051333916E-4</v>
      </c>
      <c r="Y30" s="97">
        <f t="shared" si="3"/>
        <v>0.44437174702447446</v>
      </c>
      <c r="Z30" s="97">
        <f t="shared" si="3"/>
        <v>-4.7713523051333916E-4</v>
      </c>
      <c r="AA30" s="97">
        <f t="shared" si="3"/>
        <v>-4.7713523051333916E-4</v>
      </c>
    </row>
    <row r="31" spans="2:31" ht="12.75" customHeight="1" x14ac:dyDescent="0.25">
      <c r="B31" s="21" t="s">
        <v>7</v>
      </c>
      <c r="C31" s="95">
        <f>Annual_sorted!N154</f>
        <v>-432.35086881169468</v>
      </c>
      <c r="D31" s="29">
        <f>IF(C31-Table_14634121139475563[Burundi]&gt;0, C31-Table_14634121139475563[Burundi], 0)</f>
        <v>0</v>
      </c>
      <c r="E31" s="29">
        <f>IF(C31-Table_14634121139475563[DRC]&gt;0, C31-Table_14634121139475563[DRC], 0)</f>
        <v>0</v>
      </c>
      <c r="F31" s="29">
        <f>IF(C31-Table_14634121139475563[Egypt]&gt;0, C31-Table_14634121139475563[Egypt], 0)</f>
        <v>0</v>
      </c>
      <c r="G31" s="29">
        <f>IF(C31-Table_14634121139475563[Eritrea]&gt;0, C31-Table_14634121139475563[Eritrea], 0)</f>
        <v>0</v>
      </c>
      <c r="H31" s="29">
        <f>IF(C31-Table_14634121139475563[Ethiopia]&gt;0, C31-Table_14634121139475563[Ethiopia], 0)</f>
        <v>0</v>
      </c>
      <c r="I31" s="29">
        <f>IF(C31-Table_14634121139475563[Kenya]&gt;0, C31-Table_14634121139475563[Kenya], 0)</f>
        <v>0</v>
      </c>
      <c r="J31" s="29">
        <f>IF(C31-Table_14634121139475563[Rwanda]&gt;0, C31-Table_14634121139475563[Rwanda], 0)</f>
        <v>0</v>
      </c>
      <c r="K31" s="29">
        <f>IF(C31-Table_14634121139475563[Sudan]&gt;0, C31-Table_14634121139475563[Sudan], 0)</f>
        <v>0</v>
      </c>
      <c r="L31" s="29">
        <f>IF(C31-Table_14634121139475563[S. Sudan]&gt;0, C31-Table_14634121139475563[S. Sudan], 0)</f>
        <v>336.73167636928906</v>
      </c>
      <c r="M31" s="29">
        <f>IF(C31-Table_14634121139475563[Tanzania]&gt;0, C31-Table_14634121139475563[Tanzania], 0)</f>
        <v>0</v>
      </c>
      <c r="N31" s="29">
        <f>IF(C31-Table_14634121139475563[Uganda]&gt;0, C31-Table_14634121139475563[Uganda], 0)</f>
        <v>0</v>
      </c>
      <c r="P31" s="21" t="s">
        <v>8</v>
      </c>
      <c r="Q31" s="97">
        <f t="shared" si="4"/>
        <v>-4.7713523051333916E-4</v>
      </c>
      <c r="R31" s="97">
        <f t="shared" si="3"/>
        <v>-4.7713523051333916E-4</v>
      </c>
      <c r="S31" s="97">
        <f t="shared" si="3"/>
        <v>-4.7713523051333916E-4</v>
      </c>
      <c r="T31" s="97">
        <f t="shared" si="3"/>
        <v>-4.7713523051333916E-4</v>
      </c>
      <c r="U31" s="97">
        <f t="shared" si="3"/>
        <v>-4.7713523051333916E-4</v>
      </c>
      <c r="V31" s="97">
        <f t="shared" si="3"/>
        <v>-4.7713523051333916E-4</v>
      </c>
      <c r="W31" s="97">
        <f t="shared" si="3"/>
        <v>-4.7713523051333916E-4</v>
      </c>
      <c r="X31" s="97">
        <f t="shared" si="3"/>
        <v>-4.7713523051333916E-4</v>
      </c>
      <c r="Y31" s="97">
        <f t="shared" si="3"/>
        <v>-4.7713523051333916E-4</v>
      </c>
      <c r="Z31" s="97">
        <f t="shared" si="3"/>
        <v>-4.7713523051333916E-4</v>
      </c>
      <c r="AA31" s="97">
        <f t="shared" si="3"/>
        <v>-4.7713523051333916E-4</v>
      </c>
    </row>
    <row r="32" spans="2:31" ht="12.75" customHeight="1" x14ac:dyDescent="0.25">
      <c r="B32" s="21" t="s">
        <v>8</v>
      </c>
      <c r="C32" s="95">
        <f>Annual_sorted!N155</f>
        <v>-769.08254518098374</v>
      </c>
      <c r="D32" s="29">
        <f>IF(C32-Table_14634121139475563[Burundi]&gt;0, C32-Table_14634121139475563[Burundi], 0)</f>
        <v>0</v>
      </c>
      <c r="E32" s="29">
        <f>IF(C32-Table_14634121139475563[DRC]&gt;0, C32-Table_14634121139475563[DRC], 0)</f>
        <v>0</v>
      </c>
      <c r="F32" s="29">
        <f>IF(C32-Table_14634121139475563[Egypt]&gt;0, C32-Table_14634121139475563[Egypt], 0)</f>
        <v>0</v>
      </c>
      <c r="G32" s="29">
        <f>IF(C32-Table_14634121139475563[Eritrea]&gt;0, C32-Table_14634121139475563[Eritrea], 0)</f>
        <v>0</v>
      </c>
      <c r="H32" s="29">
        <f>IF(C32-Table_14634121139475563[Ethiopia]&gt;0, C32-Table_14634121139475563[Ethiopia], 0)</f>
        <v>0</v>
      </c>
      <c r="I32" s="29">
        <f>IF(C32-Table_14634121139475563[Kenya]&gt;0, C32-Table_14634121139475563[Kenya], 0)</f>
        <v>0</v>
      </c>
      <c r="J32" s="29">
        <f>IF(C32-Table_14634121139475563[Rwanda]&gt;0, C32-Table_14634121139475563[Rwanda], 0)</f>
        <v>0</v>
      </c>
      <c r="K32" s="29">
        <f>IF(C32-Table_14634121139475563[Sudan]&gt;0, C32-Table_14634121139475563[Sudan], 0)</f>
        <v>0</v>
      </c>
      <c r="L32" s="29">
        <f>IF(C32-Table_14634121139475563[S. Sudan]&gt;0, C32-Table_14634121139475563[S. Sudan], 0)</f>
        <v>0</v>
      </c>
      <c r="M32" s="29">
        <f>IF(C32-Table_14634121139475563[Tanzania]&gt;0, C32-Table_14634121139475563[Tanzania], 0)</f>
        <v>0</v>
      </c>
      <c r="N32" s="29">
        <f>IF(C32-Table_14634121139475563[Uganda]&gt;0, C32-Table_14634121139475563[Uganda], 0)</f>
        <v>0</v>
      </c>
      <c r="P32" s="21" t="s">
        <v>9</v>
      </c>
      <c r="Q32" s="97">
        <f t="shared" si="4"/>
        <v>-4.7713523051333916E-4</v>
      </c>
      <c r="R32" s="97">
        <f t="shared" si="3"/>
        <v>-4.7713523051333916E-4</v>
      </c>
      <c r="S32" s="97">
        <f t="shared" si="3"/>
        <v>-4.7713523051333916E-4</v>
      </c>
      <c r="T32" s="97">
        <f t="shared" si="3"/>
        <v>-4.7713523051333916E-4</v>
      </c>
      <c r="U32" s="97">
        <f t="shared" si="3"/>
        <v>0.30744977467020995</v>
      </c>
      <c r="V32" s="97">
        <f t="shared" si="3"/>
        <v>-4.7713523051333916E-4</v>
      </c>
      <c r="W32" s="97">
        <f t="shared" si="3"/>
        <v>-4.7713523051333916E-4</v>
      </c>
      <c r="X32" s="97">
        <f t="shared" si="3"/>
        <v>0.4126344933962483</v>
      </c>
      <c r="Y32" s="97">
        <f t="shared" si="3"/>
        <v>0.85748337565123611</v>
      </c>
      <c r="Z32" s="97">
        <f t="shared" si="3"/>
        <v>-4.7713523051333916E-4</v>
      </c>
      <c r="AA32" s="97">
        <f t="shared" si="3"/>
        <v>0.21066837907447533</v>
      </c>
    </row>
    <row r="33" spans="2:31" ht="12.75" customHeight="1" thickBot="1" x14ac:dyDescent="0.3">
      <c r="B33" s="21" t="s">
        <v>9</v>
      </c>
      <c r="C33" s="95">
        <f>Annual_sorted!N156</f>
        <v>-119.64294307749007</v>
      </c>
      <c r="D33" s="29">
        <f>IF(C33-Table_14634121139475563[Burundi]&gt;0, C33-Table_14634121139475563[Burundi], 0)</f>
        <v>0</v>
      </c>
      <c r="E33" s="29">
        <f>IF(C33-Table_14634121139475563[DRC]&gt;0, C33-Table_14634121139475563[DRC], 0)</f>
        <v>0</v>
      </c>
      <c r="F33" s="29">
        <f>IF(C33-Table_14634121139475563[Egypt]&gt;0, C33-Table_14634121139475563[Egypt], 0)</f>
        <v>0</v>
      </c>
      <c r="G33" s="29">
        <f>IF(C33-Table_14634121139475563[Eritrea]&gt;0, C33-Table_14634121139475563[Eritrea], 0)</f>
        <v>0</v>
      </c>
      <c r="H33" s="29">
        <f>IF(C33-Table_14634121139475563[Ethiopia]&gt;0, C33-Table_14634121139475563[Ethiopia], 0)</f>
        <v>233.08756907396503</v>
      </c>
      <c r="I33" s="29">
        <f>IF(C33-Table_14634121139475563[Kenya]&gt;0, C33-Table_14634121139475563[Kenya], 0)</f>
        <v>0</v>
      </c>
      <c r="J33" s="29">
        <f>IF(C33-Table_14634121139475563[Rwanda]&gt;0, C33-Table_14634121139475563[Rwanda], 0)</f>
        <v>0</v>
      </c>
      <c r="K33" s="29">
        <f>IF(C33-Table_14634121139475563[Sudan]&gt;0, C33-Table_14634121139475563[Sudan], 0)</f>
        <v>312.70792573420459</v>
      </c>
      <c r="L33" s="29">
        <f>IF(C33-Table_14634121139475563[S. Sudan]&gt;0, C33-Table_14634121139475563[S. Sudan], 0)</f>
        <v>649.43960210349371</v>
      </c>
      <c r="M33" s="29">
        <f>IF(C33-Table_14634121139475563[Tanzania]&gt;0, C33-Table_14634121139475563[Tanzania], 0)</f>
        <v>0</v>
      </c>
      <c r="N33" s="29">
        <f>IF(C33-Table_14634121139475563[Uganda]&gt;0, C33-Table_14634121139475563[Uganda], 0)</f>
        <v>159.82817047749779</v>
      </c>
      <c r="P33" s="22" t="s">
        <v>10</v>
      </c>
      <c r="Q33" s="98">
        <f t="shared" si="4"/>
        <v>-4.7713523051333916E-4</v>
      </c>
      <c r="R33" s="98">
        <f t="shared" si="3"/>
        <v>-4.7713523051333916E-4</v>
      </c>
      <c r="S33" s="98">
        <f t="shared" si="3"/>
        <v>-4.7713523051333916E-4</v>
      </c>
      <c r="T33" s="98">
        <f t="shared" si="3"/>
        <v>-4.7713523051333916E-4</v>
      </c>
      <c r="U33" s="98">
        <f t="shared" si="3"/>
        <v>9.6304260365221356E-2</v>
      </c>
      <c r="V33" s="98">
        <f t="shared" si="3"/>
        <v>-4.7713523051333916E-4</v>
      </c>
      <c r="W33" s="98">
        <f t="shared" si="3"/>
        <v>-4.7713523051333916E-4</v>
      </c>
      <c r="X33" s="98">
        <f t="shared" si="3"/>
        <v>0.20148897909125971</v>
      </c>
      <c r="Y33" s="98">
        <f t="shared" si="3"/>
        <v>0.64633786134624749</v>
      </c>
      <c r="Z33" s="98">
        <f t="shared" si="3"/>
        <v>-4.7713523051333916E-4</v>
      </c>
      <c r="AA33" s="98">
        <f t="shared" si="3"/>
        <v>-4.7713523051333916E-4</v>
      </c>
      <c r="AB33" s="186">
        <f>SUM(Q23:AA33)</f>
        <v>18.525457780173518</v>
      </c>
    </row>
    <row r="34" spans="2:31" ht="12.75" customHeight="1" thickBot="1" x14ac:dyDescent="0.3">
      <c r="B34" s="22" t="s">
        <v>10</v>
      </c>
      <c r="C34" s="96">
        <f>Annual_sorted!N157</f>
        <v>-279.47111355498788</v>
      </c>
      <c r="D34" s="32">
        <f>IF(C34-Table_14634121139475563[Burundi]&gt;0, C34-Table_14634121139475563[Burundi], 0)</f>
        <v>0</v>
      </c>
      <c r="E34" s="32">
        <f>IF(C34-Table_14634121139475563[DRC]&gt;0, C34-Table_14634121139475563[DRC], 0)</f>
        <v>0</v>
      </c>
      <c r="F34" s="32">
        <f>IF(C34-Table_14634121139475563[Egypt]&gt;0, C34-Table_14634121139475563[Egypt], 0)</f>
        <v>0</v>
      </c>
      <c r="G34" s="32">
        <f>IF(C34-Table_14634121139475563[Eritrea]&gt;0, C34-Table_14634121139475563[Eritrea], 0)</f>
        <v>0</v>
      </c>
      <c r="H34" s="32">
        <f>IF(C34-Table_14634121139475563[Ethiopia]&gt;0, C34-Table_14634121139475563[Ethiopia], 0)</f>
        <v>73.259398596467236</v>
      </c>
      <c r="I34" s="32">
        <f>IF(C34-Table_14634121139475563[Kenya]&gt;0, C34-Table_14634121139475563[Kenya], 0)</f>
        <v>0</v>
      </c>
      <c r="J34" s="32">
        <f>IF(C34-Table_14634121139475563[Rwanda]&gt;0, C34-Table_14634121139475563[Rwanda], 0)</f>
        <v>0</v>
      </c>
      <c r="K34" s="32">
        <f>IF(C34-Table_14634121139475563[Sudan]&gt;0, C34-Table_14634121139475563[Sudan], 0)</f>
        <v>152.8797552567068</v>
      </c>
      <c r="L34" s="32">
        <f>IF(C34-Table_14634121139475563[S. Sudan]&gt;0, C34-Table_14634121139475563[S. Sudan], 0)</f>
        <v>489.61143162599586</v>
      </c>
      <c r="M34" s="32">
        <f>IF(C34-Table_14634121139475563[Tanzania]&gt;0, C34-Table_14634121139475563[Tanzania], 0)</f>
        <v>0</v>
      </c>
      <c r="N34" s="32">
        <f>IF(C34-Table_14634121139475563[Uganda]&gt;0, C34-Table_14634121139475563[Uganda], 0)</f>
        <v>0</v>
      </c>
    </row>
    <row r="35" spans="2:31" ht="12.75" customHeight="1" x14ac:dyDescent="0.25">
      <c r="C35" s="19"/>
    </row>
    <row r="36" spans="2:31" ht="12.75" customHeight="1" x14ac:dyDescent="0.25"/>
    <row r="37" spans="2:31" ht="12.75" customHeight="1" x14ac:dyDescent="0.25">
      <c r="B37" s="5"/>
      <c r="C37" s="5"/>
      <c r="D37" s="5"/>
      <c r="E37" s="5"/>
      <c r="F37" s="5"/>
      <c r="G37" s="5"/>
      <c r="H37" s="5"/>
      <c r="I37" s="5"/>
      <c r="J37" s="5"/>
      <c r="K37" s="5"/>
      <c r="L37" s="5"/>
      <c r="M37" s="5"/>
      <c r="N37" s="5"/>
      <c r="O37" s="5"/>
      <c r="P37" s="5"/>
      <c r="Q37" s="5"/>
      <c r="R37" s="5"/>
      <c r="S37" s="5"/>
      <c r="T37" s="5"/>
      <c r="U37" s="5"/>
      <c r="V37" s="5"/>
      <c r="W37" s="5"/>
      <c r="X37" s="5"/>
      <c r="Y37" s="5"/>
      <c r="Z37" s="5"/>
      <c r="AA37" s="5"/>
    </row>
    <row r="38" spans="2:31" ht="12.75" customHeight="1" x14ac:dyDescent="0.25">
      <c r="B38" s="5"/>
      <c r="C38" s="5"/>
      <c r="D38" s="5"/>
      <c r="E38" s="5"/>
      <c r="F38" s="5"/>
      <c r="G38" s="5"/>
      <c r="H38" s="5"/>
      <c r="I38" s="5"/>
      <c r="J38" s="5"/>
      <c r="K38" s="5"/>
      <c r="L38" s="5"/>
      <c r="M38" s="5"/>
      <c r="N38" s="44"/>
      <c r="O38" s="5"/>
      <c r="P38" s="5"/>
      <c r="Q38" s="5"/>
      <c r="R38" s="5"/>
      <c r="S38" s="5"/>
      <c r="T38" s="5"/>
      <c r="U38" s="5"/>
      <c r="V38" s="5"/>
      <c r="W38" s="5"/>
      <c r="X38" s="5"/>
      <c r="Y38" s="5"/>
      <c r="Z38" s="5"/>
      <c r="AA38" s="5"/>
    </row>
    <row r="39" spans="2:31" ht="12.75" customHeight="1" thickBot="1" x14ac:dyDescent="0.3">
      <c r="B39" s="253" t="s">
        <v>77</v>
      </c>
      <c r="C39" s="253"/>
      <c r="D39" s="253"/>
      <c r="E39" s="253"/>
      <c r="F39" s="253"/>
      <c r="G39" s="253"/>
      <c r="H39" s="253"/>
      <c r="I39" s="253"/>
      <c r="J39" s="253"/>
      <c r="K39" s="253"/>
      <c r="L39" s="253"/>
      <c r="M39" s="253"/>
      <c r="N39" s="253"/>
      <c r="O39" s="5"/>
      <c r="P39" s="253" t="s">
        <v>78</v>
      </c>
      <c r="Q39" s="253"/>
      <c r="R39" s="253"/>
      <c r="S39" s="253"/>
      <c r="T39" s="253"/>
      <c r="U39" s="253"/>
      <c r="V39" s="253"/>
      <c r="W39" s="253"/>
      <c r="X39" s="253"/>
      <c r="Y39" s="253"/>
      <c r="Z39" s="253"/>
      <c r="AA39" s="253"/>
      <c r="AB39" s="10"/>
      <c r="AC39" s="3" t="s">
        <v>22</v>
      </c>
      <c r="AD39" s="13" t="s">
        <v>23</v>
      </c>
      <c r="AE39" s="74">
        <f t="array" ref="AE39">MIN(IF(D42:N52&gt;0,D42:N52))</f>
        <v>0.12855124920159117</v>
      </c>
    </row>
    <row r="40" spans="2:31" ht="12.75" customHeight="1" thickBot="1" x14ac:dyDescent="0.3">
      <c r="B40" s="75" t="s">
        <v>13</v>
      </c>
      <c r="C40" s="66" t="s">
        <v>14</v>
      </c>
      <c r="D40" s="67" t="s">
        <v>1</v>
      </c>
      <c r="E40" s="67" t="s">
        <v>195</v>
      </c>
      <c r="F40" s="67" t="s">
        <v>2</v>
      </c>
      <c r="G40" s="67" t="s">
        <v>3</v>
      </c>
      <c r="H40" s="67" t="s">
        <v>4</v>
      </c>
      <c r="I40" s="67" t="s">
        <v>5</v>
      </c>
      <c r="J40" s="67" t="s">
        <v>6</v>
      </c>
      <c r="K40" s="67" t="s">
        <v>7</v>
      </c>
      <c r="L40" s="67" t="s">
        <v>295</v>
      </c>
      <c r="M40" s="67" t="s">
        <v>9</v>
      </c>
      <c r="N40" s="67" t="s">
        <v>10</v>
      </c>
      <c r="P40" s="76" t="s">
        <v>19</v>
      </c>
      <c r="Q40" s="77" t="s">
        <v>1</v>
      </c>
      <c r="R40" s="77" t="s">
        <v>195</v>
      </c>
      <c r="S40" s="77" t="s">
        <v>2</v>
      </c>
      <c r="T40" s="77" t="s">
        <v>3</v>
      </c>
      <c r="U40" s="77" t="s">
        <v>4</v>
      </c>
      <c r="V40" s="77" t="s">
        <v>5</v>
      </c>
      <c r="W40" s="77" t="s">
        <v>6</v>
      </c>
      <c r="X40" s="77" t="s">
        <v>7</v>
      </c>
      <c r="Y40" s="77" t="s">
        <v>295</v>
      </c>
      <c r="Z40" s="77" t="s">
        <v>9</v>
      </c>
      <c r="AA40" s="77" t="s">
        <v>10</v>
      </c>
      <c r="AB40" s="254" t="s">
        <v>26</v>
      </c>
      <c r="AC40" s="254"/>
      <c r="AD40" s="13" t="s">
        <v>24</v>
      </c>
      <c r="AE40" s="20">
        <f>MAX(D42:N52)</f>
        <v>108.59524818502636</v>
      </c>
    </row>
    <row r="41" spans="2:31" ht="12.75" customHeight="1" x14ac:dyDescent="0.25">
      <c r="B41" s="93"/>
      <c r="C41" s="94" t="s">
        <v>259</v>
      </c>
      <c r="D41" s="95">
        <f>C42</f>
        <v>-1.4278887186703466</v>
      </c>
      <c r="E41" s="95">
        <f>C43</f>
        <v>5.9381621769570875E-2</v>
      </c>
      <c r="F41" s="95">
        <f>C44</f>
        <v>1.3839066623679124</v>
      </c>
      <c r="G41" s="95">
        <f>C45</f>
        <v>-2.4557098655981071</v>
      </c>
      <c r="H41" s="95">
        <f>C46</f>
        <v>-107.21134152265846</v>
      </c>
      <c r="I41" s="95">
        <f>C47</f>
        <v>-13.255423370554974</v>
      </c>
      <c r="J41" s="95">
        <f>C48</f>
        <v>-9.5573975871802469E-2</v>
      </c>
      <c r="K41" s="95">
        <f>C49</f>
        <v>0.59273856154496418</v>
      </c>
      <c r="L41" s="95">
        <f>C50</f>
        <v>0.18793287097116204</v>
      </c>
      <c r="M41" s="95">
        <f>C51</f>
        <v>-15.186263623580539</v>
      </c>
      <c r="N41" s="95">
        <f>C52</f>
        <v>-17.190430459149319</v>
      </c>
      <c r="P41" s="21" t="s">
        <v>1</v>
      </c>
      <c r="Q41" s="97">
        <f>$AE$41+(D42-$AE$39)*($AE$42-$AE$41)/($AE$40-$AE$39)</f>
        <v>-1.8398274844095186E-4</v>
      </c>
      <c r="R41" s="97">
        <f t="shared" ref="R41:AA51" si="5">$AE$41+(E42-$AE$39)*($AE$42-$AE$41)/($AE$40-$AE$39)</f>
        <v>-1.8398274844095186E-4</v>
      </c>
      <c r="S41" s="97">
        <f t="shared" si="5"/>
        <v>-1.8398274844095186E-4</v>
      </c>
      <c r="T41" s="97">
        <f t="shared" si="5"/>
        <v>9.2824558431973958E-3</v>
      </c>
      <c r="U41" s="97">
        <f t="shared" si="5"/>
        <v>0.9741028014587817</v>
      </c>
      <c r="V41" s="97">
        <f t="shared" si="5"/>
        <v>0.10874997994264758</v>
      </c>
      <c r="W41" s="97">
        <f t="shared" si="5"/>
        <v>-1.8398274844095186E-4</v>
      </c>
      <c r="X41" s="97">
        <f t="shared" si="5"/>
        <v>-1.8398274844095186E-4</v>
      </c>
      <c r="Y41" s="97">
        <f t="shared" si="5"/>
        <v>-1.8398274844095186E-4</v>
      </c>
      <c r="Z41" s="97">
        <f t="shared" si="5"/>
        <v>0.12653340533739149</v>
      </c>
      <c r="AA41" s="97">
        <f t="shared" si="5"/>
        <v>0.14499218324152377</v>
      </c>
      <c r="AD41" s="3" t="s">
        <v>25</v>
      </c>
      <c r="AE41" s="2">
        <v>1E-3</v>
      </c>
    </row>
    <row r="42" spans="2:31" ht="12.75" customHeight="1" x14ac:dyDescent="0.25">
      <c r="B42" s="21" t="s">
        <v>1</v>
      </c>
      <c r="C42" s="95">
        <f>Annual_sorted!O147</f>
        <v>-1.4278887186703466</v>
      </c>
      <c r="D42" s="29">
        <f>IF(C42-Table_146345152041495765[Burundi]&gt;0, C42-Table_146345152041495765[Burundi], 0)</f>
        <v>0</v>
      </c>
      <c r="E42" s="29">
        <f>IF(C42-Table_146345152041495765[DRC]&gt;0, C42-Table_146345152041495765[DRC], 0)</f>
        <v>0</v>
      </c>
      <c r="F42" s="29">
        <f>IF(C42-Table_146345152041495765[Egypt]&gt;0, C42-Table_146345152041495765[Egypt], 0)</f>
        <v>0</v>
      </c>
      <c r="G42" s="29">
        <f>IF(C42-Table_146345152041495765[Eritrea]&gt;0, C42-Table_146345152041495765[Eritrea], 0)</f>
        <v>1.0278211469277605</v>
      </c>
      <c r="H42" s="29">
        <f>IF(C42-Table_146345152041495765[Ethiopia]&gt;0, C42-Table_146345152041495765[Ethiopia], 0)</f>
        <v>105.78345280398811</v>
      </c>
      <c r="I42" s="29">
        <f>IF(C42-Table_146345152041495765[Kenya]&gt;0, C42-Table_146345152041495765[Kenya], 0)</f>
        <v>11.827534651884626</v>
      </c>
      <c r="J42" s="29">
        <f>IF(C42-Table_146345152041495765[Rwanda]&gt;0, C42-Table_146345152041495765[Rwanda], 0)</f>
        <v>0</v>
      </c>
      <c r="K42" s="29">
        <f>IF(C42-Table_146345152041495765[Sudan]&gt;0, C42-Table_146345152041495765[Sudan], 0)</f>
        <v>0</v>
      </c>
      <c r="L42" s="29">
        <f>IF(C42-Table_146345152041495765[S. Sudan]&gt;0, C42-Table_146345152041495765[S. Sudan], 0)</f>
        <v>0</v>
      </c>
      <c r="M42" s="29">
        <f>IF(C42-Table_146345152041495765[Tanzania]&gt;0, C42-Table_146345152041495765[Tanzania], 0)</f>
        <v>13.758374904910191</v>
      </c>
      <c r="N42" s="29">
        <f>IF(C42-Table_146345152041495765[Uganda]&gt;0, C42-Table_146345152041495765[Uganda], 0)</f>
        <v>15.762541740478973</v>
      </c>
      <c r="P42" s="21" t="s">
        <v>195</v>
      </c>
      <c r="Q42" s="97">
        <f t="shared" ref="Q42:Q51" si="6">$AE$41+(D43-$AE$39)*($AE$42-$AE$41)/($AE$40-$AE$39)</f>
        <v>1.3514074923385761E-2</v>
      </c>
      <c r="R42" s="97">
        <f t="shared" si="5"/>
        <v>-1.8398274844095186E-4</v>
      </c>
      <c r="S42" s="97">
        <f t="shared" si="5"/>
        <v>-1.8398274844095186E-4</v>
      </c>
      <c r="T42" s="97">
        <f t="shared" si="5"/>
        <v>2.2980513515024111E-2</v>
      </c>
      <c r="U42" s="97">
        <f t="shared" si="5"/>
        <v>0.98780085913060844</v>
      </c>
      <c r="V42" s="97">
        <f t="shared" si="5"/>
        <v>0.1224480376144743</v>
      </c>
      <c r="W42" s="97">
        <f t="shared" si="5"/>
        <v>1.2431893367873931E-3</v>
      </c>
      <c r="X42" s="97">
        <f t="shared" si="5"/>
        <v>-1.8398274844095186E-4</v>
      </c>
      <c r="Y42" s="97">
        <f t="shared" si="5"/>
        <v>-1.8398274844095186E-4</v>
      </c>
      <c r="Z42" s="97">
        <f t="shared" si="5"/>
        <v>0.14023146300921824</v>
      </c>
      <c r="AA42" s="97">
        <f t="shared" si="5"/>
        <v>0.15869024091335043</v>
      </c>
      <c r="AD42" s="3" t="s">
        <v>70</v>
      </c>
      <c r="AE42" s="2">
        <v>1</v>
      </c>
    </row>
    <row r="43" spans="2:31" ht="12.75" customHeight="1" x14ac:dyDescent="0.25">
      <c r="B43" s="21" t="s">
        <v>195</v>
      </c>
      <c r="C43" s="95">
        <f>Annual_sorted!O148</f>
        <v>5.9381621769570875E-2</v>
      </c>
      <c r="D43" s="29">
        <f>IF(C43-Table_146345152041495765[Burundi]&gt;0, C43-Table_146345152041495765[Burundi], 0)</f>
        <v>1.4872703404399175</v>
      </c>
      <c r="E43" s="29">
        <f>IF(C43-Table_146345152041495765[DRC]&gt;0, C43-Table_146345152041495765[DRC], 0)</f>
        <v>0</v>
      </c>
      <c r="F43" s="29">
        <f>IF(C43-Table_146345152041495765[Egypt]&gt;0, C43-Table_146345152041495765[Egypt], 0)</f>
        <v>0</v>
      </c>
      <c r="G43" s="29">
        <f>IF(C43-Table_146345152041495765[Eritrea]&gt;0, C43-Table_146345152041495765[Eritrea], 0)</f>
        <v>2.5150914873676782</v>
      </c>
      <c r="H43" s="29">
        <f>IF(C43-Table_146345152041495765[Ethiopia]&gt;0, C43-Table_146345152041495765[Ethiopia], 0)</f>
        <v>107.27072314442803</v>
      </c>
      <c r="I43" s="29">
        <f>IF(C43-Table_146345152041495765[Kenya]&gt;0, C43-Table_146345152041495765[Kenya], 0)</f>
        <v>13.314804992324545</v>
      </c>
      <c r="J43" s="29">
        <f>IF(C43-Table_146345152041495765[Rwanda]&gt;0, C43-Table_146345152041495765[Rwanda], 0)</f>
        <v>0.15495559764137334</v>
      </c>
      <c r="K43" s="29">
        <f>IF(C43-Table_146345152041495765[Sudan]&gt;0, C43-Table_146345152041495765[Sudan], 0)</f>
        <v>0</v>
      </c>
      <c r="L43" s="29">
        <f>IF(C43-Table_146345152041495765[S. Sudan]&gt;0, C43-Table_146345152041495765[S. Sudan], 0)</f>
        <v>0</v>
      </c>
      <c r="M43" s="29">
        <f>IF(C43-Table_146345152041495765[Tanzania]&gt;0, C43-Table_146345152041495765[Tanzania], 0)</f>
        <v>15.24564524535011</v>
      </c>
      <c r="N43" s="29">
        <f>IF(C43-Table_146345152041495765[Uganda]&gt;0, C43-Table_146345152041495765[Uganda], 0)</f>
        <v>17.24981208091889</v>
      </c>
      <c r="P43" s="21" t="s">
        <v>2</v>
      </c>
      <c r="Q43" s="97">
        <f t="shared" si="6"/>
        <v>2.5713215792777456E-2</v>
      </c>
      <c r="R43" s="97">
        <f t="shared" si="5"/>
        <v>1.2015158120950747E-2</v>
      </c>
      <c r="S43" s="97">
        <f t="shared" si="5"/>
        <v>-1.8398274844095186E-4</v>
      </c>
      <c r="T43" s="97">
        <f t="shared" si="5"/>
        <v>3.5179654384415809E-2</v>
      </c>
      <c r="U43" s="97">
        <f t="shared" si="5"/>
        <v>1</v>
      </c>
      <c r="V43" s="97">
        <f t="shared" si="5"/>
        <v>0.13464717848386601</v>
      </c>
      <c r="W43" s="97">
        <f t="shared" si="5"/>
        <v>1.344233020617909E-2</v>
      </c>
      <c r="X43" s="97">
        <f t="shared" si="5"/>
        <v>7.1028338971305307E-3</v>
      </c>
      <c r="Y43" s="97">
        <f t="shared" si="5"/>
        <v>1.0831175372509792E-2</v>
      </c>
      <c r="Z43" s="97">
        <f t="shared" si="5"/>
        <v>0.15243060387860988</v>
      </c>
      <c r="AA43" s="97">
        <f t="shared" si="5"/>
        <v>0.17088938178274216</v>
      </c>
    </row>
    <row r="44" spans="2:31" ht="12.75" customHeight="1" x14ac:dyDescent="0.25">
      <c r="B44" s="21" t="s">
        <v>2</v>
      </c>
      <c r="C44" s="95">
        <f>Annual_sorted!O149</f>
        <v>1.3839066623679124</v>
      </c>
      <c r="D44" s="29">
        <f>IF(C44-Table_146345152041495765[Burundi]&gt;0, C44-Table_146345152041495765[Burundi], 0)</f>
        <v>2.8117953810382588</v>
      </c>
      <c r="E44" s="29">
        <f>IF(C44-Table_146345152041495765[DRC]&gt;0, C44-Table_146345152041495765[DRC], 0)</f>
        <v>1.3245250405983415</v>
      </c>
      <c r="F44" s="29">
        <f>IF(C44-Table_146345152041495765[Egypt]&gt;0, C44-Table_146345152041495765[Egypt], 0)</f>
        <v>0</v>
      </c>
      <c r="G44" s="29">
        <f>IF(C44-Table_146345152041495765[Eritrea]&gt;0, C44-Table_146345152041495765[Eritrea], 0)</f>
        <v>3.8396165279660197</v>
      </c>
      <c r="H44" s="29">
        <f>IF(C44-Table_146345152041495765[Ethiopia]&gt;0, C44-Table_146345152041495765[Ethiopia], 0)</f>
        <v>108.59524818502636</v>
      </c>
      <c r="I44" s="29">
        <f>IF(C44-Table_146345152041495765[Kenya]&gt;0, C44-Table_146345152041495765[Kenya], 0)</f>
        <v>14.639330032922887</v>
      </c>
      <c r="J44" s="29">
        <f>IF(C44-Table_146345152041495765[Rwanda]&gt;0, C44-Table_146345152041495765[Rwanda], 0)</f>
        <v>1.4794806382397148</v>
      </c>
      <c r="K44" s="29">
        <f>IF(C44-Table_146345152041495765[Sudan]&gt;0, C44-Table_146345152041495765[Sudan], 0)</f>
        <v>0.79116810082294819</v>
      </c>
      <c r="L44" s="29">
        <f>IF(C44-Table_146345152041495765[S. Sudan]&gt;0, C44-Table_146345152041495765[S. Sudan], 0)</f>
        <v>1.1959737913967503</v>
      </c>
      <c r="M44" s="29">
        <f>IF(C44-Table_146345152041495765[Tanzania]&gt;0, C44-Table_146345152041495765[Tanzania], 0)</f>
        <v>16.57017028594845</v>
      </c>
      <c r="N44" s="29">
        <f>IF(C44-Table_146345152041495765[Uganda]&gt;0, C44-Table_146345152041495765[Uganda], 0)</f>
        <v>18.574337121517232</v>
      </c>
      <c r="P44" s="21" t="s">
        <v>3</v>
      </c>
      <c r="Q44" s="97">
        <f t="shared" si="6"/>
        <v>-1.8398274844095186E-4</v>
      </c>
      <c r="R44" s="97">
        <f t="shared" si="5"/>
        <v>-1.8398274844095186E-4</v>
      </c>
      <c r="S44" s="97">
        <f t="shared" si="5"/>
        <v>-1.8398274844095186E-4</v>
      </c>
      <c r="T44" s="97">
        <f t="shared" si="5"/>
        <v>-1.8398274844095186E-4</v>
      </c>
      <c r="U44" s="97">
        <f t="shared" si="5"/>
        <v>0.96463636286714316</v>
      </c>
      <c r="V44" s="97">
        <f t="shared" si="5"/>
        <v>9.9283541351009225E-2</v>
      </c>
      <c r="W44" s="97">
        <f t="shared" si="5"/>
        <v>-1.8398274844095186E-4</v>
      </c>
      <c r="X44" s="97">
        <f t="shared" si="5"/>
        <v>-1.8398274844095186E-4</v>
      </c>
      <c r="Y44" s="97">
        <f t="shared" si="5"/>
        <v>-1.8398274844095186E-4</v>
      </c>
      <c r="Z44" s="97">
        <f t="shared" si="5"/>
        <v>0.11706696674575316</v>
      </c>
      <c r="AA44" s="97">
        <f t="shared" si="5"/>
        <v>0.1355257446498854</v>
      </c>
    </row>
    <row r="45" spans="2:31" ht="12.75" customHeight="1" x14ac:dyDescent="0.25">
      <c r="B45" s="21" t="s">
        <v>3</v>
      </c>
      <c r="C45" s="95">
        <f>Annual_sorted!O150</f>
        <v>-2.4557098655981071</v>
      </c>
      <c r="D45" s="29">
        <f>IF(C45-Table_146345152041495765[Burundi]&gt;0, C45-Table_146345152041495765[Burundi], 0)</f>
        <v>0</v>
      </c>
      <c r="E45" s="29">
        <f>IF(C45-Table_146345152041495765[DRC]&gt;0, C45-Table_146345152041495765[DRC], 0)</f>
        <v>0</v>
      </c>
      <c r="F45" s="29">
        <f>IF(C45-Table_146345152041495765[Egypt]&gt;0, C45-Table_146345152041495765[Egypt], 0)</f>
        <v>0</v>
      </c>
      <c r="G45" s="29">
        <f>IF(C45-Table_146345152041495765[Eritrea]&gt;0, C45-Table_146345152041495765[Eritrea], 0)</f>
        <v>0</v>
      </c>
      <c r="H45" s="29">
        <f>IF(C45-Table_146345152041495765[Ethiopia]&gt;0, C45-Table_146345152041495765[Ethiopia], 0)</f>
        <v>104.75563165706035</v>
      </c>
      <c r="I45" s="29">
        <f>IF(C45-Table_146345152041495765[Kenya]&gt;0, C45-Table_146345152041495765[Kenya], 0)</f>
        <v>10.799713504956866</v>
      </c>
      <c r="J45" s="29">
        <f>IF(C45-Table_146345152041495765[Rwanda]&gt;0, C45-Table_146345152041495765[Rwanda], 0)</f>
        <v>0</v>
      </c>
      <c r="K45" s="29">
        <f>IF(C45-Table_146345152041495765[Sudan]&gt;0, C45-Table_146345152041495765[Sudan], 0)</f>
        <v>0</v>
      </c>
      <c r="L45" s="29">
        <f>IF(C45-Table_146345152041495765[S. Sudan]&gt;0, C45-Table_146345152041495765[S. Sudan], 0)</f>
        <v>0</v>
      </c>
      <c r="M45" s="29">
        <f>IF(C45-Table_146345152041495765[Tanzania]&gt;0, C45-Table_146345152041495765[Tanzania], 0)</f>
        <v>12.730553757982431</v>
      </c>
      <c r="N45" s="29">
        <f>IF(C45-Table_146345152041495765[Uganda]&gt;0, C45-Table_146345152041495765[Uganda], 0)</f>
        <v>14.734720593551211</v>
      </c>
      <c r="P45" s="21" t="s">
        <v>4</v>
      </c>
      <c r="Q45" s="97">
        <f t="shared" si="6"/>
        <v>-1.8398274844095186E-4</v>
      </c>
      <c r="R45" s="97">
        <f t="shared" si="5"/>
        <v>-1.8398274844095186E-4</v>
      </c>
      <c r="S45" s="97">
        <f t="shared" si="5"/>
        <v>-1.8398274844095186E-4</v>
      </c>
      <c r="T45" s="97">
        <f t="shared" si="5"/>
        <v>-1.8398274844095186E-4</v>
      </c>
      <c r="U45" s="97">
        <f t="shared" si="5"/>
        <v>-1.8398274844095186E-4</v>
      </c>
      <c r="V45" s="97">
        <f t="shared" si="5"/>
        <v>-1.8398274844095186E-4</v>
      </c>
      <c r="W45" s="97">
        <f t="shared" si="5"/>
        <v>-1.8398274844095186E-4</v>
      </c>
      <c r="X45" s="97">
        <f t="shared" si="5"/>
        <v>-1.8398274844095186E-4</v>
      </c>
      <c r="Y45" s="97">
        <f t="shared" si="5"/>
        <v>-1.8398274844095186E-4</v>
      </c>
      <c r="Z45" s="97">
        <f t="shared" si="5"/>
        <v>-1.8398274844095186E-4</v>
      </c>
      <c r="AA45" s="97">
        <f t="shared" si="5"/>
        <v>-1.8398274844095186E-4</v>
      </c>
    </row>
    <row r="46" spans="2:31" ht="12.75" customHeight="1" x14ac:dyDescent="0.25">
      <c r="B46" s="21" t="s">
        <v>4</v>
      </c>
      <c r="C46" s="95">
        <f>Annual_sorted!O151</f>
        <v>-107.21134152265846</v>
      </c>
      <c r="D46" s="29">
        <f>IF(C46-Table_146345152041495765[Burundi]&gt;0, C46-Table_146345152041495765[Burundi], 0)</f>
        <v>0</v>
      </c>
      <c r="E46" s="29">
        <f>IF(C46-Table_146345152041495765[DRC]&gt;0, C46-Table_146345152041495765[DRC], 0)</f>
        <v>0</v>
      </c>
      <c r="F46" s="29">
        <f>IF(C46-Table_146345152041495765[Egypt]&gt;0, C46-Table_146345152041495765[Egypt], 0)</f>
        <v>0</v>
      </c>
      <c r="G46" s="29">
        <f>IF(C46-Table_146345152041495765[Eritrea]&gt;0, C46-Table_146345152041495765[Eritrea], 0)</f>
        <v>0</v>
      </c>
      <c r="H46" s="29">
        <f>IF(C46-Table_146345152041495765[Ethiopia]&gt;0, C46-Table_146345152041495765[Ethiopia], 0)</f>
        <v>0</v>
      </c>
      <c r="I46" s="29">
        <f>IF(C46-Table_146345152041495765[Kenya]&gt;0, C46-Table_146345152041495765[Kenya], 0)</f>
        <v>0</v>
      </c>
      <c r="J46" s="29">
        <f>IF(C46-Table_146345152041495765[Rwanda]&gt;0, C46-Table_146345152041495765[Rwanda], 0)</f>
        <v>0</v>
      </c>
      <c r="K46" s="29">
        <f>IF(C46-Table_146345152041495765[Sudan]&gt;0, C46-Table_146345152041495765[Sudan], 0)</f>
        <v>0</v>
      </c>
      <c r="L46" s="29">
        <f>IF(C46-Table_146345152041495765[S. Sudan]&gt;0, C46-Table_146345152041495765[S. Sudan], 0)</f>
        <v>0</v>
      </c>
      <c r="M46" s="29">
        <f>IF(C46-Table_146345152041495765[Tanzania]&gt;0, C46-Table_146345152041495765[Tanzania], 0)</f>
        <v>0</v>
      </c>
      <c r="N46" s="29">
        <f>IF(C46-Table_146345152041495765[Uganda]&gt;0, C46-Table_146345152041495765[Uganda], 0)</f>
        <v>0</v>
      </c>
      <c r="P46" s="21" t="s">
        <v>5</v>
      </c>
      <c r="Q46" s="97">
        <f t="shared" si="6"/>
        <v>-1.8398274844095186E-4</v>
      </c>
      <c r="R46" s="97">
        <f t="shared" si="5"/>
        <v>-1.8398274844095186E-4</v>
      </c>
      <c r="S46" s="97">
        <f t="shared" si="5"/>
        <v>-1.8398274844095186E-4</v>
      </c>
      <c r="T46" s="97">
        <f t="shared" si="5"/>
        <v>-1.8398274844095186E-4</v>
      </c>
      <c r="U46" s="97">
        <f t="shared" si="5"/>
        <v>0.86516883876769313</v>
      </c>
      <c r="V46" s="97">
        <f t="shared" si="5"/>
        <v>-1.8398274844095186E-4</v>
      </c>
      <c r="W46" s="97">
        <f t="shared" si="5"/>
        <v>-1.8398274844095186E-4</v>
      </c>
      <c r="X46" s="97">
        <f t="shared" si="5"/>
        <v>-1.8398274844095186E-4</v>
      </c>
      <c r="Y46" s="97">
        <f t="shared" si="5"/>
        <v>-1.8398274844095186E-4</v>
      </c>
      <c r="Z46" s="97">
        <f t="shared" si="5"/>
        <v>1.7599442646302973E-2</v>
      </c>
      <c r="AA46" s="97">
        <f t="shared" si="5"/>
        <v>3.605822055043522E-2</v>
      </c>
    </row>
    <row r="47" spans="2:31" ht="12.75" customHeight="1" x14ac:dyDescent="0.25">
      <c r="B47" s="21" t="s">
        <v>5</v>
      </c>
      <c r="C47" s="95">
        <f>Annual_sorted!O152</f>
        <v>-13.255423370554974</v>
      </c>
      <c r="D47" s="29">
        <f>IF(C47-Table_146345152041495765[Burundi]&gt;0, C47-Table_146345152041495765[Burundi], 0)</f>
        <v>0</v>
      </c>
      <c r="E47" s="29">
        <f>IF(C47-Table_146345152041495765[DRC]&gt;0, C47-Table_146345152041495765[DRC], 0)</f>
        <v>0</v>
      </c>
      <c r="F47" s="29">
        <f>IF(C47-Table_146345152041495765[Egypt]&gt;0, C47-Table_146345152041495765[Egypt], 0)</f>
        <v>0</v>
      </c>
      <c r="G47" s="29">
        <f>IF(C47-Table_146345152041495765[Eritrea]&gt;0, C47-Table_146345152041495765[Eritrea], 0)</f>
        <v>0</v>
      </c>
      <c r="H47" s="29">
        <f>IF(C47-Table_146345152041495765[Ethiopia]&gt;0, C47-Table_146345152041495765[Ethiopia], 0)</f>
        <v>93.955918152103479</v>
      </c>
      <c r="I47" s="29">
        <f>IF(C47-Table_146345152041495765[Kenya]&gt;0, C47-Table_146345152041495765[Kenya], 0)</f>
        <v>0</v>
      </c>
      <c r="J47" s="29">
        <f>IF(C47-Table_146345152041495765[Rwanda]&gt;0, C47-Table_146345152041495765[Rwanda], 0)</f>
        <v>0</v>
      </c>
      <c r="K47" s="29">
        <f>IF(C47-Table_146345152041495765[Sudan]&gt;0, C47-Table_146345152041495765[Sudan], 0)</f>
        <v>0</v>
      </c>
      <c r="L47" s="29">
        <f>IF(C47-Table_146345152041495765[S. Sudan]&gt;0, C47-Table_146345152041495765[S. Sudan], 0)</f>
        <v>0</v>
      </c>
      <c r="M47" s="29">
        <f>IF(C47-Table_146345152041495765[Tanzania]&gt;0, C47-Table_146345152041495765[Tanzania], 0)</f>
        <v>1.9308402530255648</v>
      </c>
      <c r="N47" s="29">
        <f>IF(C47-Table_146345152041495765[Uganda]&gt;0, C47-Table_146345152041495765[Uganda], 0)</f>
        <v>3.9350070885943449</v>
      </c>
      <c r="P47" s="21" t="s">
        <v>6</v>
      </c>
      <c r="Q47" s="97">
        <f t="shared" si="6"/>
        <v>1.2086902838157419E-2</v>
      </c>
      <c r="R47" s="97">
        <f t="shared" si="5"/>
        <v>-1.8398274844095186E-4</v>
      </c>
      <c r="S47" s="97">
        <f t="shared" si="5"/>
        <v>-1.8398274844095186E-4</v>
      </c>
      <c r="T47" s="97">
        <f t="shared" si="5"/>
        <v>2.1553341429795769E-2</v>
      </c>
      <c r="U47" s="97">
        <f t="shared" si="5"/>
        <v>0.98637368704538009</v>
      </c>
      <c r="V47" s="97">
        <f t="shared" si="5"/>
        <v>0.12102086552924596</v>
      </c>
      <c r="W47" s="97">
        <f t="shared" si="5"/>
        <v>-1.8398274844095186E-4</v>
      </c>
      <c r="X47" s="97">
        <f t="shared" si="5"/>
        <v>-1.8398274844095186E-4</v>
      </c>
      <c r="Y47" s="97">
        <f t="shared" si="5"/>
        <v>-1.8398274844095186E-4</v>
      </c>
      <c r="Z47" s="97">
        <f t="shared" si="5"/>
        <v>0.13880429092398988</v>
      </c>
      <c r="AA47" s="97">
        <f t="shared" si="5"/>
        <v>0.15726306882812213</v>
      </c>
    </row>
    <row r="48" spans="2:31" ht="12.75" customHeight="1" x14ac:dyDescent="0.25">
      <c r="B48" s="21" t="s">
        <v>6</v>
      </c>
      <c r="C48" s="95">
        <f>Annual_sorted!O153</f>
        <v>-9.5573975871802469E-2</v>
      </c>
      <c r="D48" s="29">
        <f>IF(C48-Table_146345152041495765[Burundi]&gt;0, C48-Table_146345152041495765[Burundi], 0)</f>
        <v>1.3323147427985442</v>
      </c>
      <c r="E48" s="29">
        <f>IF(C48-Table_146345152041495765[DRC]&gt;0, C48-Table_146345152041495765[DRC], 0)</f>
        <v>0</v>
      </c>
      <c r="F48" s="29">
        <f>IF(C48-Table_146345152041495765[Egypt]&gt;0, C48-Table_146345152041495765[Egypt], 0)</f>
        <v>0</v>
      </c>
      <c r="G48" s="29">
        <f>IF(C48-Table_146345152041495765[Eritrea]&gt;0, C48-Table_146345152041495765[Eritrea], 0)</f>
        <v>2.3601358897263047</v>
      </c>
      <c r="H48" s="29">
        <f>IF(C48-Table_146345152041495765[Ethiopia]&gt;0, C48-Table_146345152041495765[Ethiopia], 0)</f>
        <v>107.11576754678666</v>
      </c>
      <c r="I48" s="29">
        <f>IF(C48-Table_146345152041495765[Kenya]&gt;0, C48-Table_146345152041495765[Kenya], 0)</f>
        <v>13.159849394683171</v>
      </c>
      <c r="J48" s="29">
        <f>IF(C48-Table_146345152041495765[Rwanda]&gt;0, C48-Table_146345152041495765[Rwanda], 0)</f>
        <v>0</v>
      </c>
      <c r="K48" s="29">
        <f>IF(C48-Table_146345152041495765[Sudan]&gt;0, C48-Table_146345152041495765[Sudan], 0)</f>
        <v>0</v>
      </c>
      <c r="L48" s="29">
        <f>IF(C48-Table_146345152041495765[S. Sudan]&gt;0, C48-Table_146345152041495765[S. Sudan], 0)</f>
        <v>0</v>
      </c>
      <c r="M48" s="29">
        <f>IF(C48-Table_146345152041495765[Tanzania]&gt;0, C48-Table_146345152041495765[Tanzania], 0)</f>
        <v>15.090689647708736</v>
      </c>
      <c r="N48" s="29">
        <f>IF(C48-Table_146345152041495765[Uganda]&gt;0, C48-Table_146345152041495765[Uganda], 0)</f>
        <v>17.094856483277518</v>
      </c>
      <c r="P48" s="21" t="s">
        <v>7</v>
      </c>
      <c r="Q48" s="97">
        <f t="shared" si="6"/>
        <v>1.8426399147205976E-2</v>
      </c>
      <c r="R48" s="97">
        <f t="shared" si="5"/>
        <v>4.7283414753792634E-3</v>
      </c>
      <c r="S48" s="97">
        <f t="shared" si="5"/>
        <v>-1.8398274844095186E-4</v>
      </c>
      <c r="T48" s="97">
        <f t="shared" si="5"/>
        <v>2.7892837738844323E-2</v>
      </c>
      <c r="U48" s="97">
        <f t="shared" si="5"/>
        <v>0.9927131833544286</v>
      </c>
      <c r="V48" s="97">
        <f t="shared" si="5"/>
        <v>0.12736036183829452</v>
      </c>
      <c r="W48" s="97">
        <f t="shared" si="5"/>
        <v>6.1555135606076077E-3</v>
      </c>
      <c r="X48" s="97">
        <f t="shared" si="5"/>
        <v>-1.8398274844095186E-4</v>
      </c>
      <c r="Y48" s="97">
        <f t="shared" si="5"/>
        <v>3.5443587269383113E-3</v>
      </c>
      <c r="Z48" s="97">
        <f t="shared" si="5"/>
        <v>0.14514378723303845</v>
      </c>
      <c r="AA48" s="97">
        <f t="shared" si="5"/>
        <v>0.1636025651371707</v>
      </c>
    </row>
    <row r="49" spans="2:31" ht="12.75" customHeight="1" x14ac:dyDescent="0.25">
      <c r="B49" s="21" t="s">
        <v>7</v>
      </c>
      <c r="C49" s="95">
        <f>Annual_sorted!O154</f>
        <v>0.59273856154496418</v>
      </c>
      <c r="D49" s="29">
        <f>IF(C49-Table_146345152041495765[Burundi]&gt;0, C49-Table_146345152041495765[Burundi], 0)</f>
        <v>2.0206272802153107</v>
      </c>
      <c r="E49" s="29">
        <f>IF(C49-Table_146345152041495765[DRC]&gt;0, C49-Table_146345152041495765[DRC], 0)</f>
        <v>0.53335693977539333</v>
      </c>
      <c r="F49" s="29">
        <f>IF(C49-Table_146345152041495765[Egypt]&gt;0, C49-Table_146345152041495765[Egypt], 0)</f>
        <v>0</v>
      </c>
      <c r="G49" s="29">
        <f>IF(C49-Table_146345152041495765[Eritrea]&gt;0, C49-Table_146345152041495765[Eritrea], 0)</f>
        <v>3.0484484271430712</v>
      </c>
      <c r="H49" s="29">
        <f>IF(C49-Table_146345152041495765[Ethiopia]&gt;0, C49-Table_146345152041495765[Ethiopia], 0)</f>
        <v>107.80408008420342</v>
      </c>
      <c r="I49" s="29">
        <f>IF(C49-Table_146345152041495765[Kenya]&gt;0, C49-Table_146345152041495765[Kenya], 0)</f>
        <v>13.848161932099938</v>
      </c>
      <c r="J49" s="29">
        <f>IF(C49-Table_146345152041495765[Rwanda]&gt;0, C49-Table_146345152041495765[Rwanda], 0)</f>
        <v>0.68831253741676668</v>
      </c>
      <c r="K49" s="29">
        <f>IF(C49-Table_146345152041495765[Sudan]&gt;0, C49-Table_146345152041495765[Sudan], 0)</f>
        <v>0</v>
      </c>
      <c r="L49" s="29">
        <f>IF(C49-Table_146345152041495765[S. Sudan]&gt;0, C49-Table_146345152041495765[S. Sudan], 0)</f>
        <v>0.40480569057380211</v>
      </c>
      <c r="M49" s="29">
        <f>IF(C49-Table_146345152041495765[Tanzania]&gt;0, C49-Table_146345152041495765[Tanzania], 0)</f>
        <v>15.779002185125503</v>
      </c>
      <c r="N49" s="29">
        <f>IF(C49-Table_146345152041495765[Uganda]&gt;0, C49-Table_146345152041495765[Uganda], 0)</f>
        <v>17.783169020694285</v>
      </c>
      <c r="P49" s="21" t="s">
        <v>8</v>
      </c>
      <c r="Q49" s="97">
        <f t="shared" si="6"/>
        <v>1.4698057671826713E-2</v>
      </c>
      <c r="R49" s="97">
        <f t="shared" si="5"/>
        <v>1E-3</v>
      </c>
      <c r="S49" s="97">
        <f t="shared" si="5"/>
        <v>-1.8398274844095186E-4</v>
      </c>
      <c r="T49" s="97">
        <f t="shared" si="5"/>
        <v>2.4164496263465059E-2</v>
      </c>
      <c r="U49" s="97">
        <f t="shared" si="5"/>
        <v>0.98898484187904945</v>
      </c>
      <c r="V49" s="97">
        <f t="shared" si="5"/>
        <v>0.12363202036291525</v>
      </c>
      <c r="W49" s="97">
        <f t="shared" si="5"/>
        <v>2.4271720852283452E-3</v>
      </c>
      <c r="X49" s="97">
        <f t="shared" si="5"/>
        <v>-1.8398274844095186E-4</v>
      </c>
      <c r="Y49" s="97">
        <f t="shared" si="5"/>
        <v>-1.8398274844095186E-4</v>
      </c>
      <c r="Z49" s="97">
        <f t="shared" si="5"/>
        <v>0.14141544575765916</v>
      </c>
      <c r="AA49" s="97">
        <f t="shared" si="5"/>
        <v>0.15987422366179141</v>
      </c>
    </row>
    <row r="50" spans="2:31" ht="12.75" customHeight="1" x14ac:dyDescent="0.25">
      <c r="B50" s="21" t="s">
        <v>8</v>
      </c>
      <c r="C50" s="95">
        <f>Annual_sorted!O155</f>
        <v>0.18793287097116204</v>
      </c>
      <c r="D50" s="29">
        <f>IF(C50-Table_146345152041495765[Burundi]&gt;0, C50-Table_146345152041495765[Burundi], 0)</f>
        <v>1.6158215896415087</v>
      </c>
      <c r="E50" s="29">
        <f>IF(C50-Table_146345152041495765[DRC]&gt;0, C50-Table_146345152041495765[DRC], 0)</f>
        <v>0.12855124920159117</v>
      </c>
      <c r="F50" s="29">
        <f>IF(C50-Table_146345152041495765[Egypt]&gt;0, C50-Table_146345152041495765[Egypt], 0)</f>
        <v>0</v>
      </c>
      <c r="G50" s="29">
        <f>IF(C50-Table_146345152041495765[Eritrea]&gt;0, C50-Table_146345152041495765[Eritrea], 0)</f>
        <v>2.643642736569269</v>
      </c>
      <c r="H50" s="29">
        <f>IF(C50-Table_146345152041495765[Ethiopia]&gt;0, C50-Table_146345152041495765[Ethiopia], 0)</f>
        <v>107.39927439362963</v>
      </c>
      <c r="I50" s="29">
        <f>IF(C50-Table_146345152041495765[Kenya]&gt;0, C50-Table_146345152041495765[Kenya], 0)</f>
        <v>13.443356241526136</v>
      </c>
      <c r="J50" s="29">
        <f>IF(C50-Table_146345152041495765[Rwanda]&gt;0, C50-Table_146345152041495765[Rwanda], 0)</f>
        <v>0.28350684684296451</v>
      </c>
      <c r="K50" s="29">
        <f>IF(C50-Table_146345152041495765[Sudan]&gt;0, C50-Table_146345152041495765[Sudan], 0)</f>
        <v>0</v>
      </c>
      <c r="L50" s="29">
        <f>IF(C50-Table_146345152041495765[S. Sudan]&gt;0, C50-Table_146345152041495765[S. Sudan], 0)</f>
        <v>0</v>
      </c>
      <c r="M50" s="29">
        <f>IF(C50-Table_146345152041495765[Tanzania]&gt;0, C50-Table_146345152041495765[Tanzania], 0)</f>
        <v>15.3741964945517</v>
      </c>
      <c r="N50" s="29">
        <f>IF(C50-Table_146345152041495765[Uganda]&gt;0, C50-Table_146345152041495765[Uganda], 0)</f>
        <v>17.378363330120482</v>
      </c>
      <c r="P50" s="21" t="s">
        <v>9</v>
      </c>
      <c r="Q50" s="97">
        <f t="shared" si="6"/>
        <v>-1.8398274844095186E-4</v>
      </c>
      <c r="R50" s="97">
        <f t="shared" si="5"/>
        <v>-1.8398274844095186E-4</v>
      </c>
      <c r="S50" s="97">
        <f t="shared" si="5"/>
        <v>-1.8398274844095186E-4</v>
      </c>
      <c r="T50" s="97">
        <f t="shared" si="5"/>
        <v>-1.8398274844095186E-4</v>
      </c>
      <c r="U50" s="97">
        <f t="shared" si="5"/>
        <v>0.84738541337294915</v>
      </c>
      <c r="V50" s="97">
        <f t="shared" si="5"/>
        <v>-1.8398274844095186E-4</v>
      </c>
      <c r="W50" s="97">
        <f t="shared" si="5"/>
        <v>-1.8398274844095186E-4</v>
      </c>
      <c r="X50" s="97">
        <f t="shared" si="5"/>
        <v>-1.8398274844095186E-4</v>
      </c>
      <c r="Y50" s="97">
        <f t="shared" si="5"/>
        <v>-1.8398274844095186E-4</v>
      </c>
      <c r="Z50" s="97">
        <f t="shared" si="5"/>
        <v>-1.8398274844095186E-4</v>
      </c>
      <c r="AA50" s="97">
        <f t="shared" si="5"/>
        <v>1.8274795155691297E-2</v>
      </c>
    </row>
    <row r="51" spans="2:31" ht="12.75" customHeight="1" thickBot="1" x14ac:dyDescent="0.3">
      <c r="B51" s="21" t="s">
        <v>9</v>
      </c>
      <c r="C51" s="95">
        <f>Annual_sorted!O156</f>
        <v>-15.186263623580539</v>
      </c>
      <c r="D51" s="29">
        <f>IF(C51-Table_146345152041495765[Burundi]&gt;0, C51-Table_146345152041495765[Burundi], 0)</f>
        <v>0</v>
      </c>
      <c r="E51" s="29">
        <f>IF(C51-Table_146345152041495765[DRC]&gt;0, C51-Table_146345152041495765[DRC], 0)</f>
        <v>0</v>
      </c>
      <c r="F51" s="29">
        <f>IF(C51-Table_146345152041495765[Egypt]&gt;0, C51-Table_146345152041495765[Egypt], 0)</f>
        <v>0</v>
      </c>
      <c r="G51" s="29">
        <f>IF(C51-Table_146345152041495765[Eritrea]&gt;0, C51-Table_146345152041495765[Eritrea], 0)</f>
        <v>0</v>
      </c>
      <c r="H51" s="29">
        <f>IF(C51-Table_146345152041495765[Ethiopia]&gt;0, C51-Table_146345152041495765[Ethiopia], 0)</f>
        <v>92.025077899077914</v>
      </c>
      <c r="I51" s="29">
        <f>IF(C51-Table_146345152041495765[Kenya]&gt;0, C51-Table_146345152041495765[Kenya], 0)</f>
        <v>0</v>
      </c>
      <c r="J51" s="29">
        <f>IF(C51-Table_146345152041495765[Rwanda]&gt;0, C51-Table_146345152041495765[Rwanda], 0)</f>
        <v>0</v>
      </c>
      <c r="K51" s="29">
        <f>IF(C51-Table_146345152041495765[Sudan]&gt;0, C51-Table_146345152041495765[Sudan], 0)</f>
        <v>0</v>
      </c>
      <c r="L51" s="29">
        <f>IF(C51-Table_146345152041495765[S. Sudan]&gt;0, C51-Table_146345152041495765[S. Sudan], 0)</f>
        <v>0</v>
      </c>
      <c r="M51" s="29">
        <f>IF(C51-Table_146345152041495765[Tanzania]&gt;0, C51-Table_146345152041495765[Tanzania], 0)</f>
        <v>0</v>
      </c>
      <c r="N51" s="29">
        <f>IF(C51-Table_146345152041495765[Uganda]&gt;0, C51-Table_146345152041495765[Uganda], 0)</f>
        <v>2.0041668355687801</v>
      </c>
      <c r="P51" s="22" t="s">
        <v>10</v>
      </c>
      <c r="Q51" s="98">
        <f t="shared" si="6"/>
        <v>-1.8398274844095186E-4</v>
      </c>
      <c r="R51" s="98">
        <f t="shared" si="5"/>
        <v>-1.8398274844095186E-4</v>
      </c>
      <c r="S51" s="98">
        <f t="shared" si="5"/>
        <v>-1.8398274844095186E-4</v>
      </c>
      <c r="T51" s="98">
        <f t="shared" si="5"/>
        <v>-1.8398274844095186E-4</v>
      </c>
      <c r="U51" s="98">
        <f t="shared" si="5"/>
        <v>0.82892663546881695</v>
      </c>
      <c r="V51" s="98">
        <f t="shared" si="5"/>
        <v>-1.8398274844095186E-4</v>
      </c>
      <c r="W51" s="98">
        <f t="shared" si="5"/>
        <v>-1.8398274844095186E-4</v>
      </c>
      <c r="X51" s="98">
        <f t="shared" si="5"/>
        <v>-1.8398274844095186E-4</v>
      </c>
      <c r="Y51" s="98">
        <f t="shared" si="5"/>
        <v>-1.8398274844095186E-4</v>
      </c>
      <c r="Z51" s="98">
        <f t="shared" si="5"/>
        <v>-1.8398274844095186E-4</v>
      </c>
      <c r="AA51" s="98">
        <f t="shared" si="5"/>
        <v>-1.8398274844095186E-4</v>
      </c>
      <c r="AB51" s="186">
        <f>SUM(Q41:AA51)</f>
        <v>12.673469598852698</v>
      </c>
    </row>
    <row r="52" spans="2:31" ht="12.75" customHeight="1" thickBot="1" x14ac:dyDescent="0.3">
      <c r="B52" s="22" t="s">
        <v>10</v>
      </c>
      <c r="C52" s="96">
        <f>Annual_sorted!O157</f>
        <v>-17.190430459149319</v>
      </c>
      <c r="D52" s="32">
        <f>IF(C52-Table_146345152041495765[Burundi]&gt;0, C52-Table_146345152041495765[Burundi], 0)</f>
        <v>0</v>
      </c>
      <c r="E52" s="32">
        <f>IF(C52-Table_146345152041495765[DRC]&gt;0, C52-Table_146345152041495765[DRC], 0)</f>
        <v>0</v>
      </c>
      <c r="F52" s="32">
        <f>IF(C52-Table_146345152041495765[Egypt]&gt;0, C52-Table_146345152041495765[Egypt], 0)</f>
        <v>0</v>
      </c>
      <c r="G52" s="32">
        <f>IF(C52-Table_146345152041495765[Eritrea]&gt;0, C52-Table_146345152041495765[Eritrea], 0)</f>
        <v>0</v>
      </c>
      <c r="H52" s="32">
        <f>IF(C52-Table_146345152041495765[Ethiopia]&gt;0, C52-Table_146345152041495765[Ethiopia], 0)</f>
        <v>90.020911063509146</v>
      </c>
      <c r="I52" s="32">
        <f>IF(C52-Table_146345152041495765[Kenya]&gt;0, C52-Table_146345152041495765[Kenya], 0)</f>
        <v>0</v>
      </c>
      <c r="J52" s="32">
        <f>IF(C52-Table_146345152041495765[Rwanda]&gt;0, C52-Table_146345152041495765[Rwanda], 0)</f>
        <v>0</v>
      </c>
      <c r="K52" s="32">
        <f>IF(C52-Table_146345152041495765[Sudan]&gt;0, C52-Table_146345152041495765[Sudan], 0)</f>
        <v>0</v>
      </c>
      <c r="L52" s="32">
        <f>IF(C52-Table_146345152041495765[S. Sudan]&gt;0, C52-Table_146345152041495765[S. Sudan], 0)</f>
        <v>0</v>
      </c>
      <c r="M52" s="32">
        <f>IF(C52-Table_146345152041495765[Tanzania]&gt;0, C52-Table_146345152041495765[Tanzania], 0)</f>
        <v>0</v>
      </c>
      <c r="N52" s="32">
        <f>IF(C52-Table_146345152041495765[Uganda]&gt;0, C52-Table_146345152041495765[Uganda], 0)</f>
        <v>0</v>
      </c>
    </row>
    <row r="53" spans="2:31" ht="12.75" customHeight="1" x14ac:dyDescent="0.25"/>
    <row r="54" spans="2:31" ht="12.75" customHeight="1" x14ac:dyDescent="0.25"/>
    <row r="55" spans="2:31" ht="12.75" customHeight="1" x14ac:dyDescent="0.25"/>
    <row r="56" spans="2:31" ht="12.75" customHeight="1" x14ac:dyDescent="0.25">
      <c r="B56" s="5"/>
      <c r="C56" s="5"/>
      <c r="D56" s="5"/>
      <c r="E56" s="5"/>
      <c r="F56" s="5"/>
      <c r="G56" s="5"/>
      <c r="H56" s="5"/>
      <c r="I56" s="5"/>
      <c r="J56" s="5"/>
      <c r="K56" s="5"/>
      <c r="L56" s="5"/>
      <c r="M56" s="5"/>
      <c r="N56" s="44"/>
      <c r="O56" s="5"/>
      <c r="P56" s="5"/>
      <c r="Q56" s="5"/>
      <c r="R56" s="5"/>
      <c r="S56" s="5"/>
      <c r="T56" s="5"/>
      <c r="U56" s="5"/>
      <c r="V56" s="5"/>
      <c r="W56" s="5"/>
      <c r="X56" s="5"/>
      <c r="Y56" s="5"/>
      <c r="Z56" s="5"/>
      <c r="AA56" s="5"/>
    </row>
    <row r="57" spans="2:31" ht="12.75" customHeight="1" thickBot="1" x14ac:dyDescent="0.3">
      <c r="B57" s="253" t="s">
        <v>79</v>
      </c>
      <c r="C57" s="253"/>
      <c r="D57" s="253"/>
      <c r="E57" s="253"/>
      <c r="F57" s="253"/>
      <c r="G57" s="253"/>
      <c r="H57" s="253"/>
      <c r="I57" s="253"/>
      <c r="J57" s="253"/>
      <c r="K57" s="253"/>
      <c r="L57" s="253"/>
      <c r="M57" s="253"/>
      <c r="N57" s="253"/>
      <c r="O57" s="5"/>
      <c r="P57" s="253" t="s">
        <v>80</v>
      </c>
      <c r="Q57" s="253"/>
      <c r="R57" s="253"/>
      <c r="S57" s="253"/>
      <c r="T57" s="253"/>
      <c r="U57" s="253"/>
      <c r="V57" s="253"/>
      <c r="W57" s="253"/>
      <c r="X57" s="253"/>
      <c r="Y57" s="253"/>
      <c r="Z57" s="253"/>
      <c r="AA57" s="253"/>
      <c r="AB57" s="10"/>
      <c r="AC57" s="3" t="s">
        <v>22</v>
      </c>
      <c r="AD57" s="13" t="s">
        <v>23</v>
      </c>
      <c r="AE57" s="74">
        <f t="array" ref="AE57">MIN(IF(D60:N70&gt;0,D60:N70))</f>
        <v>1.0278211469277605</v>
      </c>
    </row>
    <row r="58" spans="2:31" ht="12.75" customHeight="1" thickBot="1" x14ac:dyDescent="0.3">
      <c r="B58" s="75" t="s">
        <v>13</v>
      </c>
      <c r="C58" s="66" t="s">
        <v>14</v>
      </c>
      <c r="D58" s="67" t="s">
        <v>1</v>
      </c>
      <c r="E58" s="67" t="s">
        <v>195</v>
      </c>
      <c r="F58" s="67" t="s">
        <v>2</v>
      </c>
      <c r="G58" s="67" t="s">
        <v>3</v>
      </c>
      <c r="H58" s="67" t="s">
        <v>4</v>
      </c>
      <c r="I58" s="67" t="s">
        <v>5</v>
      </c>
      <c r="J58" s="67" t="s">
        <v>6</v>
      </c>
      <c r="K58" s="67" t="s">
        <v>7</v>
      </c>
      <c r="L58" s="67" t="s">
        <v>295</v>
      </c>
      <c r="M58" s="67" t="s">
        <v>9</v>
      </c>
      <c r="N58" s="67" t="s">
        <v>10</v>
      </c>
      <c r="P58" s="128" t="s">
        <v>19</v>
      </c>
      <c r="Q58" s="123" t="s">
        <v>1</v>
      </c>
      <c r="R58" s="123" t="s">
        <v>195</v>
      </c>
      <c r="S58" s="123" t="s">
        <v>2</v>
      </c>
      <c r="T58" s="123" t="s">
        <v>3</v>
      </c>
      <c r="U58" s="123" t="s">
        <v>4</v>
      </c>
      <c r="V58" s="123" t="s">
        <v>5</v>
      </c>
      <c r="W58" s="123" t="s">
        <v>6</v>
      </c>
      <c r="X58" s="123" t="s">
        <v>7</v>
      </c>
      <c r="Y58" s="123" t="s">
        <v>295</v>
      </c>
      <c r="Z58" s="123" t="s">
        <v>9</v>
      </c>
      <c r="AA58" s="123" t="s">
        <v>10</v>
      </c>
      <c r="AB58" s="254" t="s">
        <v>26</v>
      </c>
      <c r="AC58" s="254"/>
      <c r="AD58" s="13" t="s">
        <v>24</v>
      </c>
      <c r="AE58" s="20">
        <f>MAX(D60:N70)</f>
        <v>107.27072314442803</v>
      </c>
    </row>
    <row r="59" spans="2:31" ht="12.75" customHeight="1" x14ac:dyDescent="0.25">
      <c r="B59" s="93"/>
      <c r="C59" s="94" t="s">
        <v>260</v>
      </c>
      <c r="D59" s="95">
        <f>C60</f>
        <v>-1.4278887186703466</v>
      </c>
      <c r="E59" s="95">
        <f>C61</f>
        <v>5.9381621769570875E-2</v>
      </c>
      <c r="F59" s="95">
        <f>C62</f>
        <v>-55.116093337632087</v>
      </c>
      <c r="G59" s="95">
        <f>C63</f>
        <v>-2.4557098655981071</v>
      </c>
      <c r="H59" s="95">
        <f>C64</f>
        <v>-107.21134152265846</v>
      </c>
      <c r="I59" s="95">
        <f>C65</f>
        <v>-13.255423370554974</v>
      </c>
      <c r="J59" s="95">
        <f>C66</f>
        <v>-3.8955739758718022</v>
      </c>
      <c r="K59" s="95">
        <f>C67</f>
        <v>-33.207261438455035</v>
      </c>
      <c r="L59" s="95">
        <f>C68</f>
        <v>-23.312067129028836</v>
      </c>
      <c r="M59" s="95">
        <f>C69</f>
        <v>-15.186263623580539</v>
      </c>
      <c r="N59" s="95">
        <f>C70</f>
        <v>-38.29043045914932</v>
      </c>
      <c r="P59" s="21" t="s">
        <v>1</v>
      </c>
      <c r="Q59" s="97">
        <f>$AE$59+(D60-$AE$57)*($AE$60-$AE$59)/($AE$58-$AE$57)</f>
        <v>-8.6645828236599914E-3</v>
      </c>
      <c r="R59" s="97">
        <f t="shared" ref="R59:AA69" si="7">$AE$59+(E60-$AE$57)*($AE$60-$AE$59)/($AE$58-$AE$57)</f>
        <v>-8.6645828236599914E-3</v>
      </c>
      <c r="S59" s="97">
        <f t="shared" si="7"/>
        <v>0.49616459075825814</v>
      </c>
      <c r="T59" s="97">
        <f t="shared" si="7"/>
        <v>1E-3</v>
      </c>
      <c r="U59" s="97">
        <f t="shared" si="7"/>
        <v>0.98601522509113659</v>
      </c>
      <c r="V59" s="97">
        <f t="shared" si="7"/>
        <v>0.10254950202419881</v>
      </c>
      <c r="W59" s="97">
        <f t="shared" si="7"/>
        <v>1.4539015022361355E-2</v>
      </c>
      <c r="X59" s="97">
        <f t="shared" si="7"/>
        <v>0.29015625838238951</v>
      </c>
      <c r="Y59" s="97">
        <f t="shared" si="7"/>
        <v>0.19711193326268073</v>
      </c>
      <c r="Z59" s="97">
        <f t="shared" si="7"/>
        <v>0.12070515643975613</v>
      </c>
      <c r="AA59" s="97">
        <f t="shared" si="7"/>
        <v>0.33795320063640538</v>
      </c>
      <c r="AD59" s="3" t="s">
        <v>25</v>
      </c>
      <c r="AE59" s="2">
        <v>1E-3</v>
      </c>
    </row>
    <row r="60" spans="2:31" ht="12.75" customHeight="1" x14ac:dyDescent="0.25">
      <c r="B60" s="21" t="s">
        <v>1</v>
      </c>
      <c r="C60" s="95">
        <f>Annual_sorted!P147</f>
        <v>-1.4278887186703466</v>
      </c>
      <c r="D60" s="29">
        <f>IF(C60-Table_1463457141940485664[Burundi]&gt;0, C60-Table_1463457141940485664[Burundi], 0)</f>
        <v>0</v>
      </c>
      <c r="E60" s="29">
        <f>IF(C60-Table_1463457141940485664[DRC]&gt;0, C60-Table_1463457141940485664[DRC], 0)</f>
        <v>0</v>
      </c>
      <c r="F60" s="29">
        <f>IF(C60-Table_1463457141940485664[Egypt]&gt;0, C60-Table_1463457141940485664[Egypt], 0)</f>
        <v>53.688204618961741</v>
      </c>
      <c r="G60" s="29">
        <f>IF(C60-Table_1463457141940485664[Eritrea]&gt;0, C60-Table_1463457141940485664[Eritrea], 0)</f>
        <v>1.0278211469277605</v>
      </c>
      <c r="H60" s="29">
        <f>IF(C60-Table_1463457141940485664[Ethiopia]&gt;0, C60-Table_1463457141940485664[Ethiopia], 0)</f>
        <v>105.78345280398811</v>
      </c>
      <c r="I60" s="29">
        <f>IF(C60-Table_1463457141940485664[Kenya]&gt;0, C60-Table_1463457141940485664[Kenya], 0)</f>
        <v>11.827534651884626</v>
      </c>
      <c r="J60" s="29">
        <f>IF(C60-Table_1463457141940485664[Rwanda]&gt;0, C60-Table_1463457141940485664[Rwanda], 0)</f>
        <v>2.4676852572014556</v>
      </c>
      <c r="K60" s="29">
        <f>IF(C60-Table_1463457141940485664[Sudan]&gt;0, C60-Table_1463457141940485664[Sudan], 0)</f>
        <v>31.779372719784689</v>
      </c>
      <c r="L60" s="29">
        <f>IF(C60-Table_1463457141940485664[S. Sudan]&gt;0, C60-Table_1463457141940485664[S. Sudan], 0)</f>
        <v>21.884178410358491</v>
      </c>
      <c r="M60" s="29">
        <f>IF(C60-Table_1463457141940485664[Tanzania]&gt;0, C60-Table_1463457141940485664[Tanzania], 0)</f>
        <v>13.758374904910191</v>
      </c>
      <c r="N60" s="29">
        <f>IF(C60-Table_1463457141940485664[Uganda]&gt;0, C60-Table_1463457141940485664[Uganda], 0)</f>
        <v>36.862541740478974</v>
      </c>
      <c r="P60" s="21" t="s">
        <v>195</v>
      </c>
      <c r="Q60" s="97">
        <f t="shared" ref="Q60:Q69" si="8">$AE$59+(D61-$AE$57)*($AE$60-$AE$59)/($AE$58-$AE$57)</f>
        <v>5.3201920852034342E-3</v>
      </c>
      <c r="R60" s="97">
        <f t="shared" si="7"/>
        <v>-8.6645828236599914E-3</v>
      </c>
      <c r="S60" s="97">
        <f t="shared" si="7"/>
        <v>0.51014936566712155</v>
      </c>
      <c r="T60" s="97">
        <f t="shared" si="7"/>
        <v>1.4984774908863428E-2</v>
      </c>
      <c r="U60" s="97">
        <f t="shared" si="7"/>
        <v>1</v>
      </c>
      <c r="V60" s="97">
        <f t="shared" si="7"/>
        <v>0.11653427693306224</v>
      </c>
      <c r="W60" s="97">
        <f t="shared" si="7"/>
        <v>2.8523789931224782E-2</v>
      </c>
      <c r="X60" s="97">
        <f t="shared" si="7"/>
        <v>0.30414103329125286</v>
      </c>
      <c r="Y60" s="97">
        <f t="shared" si="7"/>
        <v>0.21109670817154413</v>
      </c>
      <c r="Z60" s="97">
        <f t="shared" si="7"/>
        <v>0.13468993134861956</v>
      </c>
      <c r="AA60" s="97">
        <f t="shared" si="7"/>
        <v>0.35193797554526873</v>
      </c>
      <c r="AD60" s="3" t="s">
        <v>70</v>
      </c>
      <c r="AE60" s="2">
        <v>1</v>
      </c>
    </row>
    <row r="61" spans="2:31" ht="12.75" customHeight="1" x14ac:dyDescent="0.25">
      <c r="B61" s="21" t="s">
        <v>195</v>
      </c>
      <c r="C61" s="95">
        <f>Annual_sorted!P148</f>
        <v>5.9381621769570875E-2</v>
      </c>
      <c r="D61" s="29">
        <f>IF(C61-Table_1463457141940485664[Burundi]&gt;0, C61-Table_1463457141940485664[Burundi], 0)</f>
        <v>1.4872703404399175</v>
      </c>
      <c r="E61" s="29">
        <f>IF(C61-Table_1463457141940485664[DRC]&gt;0, C61-Table_1463457141940485664[DRC], 0)</f>
        <v>0</v>
      </c>
      <c r="F61" s="29">
        <f>IF(C61-Table_1463457141940485664[Egypt]&gt;0, C61-Table_1463457141940485664[Egypt], 0)</f>
        <v>55.175474959401654</v>
      </c>
      <c r="G61" s="29">
        <f>IF(C61-Table_1463457141940485664[Eritrea]&gt;0, C61-Table_1463457141940485664[Eritrea], 0)</f>
        <v>2.5150914873676782</v>
      </c>
      <c r="H61" s="29">
        <f>IF(C61-Table_1463457141940485664[Ethiopia]&gt;0, C61-Table_1463457141940485664[Ethiopia], 0)</f>
        <v>107.27072314442803</v>
      </c>
      <c r="I61" s="29">
        <f>IF(C61-Table_1463457141940485664[Kenya]&gt;0, C61-Table_1463457141940485664[Kenya], 0)</f>
        <v>13.314804992324545</v>
      </c>
      <c r="J61" s="29">
        <f>IF(C61-Table_1463457141940485664[Rwanda]&gt;0, C61-Table_1463457141940485664[Rwanda], 0)</f>
        <v>3.9549555976413733</v>
      </c>
      <c r="K61" s="29">
        <f>IF(C61-Table_1463457141940485664[Sudan]&gt;0, C61-Table_1463457141940485664[Sudan], 0)</f>
        <v>33.266643060224602</v>
      </c>
      <c r="L61" s="29">
        <f>IF(C61-Table_1463457141940485664[S. Sudan]&gt;0, C61-Table_1463457141940485664[S. Sudan], 0)</f>
        <v>23.371448750798407</v>
      </c>
      <c r="M61" s="29">
        <f>IF(C61-Table_1463457141940485664[Tanzania]&gt;0, C61-Table_1463457141940485664[Tanzania], 0)</f>
        <v>15.24564524535011</v>
      </c>
      <c r="N61" s="29">
        <f>IF(C61-Table_1463457141940485664[Uganda]&gt;0, C61-Table_1463457141940485664[Uganda], 0)</f>
        <v>38.349812080918888</v>
      </c>
      <c r="P61" s="21" t="s">
        <v>2</v>
      </c>
      <c r="Q61" s="97">
        <f t="shared" si="8"/>
        <v>-8.6645828236599914E-3</v>
      </c>
      <c r="R61" s="97">
        <f t="shared" si="7"/>
        <v>-8.6645828236599914E-3</v>
      </c>
      <c r="S61" s="97">
        <f t="shared" si="7"/>
        <v>-8.6645828236599914E-3</v>
      </c>
      <c r="T61" s="97">
        <f t="shared" si="7"/>
        <v>-8.6645828236599914E-3</v>
      </c>
      <c r="U61" s="97">
        <f t="shared" si="7"/>
        <v>0.48118605150921839</v>
      </c>
      <c r="V61" s="97">
        <f t="shared" si="7"/>
        <v>-8.6645828236599914E-3</v>
      </c>
      <c r="W61" s="97">
        <f t="shared" si="7"/>
        <v>-8.6645828236599914E-3</v>
      </c>
      <c r="X61" s="97">
        <f t="shared" si="7"/>
        <v>-8.6645828236599914E-3</v>
      </c>
      <c r="Y61" s="97">
        <f t="shared" si="7"/>
        <v>-8.6645828236599914E-3</v>
      </c>
      <c r="Z61" s="97">
        <f t="shared" si="7"/>
        <v>-8.6645828236599914E-3</v>
      </c>
      <c r="AA61" s="97">
        <f t="shared" si="7"/>
        <v>-8.6645828236599914E-3</v>
      </c>
    </row>
    <row r="62" spans="2:31" ht="12.75" customHeight="1" x14ac:dyDescent="0.25">
      <c r="B62" s="21" t="s">
        <v>2</v>
      </c>
      <c r="C62" s="95">
        <f>Annual_sorted!P149</f>
        <v>-55.116093337632087</v>
      </c>
      <c r="D62" s="29">
        <f>IF(C62-Table_1463457141940485664[Burundi]&gt;0, C62-Table_1463457141940485664[Burundi], 0)</f>
        <v>0</v>
      </c>
      <c r="E62" s="29">
        <f>IF(C62-Table_1463457141940485664[DRC]&gt;0, C62-Table_1463457141940485664[DRC], 0)</f>
        <v>0</v>
      </c>
      <c r="F62" s="29">
        <f>IF(C62-Table_1463457141940485664[Egypt]&gt;0, C62-Table_1463457141940485664[Egypt], 0)</f>
        <v>0</v>
      </c>
      <c r="G62" s="29">
        <f>IF(C62-Table_1463457141940485664[Eritrea]&gt;0, C62-Table_1463457141940485664[Eritrea], 0)</f>
        <v>0</v>
      </c>
      <c r="H62" s="29">
        <f>IF(C62-Table_1463457141940485664[Ethiopia]&gt;0, C62-Table_1463457141940485664[Ethiopia], 0)</f>
        <v>52.095248185026371</v>
      </c>
      <c r="I62" s="29">
        <f>IF(C62-Table_1463457141940485664[Kenya]&gt;0, C62-Table_1463457141940485664[Kenya], 0)</f>
        <v>0</v>
      </c>
      <c r="J62" s="29">
        <f>IF(C62-Table_1463457141940485664[Rwanda]&gt;0, C62-Table_1463457141940485664[Rwanda], 0)</f>
        <v>0</v>
      </c>
      <c r="K62" s="29">
        <f>IF(C62-Table_1463457141940485664[Sudan]&gt;0, C62-Table_1463457141940485664[Sudan], 0)</f>
        <v>0</v>
      </c>
      <c r="L62" s="29">
        <f>IF(C62-Table_1463457141940485664[S. Sudan]&gt;0, C62-Table_1463457141940485664[S. Sudan], 0)</f>
        <v>0</v>
      </c>
      <c r="M62" s="29">
        <f>IF(C62-Table_1463457141940485664[Tanzania]&gt;0, C62-Table_1463457141940485664[Tanzania], 0)</f>
        <v>0</v>
      </c>
      <c r="N62" s="29">
        <f>IF(C62-Table_1463457141940485664[Uganda]&gt;0, C62-Table_1463457141940485664[Uganda], 0)</f>
        <v>0</v>
      </c>
      <c r="P62" s="21" t="s">
        <v>3</v>
      </c>
      <c r="Q62" s="97">
        <f t="shared" si="8"/>
        <v>-8.6645828236599914E-3</v>
      </c>
      <c r="R62" s="97">
        <f t="shared" si="7"/>
        <v>-8.6645828236599914E-3</v>
      </c>
      <c r="S62" s="97">
        <f t="shared" si="7"/>
        <v>0.48650000793459813</v>
      </c>
      <c r="T62" s="97">
        <f t="shared" si="7"/>
        <v>-8.6645828236599914E-3</v>
      </c>
      <c r="U62" s="97">
        <f t="shared" si="7"/>
        <v>0.97635064226747648</v>
      </c>
      <c r="V62" s="97">
        <f t="shared" si="7"/>
        <v>9.2884919200538818E-2</v>
      </c>
      <c r="W62" s="97">
        <f t="shared" si="7"/>
        <v>4.8744321987013658E-3</v>
      </c>
      <c r="X62" s="97">
        <f t="shared" si="7"/>
        <v>0.2804916755587295</v>
      </c>
      <c r="Y62" s="97">
        <f t="shared" si="7"/>
        <v>0.18744735043902072</v>
      </c>
      <c r="Z62" s="97">
        <f t="shared" si="7"/>
        <v>0.11104057361609615</v>
      </c>
      <c r="AA62" s="97">
        <f t="shared" si="7"/>
        <v>0.32828861781274538</v>
      </c>
    </row>
    <row r="63" spans="2:31" ht="12.75" customHeight="1" x14ac:dyDescent="0.25">
      <c r="B63" s="21" t="s">
        <v>3</v>
      </c>
      <c r="C63" s="95">
        <f>Annual_sorted!P150</f>
        <v>-2.4557098655981071</v>
      </c>
      <c r="D63" s="29">
        <f>IF(C63-Table_1463457141940485664[Burundi]&gt;0, C63-Table_1463457141940485664[Burundi], 0)</f>
        <v>0</v>
      </c>
      <c r="E63" s="29">
        <f>IF(C63-Table_1463457141940485664[DRC]&gt;0, C63-Table_1463457141940485664[DRC], 0)</f>
        <v>0</v>
      </c>
      <c r="F63" s="29">
        <f>IF(C63-Table_1463457141940485664[Egypt]&gt;0, C63-Table_1463457141940485664[Egypt], 0)</f>
        <v>52.660383472033978</v>
      </c>
      <c r="G63" s="29">
        <f>IF(C63-Table_1463457141940485664[Eritrea]&gt;0, C63-Table_1463457141940485664[Eritrea], 0)</f>
        <v>0</v>
      </c>
      <c r="H63" s="29">
        <f>IF(C63-Table_1463457141940485664[Ethiopia]&gt;0, C63-Table_1463457141940485664[Ethiopia], 0)</f>
        <v>104.75563165706035</v>
      </c>
      <c r="I63" s="29">
        <f>IF(C63-Table_1463457141940485664[Kenya]&gt;0, C63-Table_1463457141940485664[Kenya], 0)</f>
        <v>10.799713504956866</v>
      </c>
      <c r="J63" s="29">
        <f>IF(C63-Table_1463457141940485664[Rwanda]&gt;0, C63-Table_1463457141940485664[Rwanda], 0)</f>
        <v>1.4398641102736951</v>
      </c>
      <c r="K63" s="29">
        <f>IF(C63-Table_1463457141940485664[Sudan]&gt;0, C63-Table_1463457141940485664[Sudan], 0)</f>
        <v>30.751551572856929</v>
      </c>
      <c r="L63" s="29">
        <f>IF(C63-Table_1463457141940485664[S. Sudan]&gt;0, C63-Table_1463457141940485664[S. Sudan], 0)</f>
        <v>20.856357263430731</v>
      </c>
      <c r="M63" s="29">
        <f>IF(C63-Table_1463457141940485664[Tanzania]&gt;0, C63-Table_1463457141940485664[Tanzania], 0)</f>
        <v>12.730553757982431</v>
      </c>
      <c r="N63" s="29">
        <f>IF(C63-Table_1463457141940485664[Uganda]&gt;0, C63-Table_1463457141940485664[Uganda], 0)</f>
        <v>35.834720593551211</v>
      </c>
      <c r="P63" s="21" t="s">
        <v>4</v>
      </c>
      <c r="Q63" s="97">
        <f t="shared" si="8"/>
        <v>-8.6645828236599914E-3</v>
      </c>
      <c r="R63" s="97">
        <f t="shared" si="7"/>
        <v>-8.6645828236599914E-3</v>
      </c>
      <c r="S63" s="97">
        <f t="shared" si="7"/>
        <v>-8.6645828236599914E-3</v>
      </c>
      <c r="T63" s="97">
        <f t="shared" si="7"/>
        <v>-8.6645828236599914E-3</v>
      </c>
      <c r="U63" s="97">
        <f t="shared" si="7"/>
        <v>-8.6645828236599914E-3</v>
      </c>
      <c r="V63" s="97">
        <f t="shared" si="7"/>
        <v>-8.6645828236599914E-3</v>
      </c>
      <c r="W63" s="97">
        <f t="shared" si="7"/>
        <v>-8.6645828236599914E-3</v>
      </c>
      <c r="X63" s="97">
        <f t="shared" si="7"/>
        <v>-8.6645828236599914E-3</v>
      </c>
      <c r="Y63" s="97">
        <f t="shared" si="7"/>
        <v>-8.6645828236599914E-3</v>
      </c>
      <c r="Z63" s="97">
        <f t="shared" si="7"/>
        <v>-8.6645828236599914E-3</v>
      </c>
      <c r="AA63" s="97">
        <f t="shared" si="7"/>
        <v>-8.6645828236599914E-3</v>
      </c>
    </row>
    <row r="64" spans="2:31" ht="12.75" customHeight="1" x14ac:dyDescent="0.25">
      <c r="B64" s="21" t="s">
        <v>4</v>
      </c>
      <c r="C64" s="95">
        <f>Annual_sorted!P151</f>
        <v>-107.21134152265846</v>
      </c>
      <c r="D64" s="29">
        <f>IF(C64-Table_1463457141940485664[Burundi]&gt;0, C64-Table_1463457141940485664[Burundi], 0)</f>
        <v>0</v>
      </c>
      <c r="E64" s="29">
        <f>IF(C64-Table_1463457141940485664[DRC]&gt;0, C64-Table_1463457141940485664[DRC], 0)</f>
        <v>0</v>
      </c>
      <c r="F64" s="29">
        <f>IF(C64-Table_1463457141940485664[Egypt]&gt;0, C64-Table_1463457141940485664[Egypt], 0)</f>
        <v>0</v>
      </c>
      <c r="G64" s="29">
        <f>IF(C64-Table_1463457141940485664[Eritrea]&gt;0, C64-Table_1463457141940485664[Eritrea], 0)</f>
        <v>0</v>
      </c>
      <c r="H64" s="29">
        <f>IF(C64-Table_1463457141940485664[Ethiopia]&gt;0, C64-Table_1463457141940485664[Ethiopia], 0)</f>
        <v>0</v>
      </c>
      <c r="I64" s="29">
        <f>IF(C64-Table_1463457141940485664[Kenya]&gt;0, C64-Table_1463457141940485664[Kenya], 0)</f>
        <v>0</v>
      </c>
      <c r="J64" s="29">
        <f>IF(C64-Table_1463457141940485664[Rwanda]&gt;0, C64-Table_1463457141940485664[Rwanda], 0)</f>
        <v>0</v>
      </c>
      <c r="K64" s="29">
        <f>IF(C64-Table_1463457141940485664[Sudan]&gt;0, C64-Table_1463457141940485664[Sudan], 0)</f>
        <v>0</v>
      </c>
      <c r="L64" s="29">
        <f>IF(C64-Table_1463457141940485664[S. Sudan]&gt;0, C64-Table_1463457141940485664[S. Sudan], 0)</f>
        <v>0</v>
      </c>
      <c r="M64" s="29">
        <f>IF(C64-Table_1463457141940485664[Tanzania]&gt;0, C64-Table_1463457141940485664[Tanzania], 0)</f>
        <v>0</v>
      </c>
      <c r="N64" s="29">
        <f>IF(C64-Table_1463457141940485664[Uganda]&gt;0, C64-Table_1463457141940485664[Uganda], 0)</f>
        <v>0</v>
      </c>
      <c r="P64" s="21" t="s">
        <v>5</v>
      </c>
      <c r="Q64" s="97">
        <f t="shared" si="8"/>
        <v>-8.6645828236599914E-3</v>
      </c>
      <c r="R64" s="97">
        <f t="shared" si="7"/>
        <v>-8.6645828236599914E-3</v>
      </c>
      <c r="S64" s="97">
        <f t="shared" si="7"/>
        <v>0.38495050591039931</v>
      </c>
      <c r="T64" s="97">
        <f t="shared" si="7"/>
        <v>-8.6645828236599914E-3</v>
      </c>
      <c r="U64" s="97">
        <f t="shared" si="7"/>
        <v>0.87480114024327771</v>
      </c>
      <c r="V64" s="97">
        <f t="shared" si="7"/>
        <v>-8.6645828236599914E-3</v>
      </c>
      <c r="W64" s="97">
        <f t="shared" si="7"/>
        <v>-8.6645828236599914E-3</v>
      </c>
      <c r="X64" s="97">
        <f t="shared" si="7"/>
        <v>0.17894217353453068</v>
      </c>
      <c r="Y64" s="97">
        <f t="shared" si="7"/>
        <v>8.5897848414821898E-2</v>
      </c>
      <c r="Z64" s="97">
        <f t="shared" si="7"/>
        <v>9.49107159189733E-3</v>
      </c>
      <c r="AA64" s="97">
        <f t="shared" si="7"/>
        <v>0.22673911578854661</v>
      </c>
    </row>
    <row r="65" spans="1:31" ht="12.75" customHeight="1" x14ac:dyDescent="0.25">
      <c r="B65" s="21" t="s">
        <v>5</v>
      </c>
      <c r="C65" s="95">
        <f>Annual_sorted!P152</f>
        <v>-13.255423370554974</v>
      </c>
      <c r="D65" s="29">
        <f>IF(C65-Table_1463457141940485664[Burundi]&gt;0, C65-Table_1463457141940485664[Burundi], 0)</f>
        <v>0</v>
      </c>
      <c r="E65" s="29">
        <f>IF(C65-Table_1463457141940485664[DRC]&gt;0, C65-Table_1463457141940485664[DRC], 0)</f>
        <v>0</v>
      </c>
      <c r="F65" s="29">
        <f>IF(C65-Table_1463457141940485664[Egypt]&gt;0, C65-Table_1463457141940485664[Egypt], 0)</f>
        <v>41.860669967077115</v>
      </c>
      <c r="G65" s="29">
        <f>IF(C65-Table_1463457141940485664[Eritrea]&gt;0, C65-Table_1463457141940485664[Eritrea], 0)</f>
        <v>0</v>
      </c>
      <c r="H65" s="29">
        <f>IF(C65-Table_1463457141940485664[Ethiopia]&gt;0, C65-Table_1463457141940485664[Ethiopia], 0)</f>
        <v>93.955918152103479</v>
      </c>
      <c r="I65" s="29">
        <f>IF(C65-Table_1463457141940485664[Kenya]&gt;0, C65-Table_1463457141940485664[Kenya], 0)</f>
        <v>0</v>
      </c>
      <c r="J65" s="29">
        <f>IF(C65-Table_1463457141940485664[Rwanda]&gt;0, C65-Table_1463457141940485664[Rwanda], 0)</f>
        <v>0</v>
      </c>
      <c r="K65" s="29">
        <f>IF(C65-Table_1463457141940485664[Sudan]&gt;0, C65-Table_1463457141940485664[Sudan], 0)</f>
        <v>19.951838067900063</v>
      </c>
      <c r="L65" s="29">
        <f>IF(C65-Table_1463457141940485664[S. Sudan]&gt;0, C65-Table_1463457141940485664[S. Sudan], 0)</f>
        <v>10.056643758473863</v>
      </c>
      <c r="M65" s="29">
        <f>IF(C65-Table_1463457141940485664[Tanzania]&gt;0, C65-Table_1463457141940485664[Tanzania], 0)</f>
        <v>1.9308402530255648</v>
      </c>
      <c r="N65" s="29">
        <f>IF(C65-Table_1463457141940485664[Uganda]&gt;0, C65-Table_1463457141940485664[Uganda], 0)</f>
        <v>25.035007088594348</v>
      </c>
      <c r="P65" s="21" t="s">
        <v>6</v>
      </c>
      <c r="Q65" s="97">
        <f t="shared" si="8"/>
        <v>-8.6645828236599914E-3</v>
      </c>
      <c r="R65" s="97">
        <f t="shared" si="7"/>
        <v>-8.6645828236599914E-3</v>
      </c>
      <c r="S65" s="97">
        <f t="shared" si="7"/>
        <v>0.47296099291223676</v>
      </c>
      <c r="T65" s="97">
        <f t="shared" si="7"/>
        <v>-8.6645828236599914E-3</v>
      </c>
      <c r="U65" s="97">
        <f t="shared" si="7"/>
        <v>0.96281162724511526</v>
      </c>
      <c r="V65" s="97">
        <f t="shared" si="7"/>
        <v>7.9345904178177482E-2</v>
      </c>
      <c r="W65" s="97">
        <f t="shared" si="7"/>
        <v>-8.6645828236599914E-3</v>
      </c>
      <c r="X65" s="97">
        <f t="shared" si="7"/>
        <v>0.26695266053636818</v>
      </c>
      <c r="Y65" s="97">
        <f t="shared" si="7"/>
        <v>0.17390833541665937</v>
      </c>
      <c r="Z65" s="97">
        <f t="shared" si="7"/>
        <v>9.7501558593734786E-2</v>
      </c>
      <c r="AA65" s="97">
        <f t="shared" si="7"/>
        <v>0.314749602790384</v>
      </c>
    </row>
    <row r="66" spans="1:31" ht="12.75" customHeight="1" x14ac:dyDescent="0.25">
      <c r="B66" s="21" t="s">
        <v>6</v>
      </c>
      <c r="C66" s="95">
        <f>Annual_sorted!P153</f>
        <v>-3.8955739758718022</v>
      </c>
      <c r="D66" s="29">
        <f>IF(C66-Table_1463457141940485664[Burundi]&gt;0, C66-Table_1463457141940485664[Burundi], 0)</f>
        <v>0</v>
      </c>
      <c r="E66" s="29">
        <f>IF(C66-Table_1463457141940485664[DRC]&gt;0, C66-Table_1463457141940485664[DRC], 0)</f>
        <v>0</v>
      </c>
      <c r="F66" s="29">
        <f>IF(C66-Table_1463457141940485664[Egypt]&gt;0, C66-Table_1463457141940485664[Egypt], 0)</f>
        <v>51.220519361760282</v>
      </c>
      <c r="G66" s="29">
        <f>IF(C66-Table_1463457141940485664[Eritrea]&gt;0, C66-Table_1463457141940485664[Eritrea], 0)</f>
        <v>0</v>
      </c>
      <c r="H66" s="29">
        <f>IF(C66-Table_1463457141940485664[Ethiopia]&gt;0, C66-Table_1463457141940485664[Ethiopia], 0)</f>
        <v>103.31576754678666</v>
      </c>
      <c r="I66" s="29">
        <f>IF(C66-Table_1463457141940485664[Kenya]&gt;0, C66-Table_1463457141940485664[Kenya], 0)</f>
        <v>9.359849394683172</v>
      </c>
      <c r="J66" s="29">
        <f>IF(C66-Table_1463457141940485664[Rwanda]&gt;0, C66-Table_1463457141940485664[Rwanda], 0)</f>
        <v>0</v>
      </c>
      <c r="K66" s="29">
        <f>IF(C66-Table_1463457141940485664[Sudan]&gt;0, C66-Table_1463457141940485664[Sudan], 0)</f>
        <v>29.311687462583233</v>
      </c>
      <c r="L66" s="29">
        <f>IF(C66-Table_1463457141940485664[S. Sudan]&gt;0, C66-Table_1463457141940485664[S. Sudan], 0)</f>
        <v>19.416493153157035</v>
      </c>
      <c r="M66" s="29">
        <f>IF(C66-Table_1463457141940485664[Tanzania]&gt;0, C66-Table_1463457141940485664[Tanzania], 0)</f>
        <v>11.290689647708737</v>
      </c>
      <c r="N66" s="29">
        <f>IF(C66-Table_1463457141940485664[Uganda]&gt;0, C66-Table_1463457141940485664[Uganda], 0)</f>
        <v>34.394856483277515</v>
      </c>
      <c r="P66" s="21" t="s">
        <v>7</v>
      </c>
      <c r="Q66" s="97">
        <f t="shared" si="8"/>
        <v>-8.6645828236599914E-3</v>
      </c>
      <c r="R66" s="97">
        <f t="shared" si="7"/>
        <v>-8.6645828236599914E-3</v>
      </c>
      <c r="S66" s="97">
        <f t="shared" si="7"/>
        <v>0.19734374955220868</v>
      </c>
      <c r="T66" s="97">
        <f t="shared" si="7"/>
        <v>-8.6645828236599914E-3</v>
      </c>
      <c r="U66" s="97">
        <f t="shared" si="7"/>
        <v>0.68719438388508713</v>
      </c>
      <c r="V66" s="97">
        <f t="shared" si="7"/>
        <v>-8.6645828236599914E-3</v>
      </c>
      <c r="W66" s="97">
        <f t="shared" si="7"/>
        <v>-8.6645828236599914E-3</v>
      </c>
      <c r="X66" s="97">
        <f t="shared" si="7"/>
        <v>-8.6645828236599914E-3</v>
      </c>
      <c r="Y66" s="97">
        <f t="shared" si="7"/>
        <v>-8.6645828236599914E-3</v>
      </c>
      <c r="Z66" s="97">
        <f t="shared" si="7"/>
        <v>-8.6645828236599914E-3</v>
      </c>
      <c r="AA66" s="97">
        <f t="shared" si="7"/>
        <v>3.9132359430355916E-2</v>
      </c>
    </row>
    <row r="67" spans="1:31" ht="12.75" customHeight="1" x14ac:dyDescent="0.25">
      <c r="B67" s="21" t="s">
        <v>7</v>
      </c>
      <c r="C67" s="95">
        <f>Annual_sorted!P154</f>
        <v>-33.207261438455035</v>
      </c>
      <c r="D67" s="29">
        <f>IF(C67-Table_1463457141940485664[Burundi]&gt;0, C67-Table_1463457141940485664[Burundi], 0)</f>
        <v>0</v>
      </c>
      <c r="E67" s="29">
        <f>IF(C67-Table_1463457141940485664[DRC]&gt;0, C67-Table_1463457141940485664[DRC], 0)</f>
        <v>0</v>
      </c>
      <c r="F67" s="29">
        <f>IF(C67-Table_1463457141940485664[Egypt]&gt;0, C67-Table_1463457141940485664[Egypt], 0)</f>
        <v>21.908831899177052</v>
      </c>
      <c r="G67" s="29">
        <f>IF(C67-Table_1463457141940485664[Eritrea]&gt;0, C67-Table_1463457141940485664[Eritrea], 0)</f>
        <v>0</v>
      </c>
      <c r="H67" s="29">
        <f>IF(C67-Table_1463457141940485664[Ethiopia]&gt;0, C67-Table_1463457141940485664[Ethiopia], 0)</f>
        <v>74.004080084203423</v>
      </c>
      <c r="I67" s="29">
        <f>IF(C67-Table_1463457141940485664[Kenya]&gt;0, C67-Table_1463457141940485664[Kenya], 0)</f>
        <v>0</v>
      </c>
      <c r="J67" s="29">
        <f>IF(C67-Table_1463457141940485664[Rwanda]&gt;0, C67-Table_1463457141940485664[Rwanda], 0)</f>
        <v>0</v>
      </c>
      <c r="K67" s="29">
        <f>IF(C67-Table_1463457141940485664[Sudan]&gt;0, C67-Table_1463457141940485664[Sudan], 0)</f>
        <v>0</v>
      </c>
      <c r="L67" s="29">
        <f>IF(C67-Table_1463457141940485664[S. Sudan]&gt;0, C67-Table_1463457141940485664[S. Sudan], 0)</f>
        <v>0</v>
      </c>
      <c r="M67" s="29">
        <f>IF(C67-Table_1463457141940485664[Tanzania]&gt;0, C67-Table_1463457141940485664[Tanzania], 0)</f>
        <v>0</v>
      </c>
      <c r="N67" s="29">
        <f>IF(C67-Table_1463457141940485664[Uganda]&gt;0, C67-Table_1463457141940485664[Uganda], 0)</f>
        <v>5.0831690206942852</v>
      </c>
      <c r="P67" s="21" t="s">
        <v>8</v>
      </c>
      <c r="Q67" s="97">
        <f t="shared" si="8"/>
        <v>-8.6645828236599914E-3</v>
      </c>
      <c r="R67" s="97">
        <f t="shared" si="7"/>
        <v>-8.6645828236599914E-3</v>
      </c>
      <c r="S67" s="97">
        <f t="shared" si="7"/>
        <v>0.29038807467191746</v>
      </c>
      <c r="T67" s="97">
        <f t="shared" si="7"/>
        <v>-8.6645828236599914E-3</v>
      </c>
      <c r="U67" s="97">
        <f t="shared" si="7"/>
        <v>0.78023870900479597</v>
      </c>
      <c r="V67" s="97">
        <f t="shared" si="7"/>
        <v>-8.6645828236599914E-3</v>
      </c>
      <c r="W67" s="97">
        <f t="shared" si="7"/>
        <v>-8.6645828236599914E-3</v>
      </c>
      <c r="X67" s="97">
        <f t="shared" si="7"/>
        <v>8.437974229604879E-2</v>
      </c>
      <c r="Y67" s="97">
        <f t="shared" si="7"/>
        <v>-8.6645828236599914E-3</v>
      </c>
      <c r="Z67" s="97">
        <f t="shared" si="7"/>
        <v>-8.6645828236599914E-3</v>
      </c>
      <c r="AA67" s="97">
        <f>$AE$59+(N68-$AE$57)*($AE$60-$AE$59)/($AE$58-$AE$57)</f>
        <v>0.1321766845500647</v>
      </c>
    </row>
    <row r="68" spans="1:31" ht="12.75" customHeight="1" x14ac:dyDescent="0.25">
      <c r="B68" s="21" t="s">
        <v>8</v>
      </c>
      <c r="C68" s="95">
        <f>Annual_sorted!P155</f>
        <v>-23.312067129028836</v>
      </c>
      <c r="D68" s="29">
        <f>IF(C68-Table_1463457141940485664[Burundi]&gt;0, C68-Table_1463457141940485664[Burundi], 0)</f>
        <v>0</v>
      </c>
      <c r="E68" s="29">
        <f>IF(C68-Table_1463457141940485664[DRC]&gt;0, C68-Table_1463457141940485664[DRC], 0)</f>
        <v>0</v>
      </c>
      <c r="F68" s="29">
        <f>IF(C68-Table_1463457141940485664[Egypt]&gt;0, C68-Table_1463457141940485664[Egypt], 0)</f>
        <v>31.804026208603251</v>
      </c>
      <c r="G68" s="29">
        <f>IF(C68-Table_1463457141940485664[Eritrea]&gt;0, C68-Table_1463457141940485664[Eritrea], 0)</f>
        <v>0</v>
      </c>
      <c r="H68" s="29">
        <f>IF(C68-Table_1463457141940485664[Ethiopia]&gt;0, C68-Table_1463457141940485664[Ethiopia], 0)</f>
        <v>83.899274393629625</v>
      </c>
      <c r="I68" s="29">
        <f>IF(C68-Table_1463457141940485664[Kenya]&gt;0, C68-Table_1463457141940485664[Kenya], 0)</f>
        <v>0</v>
      </c>
      <c r="J68" s="29">
        <f>IF(C68-Table_1463457141940485664[Rwanda]&gt;0, C68-Table_1463457141940485664[Rwanda], 0)</f>
        <v>0</v>
      </c>
      <c r="K68" s="29">
        <f>IF(C68-Table_1463457141940485664[Sudan]&gt;0, C68-Table_1463457141940485664[Sudan], 0)</f>
        <v>9.8951943094261985</v>
      </c>
      <c r="L68" s="29">
        <f>IF(C68-Table_1463457141940485664[S. Sudan]&gt;0, C68-Table_1463457141940485664[S. Sudan], 0)</f>
        <v>0</v>
      </c>
      <c r="M68" s="29">
        <f>IF(C68-Table_1463457141940485664[Tanzania]&gt;0, C68-Table_1463457141940485664[Tanzania], 0)</f>
        <v>0</v>
      </c>
      <c r="N68" s="29">
        <f>IF(C68-Table_1463457141940485664[Uganda]&gt;0, C68-Table_1463457141940485664[Uganda], 0)</f>
        <v>14.978363330120484</v>
      </c>
      <c r="P68" s="21" t="s">
        <v>9</v>
      </c>
      <c r="Q68" s="97">
        <f t="shared" si="8"/>
        <v>-8.6645828236599914E-3</v>
      </c>
      <c r="R68" s="97">
        <f t="shared" si="7"/>
        <v>-8.6645828236599914E-3</v>
      </c>
      <c r="S68" s="97">
        <f t="shared" si="7"/>
        <v>0.36679485149484203</v>
      </c>
      <c r="T68" s="97">
        <f t="shared" si="7"/>
        <v>-8.6645828236599914E-3</v>
      </c>
      <c r="U68" s="97">
        <f t="shared" si="7"/>
        <v>0.85664548582772038</v>
      </c>
      <c r="V68" s="97">
        <f t="shared" si="7"/>
        <v>-8.6645828236599914E-3</v>
      </c>
      <c r="W68" s="97">
        <f t="shared" si="7"/>
        <v>-8.6645828236599914E-3</v>
      </c>
      <c r="X68" s="97">
        <f t="shared" si="7"/>
        <v>0.16078651911897338</v>
      </c>
      <c r="Y68" s="97">
        <f t="shared" si="7"/>
        <v>6.774219399926458E-2</v>
      </c>
      <c r="Z68" s="97">
        <f t="shared" si="7"/>
        <v>-8.6645828236599914E-3</v>
      </c>
      <c r="AA68" s="97">
        <f t="shared" si="7"/>
        <v>0.20858346137298928</v>
      </c>
    </row>
    <row r="69" spans="1:31" ht="12.75" customHeight="1" thickBot="1" x14ac:dyDescent="0.3">
      <c r="B69" s="21" t="s">
        <v>9</v>
      </c>
      <c r="C69" s="95">
        <f>Annual_sorted!P156</f>
        <v>-15.186263623580539</v>
      </c>
      <c r="D69" s="29">
        <f>IF(C69-Table_1463457141940485664[Burundi]&gt;0, C69-Table_1463457141940485664[Burundi], 0)</f>
        <v>0</v>
      </c>
      <c r="E69" s="29">
        <f>IF(C69-Table_1463457141940485664[DRC]&gt;0, C69-Table_1463457141940485664[DRC], 0)</f>
        <v>0</v>
      </c>
      <c r="F69" s="29">
        <f>IF(C69-Table_1463457141940485664[Egypt]&gt;0, C69-Table_1463457141940485664[Egypt], 0)</f>
        <v>39.92982971405155</v>
      </c>
      <c r="G69" s="29">
        <f>IF(C69-Table_1463457141940485664[Eritrea]&gt;0, C69-Table_1463457141940485664[Eritrea], 0)</f>
        <v>0</v>
      </c>
      <c r="H69" s="29">
        <f>IF(C69-Table_1463457141940485664[Ethiopia]&gt;0, C69-Table_1463457141940485664[Ethiopia], 0)</f>
        <v>92.025077899077914</v>
      </c>
      <c r="I69" s="29">
        <f>IF(C69-Table_1463457141940485664[Kenya]&gt;0, C69-Table_1463457141940485664[Kenya], 0)</f>
        <v>0</v>
      </c>
      <c r="J69" s="29">
        <f>IF(C69-Table_1463457141940485664[Rwanda]&gt;0, C69-Table_1463457141940485664[Rwanda], 0)</f>
        <v>0</v>
      </c>
      <c r="K69" s="29">
        <f>IF(C69-Table_1463457141940485664[Sudan]&gt;0, C69-Table_1463457141940485664[Sudan], 0)</f>
        <v>18.020997814874498</v>
      </c>
      <c r="L69" s="29">
        <f>IF(C69-Table_1463457141940485664[S. Sudan]&gt;0, C69-Table_1463457141940485664[S. Sudan], 0)</f>
        <v>8.1258035054482978</v>
      </c>
      <c r="M69" s="29">
        <f>IF(C69-Table_1463457141940485664[Tanzania]&gt;0, C69-Table_1463457141940485664[Tanzania], 0)</f>
        <v>0</v>
      </c>
      <c r="N69" s="29">
        <f>IF(C69-Table_1463457141940485664[Uganda]&gt;0, C69-Table_1463457141940485664[Uganda], 0)</f>
        <v>23.104166835568783</v>
      </c>
      <c r="P69" s="22" t="s">
        <v>10</v>
      </c>
      <c r="Q69" s="98">
        <f t="shared" si="8"/>
        <v>-8.6645828236599914E-3</v>
      </c>
      <c r="R69" s="98">
        <f t="shared" si="7"/>
        <v>-8.6645828236599914E-3</v>
      </c>
      <c r="S69" s="98">
        <f t="shared" si="7"/>
        <v>0.14954680729819278</v>
      </c>
      <c r="T69" s="98">
        <f t="shared" si="7"/>
        <v>-8.6645828236599914E-3</v>
      </c>
      <c r="U69" s="98">
        <f t="shared" si="7"/>
        <v>0.63939744163107115</v>
      </c>
      <c r="V69" s="98">
        <f t="shared" si="7"/>
        <v>-8.6645828236599914E-3</v>
      </c>
      <c r="W69" s="98">
        <f t="shared" si="7"/>
        <v>-8.6645828236599914E-3</v>
      </c>
      <c r="X69" s="98">
        <f t="shared" si="7"/>
        <v>-8.6645828236599914E-3</v>
      </c>
      <c r="Y69" s="98">
        <f t="shared" si="7"/>
        <v>-8.6645828236599914E-3</v>
      </c>
      <c r="Z69" s="98">
        <f t="shared" si="7"/>
        <v>-8.6645828236599914E-3</v>
      </c>
      <c r="AA69" s="98">
        <f t="shared" si="7"/>
        <v>-8.6645828236599914E-3</v>
      </c>
      <c r="AB69" s="186">
        <f>SUM(Q59:AA69)</f>
        <v>16.390177734964624</v>
      </c>
    </row>
    <row r="70" spans="1:31" ht="12.75" customHeight="1" thickBot="1" x14ac:dyDescent="0.3">
      <c r="B70" s="22" t="s">
        <v>10</v>
      </c>
      <c r="C70" s="96">
        <f>Annual_sorted!P157</f>
        <v>-38.29043045914932</v>
      </c>
      <c r="D70" s="32">
        <f>IF(C70-Table_1463457141940485664[Burundi]&gt;0, C70-Table_1463457141940485664[Burundi], 0)</f>
        <v>0</v>
      </c>
      <c r="E70" s="32">
        <f>IF(C70-Table_1463457141940485664[DRC]&gt;0, C70-Table_1463457141940485664[DRC], 0)</f>
        <v>0</v>
      </c>
      <c r="F70" s="32">
        <f>IF(C70-Table_1463457141940485664[Egypt]&gt;0, C70-Table_1463457141940485664[Egypt], 0)</f>
        <v>16.825662878482767</v>
      </c>
      <c r="G70" s="32">
        <f>IF(C70-Table_1463457141940485664[Eritrea]&gt;0, C70-Table_1463457141940485664[Eritrea], 0)</f>
        <v>0</v>
      </c>
      <c r="H70" s="32">
        <f>IF(C70-Table_1463457141940485664[Ethiopia]&gt;0, C70-Table_1463457141940485664[Ethiopia], 0)</f>
        <v>68.920911063509138</v>
      </c>
      <c r="I70" s="32">
        <f>IF(C70-Table_1463457141940485664[Kenya]&gt;0, C70-Table_1463457141940485664[Kenya], 0)</f>
        <v>0</v>
      </c>
      <c r="J70" s="32">
        <f>IF(C70-Table_1463457141940485664[Rwanda]&gt;0, C70-Table_1463457141940485664[Rwanda], 0)</f>
        <v>0</v>
      </c>
      <c r="K70" s="32">
        <f>IF(C70-Table_1463457141940485664[Sudan]&gt;0, C70-Table_1463457141940485664[Sudan], 0)</f>
        <v>0</v>
      </c>
      <c r="L70" s="32">
        <f>IF(C70-Table_1463457141940485664[S. Sudan]&gt;0, C70-Table_1463457141940485664[S. Sudan], 0)</f>
        <v>0</v>
      </c>
      <c r="M70" s="32">
        <f>IF(C70-Table_1463457141940485664[Tanzania]&gt;0, C70-Table_1463457141940485664[Tanzania], 0)</f>
        <v>0</v>
      </c>
      <c r="N70" s="32">
        <f>IF(C70-Table_1463457141940485664[Uganda]&gt;0, C70-Table_1463457141940485664[Uganda], 0)</f>
        <v>0</v>
      </c>
    </row>
    <row r="71" spans="1:31" ht="12.75" customHeight="1" x14ac:dyDescent="0.25"/>
    <row r="72" spans="1:31" ht="12.75" customHeight="1" x14ac:dyDescent="0.25"/>
    <row r="73" spans="1:31" ht="12.75" customHeight="1" x14ac:dyDescent="0.25"/>
    <row r="74" spans="1:31" ht="24" customHeight="1" x14ac:dyDescent="0.25">
      <c r="A74" s="252" t="s">
        <v>82</v>
      </c>
      <c r="B74" s="252"/>
      <c r="C74" s="252"/>
      <c r="D74" s="252"/>
      <c r="E74" s="252"/>
      <c r="F74" s="252"/>
    </row>
    <row r="75" spans="1:31" ht="12.75" customHeight="1" x14ac:dyDescent="0.25"/>
    <row r="76" spans="1:31" ht="12.75" customHeight="1" x14ac:dyDescent="0.25">
      <c r="B76" s="5"/>
      <c r="C76" s="5"/>
      <c r="D76" s="5"/>
      <c r="E76" s="5"/>
      <c r="F76" s="5"/>
      <c r="G76" s="5"/>
      <c r="H76" s="5"/>
      <c r="I76" s="5"/>
      <c r="J76" s="5"/>
      <c r="K76" s="5"/>
      <c r="L76" s="5"/>
      <c r="M76" s="5"/>
      <c r="N76" s="5"/>
      <c r="O76" s="5"/>
      <c r="P76" s="5"/>
      <c r="Q76" s="5"/>
      <c r="R76" s="5"/>
      <c r="S76" s="5"/>
      <c r="T76" s="5"/>
      <c r="U76" s="5"/>
      <c r="V76" s="5"/>
      <c r="W76" s="5"/>
      <c r="X76" s="5"/>
      <c r="Y76" s="5"/>
      <c r="Z76" s="5"/>
      <c r="AA76" s="5"/>
    </row>
    <row r="77" spans="1:31" ht="12.75" customHeight="1" thickBot="1" x14ac:dyDescent="0.3">
      <c r="B77" s="253" t="s">
        <v>83</v>
      </c>
      <c r="C77" s="253"/>
      <c r="D77" s="253"/>
      <c r="E77" s="253"/>
      <c r="F77" s="253"/>
      <c r="G77" s="253"/>
      <c r="H77" s="253"/>
      <c r="I77" s="253"/>
      <c r="J77" s="253"/>
      <c r="K77" s="253"/>
      <c r="L77" s="253"/>
      <c r="M77" s="253"/>
      <c r="N77" s="253"/>
      <c r="O77" s="5"/>
      <c r="P77" s="253" t="s">
        <v>84</v>
      </c>
      <c r="Q77" s="253"/>
      <c r="R77" s="253"/>
      <c r="S77" s="253"/>
      <c r="T77" s="253"/>
      <c r="U77" s="253"/>
      <c r="V77" s="253"/>
      <c r="W77" s="253"/>
      <c r="X77" s="253"/>
      <c r="Y77" s="253"/>
      <c r="Z77" s="253"/>
      <c r="AA77" s="253"/>
      <c r="AB77" s="10"/>
      <c r="AC77" s="3" t="s">
        <v>22</v>
      </c>
      <c r="AD77" s="13" t="s">
        <v>23</v>
      </c>
      <c r="AE77" s="74">
        <f t="array" ref="AE77">MIN(IF(D80:N90&gt;0,D80:N90))</f>
        <v>14.934142616099688</v>
      </c>
    </row>
    <row r="78" spans="1:31" ht="12.75" customHeight="1" thickBot="1" x14ac:dyDescent="0.3">
      <c r="B78" s="75" t="s">
        <v>13</v>
      </c>
      <c r="C78" s="66" t="s">
        <v>14</v>
      </c>
      <c r="D78" s="67" t="s">
        <v>1</v>
      </c>
      <c r="E78" s="67" t="s">
        <v>195</v>
      </c>
      <c r="F78" s="67" t="s">
        <v>2</v>
      </c>
      <c r="G78" s="67" t="s">
        <v>3</v>
      </c>
      <c r="H78" s="67" t="s">
        <v>4</v>
      </c>
      <c r="I78" s="67" t="s">
        <v>5</v>
      </c>
      <c r="J78" s="67" t="s">
        <v>6</v>
      </c>
      <c r="K78" s="67" t="s">
        <v>7</v>
      </c>
      <c r="L78" s="67" t="s">
        <v>295</v>
      </c>
      <c r="M78" s="67" t="s">
        <v>9</v>
      </c>
      <c r="N78" s="67" t="s">
        <v>10</v>
      </c>
      <c r="P78" s="76" t="s">
        <v>19</v>
      </c>
      <c r="Q78" s="77" t="s">
        <v>1</v>
      </c>
      <c r="R78" s="77" t="s">
        <v>195</v>
      </c>
      <c r="S78" s="77" t="s">
        <v>2</v>
      </c>
      <c r="T78" s="77" t="s">
        <v>3</v>
      </c>
      <c r="U78" s="77" t="s">
        <v>4</v>
      </c>
      <c r="V78" s="77" t="s">
        <v>5</v>
      </c>
      <c r="W78" s="77" t="s">
        <v>6</v>
      </c>
      <c r="X78" s="77" t="s">
        <v>7</v>
      </c>
      <c r="Y78" s="77" t="s">
        <v>295</v>
      </c>
      <c r="Z78" s="77" t="s">
        <v>9</v>
      </c>
      <c r="AA78" s="77" t="s">
        <v>10</v>
      </c>
      <c r="AB78" s="254" t="s">
        <v>26</v>
      </c>
      <c r="AC78" s="254"/>
      <c r="AD78" s="13" t="s">
        <v>24</v>
      </c>
      <c r="AE78" s="20">
        <f>MAX(D80:N90)</f>
        <v>1673.6874078501135</v>
      </c>
    </row>
    <row r="79" spans="1:31" ht="12.75" customHeight="1" x14ac:dyDescent="0.25">
      <c r="B79" s="93"/>
      <c r="C79" s="94" t="s">
        <v>261</v>
      </c>
      <c r="D79" s="95">
        <f>C80</f>
        <v>60.323916254098073</v>
      </c>
      <c r="E79" s="95">
        <f>C81</f>
        <v>16.56446819732367</v>
      </c>
      <c r="F79" s="95">
        <f>C82</f>
        <v>-2.2151531359615384</v>
      </c>
      <c r="G79" s="95">
        <f>C83</f>
        <v>31.498610813423358</v>
      </c>
      <c r="H79" s="95">
        <f>C84</f>
        <v>1027.7249005413505</v>
      </c>
      <c r="I79" s="95">
        <f>C85</f>
        <v>273.15003612553949</v>
      </c>
      <c r="J79" s="95">
        <f>C86</f>
        <v>105.9291748856992</v>
      </c>
      <c r="K79" s="95">
        <f>C87</f>
        <v>1094.260168300583</v>
      </c>
      <c r="L79" s="95">
        <f>C88</f>
        <v>-579.42723954953044</v>
      </c>
      <c r="M79" s="95">
        <f>C89</f>
        <v>302.32465267373436</v>
      </c>
      <c r="N79" s="95">
        <f>C90</f>
        <v>382.60503149793226</v>
      </c>
      <c r="P79" s="21" t="s">
        <v>1</v>
      </c>
      <c r="Q79" s="97">
        <f>$AE$79+(D80-$AE$77)*($AE$80-$AE$79)/($AE$78-$AE$77)</f>
        <v>-7.9942300558961156E-3</v>
      </c>
      <c r="R79" s="97">
        <f t="shared" ref="R79:AA89" si="9">$AE$79+(E80-$AE$77)*($AE$80-$AE$79)/($AE$78-$AE$77)</f>
        <v>1.8360315568796477E-2</v>
      </c>
      <c r="S79" s="97">
        <f t="shared" si="9"/>
        <v>2.9670521917843317E-2</v>
      </c>
      <c r="T79" s="97">
        <f t="shared" si="9"/>
        <v>9.3660855129003608E-3</v>
      </c>
      <c r="U79" s="97">
        <f t="shared" si="9"/>
        <v>-7.9942300558961156E-3</v>
      </c>
      <c r="V79" s="97">
        <f t="shared" si="9"/>
        <v>-7.9942300558961156E-3</v>
      </c>
      <c r="W79" s="97">
        <f t="shared" si="9"/>
        <v>-7.9942300558961156E-3</v>
      </c>
      <c r="X79" s="97">
        <f t="shared" si="9"/>
        <v>-7.9942300558961156E-3</v>
      </c>
      <c r="Y79" s="97">
        <f t="shared" si="9"/>
        <v>0.37730201504759747</v>
      </c>
      <c r="Z79" s="97">
        <f t="shared" si="9"/>
        <v>-7.9942300558961156E-3</v>
      </c>
      <c r="AA79" s="97">
        <f t="shared" si="9"/>
        <v>-7.9942300558961156E-3</v>
      </c>
      <c r="AD79" s="3" t="s">
        <v>25</v>
      </c>
      <c r="AE79" s="2">
        <v>1E-3</v>
      </c>
    </row>
    <row r="80" spans="1:31" ht="12.75" customHeight="1" x14ac:dyDescent="0.25">
      <c r="B80" s="21" t="s">
        <v>1</v>
      </c>
      <c r="C80" s="95">
        <f>Annual_sorted!F147</f>
        <v>60.323916254098073</v>
      </c>
      <c r="D80" s="29">
        <f>IF(C80-Table_14634578132445536169[Burundi]&gt;0, C80-Table_14634578132445536169[Burundi], 0)</f>
        <v>0</v>
      </c>
      <c r="E80" s="29">
        <f>IF(C80-Table_14634578132445536169[DRC]&gt;0, C80-Table_14634578132445536169[DRC], 0)</f>
        <v>43.759448056774403</v>
      </c>
      <c r="F80" s="29">
        <f>IF(C80-Table_14634578132445536169[Egypt]&gt;0, C80-Table_14634578132445536169[Egypt], 0)</f>
        <v>62.539069390059609</v>
      </c>
      <c r="G80" s="29">
        <f>IF(C80-Table_14634578132445536169[Eritrea]&gt;0, C80-Table_14634578132445536169[Eritrea], 0)</f>
        <v>28.825305440674715</v>
      </c>
      <c r="H80" s="29">
        <f>IF(C80-Table_14634578132445536169[Ethiopia]&gt;0, C80-Table_14634578132445536169[Ethiopia], 0)</f>
        <v>0</v>
      </c>
      <c r="I80" s="29">
        <f>IF(C80-Table_14634578132445536169[Kenya]&gt;0, C80-Table_14634578132445536169[Kenya], 0)</f>
        <v>0</v>
      </c>
      <c r="J80" s="29">
        <f>IF(C80-Table_14634578132445536169[Rwanda]&gt;0, C80-Table_14634578132445536169[Rwanda], 0)</f>
        <v>0</v>
      </c>
      <c r="K80" s="29">
        <f>IF(C80-Table_14634578132445536169[Sudan]&gt;0, C80-Table_14634578132445536169[Sudan], 0)</f>
        <v>0</v>
      </c>
      <c r="L80" s="29">
        <f>IF(C80-Table_14634578132445536169[S. Sudan]&gt;0, C80-Table_14634578132445536169[S. Sudan], 0)</f>
        <v>639.75115580362854</v>
      </c>
      <c r="M80" s="29">
        <f>IF(C80-Table_14634578132445536169[Tanzania]&gt;0, C80-Table_14634578132445536169[Tanzania], 0)</f>
        <v>0</v>
      </c>
      <c r="N80" s="29">
        <f>IF(C80-Table_14634578132445536169[Uganda]&gt;0, C80-Table_14634578132445536169[Uganda], 0)</f>
        <v>0</v>
      </c>
      <c r="P80" s="21" t="s">
        <v>195</v>
      </c>
      <c r="Q80" s="97">
        <f t="shared" ref="Q80:Q89" si="10">$AE$79+(D81-$AE$77)*($AE$80-$AE$79)/($AE$78-$AE$77)</f>
        <v>-7.9942300558961156E-3</v>
      </c>
      <c r="R80" s="97">
        <f t="shared" si="9"/>
        <v>-7.9942300558961156E-3</v>
      </c>
      <c r="S80" s="97">
        <f t="shared" si="9"/>
        <v>3.3159762931507272E-3</v>
      </c>
      <c r="T80" s="97">
        <f t="shared" si="9"/>
        <v>-7.9942300558961156E-3</v>
      </c>
      <c r="U80" s="97">
        <f t="shared" si="9"/>
        <v>-7.9942300558961156E-3</v>
      </c>
      <c r="V80" s="97">
        <f t="shared" si="9"/>
        <v>-7.9942300558961156E-3</v>
      </c>
      <c r="W80" s="97">
        <f t="shared" si="9"/>
        <v>-7.9942300558961156E-3</v>
      </c>
      <c r="X80" s="97">
        <f t="shared" si="9"/>
        <v>-7.9942300558961156E-3</v>
      </c>
      <c r="Y80" s="97">
        <f t="shared" si="9"/>
        <v>0.35094746942290483</v>
      </c>
      <c r="Z80" s="97">
        <f t="shared" si="9"/>
        <v>-7.9942300558961156E-3</v>
      </c>
      <c r="AA80" s="97">
        <f t="shared" si="9"/>
        <v>-7.9942300558961156E-3</v>
      </c>
      <c r="AD80" s="3" t="s">
        <v>70</v>
      </c>
      <c r="AE80" s="2">
        <v>1</v>
      </c>
    </row>
    <row r="81" spans="2:31" ht="12.75" customHeight="1" x14ac:dyDescent="0.25">
      <c r="B81" s="21" t="s">
        <v>195</v>
      </c>
      <c r="C81" s="95">
        <f>Annual_sorted!F148</f>
        <v>16.56446819732367</v>
      </c>
      <c r="D81" s="29">
        <f>IF(C81-Table_14634578132445536169[Burundi]&gt;0, C81-Table_14634578132445536169[Burundi], 0)</f>
        <v>0</v>
      </c>
      <c r="E81" s="29">
        <f>IF(C81-Table_14634578132445536169[DRC]&gt;0, C81-Table_14634578132445536169[DRC], 0)</f>
        <v>0</v>
      </c>
      <c r="F81" s="29">
        <f>IF(C81-Table_14634578132445536169[Egypt]&gt;0, C81-Table_14634578132445536169[Egypt], 0)</f>
        <v>18.77962133328521</v>
      </c>
      <c r="G81" s="29">
        <f>IF(C81-Table_14634578132445536169[Eritrea]&gt;0, C81-Table_14634578132445536169[Eritrea], 0)</f>
        <v>0</v>
      </c>
      <c r="H81" s="29">
        <f>IF(C81-Table_14634578132445536169[Ethiopia]&gt;0, C81-Table_14634578132445536169[Ethiopia], 0)</f>
        <v>0</v>
      </c>
      <c r="I81" s="29">
        <f>IF(C81-Table_14634578132445536169[Kenya]&gt;0, C81-Table_14634578132445536169[Kenya], 0)</f>
        <v>0</v>
      </c>
      <c r="J81" s="29">
        <f>IF(C81-Table_14634578132445536169[Rwanda]&gt;0, C81-Table_14634578132445536169[Rwanda], 0)</f>
        <v>0</v>
      </c>
      <c r="K81" s="29">
        <f>IF(C81-Table_14634578132445536169[Sudan]&gt;0, C81-Table_14634578132445536169[Sudan], 0)</f>
        <v>0</v>
      </c>
      <c r="L81" s="29">
        <f>IF(C81-Table_14634578132445536169[S. Sudan]&gt;0, C81-Table_14634578132445536169[S. Sudan], 0)</f>
        <v>595.9917077468541</v>
      </c>
      <c r="M81" s="29">
        <f>IF(C81-Table_14634578132445536169[Tanzania]&gt;0, C81-Table_14634578132445536169[Tanzania], 0)</f>
        <v>0</v>
      </c>
      <c r="N81" s="29">
        <f>IF(C81-Table_14634578132445536169[Uganda]&gt;0, C81-Table_14634578132445536169[Uganda], 0)</f>
        <v>0</v>
      </c>
      <c r="P81" s="21" t="s">
        <v>2</v>
      </c>
      <c r="Q81" s="97">
        <f t="shared" si="10"/>
        <v>-7.9942300558961156E-3</v>
      </c>
      <c r="R81" s="97">
        <f t="shared" si="9"/>
        <v>-7.9942300558961156E-3</v>
      </c>
      <c r="S81" s="97">
        <f t="shared" si="9"/>
        <v>-7.9942300558961156E-3</v>
      </c>
      <c r="T81" s="97">
        <f t="shared" si="9"/>
        <v>-7.9942300558961156E-3</v>
      </c>
      <c r="U81" s="97">
        <f t="shared" si="9"/>
        <v>-7.9942300558961156E-3</v>
      </c>
      <c r="V81" s="97">
        <f t="shared" si="9"/>
        <v>-7.9942300558961156E-3</v>
      </c>
      <c r="W81" s="97">
        <f t="shared" si="9"/>
        <v>-7.9942300558961156E-3</v>
      </c>
      <c r="X81" s="97">
        <f t="shared" si="9"/>
        <v>-7.9942300558961156E-3</v>
      </c>
      <c r="Y81" s="97">
        <f t="shared" si="9"/>
        <v>0.33963726307385811</v>
      </c>
      <c r="Z81" s="97">
        <f t="shared" si="9"/>
        <v>-7.9942300558961156E-3</v>
      </c>
      <c r="AA81" s="97">
        <f t="shared" si="9"/>
        <v>-7.9942300558961156E-3</v>
      </c>
    </row>
    <row r="82" spans="2:31" ht="12.75" customHeight="1" x14ac:dyDescent="0.25">
      <c r="B82" s="21" t="s">
        <v>2</v>
      </c>
      <c r="C82" s="95">
        <f>Annual_sorted!F149</f>
        <v>-2.2151531359615384</v>
      </c>
      <c r="D82" s="29">
        <f>IF(C82-Table_14634578132445536169[Burundi]&gt;0, C82-Table_14634578132445536169[Burundi], 0)</f>
        <v>0</v>
      </c>
      <c r="E82" s="29">
        <f>IF(C82-Table_14634578132445536169[DRC]&gt;0, C82-Table_14634578132445536169[DRC], 0)</f>
        <v>0</v>
      </c>
      <c r="F82" s="29">
        <f>IF(C82-Table_14634578132445536169[Egypt]&gt;0, C82-Table_14634578132445536169[Egypt], 0)</f>
        <v>0</v>
      </c>
      <c r="G82" s="29">
        <f>IF(C82-Table_14634578132445536169[Eritrea]&gt;0, C82-Table_14634578132445536169[Eritrea], 0)</f>
        <v>0</v>
      </c>
      <c r="H82" s="29">
        <f>IF(C82-Table_14634578132445536169[Ethiopia]&gt;0, C82-Table_14634578132445536169[Ethiopia], 0)</f>
        <v>0</v>
      </c>
      <c r="I82" s="29">
        <f>IF(C82-Table_14634578132445536169[Kenya]&gt;0, C82-Table_14634578132445536169[Kenya], 0)</f>
        <v>0</v>
      </c>
      <c r="J82" s="29">
        <f>IF(C82-Table_14634578132445536169[Rwanda]&gt;0, C82-Table_14634578132445536169[Rwanda], 0)</f>
        <v>0</v>
      </c>
      <c r="K82" s="29">
        <f>IF(C82-Table_14634578132445536169[Sudan]&gt;0, C82-Table_14634578132445536169[Sudan], 0)</f>
        <v>0</v>
      </c>
      <c r="L82" s="29">
        <f>IF(C82-Table_14634578132445536169[S. Sudan]&gt;0, C82-Table_14634578132445536169[S. Sudan], 0)</f>
        <v>577.21208641356895</v>
      </c>
      <c r="M82" s="29">
        <f>IF(C82-Table_14634578132445536169[Tanzania]&gt;0, C82-Table_14634578132445536169[Tanzania], 0)</f>
        <v>0</v>
      </c>
      <c r="N82" s="29">
        <f>IF(C82-Table_14634578132445536169[Uganda]&gt;0, C82-Table_14634578132445536169[Uganda], 0)</f>
        <v>0</v>
      </c>
      <c r="P82" s="21" t="s">
        <v>3</v>
      </c>
      <c r="Q82" s="97">
        <f t="shared" si="10"/>
        <v>-7.9942300558961156E-3</v>
      </c>
      <c r="R82" s="97">
        <f t="shared" si="9"/>
        <v>1E-3</v>
      </c>
      <c r="S82" s="97">
        <f t="shared" si="9"/>
        <v>1.2310206349046844E-2</v>
      </c>
      <c r="T82" s="97">
        <f t="shared" si="9"/>
        <v>-7.9942300558961156E-3</v>
      </c>
      <c r="U82" s="97">
        <f t="shared" si="9"/>
        <v>-7.9942300558961156E-3</v>
      </c>
      <c r="V82" s="97">
        <f t="shared" si="9"/>
        <v>-7.9942300558961156E-3</v>
      </c>
      <c r="W82" s="97">
        <f t="shared" si="9"/>
        <v>-7.9942300558961156E-3</v>
      </c>
      <c r="X82" s="97">
        <f t="shared" si="9"/>
        <v>-7.9942300558961156E-3</v>
      </c>
      <c r="Y82" s="97">
        <f t="shared" si="9"/>
        <v>0.359941699478801</v>
      </c>
      <c r="Z82" s="97">
        <f t="shared" si="9"/>
        <v>-7.9942300558961156E-3</v>
      </c>
      <c r="AA82" s="97">
        <f t="shared" si="9"/>
        <v>-7.9942300558961156E-3</v>
      </c>
    </row>
    <row r="83" spans="2:31" ht="12.75" customHeight="1" x14ac:dyDescent="0.25">
      <c r="B83" s="21" t="s">
        <v>3</v>
      </c>
      <c r="C83" s="95">
        <f>Annual_sorted!F150</f>
        <v>31.498610813423358</v>
      </c>
      <c r="D83" s="29">
        <f>IF(C83-Table_14634578132445536169[Burundi]&gt;0, C83-Table_14634578132445536169[Burundi], 0)</f>
        <v>0</v>
      </c>
      <c r="E83" s="29">
        <f>IF(C83-Table_14634578132445536169[DRC]&gt;0, C83-Table_14634578132445536169[DRC], 0)</f>
        <v>14.934142616099688</v>
      </c>
      <c r="F83" s="29">
        <f>IF(C83-Table_14634578132445536169[Egypt]&gt;0, C83-Table_14634578132445536169[Egypt], 0)</f>
        <v>33.713763949384898</v>
      </c>
      <c r="G83" s="29">
        <f>IF(C83-Table_14634578132445536169[Eritrea]&gt;0, C83-Table_14634578132445536169[Eritrea], 0)</f>
        <v>0</v>
      </c>
      <c r="H83" s="29">
        <f>IF(C83-Table_14634578132445536169[Ethiopia]&gt;0, C83-Table_14634578132445536169[Ethiopia], 0)</f>
        <v>0</v>
      </c>
      <c r="I83" s="29">
        <f>IF(C83-Table_14634578132445536169[Kenya]&gt;0, C83-Table_14634578132445536169[Kenya], 0)</f>
        <v>0</v>
      </c>
      <c r="J83" s="29">
        <f>IF(C83-Table_14634578132445536169[Rwanda]&gt;0, C83-Table_14634578132445536169[Rwanda], 0)</f>
        <v>0</v>
      </c>
      <c r="K83" s="29">
        <f>IF(C83-Table_14634578132445536169[Sudan]&gt;0, C83-Table_14634578132445536169[Sudan], 0)</f>
        <v>0</v>
      </c>
      <c r="L83" s="29">
        <f>IF(C83-Table_14634578132445536169[S. Sudan]&gt;0, C83-Table_14634578132445536169[S. Sudan], 0)</f>
        <v>610.92585036295384</v>
      </c>
      <c r="M83" s="29">
        <f>IF(C83-Table_14634578132445536169[Tanzania]&gt;0, C83-Table_14634578132445536169[Tanzania], 0)</f>
        <v>0</v>
      </c>
      <c r="N83" s="29">
        <f>IF(C83-Table_14634578132445536169[Uganda]&gt;0, C83-Table_14634578132445536169[Uganda], 0)</f>
        <v>0</v>
      </c>
      <c r="P83" s="21" t="s">
        <v>4</v>
      </c>
      <c r="Q83" s="97">
        <f t="shared" si="10"/>
        <v>0.57463225427938713</v>
      </c>
      <c r="R83" s="97">
        <f t="shared" si="9"/>
        <v>0.60098679990407977</v>
      </c>
      <c r="S83" s="97">
        <f t="shared" si="9"/>
        <v>0.61229700625312666</v>
      </c>
      <c r="T83" s="97">
        <f t="shared" si="9"/>
        <v>0.5919925698481836</v>
      </c>
      <c r="U83" s="97">
        <f t="shared" si="9"/>
        <v>-7.9942300558961156E-3</v>
      </c>
      <c r="V83" s="97">
        <f t="shared" si="9"/>
        <v>0.44645569046621825</v>
      </c>
      <c r="W83" s="97">
        <f t="shared" si="9"/>
        <v>0.54716605160304033</v>
      </c>
      <c r="X83" s="97">
        <f t="shared" si="9"/>
        <v>-7.9942300558961156E-3</v>
      </c>
      <c r="Y83" s="97">
        <f t="shared" si="9"/>
        <v>0.95992849938288083</v>
      </c>
      <c r="Z83" s="97">
        <f t="shared" si="9"/>
        <v>0.42888499894596077</v>
      </c>
      <c r="AA83" s="97">
        <f t="shared" si="9"/>
        <v>0.38053537388339354</v>
      </c>
    </row>
    <row r="84" spans="2:31" ht="12.75" customHeight="1" x14ac:dyDescent="0.25">
      <c r="B84" s="21" t="s">
        <v>4</v>
      </c>
      <c r="C84" s="95">
        <f>Annual_sorted!F151</f>
        <v>1027.7249005413505</v>
      </c>
      <c r="D84" s="29">
        <f>IF(C84-Table_14634578132445536169[Burundi]&gt;0, C84-Table_14634578132445536169[Burundi], 0)</f>
        <v>967.40098428725241</v>
      </c>
      <c r="E84" s="29">
        <f>IF(C84-Table_14634578132445536169[DRC]&gt;0, C84-Table_14634578132445536169[DRC], 0)</f>
        <v>1011.1604323440268</v>
      </c>
      <c r="F84" s="29">
        <f>IF(C84-Table_14634578132445536169[Egypt]&gt;0, C84-Table_14634578132445536169[Egypt], 0)</f>
        <v>1029.9400536773121</v>
      </c>
      <c r="G84" s="29">
        <f>IF(C84-Table_14634578132445536169[Eritrea]&gt;0, C84-Table_14634578132445536169[Eritrea], 0)</f>
        <v>996.22628972792711</v>
      </c>
      <c r="H84" s="29">
        <f>IF(C84-Table_14634578132445536169[Ethiopia]&gt;0, C84-Table_14634578132445536169[Ethiopia], 0)</f>
        <v>0</v>
      </c>
      <c r="I84" s="29">
        <f>IF(C84-Table_14634578132445536169[Kenya]&gt;0, C84-Table_14634578132445536169[Kenya], 0)</f>
        <v>754.57486441581102</v>
      </c>
      <c r="J84" s="29">
        <f>IF(C84-Table_14634578132445536169[Rwanda]&gt;0, C84-Table_14634578132445536169[Rwanda], 0)</f>
        <v>921.79572565565127</v>
      </c>
      <c r="K84" s="29">
        <f>IF(C84-Table_14634578132445536169[Sudan]&gt;0, C84-Table_14634578132445536169[Sudan], 0)</f>
        <v>0</v>
      </c>
      <c r="L84" s="29">
        <f>IF(C84-Table_14634578132445536169[S. Sudan]&gt;0, C84-Table_14634578132445536169[S. Sudan], 0)</f>
        <v>1607.1521400908809</v>
      </c>
      <c r="M84" s="29">
        <f>IF(C84-Table_14634578132445536169[Tanzania]&gt;0, C84-Table_14634578132445536169[Tanzania], 0)</f>
        <v>725.40024786761614</v>
      </c>
      <c r="N84" s="29">
        <f>IF(C84-Table_14634578132445536169[Uganda]&gt;0, C84-Table_14634578132445536169[Uganda], 0)</f>
        <v>645.11986904341825</v>
      </c>
      <c r="P84" s="21" t="s">
        <v>5</v>
      </c>
      <c r="Q84" s="97">
        <f t="shared" si="10"/>
        <v>0.12018233375727287</v>
      </c>
      <c r="R84" s="97">
        <f t="shared" si="9"/>
        <v>0.14653687938196547</v>
      </c>
      <c r="S84" s="97">
        <f t="shared" si="9"/>
        <v>0.1578470857310123</v>
      </c>
      <c r="T84" s="97">
        <f t="shared" si="9"/>
        <v>0.13754264932606933</v>
      </c>
      <c r="U84" s="97">
        <f t="shared" si="9"/>
        <v>-7.9942300558961156E-3</v>
      </c>
      <c r="V84" s="97">
        <f t="shared" si="9"/>
        <v>-7.9942300558961156E-3</v>
      </c>
      <c r="W84" s="97">
        <f t="shared" si="9"/>
        <v>9.2716131080926037E-2</v>
      </c>
      <c r="X84" s="97">
        <f t="shared" si="9"/>
        <v>-7.9942300558961156E-3</v>
      </c>
      <c r="Y84" s="97">
        <f t="shared" si="9"/>
        <v>0.50547857886076653</v>
      </c>
      <c r="Z84" s="97">
        <f t="shared" si="9"/>
        <v>-7.9942300558961156E-3</v>
      </c>
      <c r="AA84" s="97">
        <f t="shared" si="9"/>
        <v>-7.9942300558961156E-3</v>
      </c>
    </row>
    <row r="85" spans="2:31" ht="12.75" customHeight="1" x14ac:dyDescent="0.25">
      <c r="B85" s="21" t="s">
        <v>5</v>
      </c>
      <c r="C85" s="95">
        <f>Annual_sorted!F152</f>
        <v>273.15003612553949</v>
      </c>
      <c r="D85" s="29">
        <f>IF(C85-Table_14634578132445536169[Burundi]&gt;0, C85-Table_14634578132445536169[Burundi], 0)</f>
        <v>212.82611987144142</v>
      </c>
      <c r="E85" s="29">
        <f>IF(C85-Table_14634578132445536169[DRC]&gt;0, C85-Table_14634578132445536169[DRC], 0)</f>
        <v>256.58556792821582</v>
      </c>
      <c r="F85" s="29">
        <f>IF(C85-Table_14634578132445536169[Egypt]&gt;0, C85-Table_14634578132445536169[Egypt], 0)</f>
        <v>275.36518926150103</v>
      </c>
      <c r="G85" s="29">
        <f>IF(C85-Table_14634578132445536169[Eritrea]&gt;0, C85-Table_14634578132445536169[Eritrea], 0)</f>
        <v>241.65142531211612</v>
      </c>
      <c r="H85" s="29">
        <f>IF(C85-Table_14634578132445536169[Ethiopia]&gt;0, C85-Table_14634578132445536169[Ethiopia], 0)</f>
        <v>0</v>
      </c>
      <c r="I85" s="29">
        <f>IF(C85-Table_14634578132445536169[Kenya]&gt;0, C85-Table_14634578132445536169[Kenya], 0)</f>
        <v>0</v>
      </c>
      <c r="J85" s="29">
        <f>IF(C85-Table_14634578132445536169[Rwanda]&gt;0, C85-Table_14634578132445536169[Rwanda], 0)</f>
        <v>167.2208612398403</v>
      </c>
      <c r="K85" s="29">
        <f>IF(C85-Table_14634578132445536169[Sudan]&gt;0, C85-Table_14634578132445536169[Sudan], 0)</f>
        <v>0</v>
      </c>
      <c r="L85" s="29">
        <f>IF(C85-Table_14634578132445536169[S. Sudan]&gt;0, C85-Table_14634578132445536169[S. Sudan], 0)</f>
        <v>852.57727567506993</v>
      </c>
      <c r="M85" s="29">
        <f>IF(C85-Table_14634578132445536169[Tanzania]&gt;0, C85-Table_14634578132445536169[Tanzania], 0)</f>
        <v>0</v>
      </c>
      <c r="N85" s="29">
        <f>IF(C85-Table_14634578132445536169[Uganda]&gt;0, C85-Table_14634578132445536169[Uganda], 0)</f>
        <v>0</v>
      </c>
      <c r="P85" s="21" t="s">
        <v>6</v>
      </c>
      <c r="Q85" s="97">
        <f t="shared" si="10"/>
        <v>1.9471972620450723E-2</v>
      </c>
      <c r="R85" s="97">
        <f t="shared" si="9"/>
        <v>4.5826518245143312E-2</v>
      </c>
      <c r="S85" s="97">
        <f t="shared" si="9"/>
        <v>5.7136724594190155E-2</v>
      </c>
      <c r="T85" s="97">
        <f t="shared" si="9"/>
        <v>3.6832288189247199E-2</v>
      </c>
      <c r="U85" s="97">
        <f t="shared" si="9"/>
        <v>-7.9942300558961156E-3</v>
      </c>
      <c r="V85" s="97">
        <f t="shared" si="9"/>
        <v>-7.9942300558961156E-3</v>
      </c>
      <c r="W85" s="97">
        <f t="shared" si="9"/>
        <v>-7.9942300558961156E-3</v>
      </c>
      <c r="X85" s="97">
        <f t="shared" si="9"/>
        <v>-7.9942300558961156E-3</v>
      </c>
      <c r="Y85" s="97">
        <f t="shared" si="9"/>
        <v>0.40476821772394433</v>
      </c>
      <c r="Z85" s="97">
        <f t="shared" si="9"/>
        <v>-7.9942300558961156E-3</v>
      </c>
      <c r="AA85" s="97">
        <f t="shared" si="9"/>
        <v>-7.9942300558961156E-3</v>
      </c>
    </row>
    <row r="86" spans="2:31" ht="12.75" customHeight="1" x14ac:dyDescent="0.25">
      <c r="B86" s="21" t="s">
        <v>6</v>
      </c>
      <c r="C86" s="95">
        <f>Annual_sorted!F153</f>
        <v>105.9291748856992</v>
      </c>
      <c r="D86" s="29">
        <f>IF(C86-Table_14634578132445536169[Burundi]&gt;0, C86-Table_14634578132445536169[Burundi], 0)</f>
        <v>45.605258631601124</v>
      </c>
      <c r="E86" s="29">
        <f>IF(C86-Table_14634578132445536169[DRC]&gt;0, C86-Table_14634578132445536169[DRC], 0)</f>
        <v>89.36470668837552</v>
      </c>
      <c r="F86" s="29">
        <f>IF(C86-Table_14634578132445536169[Egypt]&gt;0, C86-Table_14634578132445536169[Egypt], 0)</f>
        <v>108.14432802166074</v>
      </c>
      <c r="G86" s="29">
        <f>IF(C86-Table_14634578132445536169[Eritrea]&gt;0, C86-Table_14634578132445536169[Eritrea], 0)</f>
        <v>74.430564072275843</v>
      </c>
      <c r="H86" s="29">
        <f>IF(C86-Table_14634578132445536169[Ethiopia]&gt;0, C86-Table_14634578132445536169[Ethiopia], 0)</f>
        <v>0</v>
      </c>
      <c r="I86" s="29">
        <f>IF(C86-Table_14634578132445536169[Kenya]&gt;0, C86-Table_14634578132445536169[Kenya], 0)</f>
        <v>0</v>
      </c>
      <c r="J86" s="29">
        <f>IF(C86-Table_14634578132445536169[Rwanda]&gt;0, C86-Table_14634578132445536169[Rwanda], 0)</f>
        <v>0</v>
      </c>
      <c r="K86" s="29">
        <f>IF(C86-Table_14634578132445536169[Sudan]&gt;0, C86-Table_14634578132445536169[Sudan], 0)</f>
        <v>0</v>
      </c>
      <c r="L86" s="29">
        <f>IF(C86-Table_14634578132445536169[S. Sudan]&gt;0, C86-Table_14634578132445536169[S. Sudan], 0)</f>
        <v>685.35641443522968</v>
      </c>
      <c r="M86" s="29">
        <f>IF(C86-Table_14634578132445536169[Tanzania]&gt;0, C86-Table_14634578132445536169[Tanzania], 0)</f>
        <v>0</v>
      </c>
      <c r="N86" s="29">
        <f>IF(C86-Table_14634578132445536169[Uganda]&gt;0, C86-Table_14634578132445536169[Uganda], 0)</f>
        <v>0</v>
      </c>
      <c r="P86" s="21" t="s">
        <v>7</v>
      </c>
      <c r="Q86" s="97">
        <f t="shared" si="10"/>
        <v>0.61470375489650642</v>
      </c>
      <c r="R86" s="97">
        <f t="shared" si="9"/>
        <v>0.64105830052119894</v>
      </c>
      <c r="S86" s="97">
        <f t="shared" si="9"/>
        <v>0.65236850687024583</v>
      </c>
      <c r="T86" s="97">
        <f t="shared" si="9"/>
        <v>0.63206407046530289</v>
      </c>
      <c r="U86" s="97">
        <f t="shared" si="9"/>
        <v>3.2077270561223087E-2</v>
      </c>
      <c r="V86" s="97">
        <f t="shared" si="9"/>
        <v>0.48652719108333742</v>
      </c>
      <c r="W86" s="97">
        <f t="shared" si="9"/>
        <v>0.58723755222015961</v>
      </c>
      <c r="X86" s="97">
        <f t="shared" si="9"/>
        <v>-7.9942300558961156E-3</v>
      </c>
      <c r="Y86" s="97">
        <f t="shared" si="9"/>
        <v>1</v>
      </c>
      <c r="Z86" s="97">
        <f t="shared" si="9"/>
        <v>0.46895649956307994</v>
      </c>
      <c r="AA86" s="97">
        <f t="shared" si="9"/>
        <v>0.42060687450051271</v>
      </c>
    </row>
    <row r="87" spans="2:31" ht="12.75" customHeight="1" x14ac:dyDescent="0.25">
      <c r="B87" s="21" t="s">
        <v>7</v>
      </c>
      <c r="C87" s="95">
        <f>Annual_sorted!F154</f>
        <v>1094.260168300583</v>
      </c>
      <c r="D87" s="29">
        <f>IF(C87-Table_14634578132445536169[Burundi]&gt;0, C87-Table_14634578132445536169[Burundi], 0)</f>
        <v>1033.9362520464849</v>
      </c>
      <c r="E87" s="29">
        <f>IF(C87-Table_14634578132445536169[DRC]&gt;0, C87-Table_14634578132445536169[DRC], 0)</f>
        <v>1077.6957001032592</v>
      </c>
      <c r="F87" s="29">
        <f>IF(C87-Table_14634578132445536169[Egypt]&gt;0, C87-Table_14634578132445536169[Egypt], 0)</f>
        <v>1096.4753214365446</v>
      </c>
      <c r="G87" s="29">
        <f>IF(C87-Table_14634578132445536169[Eritrea]&gt;0, C87-Table_14634578132445536169[Eritrea], 0)</f>
        <v>1062.7615574871597</v>
      </c>
      <c r="H87" s="29">
        <f>IF(C87-Table_14634578132445536169[Ethiopia]&gt;0, C87-Table_14634578132445536169[Ethiopia], 0)</f>
        <v>66.535267759232511</v>
      </c>
      <c r="I87" s="29">
        <f>IF(C87-Table_14634578132445536169[Kenya]&gt;0, C87-Table_14634578132445536169[Kenya], 0)</f>
        <v>821.11013217504353</v>
      </c>
      <c r="J87" s="29">
        <f>IF(C87-Table_14634578132445536169[Rwanda]&gt;0, C87-Table_14634578132445536169[Rwanda], 0)</f>
        <v>988.33099341488378</v>
      </c>
      <c r="K87" s="29">
        <f>IF(C87-Table_14634578132445536169[Sudan]&gt;0, C87-Table_14634578132445536169[Sudan], 0)</f>
        <v>0</v>
      </c>
      <c r="L87" s="29">
        <f>IF(C87-Table_14634578132445536169[S. Sudan]&gt;0, C87-Table_14634578132445536169[S. Sudan], 0)</f>
        <v>1673.6874078501135</v>
      </c>
      <c r="M87" s="29">
        <f>IF(C87-Table_14634578132445536169[Tanzania]&gt;0, C87-Table_14634578132445536169[Tanzania], 0)</f>
        <v>791.93551562684866</v>
      </c>
      <c r="N87" s="29">
        <f>IF(C87-Table_14634578132445536169[Uganda]&gt;0, C87-Table_14634578132445536169[Uganda], 0)</f>
        <v>711.65513680265076</v>
      </c>
      <c r="P87" s="21" t="s">
        <v>8</v>
      </c>
      <c r="Q87" s="97">
        <f t="shared" si="10"/>
        <v>-7.9942300558961156E-3</v>
      </c>
      <c r="R87" s="97">
        <f t="shared" si="9"/>
        <v>-7.9942300558961156E-3</v>
      </c>
      <c r="S87" s="97">
        <f t="shared" si="9"/>
        <v>-7.9942300558961156E-3</v>
      </c>
      <c r="T87" s="97">
        <f t="shared" si="9"/>
        <v>-7.9942300558961156E-3</v>
      </c>
      <c r="U87" s="97">
        <f t="shared" si="9"/>
        <v>-7.9942300558961156E-3</v>
      </c>
      <c r="V87" s="97">
        <f t="shared" si="9"/>
        <v>-7.9942300558961156E-3</v>
      </c>
      <c r="W87" s="97">
        <f t="shared" si="9"/>
        <v>-7.9942300558961156E-3</v>
      </c>
      <c r="X87" s="97">
        <f t="shared" si="9"/>
        <v>-7.9942300558961156E-3</v>
      </c>
      <c r="Y87" s="97">
        <f t="shared" si="9"/>
        <v>-7.9942300558961156E-3</v>
      </c>
      <c r="Z87" s="97">
        <f t="shared" si="9"/>
        <v>-7.9942300558961156E-3</v>
      </c>
      <c r="AA87" s="97">
        <f t="shared" si="9"/>
        <v>-7.9942300558961156E-3</v>
      </c>
    </row>
    <row r="88" spans="2:31" ht="12.75" customHeight="1" x14ac:dyDescent="0.25">
      <c r="B88" s="21" t="s">
        <v>8</v>
      </c>
      <c r="C88" s="95">
        <f>Annual_sorted!F155</f>
        <v>-579.42723954953044</v>
      </c>
      <c r="D88" s="29">
        <f>IF(C88-Table_14634578132445536169[Burundi]&gt;0, C88-Table_14634578132445536169[Burundi], 0)</f>
        <v>0</v>
      </c>
      <c r="E88" s="29">
        <f>IF(C88-Table_14634578132445536169[DRC]&gt;0, C88-Table_14634578132445536169[DRC], 0)</f>
        <v>0</v>
      </c>
      <c r="F88" s="29">
        <f>IF(C88-Table_14634578132445536169[Egypt]&gt;0, C88-Table_14634578132445536169[Egypt], 0)</f>
        <v>0</v>
      </c>
      <c r="G88" s="29">
        <f>IF(C88-Table_14634578132445536169[Eritrea]&gt;0, C88-Table_14634578132445536169[Eritrea], 0)</f>
        <v>0</v>
      </c>
      <c r="H88" s="29">
        <f>IF(C88-Table_14634578132445536169[Ethiopia]&gt;0, C88-Table_14634578132445536169[Ethiopia], 0)</f>
        <v>0</v>
      </c>
      <c r="I88" s="29">
        <f>IF(C88-Table_14634578132445536169[Kenya]&gt;0, C88-Table_14634578132445536169[Kenya], 0)</f>
        <v>0</v>
      </c>
      <c r="J88" s="29">
        <f>IF(C88-Table_14634578132445536169[Rwanda]&gt;0, C88-Table_14634578132445536169[Rwanda], 0)</f>
        <v>0</v>
      </c>
      <c r="K88" s="29">
        <f>IF(C88-Table_14634578132445536169[Sudan]&gt;0, C88-Table_14634578132445536169[Sudan], 0)</f>
        <v>0</v>
      </c>
      <c r="L88" s="29">
        <f>IF(C88-Table_14634578132445536169[S. Sudan]&gt;0, C88-Table_14634578132445536169[S. Sudan], 0)</f>
        <v>0</v>
      </c>
      <c r="M88" s="29">
        <f>IF(C88-Table_14634578132445536169[Tanzania]&gt;0, C88-Table_14634578132445536169[Tanzania], 0)</f>
        <v>0</v>
      </c>
      <c r="N88" s="29">
        <f>IF(C88-Table_14634578132445536169[Uganda]&gt;0, C88-Table_14634578132445536169[Uganda], 0)</f>
        <v>0</v>
      </c>
      <c r="P88" s="21" t="s">
        <v>9</v>
      </c>
      <c r="Q88" s="97">
        <f t="shared" si="10"/>
        <v>0.13775302527753036</v>
      </c>
      <c r="R88" s="97">
        <f t="shared" si="9"/>
        <v>0.16410757090222294</v>
      </c>
      <c r="S88" s="97">
        <f t="shared" si="9"/>
        <v>0.17541777725126978</v>
      </c>
      <c r="T88" s="97">
        <f t="shared" si="9"/>
        <v>0.15511334084632683</v>
      </c>
      <c r="U88" s="97">
        <f t="shared" si="9"/>
        <v>-7.9942300558961156E-3</v>
      </c>
      <c r="V88" s="97">
        <f t="shared" si="9"/>
        <v>9.5764614643613598E-3</v>
      </c>
      <c r="W88" s="97">
        <f t="shared" si="9"/>
        <v>0.11028682260118351</v>
      </c>
      <c r="X88" s="97">
        <f t="shared" si="9"/>
        <v>-7.9942300558961156E-3</v>
      </c>
      <c r="Y88" s="97">
        <f t="shared" si="9"/>
        <v>0.52304927038102389</v>
      </c>
      <c r="Z88" s="97">
        <f t="shared" si="9"/>
        <v>-7.9942300558961156E-3</v>
      </c>
      <c r="AA88" s="97">
        <f t="shared" si="9"/>
        <v>-7.9942300558961156E-3</v>
      </c>
      <c r="AB88" s="186">
        <f>SUM(Q79:AA89)</f>
        <v>16.306462321627055</v>
      </c>
    </row>
    <row r="89" spans="2:31" ht="12.75" customHeight="1" thickBot="1" x14ac:dyDescent="0.3">
      <c r="B89" s="21" t="s">
        <v>9</v>
      </c>
      <c r="C89" s="95">
        <f>Annual_sorted!F156</f>
        <v>302.32465267373436</v>
      </c>
      <c r="D89" s="29">
        <f>IF(C89-Table_14634578132445536169[Burundi]&gt;0, C89-Table_14634578132445536169[Burundi], 0)</f>
        <v>242.0007364196363</v>
      </c>
      <c r="E89" s="29">
        <f>IF(C89-Table_14634578132445536169[DRC]&gt;0, C89-Table_14634578132445536169[DRC], 0)</f>
        <v>285.7601844764107</v>
      </c>
      <c r="F89" s="29">
        <f>IF(C89-Table_14634578132445536169[Egypt]&gt;0, C89-Table_14634578132445536169[Egypt], 0)</f>
        <v>304.53980580969591</v>
      </c>
      <c r="G89" s="29">
        <f>IF(C89-Table_14634578132445536169[Eritrea]&gt;0, C89-Table_14634578132445536169[Eritrea], 0)</f>
        <v>270.82604186031102</v>
      </c>
      <c r="H89" s="29">
        <f>IF(C89-Table_14634578132445536169[Ethiopia]&gt;0, C89-Table_14634578132445536169[Ethiopia], 0)</f>
        <v>0</v>
      </c>
      <c r="I89" s="29">
        <f>IF(C89-Table_14634578132445536169[Kenya]&gt;0, C89-Table_14634578132445536169[Kenya], 0)</f>
        <v>29.174616548194876</v>
      </c>
      <c r="J89" s="29">
        <f>IF(C89-Table_14634578132445536169[Rwanda]&gt;0, C89-Table_14634578132445536169[Rwanda], 0)</f>
        <v>196.39547778803518</v>
      </c>
      <c r="K89" s="29">
        <f>IF(C89-Table_14634578132445536169[Sudan]&gt;0, C89-Table_14634578132445536169[Sudan], 0)</f>
        <v>0</v>
      </c>
      <c r="L89" s="29">
        <f>IF(C89-Table_14634578132445536169[S. Sudan]&gt;0, C89-Table_14634578132445536169[S. Sudan], 0)</f>
        <v>881.7518922232648</v>
      </c>
      <c r="M89" s="29">
        <f>IF(C89-Table_14634578132445536169[Tanzania]&gt;0, C89-Table_14634578132445536169[Tanzania], 0)</f>
        <v>0</v>
      </c>
      <c r="N89" s="29">
        <f>IF(C89-Table_14634578132445536169[Uganda]&gt;0, C89-Table_14634578132445536169[Uganda], 0)</f>
        <v>0</v>
      </c>
      <c r="P89" s="22" t="s">
        <v>10</v>
      </c>
      <c r="Q89" s="98">
        <f t="shared" si="10"/>
        <v>0.18610265034009757</v>
      </c>
      <c r="R89" s="98">
        <f t="shared" si="9"/>
        <v>0.21245719596479018</v>
      </c>
      <c r="S89" s="98">
        <f t="shared" si="9"/>
        <v>0.22376740231383702</v>
      </c>
      <c r="T89" s="98">
        <f t="shared" si="9"/>
        <v>0.20346296590889404</v>
      </c>
      <c r="U89" s="98">
        <f t="shared" si="9"/>
        <v>-7.9942300558961156E-3</v>
      </c>
      <c r="V89" s="98">
        <f t="shared" si="9"/>
        <v>5.7926086526928586E-2</v>
      </c>
      <c r="W89" s="98">
        <f t="shared" si="9"/>
        <v>0.15863644766375076</v>
      </c>
      <c r="X89" s="98">
        <f t="shared" si="9"/>
        <v>-7.9942300558961156E-3</v>
      </c>
      <c r="Y89" s="98">
        <f t="shared" si="9"/>
        <v>0.57139889544359113</v>
      </c>
      <c r="Z89" s="98">
        <f t="shared" si="9"/>
        <v>4.035539500667111E-2</v>
      </c>
      <c r="AA89" s="98">
        <f t="shared" si="9"/>
        <v>-7.9942300558961156E-3</v>
      </c>
    </row>
    <row r="90" spans="2:31" ht="12.75" customHeight="1" thickBot="1" x14ac:dyDescent="0.3">
      <c r="B90" s="22" t="s">
        <v>10</v>
      </c>
      <c r="C90" s="96">
        <f>Annual_sorted!F157</f>
        <v>382.60503149793226</v>
      </c>
      <c r="D90" s="32">
        <f>IF(C90-Table_14634578132445536169[Burundi]&gt;0, C90-Table_14634578132445536169[Burundi], 0)</f>
        <v>322.28111524383417</v>
      </c>
      <c r="E90" s="32">
        <f>IF(C90-Table_14634578132445536169[DRC]&gt;0, C90-Table_14634578132445536169[DRC], 0)</f>
        <v>366.0405633006086</v>
      </c>
      <c r="F90" s="32">
        <f>IF(C90-Table_14634578132445536169[Egypt]&gt;0, C90-Table_14634578132445536169[Egypt], 0)</f>
        <v>384.8201846338938</v>
      </c>
      <c r="G90" s="32">
        <f>IF(C90-Table_14634578132445536169[Eritrea]&gt;0, C90-Table_14634578132445536169[Eritrea], 0)</f>
        <v>351.10642068450892</v>
      </c>
      <c r="H90" s="32">
        <f>IF(C90-Table_14634578132445536169[Ethiopia]&gt;0, C90-Table_14634578132445536169[Ethiopia], 0)</f>
        <v>0</v>
      </c>
      <c r="I90" s="32">
        <f>IF(C90-Table_14634578132445536169[Kenya]&gt;0, C90-Table_14634578132445536169[Kenya], 0)</f>
        <v>109.45499537239277</v>
      </c>
      <c r="J90" s="32">
        <f>IF(C90-Table_14634578132445536169[Rwanda]&gt;0, C90-Table_14634578132445536169[Rwanda], 0)</f>
        <v>276.67585661223308</v>
      </c>
      <c r="K90" s="32">
        <f>IF(C90-Table_14634578132445536169[Sudan]&gt;0, C90-Table_14634578132445536169[Sudan], 0)</f>
        <v>0</v>
      </c>
      <c r="L90" s="32">
        <f>IF(C90-Table_14634578132445536169[S. Sudan]&gt;0, C90-Table_14634578132445536169[S. Sudan], 0)</f>
        <v>962.0322710474627</v>
      </c>
      <c r="M90" s="32">
        <f>IF(C90-Table_14634578132445536169[Tanzania]&gt;0, C90-Table_14634578132445536169[Tanzania], 0)</f>
        <v>80.280378824197896</v>
      </c>
      <c r="N90" s="32">
        <f>IF(C90-Table_14634578132445536169[Uganda]&gt;0, C90-Table_14634578132445536169[Uganda], 0)</f>
        <v>0</v>
      </c>
    </row>
    <row r="91" spans="2:31" ht="12.75" customHeight="1" x14ac:dyDescent="0.25"/>
    <row r="92" spans="2:31" ht="12.75" customHeight="1" x14ac:dyDescent="0.25"/>
    <row r="93" spans="2:31" ht="12.75" customHeight="1" x14ac:dyDescent="0.25">
      <c r="B93" s="5"/>
      <c r="C93" s="5"/>
      <c r="D93" s="5"/>
      <c r="E93" s="5"/>
      <c r="F93" s="5"/>
      <c r="G93" s="5"/>
      <c r="H93" s="5"/>
      <c r="I93" s="5"/>
      <c r="J93" s="5"/>
      <c r="K93" s="5"/>
      <c r="L93" s="5"/>
      <c r="M93" s="5"/>
      <c r="N93" s="5"/>
      <c r="O93" s="5"/>
      <c r="P93" s="5"/>
      <c r="Q93" s="5"/>
      <c r="R93" s="5"/>
      <c r="S93" s="5"/>
      <c r="T93" s="5"/>
      <c r="U93" s="5"/>
      <c r="V93" s="5"/>
      <c r="W93" s="5"/>
      <c r="X93" s="5"/>
      <c r="Y93" s="5"/>
      <c r="Z93" s="5"/>
      <c r="AA93" s="5"/>
    </row>
    <row r="94" spans="2:31" ht="12.75" customHeight="1" x14ac:dyDescent="0.25">
      <c r="B94" s="5"/>
      <c r="C94" s="5"/>
      <c r="D94" s="5"/>
      <c r="E94" s="5"/>
      <c r="F94" s="5"/>
      <c r="G94" s="5"/>
      <c r="H94" s="5"/>
      <c r="I94" s="5"/>
      <c r="J94" s="5"/>
      <c r="K94" s="5"/>
      <c r="L94" s="5"/>
      <c r="M94" s="5"/>
      <c r="N94" s="5"/>
      <c r="O94" s="5"/>
      <c r="P94" s="5"/>
      <c r="Q94" s="5"/>
      <c r="R94" s="5"/>
      <c r="S94" s="5"/>
      <c r="T94" s="5"/>
      <c r="U94" s="5"/>
      <c r="V94" s="5"/>
      <c r="W94" s="5"/>
      <c r="X94" s="5"/>
      <c r="Y94" s="5"/>
      <c r="Z94" s="5"/>
      <c r="AA94" s="5"/>
    </row>
    <row r="95" spans="2:31" ht="12.75" customHeight="1" thickBot="1" x14ac:dyDescent="0.3">
      <c r="B95" s="253" t="s">
        <v>85</v>
      </c>
      <c r="C95" s="253"/>
      <c r="D95" s="253"/>
      <c r="E95" s="253"/>
      <c r="F95" s="253"/>
      <c r="G95" s="253"/>
      <c r="H95" s="253"/>
      <c r="I95" s="253"/>
      <c r="J95" s="253"/>
      <c r="K95" s="253"/>
      <c r="L95" s="253"/>
      <c r="M95" s="253"/>
      <c r="N95" s="253"/>
      <c r="O95" s="5"/>
      <c r="P95" s="253" t="s">
        <v>87</v>
      </c>
      <c r="Q95" s="253"/>
      <c r="R95" s="253"/>
      <c r="S95" s="253"/>
      <c r="T95" s="253"/>
      <c r="U95" s="253"/>
      <c r="V95" s="253"/>
      <c r="W95" s="253"/>
      <c r="X95" s="253"/>
      <c r="Y95" s="253"/>
      <c r="Z95" s="253"/>
      <c r="AA95" s="253"/>
      <c r="AB95" s="10"/>
      <c r="AC95" s="3" t="s">
        <v>22</v>
      </c>
      <c r="AD95" s="13" t="s">
        <v>23</v>
      </c>
      <c r="AE95" s="74">
        <f t="array" ref="AE95">MIN(IF(D98:N108&gt;0,D98:N108))</f>
        <v>1.0281392979003243</v>
      </c>
    </row>
    <row r="96" spans="2:31" ht="12.75" customHeight="1" thickBot="1" x14ac:dyDescent="0.3">
      <c r="B96" s="75" t="s">
        <v>13</v>
      </c>
      <c r="C96" s="66" t="s">
        <v>14</v>
      </c>
      <c r="D96" s="67" t="s">
        <v>1</v>
      </c>
      <c r="E96" s="67" t="s">
        <v>195</v>
      </c>
      <c r="F96" s="67" t="s">
        <v>2</v>
      </c>
      <c r="G96" s="67" t="s">
        <v>3</v>
      </c>
      <c r="H96" s="67" t="s">
        <v>4</v>
      </c>
      <c r="I96" s="67" t="s">
        <v>5</v>
      </c>
      <c r="J96" s="67" t="s">
        <v>6</v>
      </c>
      <c r="K96" s="67" t="s">
        <v>7</v>
      </c>
      <c r="L96" s="67" t="s">
        <v>295</v>
      </c>
      <c r="M96" s="67" t="s">
        <v>9</v>
      </c>
      <c r="N96" s="67" t="s">
        <v>10</v>
      </c>
      <c r="P96" s="76" t="s">
        <v>19</v>
      </c>
      <c r="Q96" s="77" t="s">
        <v>1</v>
      </c>
      <c r="R96" s="77" t="s">
        <v>195</v>
      </c>
      <c r="S96" s="77" t="s">
        <v>2</v>
      </c>
      <c r="T96" s="77" t="s">
        <v>3</v>
      </c>
      <c r="U96" s="77" t="s">
        <v>4</v>
      </c>
      <c r="V96" s="77" t="s">
        <v>5</v>
      </c>
      <c r="W96" s="77" t="s">
        <v>6</v>
      </c>
      <c r="X96" s="77" t="s">
        <v>7</v>
      </c>
      <c r="Y96" s="77" t="s">
        <v>295</v>
      </c>
      <c r="Z96" s="77" t="s">
        <v>9</v>
      </c>
      <c r="AA96" s="77" t="s">
        <v>10</v>
      </c>
      <c r="AB96" s="254" t="s">
        <v>26</v>
      </c>
      <c r="AC96" s="254"/>
      <c r="AD96" s="13" t="s">
        <v>24</v>
      </c>
      <c r="AE96" s="20">
        <f>MAX(D98:N108)</f>
        <v>967.36854126985304</v>
      </c>
    </row>
    <row r="97" spans="2:31" ht="12.75" customHeight="1" x14ac:dyDescent="0.25">
      <c r="B97" s="93"/>
      <c r="C97" s="94" t="s">
        <v>262</v>
      </c>
      <c r="D97" s="95">
        <f>C98</f>
        <v>-14.311774060932496</v>
      </c>
      <c r="E97" s="95">
        <f>C99</f>
        <v>-19.862331627566942</v>
      </c>
      <c r="F97" s="95">
        <f>C100</f>
        <v>324.75225231994881</v>
      </c>
      <c r="G97" s="95">
        <f>C101</f>
        <v>-12.543044236339806</v>
      </c>
      <c r="H97" s="95">
        <f>C102</f>
        <v>-451.4499762809441</v>
      </c>
      <c r="I97" s="95">
        <f>C103</f>
        <v>-69.053740732491349</v>
      </c>
      <c r="J97" s="95">
        <f>C104</f>
        <v>-18.834192329666617</v>
      </c>
      <c r="K97" s="95">
        <f>C105</f>
        <v>-95.40672548921907</v>
      </c>
      <c r="L97" s="95">
        <f>C106</f>
        <v>-642.61628894990417</v>
      </c>
      <c r="M97" s="95">
        <f>C107</f>
        <v>-124.15503728988861</v>
      </c>
      <c r="N97" s="95">
        <f>C108</f>
        <v>-276.42656646197037</v>
      </c>
      <c r="P97" s="21" t="s">
        <v>1</v>
      </c>
      <c r="Q97" s="97">
        <f>$AE$97+(D98-$AE$95)*($AE$98-$AE$97)/($AE$96-$AE$95)</f>
        <v>-6.2887525458378817E-5</v>
      </c>
      <c r="R97" s="97">
        <f t="shared" ref="R97:AA107" si="11">$AE$97+(E98-$AE$95)*($AE$98-$AE$97)/($AE$96-$AE$95)</f>
        <v>5.6752633349966422E-3</v>
      </c>
      <c r="S97" s="97">
        <f t="shared" si="11"/>
        <v>-6.2887525458378817E-5</v>
      </c>
      <c r="T97" s="97">
        <f t="shared" si="11"/>
        <v>-6.2887525458378817E-5</v>
      </c>
      <c r="U97" s="97">
        <f t="shared" si="11"/>
        <v>0.45184936112588847</v>
      </c>
      <c r="V97" s="97">
        <f t="shared" si="11"/>
        <v>5.6529204239814369E-2</v>
      </c>
      <c r="W97" s="97">
        <f t="shared" si="11"/>
        <v>4.612375809538263E-3</v>
      </c>
      <c r="X97" s="97">
        <f t="shared" si="11"/>
        <v>8.3772846043725105E-2</v>
      </c>
      <c r="Y97" s="97">
        <f t="shared" si="11"/>
        <v>0.64947655954021488</v>
      </c>
      <c r="Z97" s="97">
        <f t="shared" si="11"/>
        <v>0.11349277023427182</v>
      </c>
      <c r="AA97" s="97">
        <f t="shared" si="11"/>
        <v>0.270910650447589</v>
      </c>
      <c r="AD97" s="3" t="s">
        <v>25</v>
      </c>
      <c r="AE97" s="2">
        <v>1E-3</v>
      </c>
    </row>
    <row r="98" spans="2:31" ht="12.75" customHeight="1" x14ac:dyDescent="0.25">
      <c r="B98" s="21" t="s">
        <v>1</v>
      </c>
      <c r="C98" s="95">
        <f>Annual_sorted!G147</f>
        <v>-14.311774060932496</v>
      </c>
      <c r="D98" s="29">
        <f>IF(C98-Table_1463457811162344526068[Burundi]&gt;0, C98-Table_1463457811162344526068[Burundi], 0)</f>
        <v>0</v>
      </c>
      <c r="E98" s="29">
        <f>IF(C98-Table_1463457811162344526068[DRC]&gt;0, C98-Table_1463457811162344526068[DRC], 0)</f>
        <v>5.5505575666344455</v>
      </c>
      <c r="F98" s="29">
        <f>IF(C98-Table_1463457811162344526068[Egypt]&gt;0, C98-Table_1463457811162344526068[Egypt], 0)</f>
        <v>0</v>
      </c>
      <c r="G98" s="29">
        <f>IF(C98-Table_1463457811162344526068[Eritrea]&gt;0, C98-Table_1463457811162344526068[Eritrea], 0)</f>
        <v>0</v>
      </c>
      <c r="H98" s="29">
        <f>IF(C98-Table_1463457811162344526068[Ethiopia]&gt;0, C98-Table_1463457811162344526068[Ethiopia], 0)</f>
        <v>437.13820222001158</v>
      </c>
      <c r="I98" s="29">
        <f>IF(C98-Table_1463457811162344526068[Kenya]&gt;0, C98-Table_1463457811162344526068[Kenya], 0)</f>
        <v>54.741966671558856</v>
      </c>
      <c r="J98" s="29">
        <f>IF(C98-Table_1463457811162344526068[Rwanda]&gt;0, C98-Table_1463457811162344526068[Rwanda], 0)</f>
        <v>4.5224182687341212</v>
      </c>
      <c r="K98" s="29">
        <f>IF(C98-Table_1463457811162344526068[Sudan]&gt;0, C98-Table_1463457811162344526068[Sudan], 0)</f>
        <v>81.094951428286578</v>
      </c>
      <c r="L98" s="29">
        <f>IF(C98-Table_1463457811162344526068[S. Sudan]&gt;0, C98-Table_1463457811162344526068[S. Sudan], 0)</f>
        <v>628.30451488897165</v>
      </c>
      <c r="M98" s="29">
        <f>IF(C98-Table_1463457811162344526068[Tanzania]&gt;0, C98-Table_1463457811162344526068[Tanzania], 0)</f>
        <v>109.84326322895612</v>
      </c>
      <c r="N98" s="29">
        <f>IF(C98-Table_1463457811162344526068[Uganda]&gt;0, C98-Table_1463457811162344526068[Uganda], 0)</f>
        <v>262.11479240103785</v>
      </c>
      <c r="P98" s="21" t="s">
        <v>195</v>
      </c>
      <c r="Q98" s="97">
        <f t="shared" ref="Q98:Q107" si="12">$AE$97+(D99-$AE$95)*($AE$98-$AE$97)/($AE$96-$AE$95)</f>
        <v>-6.2887525458378817E-5</v>
      </c>
      <c r="R98" s="97">
        <f t="shared" si="11"/>
        <v>-6.2887525458378817E-5</v>
      </c>
      <c r="S98" s="97">
        <f t="shared" si="11"/>
        <v>-6.2887525458378817E-5</v>
      </c>
      <c r="T98" s="97">
        <f t="shared" si="11"/>
        <v>-6.2887525458378817E-5</v>
      </c>
      <c r="U98" s="97">
        <f t="shared" si="11"/>
        <v>0.44611121026543349</v>
      </c>
      <c r="V98" s="97">
        <f t="shared" si="11"/>
        <v>5.0791053379359331E-2</v>
      </c>
      <c r="W98" s="97">
        <f t="shared" si="11"/>
        <v>-6.2887525458378817E-5</v>
      </c>
      <c r="X98" s="97">
        <f t="shared" si="11"/>
        <v>7.8034695183270081E-2</v>
      </c>
      <c r="Y98" s="97">
        <f t="shared" si="11"/>
        <v>0.64373840867975995</v>
      </c>
      <c r="Z98" s="97">
        <f t="shared" si="11"/>
        <v>0.10775461937381679</v>
      </c>
      <c r="AA98" s="97">
        <f t="shared" si="11"/>
        <v>0.26517249958713396</v>
      </c>
      <c r="AD98" s="3" t="s">
        <v>70</v>
      </c>
      <c r="AE98" s="2">
        <v>1</v>
      </c>
    </row>
    <row r="99" spans="2:31" ht="12.75" customHeight="1" x14ac:dyDescent="0.25">
      <c r="B99" s="21" t="s">
        <v>195</v>
      </c>
      <c r="C99" s="95">
        <f>Annual_sorted!G148</f>
        <v>-19.862331627566942</v>
      </c>
      <c r="D99" s="29">
        <f>IF(C99-Table_1463457811162344526068[Burundi]&gt;0, C99-Table_1463457811162344526068[Burundi], 0)</f>
        <v>0</v>
      </c>
      <c r="E99" s="29">
        <f>IF(C99-Table_1463457811162344526068[DRC]&gt;0, C99-Table_1463457811162344526068[DRC], 0)</f>
        <v>0</v>
      </c>
      <c r="F99" s="29">
        <f>IF(C99-Table_1463457811162344526068[Egypt]&gt;0, C99-Table_1463457811162344526068[Egypt], 0)</f>
        <v>0</v>
      </c>
      <c r="G99" s="29">
        <f>IF(C99-Table_1463457811162344526068[Eritrea]&gt;0, C99-Table_1463457811162344526068[Eritrea], 0)</f>
        <v>0</v>
      </c>
      <c r="H99" s="29">
        <f>IF(C99-Table_1463457811162344526068[Ethiopia]&gt;0, C99-Table_1463457811162344526068[Ethiopia], 0)</f>
        <v>431.58764465337714</v>
      </c>
      <c r="I99" s="29">
        <f>IF(C99-Table_1463457811162344526068[Kenya]&gt;0, C99-Table_1463457811162344526068[Kenya], 0)</f>
        <v>49.191409104924404</v>
      </c>
      <c r="J99" s="29">
        <f>IF(C99-Table_1463457811162344526068[Rwanda]&gt;0, C99-Table_1463457811162344526068[Rwanda], 0)</f>
        <v>0</v>
      </c>
      <c r="K99" s="29">
        <f>IF(C99-Table_1463457811162344526068[Sudan]&gt;0, C99-Table_1463457811162344526068[Sudan], 0)</f>
        <v>75.544393861652125</v>
      </c>
      <c r="L99" s="29">
        <f>IF(C99-Table_1463457811162344526068[S. Sudan]&gt;0, C99-Table_1463457811162344526068[S. Sudan], 0)</f>
        <v>622.75395732233721</v>
      </c>
      <c r="M99" s="29">
        <f>IF(C99-Table_1463457811162344526068[Tanzania]&gt;0, C99-Table_1463457811162344526068[Tanzania], 0)</f>
        <v>104.29270566232167</v>
      </c>
      <c r="N99" s="29">
        <f>IF(C99-Table_1463457811162344526068[Uganda]&gt;0, C99-Table_1463457811162344526068[Uganda], 0)</f>
        <v>256.56423483440341</v>
      </c>
      <c r="P99" s="21" t="s">
        <v>2</v>
      </c>
      <c r="Q99" s="97">
        <f t="shared" si="12"/>
        <v>0.3504605529343266</v>
      </c>
      <c r="R99" s="97">
        <f t="shared" si="11"/>
        <v>0.35619870379478163</v>
      </c>
      <c r="S99" s="97">
        <f t="shared" si="11"/>
        <v>-6.2887525458378817E-5</v>
      </c>
      <c r="T99" s="97">
        <f t="shared" si="11"/>
        <v>0.34863204499741085</v>
      </c>
      <c r="U99" s="97">
        <f t="shared" si="11"/>
        <v>0.80237280158567348</v>
      </c>
      <c r="V99" s="97">
        <f t="shared" si="11"/>
        <v>0.40705264469959934</v>
      </c>
      <c r="W99" s="97">
        <f t="shared" si="11"/>
        <v>0.35513581626932322</v>
      </c>
      <c r="X99" s="97">
        <f t="shared" si="11"/>
        <v>0.43429628650351004</v>
      </c>
      <c r="Y99" s="97">
        <f t="shared" si="11"/>
        <v>1</v>
      </c>
      <c r="Z99" s="97">
        <f t="shared" si="11"/>
        <v>0.46401621069405674</v>
      </c>
      <c r="AA99" s="97">
        <f t="shared" si="11"/>
        <v>0.621434090907374</v>
      </c>
    </row>
    <row r="100" spans="2:31" ht="12.75" customHeight="1" x14ac:dyDescent="0.25">
      <c r="B100" s="21" t="s">
        <v>2</v>
      </c>
      <c r="C100" s="95">
        <f>Annual_sorted!G149</f>
        <v>324.75225231994881</v>
      </c>
      <c r="D100" s="29">
        <f>IF(C100-Table_1463457811162344526068[Burundi]&gt;0, C100-Table_1463457811162344526068[Burundi], 0)</f>
        <v>339.06402638088133</v>
      </c>
      <c r="E100" s="29">
        <f>IF(C100-Table_1463457811162344526068[DRC]&gt;0, C100-Table_1463457811162344526068[DRC], 0)</f>
        <v>344.61458394751577</v>
      </c>
      <c r="F100" s="29">
        <f>IF(C100-Table_1463457811162344526068[Egypt]&gt;0, C100-Table_1463457811162344526068[Egypt], 0)</f>
        <v>0</v>
      </c>
      <c r="G100" s="29">
        <f>IF(C100-Table_1463457811162344526068[Eritrea]&gt;0, C100-Table_1463457811162344526068[Eritrea], 0)</f>
        <v>337.29529655628863</v>
      </c>
      <c r="H100" s="29">
        <f>IF(C100-Table_1463457811162344526068[Ethiopia]&gt;0, C100-Table_1463457811162344526068[Ethiopia], 0)</f>
        <v>776.20222860089291</v>
      </c>
      <c r="I100" s="29">
        <f>IF(C100-Table_1463457811162344526068[Kenya]&gt;0, C100-Table_1463457811162344526068[Kenya], 0)</f>
        <v>393.80599305244016</v>
      </c>
      <c r="J100" s="29">
        <f>IF(C100-Table_1463457811162344526068[Rwanda]&gt;0, C100-Table_1463457811162344526068[Rwanda], 0)</f>
        <v>343.58644464961543</v>
      </c>
      <c r="K100" s="29">
        <f>IF(C100-Table_1463457811162344526068[Sudan]&gt;0, C100-Table_1463457811162344526068[Sudan], 0)</f>
        <v>420.15897780916788</v>
      </c>
      <c r="L100" s="29">
        <f>IF(C100-Table_1463457811162344526068[S. Sudan]&gt;0, C100-Table_1463457811162344526068[S. Sudan], 0)</f>
        <v>967.36854126985304</v>
      </c>
      <c r="M100" s="29">
        <f>IF(C100-Table_1463457811162344526068[Tanzania]&gt;0, C100-Table_1463457811162344526068[Tanzania], 0)</f>
        <v>448.90728960983745</v>
      </c>
      <c r="N100" s="29">
        <f>IF(C100-Table_1463457811162344526068[Uganda]&gt;0, C100-Table_1463457811162344526068[Uganda], 0)</f>
        <v>601.17881878191918</v>
      </c>
      <c r="P100" s="21" t="s">
        <v>3</v>
      </c>
      <c r="Q100" s="97">
        <f t="shared" si="12"/>
        <v>1.7656204114573971E-3</v>
      </c>
      <c r="R100" s="97">
        <f t="shared" si="11"/>
        <v>7.5037712719124182E-3</v>
      </c>
      <c r="S100" s="97">
        <f t="shared" si="11"/>
        <v>-6.2887525458378817E-5</v>
      </c>
      <c r="T100" s="97">
        <f t="shared" si="11"/>
        <v>-6.2887525458378817E-5</v>
      </c>
      <c r="U100" s="97">
        <f t="shared" si="11"/>
        <v>0.45367786906280427</v>
      </c>
      <c r="V100" s="97">
        <f t="shared" si="11"/>
        <v>5.835771217673013E-2</v>
      </c>
      <c r="W100" s="97">
        <f t="shared" si="11"/>
        <v>6.4408837464540389E-3</v>
      </c>
      <c r="X100" s="97">
        <f t="shared" si="11"/>
        <v>8.5601353980640879E-2</v>
      </c>
      <c r="Y100" s="97">
        <f t="shared" si="11"/>
        <v>0.65130506747713068</v>
      </c>
      <c r="Z100" s="97">
        <f t="shared" si="11"/>
        <v>0.11532127817118759</v>
      </c>
      <c r="AA100" s="97">
        <f t="shared" si="11"/>
        <v>0.2727391583845048</v>
      </c>
    </row>
    <row r="101" spans="2:31" ht="12.75" customHeight="1" x14ac:dyDescent="0.25">
      <c r="B101" s="21" t="s">
        <v>3</v>
      </c>
      <c r="C101" s="95">
        <f>Annual_sorted!G150</f>
        <v>-12.543044236339806</v>
      </c>
      <c r="D101" s="29">
        <f>IF(C101-Table_1463457811162344526068[Burundi]&gt;0, C101-Table_1463457811162344526068[Burundi], 0)</f>
        <v>1.7687298245926897</v>
      </c>
      <c r="E101" s="29">
        <f>IF(C101-Table_1463457811162344526068[DRC]&gt;0, C101-Table_1463457811162344526068[DRC], 0)</f>
        <v>7.3192873912271352</v>
      </c>
      <c r="F101" s="29">
        <f>IF(C101-Table_1463457811162344526068[Egypt]&gt;0, C101-Table_1463457811162344526068[Egypt], 0)</f>
        <v>0</v>
      </c>
      <c r="G101" s="29">
        <f>IF(C101-Table_1463457811162344526068[Eritrea]&gt;0, C101-Table_1463457811162344526068[Eritrea], 0)</f>
        <v>0</v>
      </c>
      <c r="H101" s="29">
        <f>IF(C101-Table_1463457811162344526068[Ethiopia]&gt;0, C101-Table_1463457811162344526068[Ethiopia], 0)</f>
        <v>438.90693204460428</v>
      </c>
      <c r="I101" s="29">
        <f>IF(C101-Table_1463457811162344526068[Kenya]&gt;0, C101-Table_1463457811162344526068[Kenya], 0)</f>
        <v>56.510696496151539</v>
      </c>
      <c r="J101" s="29">
        <f>IF(C101-Table_1463457811162344526068[Rwanda]&gt;0, C101-Table_1463457811162344526068[Rwanda], 0)</f>
        <v>6.2911480933268109</v>
      </c>
      <c r="K101" s="29">
        <f>IF(C101-Table_1463457811162344526068[Sudan]&gt;0, C101-Table_1463457811162344526068[Sudan], 0)</f>
        <v>82.86368125287926</v>
      </c>
      <c r="L101" s="29">
        <f>IF(C101-Table_1463457811162344526068[S. Sudan]&gt;0, C101-Table_1463457811162344526068[S. Sudan], 0)</f>
        <v>630.07324471356435</v>
      </c>
      <c r="M101" s="29">
        <f>IF(C101-Table_1463457811162344526068[Tanzania]&gt;0, C101-Table_1463457811162344526068[Tanzania], 0)</f>
        <v>111.6119930535488</v>
      </c>
      <c r="N101" s="29">
        <f>IF(C101-Table_1463457811162344526068[Uganda]&gt;0, C101-Table_1463457811162344526068[Uganda], 0)</f>
        <v>263.88352222563054</v>
      </c>
      <c r="P101" s="21" t="s">
        <v>4</v>
      </c>
      <c r="Q101" s="97">
        <f t="shared" si="12"/>
        <v>-6.2887525458378817E-5</v>
      </c>
      <c r="R101" s="97">
        <f t="shared" si="11"/>
        <v>-6.2887525458378817E-5</v>
      </c>
      <c r="S101" s="97">
        <f t="shared" si="11"/>
        <v>-6.2887525458378817E-5</v>
      </c>
      <c r="T101" s="97">
        <f t="shared" si="11"/>
        <v>-6.2887525458378817E-5</v>
      </c>
      <c r="U101" s="97">
        <f t="shared" si="11"/>
        <v>-6.2887525458378817E-5</v>
      </c>
      <c r="V101" s="97">
        <f t="shared" si="11"/>
        <v>-6.2887525458378817E-5</v>
      </c>
      <c r="W101" s="97">
        <f t="shared" si="11"/>
        <v>-6.2887525458378817E-5</v>
      </c>
      <c r="X101" s="97">
        <f t="shared" si="11"/>
        <v>-6.2887525458378817E-5</v>
      </c>
      <c r="Y101" s="97">
        <f t="shared" si="11"/>
        <v>0.19756431088886811</v>
      </c>
      <c r="Z101" s="97">
        <f t="shared" si="11"/>
        <v>-6.2887525458378817E-5</v>
      </c>
      <c r="AA101" s="97">
        <f t="shared" si="11"/>
        <v>-6.2887525458378817E-5</v>
      </c>
    </row>
    <row r="102" spans="2:31" ht="12.75" customHeight="1" x14ac:dyDescent="0.25">
      <c r="B102" s="21" t="s">
        <v>4</v>
      </c>
      <c r="C102" s="95">
        <f>Annual_sorted!G151</f>
        <v>-451.4499762809441</v>
      </c>
      <c r="D102" s="29">
        <f>IF(C102-Table_1463457811162344526068[Burundi]&gt;0, C102-Table_1463457811162344526068[Burundi], 0)</f>
        <v>0</v>
      </c>
      <c r="E102" s="29">
        <f>IF(C102-Table_1463457811162344526068[DRC]&gt;0, C102-Table_1463457811162344526068[DRC], 0)</f>
        <v>0</v>
      </c>
      <c r="F102" s="29">
        <f>IF(C102-Table_1463457811162344526068[Egypt]&gt;0, C102-Table_1463457811162344526068[Egypt], 0)</f>
        <v>0</v>
      </c>
      <c r="G102" s="29">
        <f>IF(C102-Table_1463457811162344526068[Eritrea]&gt;0, C102-Table_1463457811162344526068[Eritrea], 0)</f>
        <v>0</v>
      </c>
      <c r="H102" s="29">
        <f>IF(C102-Table_1463457811162344526068[Ethiopia]&gt;0, C102-Table_1463457811162344526068[Ethiopia], 0)</f>
        <v>0</v>
      </c>
      <c r="I102" s="29">
        <f>IF(C102-Table_1463457811162344526068[Kenya]&gt;0, C102-Table_1463457811162344526068[Kenya], 0)</f>
        <v>0</v>
      </c>
      <c r="J102" s="29">
        <f>IF(C102-Table_1463457811162344526068[Rwanda]&gt;0, C102-Table_1463457811162344526068[Rwanda], 0)</f>
        <v>0</v>
      </c>
      <c r="K102" s="29">
        <f>IF(C102-Table_1463457811162344526068[Sudan]&gt;0, C102-Table_1463457811162344526068[Sudan], 0)</f>
        <v>0</v>
      </c>
      <c r="L102" s="29">
        <f>IF(C102-Table_1463457811162344526068[S. Sudan]&gt;0, C102-Table_1463457811162344526068[S. Sudan], 0)</f>
        <v>191.16631266896007</v>
      </c>
      <c r="M102" s="29">
        <f>IF(C102-Table_1463457811162344526068[Tanzania]&gt;0, C102-Table_1463457811162344526068[Tanzania], 0)</f>
        <v>0</v>
      </c>
      <c r="N102" s="29">
        <f>IF(C102-Table_1463457811162344526068[Uganda]&gt;0, C102-Table_1463457811162344526068[Uganda], 0)</f>
        <v>0</v>
      </c>
      <c r="P102" s="21" t="s">
        <v>5</v>
      </c>
      <c r="Q102" s="97">
        <f t="shared" si="12"/>
        <v>-6.2887525458378817E-5</v>
      </c>
      <c r="R102" s="97">
        <f t="shared" si="11"/>
        <v>-6.2887525458378817E-5</v>
      </c>
      <c r="S102" s="97">
        <f t="shared" si="11"/>
        <v>-6.2887525458378817E-5</v>
      </c>
      <c r="T102" s="97">
        <f t="shared" si="11"/>
        <v>-6.2887525458378817E-5</v>
      </c>
      <c r="U102" s="97">
        <f t="shared" si="11"/>
        <v>0.39525726936061578</v>
      </c>
      <c r="V102" s="97">
        <f t="shared" si="11"/>
        <v>-6.2887525458378817E-5</v>
      </c>
      <c r="W102" s="97">
        <f t="shared" si="11"/>
        <v>-6.2887525458378817E-5</v>
      </c>
      <c r="X102" s="97">
        <f t="shared" si="11"/>
        <v>2.7180754278452356E-2</v>
      </c>
      <c r="Y102" s="97">
        <f t="shared" si="11"/>
        <v>0.59288446777494219</v>
      </c>
      <c r="Z102" s="97">
        <f t="shared" si="11"/>
        <v>5.6900678468999072E-2</v>
      </c>
      <c r="AA102" s="97">
        <f t="shared" si="11"/>
        <v>0.21431855868231628</v>
      </c>
    </row>
    <row r="103" spans="2:31" ht="12.75" customHeight="1" x14ac:dyDescent="0.25">
      <c r="B103" s="21" t="s">
        <v>5</v>
      </c>
      <c r="C103" s="95">
        <f>Annual_sorted!G152</f>
        <v>-69.053740732491349</v>
      </c>
      <c r="D103" s="29">
        <f>IF(C103-Table_1463457811162344526068[Burundi]&gt;0, C103-Table_1463457811162344526068[Burundi], 0)</f>
        <v>0</v>
      </c>
      <c r="E103" s="29">
        <f>IF(C103-Table_1463457811162344526068[DRC]&gt;0, C103-Table_1463457811162344526068[DRC], 0)</f>
        <v>0</v>
      </c>
      <c r="F103" s="29">
        <f>IF(C103-Table_1463457811162344526068[Egypt]&gt;0, C103-Table_1463457811162344526068[Egypt], 0)</f>
        <v>0</v>
      </c>
      <c r="G103" s="29">
        <f>IF(C103-Table_1463457811162344526068[Eritrea]&gt;0, C103-Table_1463457811162344526068[Eritrea], 0)</f>
        <v>0</v>
      </c>
      <c r="H103" s="29">
        <f>IF(C103-Table_1463457811162344526068[Ethiopia]&gt;0, C103-Table_1463457811162344526068[Ethiopia], 0)</f>
        <v>382.39623554845275</v>
      </c>
      <c r="I103" s="29">
        <f>IF(C103-Table_1463457811162344526068[Kenya]&gt;0, C103-Table_1463457811162344526068[Kenya], 0)</f>
        <v>0</v>
      </c>
      <c r="J103" s="29">
        <f>IF(C103-Table_1463457811162344526068[Rwanda]&gt;0, C103-Table_1463457811162344526068[Rwanda], 0)</f>
        <v>0</v>
      </c>
      <c r="K103" s="29">
        <f>IF(C103-Table_1463457811162344526068[Sudan]&gt;0, C103-Table_1463457811162344526068[Sudan], 0)</f>
        <v>26.352984756727722</v>
      </c>
      <c r="L103" s="29">
        <f>IF(C103-Table_1463457811162344526068[S. Sudan]&gt;0, C103-Table_1463457811162344526068[S. Sudan], 0)</f>
        <v>573.56254821741277</v>
      </c>
      <c r="M103" s="29">
        <f>IF(C103-Table_1463457811162344526068[Tanzania]&gt;0, C103-Table_1463457811162344526068[Tanzania], 0)</f>
        <v>55.101296557397262</v>
      </c>
      <c r="N103" s="29">
        <f>IF(C103-Table_1463457811162344526068[Uganda]&gt;0, C103-Table_1463457811162344526068[Uganda], 0)</f>
        <v>207.37282572947902</v>
      </c>
      <c r="P103" s="21" t="s">
        <v>6</v>
      </c>
      <c r="Q103" s="97">
        <f t="shared" si="12"/>
        <v>-6.2887525458378817E-5</v>
      </c>
      <c r="R103" s="97">
        <f t="shared" si="11"/>
        <v>1E-3</v>
      </c>
      <c r="S103" s="97">
        <f t="shared" si="11"/>
        <v>-6.2887525458378817E-5</v>
      </c>
      <c r="T103" s="97">
        <f t="shared" si="11"/>
        <v>-6.2887525458378817E-5</v>
      </c>
      <c r="U103" s="97">
        <f t="shared" si="11"/>
        <v>0.44717409779089184</v>
      </c>
      <c r="V103" s="97">
        <f t="shared" si="11"/>
        <v>5.1853940904817722E-2</v>
      </c>
      <c r="W103" s="97">
        <f t="shared" si="11"/>
        <v>-6.2887525458378817E-5</v>
      </c>
      <c r="X103" s="97">
        <f t="shared" si="11"/>
        <v>7.9097582708728451E-2</v>
      </c>
      <c r="Y103" s="97">
        <f t="shared" si="11"/>
        <v>0.64480129620521842</v>
      </c>
      <c r="Z103" s="97">
        <f t="shared" si="11"/>
        <v>0.10881750689927516</v>
      </c>
      <c r="AA103" s="97">
        <f t="shared" si="11"/>
        <v>0.26623538711259237</v>
      </c>
    </row>
    <row r="104" spans="2:31" ht="12.75" customHeight="1" x14ac:dyDescent="0.25">
      <c r="B104" s="21" t="s">
        <v>6</v>
      </c>
      <c r="C104" s="95">
        <f>Annual_sorted!G153</f>
        <v>-18.834192329666617</v>
      </c>
      <c r="D104" s="29">
        <f>IF(C104-Table_1463457811162344526068[Burundi]&gt;0, C104-Table_1463457811162344526068[Burundi], 0)</f>
        <v>0</v>
      </c>
      <c r="E104" s="29">
        <f>IF(C104-Table_1463457811162344526068[DRC]&gt;0, C104-Table_1463457811162344526068[DRC], 0)</f>
        <v>1.0281392979003243</v>
      </c>
      <c r="F104" s="29">
        <f>IF(C104-Table_1463457811162344526068[Egypt]&gt;0, C104-Table_1463457811162344526068[Egypt], 0)</f>
        <v>0</v>
      </c>
      <c r="G104" s="29">
        <f>IF(C104-Table_1463457811162344526068[Eritrea]&gt;0, C104-Table_1463457811162344526068[Eritrea], 0)</f>
        <v>0</v>
      </c>
      <c r="H104" s="29">
        <f>IF(C104-Table_1463457811162344526068[Ethiopia]&gt;0, C104-Table_1463457811162344526068[Ethiopia], 0)</f>
        <v>432.61578395127748</v>
      </c>
      <c r="I104" s="29">
        <f>IF(C104-Table_1463457811162344526068[Kenya]&gt;0, C104-Table_1463457811162344526068[Kenya], 0)</f>
        <v>50.219548402824728</v>
      </c>
      <c r="J104" s="29">
        <f>IF(C104-Table_1463457811162344526068[Rwanda]&gt;0, C104-Table_1463457811162344526068[Rwanda], 0)</f>
        <v>0</v>
      </c>
      <c r="K104" s="29">
        <f>IF(C104-Table_1463457811162344526068[Sudan]&gt;0, C104-Table_1463457811162344526068[Sudan], 0)</f>
        <v>76.572533159552449</v>
      </c>
      <c r="L104" s="29">
        <f>IF(C104-Table_1463457811162344526068[S. Sudan]&gt;0, C104-Table_1463457811162344526068[S. Sudan], 0)</f>
        <v>623.78209662023755</v>
      </c>
      <c r="M104" s="29">
        <f>IF(C104-Table_1463457811162344526068[Tanzania]&gt;0, C104-Table_1463457811162344526068[Tanzania], 0)</f>
        <v>105.32084496022199</v>
      </c>
      <c r="N104" s="29">
        <f>IF(C104-Table_1463457811162344526068[Uganda]&gt;0, C104-Table_1463457811162344526068[Uganda], 0)</f>
        <v>257.59237413230375</v>
      </c>
      <c r="P104" s="21" t="s">
        <v>7</v>
      </c>
      <c r="Q104" s="97">
        <f t="shared" si="12"/>
        <v>-6.2887525458378817E-5</v>
      </c>
      <c r="R104" s="97">
        <f t="shared" si="11"/>
        <v>-6.2887525458378817E-5</v>
      </c>
      <c r="S104" s="97">
        <f t="shared" si="11"/>
        <v>-6.2887525458378817E-5</v>
      </c>
      <c r="T104" s="97">
        <f t="shared" si="11"/>
        <v>-6.2887525458378817E-5</v>
      </c>
      <c r="U104" s="97">
        <f t="shared" si="11"/>
        <v>0.36801362755670503</v>
      </c>
      <c r="V104" s="97">
        <f t="shared" si="11"/>
        <v>-6.2887525458378817E-5</v>
      </c>
      <c r="W104" s="97">
        <f t="shared" si="11"/>
        <v>-6.2887525458378817E-5</v>
      </c>
      <c r="X104" s="97">
        <f t="shared" si="11"/>
        <v>-6.2887525458378817E-5</v>
      </c>
      <c r="Y104" s="97">
        <f t="shared" si="11"/>
        <v>0.56564082597103149</v>
      </c>
      <c r="Z104" s="97">
        <f t="shared" si="11"/>
        <v>2.9657036665088336E-2</v>
      </c>
      <c r="AA104" s="97">
        <f t="shared" si="11"/>
        <v>0.18707491687840555</v>
      </c>
    </row>
    <row r="105" spans="2:31" ht="12.75" customHeight="1" x14ac:dyDescent="0.25">
      <c r="B105" s="21" t="s">
        <v>7</v>
      </c>
      <c r="C105" s="95">
        <f>Annual_sorted!G154</f>
        <v>-95.40672548921907</v>
      </c>
      <c r="D105" s="29">
        <f>IF(C105-Table_1463457811162344526068[Burundi]&gt;0, C105-Table_1463457811162344526068[Burundi], 0)</f>
        <v>0</v>
      </c>
      <c r="E105" s="29">
        <f>IF(C105-Table_1463457811162344526068[DRC]&gt;0, C105-Table_1463457811162344526068[DRC], 0)</f>
        <v>0</v>
      </c>
      <c r="F105" s="29">
        <f>IF(C105-Table_1463457811162344526068[Egypt]&gt;0, C105-Table_1463457811162344526068[Egypt], 0)</f>
        <v>0</v>
      </c>
      <c r="G105" s="29">
        <f>IF(C105-Table_1463457811162344526068[Eritrea]&gt;0, C105-Table_1463457811162344526068[Eritrea], 0)</f>
        <v>0</v>
      </c>
      <c r="H105" s="29">
        <f>IF(C105-Table_1463457811162344526068[Ethiopia]&gt;0, C105-Table_1463457811162344526068[Ethiopia], 0)</f>
        <v>356.04325079172503</v>
      </c>
      <c r="I105" s="29">
        <f>IF(C105-Table_1463457811162344526068[Kenya]&gt;0, C105-Table_1463457811162344526068[Kenya], 0)</f>
        <v>0</v>
      </c>
      <c r="J105" s="29">
        <f>IF(C105-Table_1463457811162344526068[Rwanda]&gt;0, C105-Table_1463457811162344526068[Rwanda], 0)</f>
        <v>0</v>
      </c>
      <c r="K105" s="29">
        <f>IF(C105-Table_1463457811162344526068[Sudan]&gt;0, C105-Table_1463457811162344526068[Sudan], 0)</f>
        <v>0</v>
      </c>
      <c r="L105" s="29">
        <f>IF(C105-Table_1463457811162344526068[S. Sudan]&gt;0, C105-Table_1463457811162344526068[S. Sudan], 0)</f>
        <v>547.2095634606851</v>
      </c>
      <c r="M105" s="29">
        <f>IF(C105-Table_1463457811162344526068[Tanzania]&gt;0, C105-Table_1463457811162344526068[Tanzania], 0)</f>
        <v>28.748311800669541</v>
      </c>
      <c r="N105" s="29">
        <f>IF(C105-Table_1463457811162344526068[Uganda]&gt;0, C105-Table_1463457811162344526068[Uganda], 0)</f>
        <v>181.0198409727513</v>
      </c>
      <c r="P105" s="21" t="s">
        <v>8</v>
      </c>
      <c r="Q105" s="97">
        <f t="shared" si="12"/>
        <v>-6.2887525458378817E-5</v>
      </c>
      <c r="R105" s="97">
        <f t="shared" si="11"/>
        <v>-6.2887525458378817E-5</v>
      </c>
      <c r="S105" s="97">
        <f t="shared" si="11"/>
        <v>-6.2887525458378817E-5</v>
      </c>
      <c r="T105" s="97">
        <f t="shared" si="11"/>
        <v>-6.2887525458378817E-5</v>
      </c>
      <c r="U105" s="97">
        <f t="shared" si="11"/>
        <v>-6.2887525458378817E-5</v>
      </c>
      <c r="V105" s="97">
        <f t="shared" si="11"/>
        <v>-6.2887525458378817E-5</v>
      </c>
      <c r="W105" s="97">
        <f t="shared" si="11"/>
        <v>-6.2887525458378817E-5</v>
      </c>
      <c r="X105" s="97">
        <f t="shared" si="11"/>
        <v>-6.2887525458378817E-5</v>
      </c>
      <c r="Y105" s="97">
        <f t="shared" si="11"/>
        <v>-6.2887525458378817E-5</v>
      </c>
      <c r="Z105" s="97">
        <f t="shared" si="11"/>
        <v>-6.2887525458378817E-5</v>
      </c>
      <c r="AA105" s="97">
        <f t="shared" si="11"/>
        <v>-6.2887525458378817E-5</v>
      </c>
    </row>
    <row r="106" spans="2:31" ht="12.75" customHeight="1" x14ac:dyDescent="0.25">
      <c r="B106" s="21" t="s">
        <v>8</v>
      </c>
      <c r="C106" s="95">
        <f>Annual_sorted!G155</f>
        <v>-642.61628894990417</v>
      </c>
      <c r="D106" s="29">
        <f>IF(C106-Table_1463457811162344526068[Burundi]&gt;0, C106-Table_1463457811162344526068[Burundi], 0)</f>
        <v>0</v>
      </c>
      <c r="E106" s="29">
        <f>IF(C106-Table_1463457811162344526068[DRC]&gt;0, C106-Table_1463457811162344526068[DRC], 0)</f>
        <v>0</v>
      </c>
      <c r="F106" s="29">
        <f>IF(C106-Table_1463457811162344526068[Egypt]&gt;0, C106-Table_1463457811162344526068[Egypt], 0)</f>
        <v>0</v>
      </c>
      <c r="G106" s="29">
        <f>IF(C106-Table_1463457811162344526068[Eritrea]&gt;0, C106-Table_1463457811162344526068[Eritrea], 0)</f>
        <v>0</v>
      </c>
      <c r="H106" s="29">
        <f>IF(C106-Table_1463457811162344526068[Ethiopia]&gt;0, C106-Table_1463457811162344526068[Ethiopia], 0)</f>
        <v>0</v>
      </c>
      <c r="I106" s="29">
        <f>IF(C106-Table_1463457811162344526068[Kenya]&gt;0, C106-Table_1463457811162344526068[Kenya], 0)</f>
        <v>0</v>
      </c>
      <c r="J106" s="29">
        <f>IF(C106-Table_1463457811162344526068[Rwanda]&gt;0, C106-Table_1463457811162344526068[Rwanda], 0)</f>
        <v>0</v>
      </c>
      <c r="K106" s="29">
        <f>IF(C106-Table_1463457811162344526068[Sudan]&gt;0, C106-Table_1463457811162344526068[Sudan], 0)</f>
        <v>0</v>
      </c>
      <c r="L106" s="29">
        <f>IF(C106-Table_1463457811162344526068[S. Sudan]&gt;0, C106-Table_1463457811162344526068[S. Sudan], 0)</f>
        <v>0</v>
      </c>
      <c r="M106" s="29">
        <f>IF(C106-Table_1463457811162344526068[Tanzania]&gt;0, C106-Table_1463457811162344526068[Tanzania], 0)</f>
        <v>0</v>
      </c>
      <c r="N106" s="29">
        <f>IF(C106-Table_1463457811162344526068[Uganda]&gt;0, C106-Table_1463457811162344526068[Uganda], 0)</f>
        <v>0</v>
      </c>
      <c r="P106" s="21" t="s">
        <v>9</v>
      </c>
      <c r="Q106" s="97">
        <f t="shared" si="12"/>
        <v>-6.2887525458378817E-5</v>
      </c>
      <c r="R106" s="97">
        <f t="shared" si="11"/>
        <v>-6.2887525458378817E-5</v>
      </c>
      <c r="S106" s="97">
        <f t="shared" si="11"/>
        <v>-6.2887525458378817E-5</v>
      </c>
      <c r="T106" s="97">
        <f t="shared" si="11"/>
        <v>-6.2887525458378817E-5</v>
      </c>
      <c r="U106" s="97">
        <f t="shared" si="11"/>
        <v>0.33829370336615827</v>
      </c>
      <c r="V106" s="97">
        <f t="shared" si="11"/>
        <v>-6.2887525458378817E-5</v>
      </c>
      <c r="W106" s="97">
        <f t="shared" si="11"/>
        <v>-6.2887525458378817E-5</v>
      </c>
      <c r="X106" s="97">
        <f t="shared" si="11"/>
        <v>-6.2887525458378817E-5</v>
      </c>
      <c r="Y106" s="97">
        <f t="shared" si="11"/>
        <v>0.53592090178048479</v>
      </c>
      <c r="Z106" s="97">
        <f t="shared" si="11"/>
        <v>-6.2887525458378817E-5</v>
      </c>
      <c r="AA106" s="97">
        <f t="shared" si="11"/>
        <v>0.15735499268785888</v>
      </c>
    </row>
    <row r="107" spans="2:31" ht="12.75" customHeight="1" thickBot="1" x14ac:dyDescent="0.3">
      <c r="B107" s="21" t="s">
        <v>9</v>
      </c>
      <c r="C107" s="95">
        <f>Annual_sorted!G156</f>
        <v>-124.15503728988861</v>
      </c>
      <c r="D107" s="29">
        <f>IF(C107-Table_1463457811162344526068[Burundi]&gt;0, C107-Table_1463457811162344526068[Burundi], 0)</f>
        <v>0</v>
      </c>
      <c r="E107" s="29">
        <f>IF(C107-Table_1463457811162344526068[DRC]&gt;0, C107-Table_1463457811162344526068[DRC], 0)</f>
        <v>0</v>
      </c>
      <c r="F107" s="29">
        <f>IF(C107-Table_1463457811162344526068[Egypt]&gt;0, C107-Table_1463457811162344526068[Egypt], 0)</f>
        <v>0</v>
      </c>
      <c r="G107" s="29">
        <f>IF(C107-Table_1463457811162344526068[Eritrea]&gt;0, C107-Table_1463457811162344526068[Eritrea], 0)</f>
        <v>0</v>
      </c>
      <c r="H107" s="29">
        <f>IF(C107-Table_1463457811162344526068[Ethiopia]&gt;0, C107-Table_1463457811162344526068[Ethiopia], 0)</f>
        <v>327.29493899105546</v>
      </c>
      <c r="I107" s="29">
        <f>IF(C107-Table_1463457811162344526068[Kenya]&gt;0, C107-Table_1463457811162344526068[Kenya], 0)</f>
        <v>0</v>
      </c>
      <c r="J107" s="29">
        <f>IF(C107-Table_1463457811162344526068[Rwanda]&gt;0, C107-Table_1463457811162344526068[Rwanda], 0)</f>
        <v>0</v>
      </c>
      <c r="K107" s="29">
        <f>IF(C107-Table_1463457811162344526068[Sudan]&gt;0, C107-Table_1463457811162344526068[Sudan], 0)</f>
        <v>0</v>
      </c>
      <c r="L107" s="29">
        <f>IF(C107-Table_1463457811162344526068[S. Sudan]&gt;0, C107-Table_1463457811162344526068[S. Sudan], 0)</f>
        <v>518.46125166001559</v>
      </c>
      <c r="M107" s="29">
        <f>IF(C107-Table_1463457811162344526068[Tanzania]&gt;0, C107-Table_1463457811162344526068[Tanzania], 0)</f>
        <v>0</v>
      </c>
      <c r="N107" s="29">
        <f>IF(C107-Table_1463457811162344526068[Uganda]&gt;0, C107-Table_1463457811162344526068[Uganda], 0)</f>
        <v>152.27152917208176</v>
      </c>
      <c r="P107" s="22" t="s">
        <v>10</v>
      </c>
      <c r="Q107" s="98">
        <f t="shared" si="12"/>
        <v>-6.2887525458378817E-5</v>
      </c>
      <c r="R107" s="98">
        <f t="shared" si="11"/>
        <v>-6.2887525458378817E-5</v>
      </c>
      <c r="S107" s="98">
        <f t="shared" si="11"/>
        <v>-6.2887525458378817E-5</v>
      </c>
      <c r="T107" s="98">
        <f t="shared" si="11"/>
        <v>-6.2887525458378817E-5</v>
      </c>
      <c r="U107" s="98">
        <f t="shared" si="11"/>
        <v>0.18087582315284109</v>
      </c>
      <c r="V107" s="98">
        <f t="shared" si="11"/>
        <v>-6.2887525458378817E-5</v>
      </c>
      <c r="W107" s="98">
        <f t="shared" si="11"/>
        <v>-6.2887525458378817E-5</v>
      </c>
      <c r="X107" s="98">
        <f t="shared" si="11"/>
        <v>-6.2887525458378817E-5</v>
      </c>
      <c r="Y107" s="98">
        <f t="shared" si="11"/>
        <v>0.37850302156716753</v>
      </c>
      <c r="Z107" s="98">
        <f t="shared" si="11"/>
        <v>-6.2887525458378817E-5</v>
      </c>
      <c r="AA107" s="98">
        <f t="shared" si="11"/>
        <v>-6.2887525458378817E-5</v>
      </c>
      <c r="AB107" s="186">
        <f>SUM(Q97:AA107)</f>
        <v>15.840503508334855</v>
      </c>
    </row>
    <row r="108" spans="2:31" ht="12.75" customHeight="1" thickBot="1" x14ac:dyDescent="0.3">
      <c r="B108" s="22" t="s">
        <v>10</v>
      </c>
      <c r="C108" s="96">
        <f>Annual_sorted!G157</f>
        <v>-276.42656646197037</v>
      </c>
      <c r="D108" s="32">
        <f>IF(C108-Table_1463457811162344526068[Burundi]&gt;0, C108-Table_1463457811162344526068[Burundi], 0)</f>
        <v>0</v>
      </c>
      <c r="E108" s="32">
        <f>IF(C108-Table_1463457811162344526068[DRC]&gt;0, C108-Table_1463457811162344526068[DRC], 0)</f>
        <v>0</v>
      </c>
      <c r="F108" s="32">
        <f>IF(C108-Table_1463457811162344526068[Egypt]&gt;0, C108-Table_1463457811162344526068[Egypt], 0)</f>
        <v>0</v>
      </c>
      <c r="G108" s="32">
        <f>IF(C108-Table_1463457811162344526068[Eritrea]&gt;0, C108-Table_1463457811162344526068[Eritrea], 0)</f>
        <v>0</v>
      </c>
      <c r="H108" s="32">
        <f>IF(C108-Table_1463457811162344526068[Ethiopia]&gt;0, C108-Table_1463457811162344526068[Ethiopia], 0)</f>
        <v>175.02340981897373</v>
      </c>
      <c r="I108" s="32">
        <f>IF(C108-Table_1463457811162344526068[Kenya]&gt;0, C108-Table_1463457811162344526068[Kenya], 0)</f>
        <v>0</v>
      </c>
      <c r="J108" s="32">
        <f>IF(C108-Table_1463457811162344526068[Rwanda]&gt;0, C108-Table_1463457811162344526068[Rwanda], 0)</f>
        <v>0</v>
      </c>
      <c r="K108" s="32">
        <f>IF(C108-Table_1463457811162344526068[Sudan]&gt;0, C108-Table_1463457811162344526068[Sudan], 0)</f>
        <v>0</v>
      </c>
      <c r="L108" s="32">
        <f>IF(C108-Table_1463457811162344526068[S. Sudan]&gt;0, C108-Table_1463457811162344526068[S. Sudan], 0)</f>
        <v>366.18972248793381</v>
      </c>
      <c r="M108" s="32">
        <f>IF(C108-Table_1463457811162344526068[Tanzania]&gt;0, C108-Table_1463457811162344526068[Tanzania], 0)</f>
        <v>0</v>
      </c>
      <c r="N108" s="32">
        <f>IF(C108-Table_1463457811162344526068[Uganda]&gt;0, C108-Table_1463457811162344526068[Uganda], 0)</f>
        <v>0</v>
      </c>
      <c r="Y108" s="186">
        <f>SUM(Y97:Y107)</f>
        <v>5.8597719723593604</v>
      </c>
    </row>
    <row r="109" spans="2:31" ht="12.75" customHeight="1" x14ac:dyDescent="0.25"/>
    <row r="110" spans="2:31" ht="12.75" customHeight="1" x14ac:dyDescent="0.25"/>
    <row r="111" spans="2:31" ht="12.75" customHeight="1" x14ac:dyDescent="0.25">
      <c r="B111" s="5"/>
      <c r="C111" s="5"/>
      <c r="D111" s="5"/>
      <c r="E111" s="5"/>
      <c r="F111" s="5"/>
      <c r="G111" s="5"/>
      <c r="H111" s="5"/>
      <c r="I111" s="5"/>
      <c r="J111" s="5"/>
      <c r="K111" s="5"/>
      <c r="L111" s="5"/>
      <c r="M111" s="5"/>
      <c r="N111" s="5"/>
    </row>
    <row r="112" spans="2:31" ht="12.75" customHeight="1" x14ac:dyDescent="0.25">
      <c r="B112" s="5"/>
      <c r="C112" s="5"/>
      <c r="D112" s="5"/>
      <c r="E112" s="5"/>
      <c r="F112" s="5"/>
      <c r="G112" s="5"/>
      <c r="H112" s="5"/>
      <c r="I112" s="5"/>
      <c r="J112" s="5"/>
      <c r="K112" s="5"/>
      <c r="L112" s="5"/>
      <c r="M112" s="5"/>
      <c r="N112" s="5"/>
      <c r="P112" s="5"/>
      <c r="Q112" s="5"/>
      <c r="R112" s="5"/>
      <c r="S112" s="5"/>
      <c r="T112" s="5"/>
      <c r="U112" s="5"/>
      <c r="V112" s="5"/>
      <c r="W112" s="5"/>
      <c r="X112" s="5"/>
      <c r="Y112" s="5"/>
      <c r="Z112" s="5"/>
      <c r="AA112" s="5"/>
    </row>
    <row r="113" spans="2:31" ht="12.75" customHeight="1" thickBot="1" x14ac:dyDescent="0.3">
      <c r="B113" s="253" t="s">
        <v>86</v>
      </c>
      <c r="C113" s="253"/>
      <c r="D113" s="253"/>
      <c r="E113" s="253"/>
      <c r="F113" s="253"/>
      <c r="G113" s="253"/>
      <c r="H113" s="253"/>
      <c r="I113" s="253"/>
      <c r="J113" s="253"/>
      <c r="K113" s="253"/>
      <c r="L113" s="253"/>
      <c r="M113" s="253"/>
      <c r="N113" s="253"/>
      <c r="P113" s="253" t="s">
        <v>88</v>
      </c>
      <c r="Q113" s="253"/>
      <c r="R113" s="253"/>
      <c r="S113" s="253"/>
      <c r="T113" s="253"/>
      <c r="U113" s="253"/>
      <c r="V113" s="253"/>
      <c r="W113" s="253"/>
      <c r="X113" s="253"/>
      <c r="Y113" s="253"/>
      <c r="Z113" s="253"/>
      <c r="AA113" s="253"/>
      <c r="AB113" s="10"/>
      <c r="AC113" s="3" t="s">
        <v>22</v>
      </c>
      <c r="AD113" s="13" t="s">
        <v>23</v>
      </c>
      <c r="AE113" s="74">
        <f t="array" ref="AE113">MIN(IF(D116:N126&gt;0,D116:N126))</f>
        <v>0.51135954780714443</v>
      </c>
    </row>
    <row r="114" spans="2:31" ht="12.75" customHeight="1" thickBot="1" x14ac:dyDescent="0.3">
      <c r="B114" s="75" t="s">
        <v>13</v>
      </c>
      <c r="C114" s="66" t="s">
        <v>14</v>
      </c>
      <c r="D114" s="67" t="s">
        <v>1</v>
      </c>
      <c r="E114" s="67" t="s">
        <v>195</v>
      </c>
      <c r="F114" s="67" t="s">
        <v>2</v>
      </c>
      <c r="G114" s="67" t="s">
        <v>3</v>
      </c>
      <c r="H114" s="67" t="s">
        <v>4</v>
      </c>
      <c r="I114" s="67" t="s">
        <v>5</v>
      </c>
      <c r="J114" s="67" t="s">
        <v>6</v>
      </c>
      <c r="K114" s="67" t="s">
        <v>7</v>
      </c>
      <c r="L114" s="67" t="s">
        <v>295</v>
      </c>
      <c r="M114" s="67" t="s">
        <v>9</v>
      </c>
      <c r="N114" s="67" t="s">
        <v>10</v>
      </c>
      <c r="P114" s="76" t="s">
        <v>19</v>
      </c>
      <c r="Q114" s="77" t="s">
        <v>1</v>
      </c>
      <c r="R114" s="77" t="s">
        <v>195</v>
      </c>
      <c r="S114" s="77" t="s">
        <v>2</v>
      </c>
      <c r="T114" s="77" t="s">
        <v>3</v>
      </c>
      <c r="U114" s="77" t="s">
        <v>4</v>
      </c>
      <c r="V114" s="77" t="s">
        <v>5</v>
      </c>
      <c r="W114" s="77" t="s">
        <v>6</v>
      </c>
      <c r="X114" s="77" t="s">
        <v>7</v>
      </c>
      <c r="Y114" s="77" t="s">
        <v>295</v>
      </c>
      <c r="Z114" s="77" t="s">
        <v>9</v>
      </c>
      <c r="AA114" s="77" t="s">
        <v>10</v>
      </c>
      <c r="AB114" s="254" t="s">
        <v>26</v>
      </c>
      <c r="AC114" s="254"/>
      <c r="AD114" s="13" t="s">
        <v>24</v>
      </c>
      <c r="AE114" s="20">
        <f>MAX(D116:N126)</f>
        <v>425.87392843117692</v>
      </c>
    </row>
    <row r="115" spans="2:31" ht="12.75" customHeight="1" x14ac:dyDescent="0.25">
      <c r="B115" s="93"/>
      <c r="C115" s="94" t="s">
        <v>263</v>
      </c>
      <c r="D115" s="95">
        <f>C116</f>
        <v>-1.349544142503927</v>
      </c>
      <c r="E115" s="95">
        <f>C117</f>
        <v>4.53170561047249</v>
      </c>
      <c r="F115" s="95">
        <f>C118</f>
        <v>327.32968091907202</v>
      </c>
      <c r="G115" s="95">
        <f>C119</f>
        <v>-0.80097089591657267</v>
      </c>
      <c r="H115" s="95">
        <f>C120</f>
        <v>-98.544247512104889</v>
      </c>
      <c r="I115" s="95">
        <f>C121</f>
        <v>-11.960671042767352</v>
      </c>
      <c r="J115" s="95">
        <f>C122</f>
        <v>0.88658926668532312</v>
      </c>
      <c r="K115" s="95">
        <f>C123</f>
        <v>299.65584925157799</v>
      </c>
      <c r="L115" s="95">
        <f>C124</f>
        <v>10.468507913800099</v>
      </c>
      <c r="M115" s="95">
        <f>C125</f>
        <v>-12.477537264922185</v>
      </c>
      <c r="N115" s="95">
        <f>C126</f>
        <v>-0.28961134810942823</v>
      </c>
      <c r="P115" s="21" t="s">
        <v>1</v>
      </c>
      <c r="Q115" s="97">
        <f>$AE$115+(D116-$AE$113)*($AE$116-$AE$115)/($AE$114-$AE$113)</f>
        <v>-2.0097118465401895E-4</v>
      </c>
      <c r="R115" s="97">
        <f t="shared" ref="R115:AA125" si="13">$AE$115+(E116-$AE$113)*($AE$116-$AE$115)/($AE$114-$AE$113)</f>
        <v>-2.0097118465401895E-4</v>
      </c>
      <c r="S115" s="97">
        <f t="shared" si="13"/>
        <v>-2.0097118465401895E-4</v>
      </c>
      <c r="T115" s="97">
        <f t="shared" si="13"/>
        <v>-2.0097118465401895E-4</v>
      </c>
      <c r="U115" s="97">
        <f t="shared" si="13"/>
        <v>0.22806901721870862</v>
      </c>
      <c r="V115" s="97">
        <f t="shared" si="13"/>
        <v>2.472015857340356E-2</v>
      </c>
      <c r="W115" s="97">
        <f t="shared" si="13"/>
        <v>-2.0097118465401895E-4</v>
      </c>
      <c r="X115" s="97">
        <f t="shared" si="13"/>
        <v>-2.0097118465401895E-4</v>
      </c>
      <c r="Y115" s="97">
        <f t="shared" si="13"/>
        <v>-2.0097118465401895E-4</v>
      </c>
      <c r="Z115" s="97">
        <f t="shared" si="13"/>
        <v>2.5934062648903577E-2</v>
      </c>
      <c r="AA115" s="97">
        <f t="shared" si="13"/>
        <v>-2.0097118465401895E-4</v>
      </c>
      <c r="AD115" s="3" t="s">
        <v>25</v>
      </c>
      <c r="AE115" s="2">
        <v>1E-3</v>
      </c>
    </row>
    <row r="116" spans="2:31" ht="12.75" customHeight="1" x14ac:dyDescent="0.25">
      <c r="B116" s="21" t="s">
        <v>1</v>
      </c>
      <c r="C116" s="95">
        <f>Annual_sorted!H147</f>
        <v>-1.349544142503927</v>
      </c>
      <c r="D116" s="29">
        <f>IF(C116-Table_14634578112172243515967[Burundi]&gt;0, C116-Table_14634578112172243515967[Burundi], 0)</f>
        <v>0</v>
      </c>
      <c r="E116" s="29">
        <f>IF(C116-Table_14634578112172243515967[DRC]&gt;0, C116-Table_14634578112172243515967[DRC], 0)</f>
        <v>0</v>
      </c>
      <c r="F116" s="29">
        <f>IF(C116-Table_14634578112172243515967[Egypt]&gt;0, C116-Table_14634578112172243515967[Egypt], 0)</f>
        <v>0</v>
      </c>
      <c r="G116" s="29">
        <f>IF(C116-Table_14634578112172243515967[Eritrea]&gt;0, C116-Table_14634578112172243515967[Eritrea], 0)</f>
        <v>0</v>
      </c>
      <c r="H116" s="29">
        <f>IF(C116-Table_14634578112172243515967[Ethiopia]&gt;0, C116-Table_14634578112172243515967[Ethiopia], 0)</f>
        <v>97.194703369600958</v>
      </c>
      <c r="I116" s="29">
        <f>IF(C116-Table_14634578112172243515967[Kenya]&gt;0, C116-Table_14634578112172243515967[Kenya], 0)</f>
        <v>10.611126900263425</v>
      </c>
      <c r="J116" s="29">
        <f>IF(C116-Table_14634578112172243515967[Rwanda]&gt;0, C116-Table_14634578112172243515967[Rwanda], 0)</f>
        <v>0</v>
      </c>
      <c r="K116" s="29">
        <f>IF(C116-Table_14634578112172243515967[Sudan]&gt;0, C116-Table_14634578112172243515967[Sudan], 0)</f>
        <v>0</v>
      </c>
      <c r="L116" s="29">
        <f>IF(C116-Table_14634578112172243515967[S. Sudan]&gt;0, C116-Table_14634578112172243515967[S. Sudan], 0)</f>
        <v>0</v>
      </c>
      <c r="M116" s="29">
        <f>IF(C116-Table_14634578112172243515967[Tanzania]&gt;0, C116-Table_14634578112172243515967[Tanzania], 0)</f>
        <v>11.127993122418259</v>
      </c>
      <c r="N116" s="29">
        <f>IF(C116-Table_14634578112172243515967[Uganda]&gt;0, C116-Table_14634578112172243515967[Uganda], 0)</f>
        <v>0</v>
      </c>
      <c r="P116" s="21" t="s">
        <v>195</v>
      </c>
      <c r="Q116" s="97">
        <f t="shared" ref="Q116:Q125" si="14">$AE$115+(D117-$AE$113)*($AE$116-$AE$115)/($AE$114-$AE$113)</f>
        <v>1.3611641708499749E-2</v>
      </c>
      <c r="R116" s="97">
        <f t="shared" si="13"/>
        <v>-2.0097118465401895E-4</v>
      </c>
      <c r="S116" s="97">
        <f t="shared" si="13"/>
        <v>-2.0097118465401895E-4</v>
      </c>
      <c r="T116" s="97">
        <f t="shared" si="13"/>
        <v>1.232327100211766E-2</v>
      </c>
      <c r="U116" s="97">
        <f t="shared" si="13"/>
        <v>0.24188163011186239</v>
      </c>
      <c r="V116" s="97">
        <f t="shared" si="13"/>
        <v>3.8532771466557321E-2</v>
      </c>
      <c r="W116" s="97">
        <f t="shared" si="13"/>
        <v>8.359893108136715E-3</v>
      </c>
      <c r="X116" s="97">
        <f t="shared" si="13"/>
        <v>-2.0097118465401895E-4</v>
      </c>
      <c r="Y116" s="97">
        <f t="shared" si="13"/>
        <v>-2.0097118465401895E-4</v>
      </c>
      <c r="Z116" s="97">
        <f t="shared" si="13"/>
        <v>3.9746675542057339E-2</v>
      </c>
      <c r="AA116" s="97">
        <f t="shared" si="13"/>
        <v>1.1122299817463641E-2</v>
      </c>
      <c r="AD116" s="3" t="s">
        <v>70</v>
      </c>
      <c r="AE116" s="2">
        <v>1</v>
      </c>
    </row>
    <row r="117" spans="2:31" ht="12.75" customHeight="1" x14ac:dyDescent="0.25">
      <c r="B117" s="21" t="s">
        <v>195</v>
      </c>
      <c r="C117" s="95">
        <f>Annual_sorted!H148</f>
        <v>4.53170561047249</v>
      </c>
      <c r="D117" s="29">
        <f>IF(C117-Table_14634578112172243515967[Burundi]&gt;0, C117-Table_14634578112172243515967[Burundi], 0)</f>
        <v>5.8812497529764167</v>
      </c>
      <c r="E117" s="29">
        <f>IF(C117-Table_14634578112172243515967[DRC]&gt;0, C117-Table_14634578112172243515967[DRC], 0)</f>
        <v>0</v>
      </c>
      <c r="F117" s="29">
        <f>IF(C117-Table_14634578112172243515967[Egypt]&gt;0, C117-Table_14634578112172243515967[Egypt], 0)</f>
        <v>0</v>
      </c>
      <c r="G117" s="29">
        <f>IF(C117-Table_14634578112172243515967[Eritrea]&gt;0, C117-Table_14634578112172243515967[Eritrea], 0)</f>
        <v>5.3326765063890624</v>
      </c>
      <c r="H117" s="29">
        <f>IF(C117-Table_14634578112172243515967[Ethiopia]&gt;0, C117-Table_14634578112172243515967[Ethiopia], 0)</f>
        <v>103.07595312257737</v>
      </c>
      <c r="I117" s="29">
        <f>IF(C117-Table_14634578112172243515967[Kenya]&gt;0, C117-Table_14634578112172243515967[Kenya], 0)</f>
        <v>16.492376653239841</v>
      </c>
      <c r="J117" s="29">
        <f>IF(C117-Table_14634578112172243515967[Rwanda]&gt;0, C117-Table_14634578112172243515967[Rwanda], 0)</f>
        <v>3.645116343787167</v>
      </c>
      <c r="K117" s="29">
        <f>IF(C117-Table_14634578112172243515967[Sudan]&gt;0, C117-Table_14634578112172243515967[Sudan], 0)</f>
        <v>0</v>
      </c>
      <c r="L117" s="29">
        <f>IF(C117-Table_14634578112172243515967[S. Sudan]&gt;0, C117-Table_14634578112172243515967[S. Sudan], 0)</f>
        <v>0</v>
      </c>
      <c r="M117" s="29">
        <f>IF(C117-Table_14634578112172243515967[Tanzania]&gt;0, C117-Table_14634578112172243515967[Tanzania], 0)</f>
        <v>17.009242875394676</v>
      </c>
      <c r="N117" s="29">
        <f>IF(C117-Table_14634578112172243515967[Uganda]&gt;0, C117-Table_14634578112172243515967[Uganda], 0)</f>
        <v>4.8213169585819182</v>
      </c>
      <c r="P117" s="21" t="s">
        <v>2</v>
      </c>
      <c r="Q117" s="97">
        <f t="shared" si="14"/>
        <v>0.77173001159663734</v>
      </c>
      <c r="R117" s="97">
        <f t="shared" si="13"/>
        <v>0.75791739870348351</v>
      </c>
      <c r="S117" s="97">
        <f t="shared" si="13"/>
        <v>-2.0097118465401895E-4</v>
      </c>
      <c r="T117" s="97">
        <f t="shared" si="13"/>
        <v>0.77044164089025524</v>
      </c>
      <c r="U117" s="97">
        <f t="shared" si="13"/>
        <v>1</v>
      </c>
      <c r="V117" s="97">
        <f t="shared" si="13"/>
        <v>0.79665114135469495</v>
      </c>
      <c r="W117" s="97">
        <f t="shared" si="13"/>
        <v>0.7664782629962742</v>
      </c>
      <c r="X117" s="97">
        <f t="shared" si="13"/>
        <v>6.4793365078645249E-2</v>
      </c>
      <c r="Y117" s="97">
        <f t="shared" si="13"/>
        <v>0.74397431594330188</v>
      </c>
      <c r="Z117" s="97">
        <f t="shared" si="13"/>
        <v>0.79786504543019487</v>
      </c>
      <c r="AA117" s="97">
        <f t="shared" si="13"/>
        <v>0.76924066970560112</v>
      </c>
    </row>
    <row r="118" spans="2:31" ht="12.75" customHeight="1" x14ac:dyDescent="0.25">
      <c r="B118" s="21" t="s">
        <v>2</v>
      </c>
      <c r="C118" s="95">
        <f>Annual_sorted!H149</f>
        <v>327.32968091907202</v>
      </c>
      <c r="D118" s="29">
        <f>IF(C118-Table_14634578112172243515967[Burundi]&gt;0, C118-Table_14634578112172243515967[Burundi], 0)</f>
        <v>328.67922506157595</v>
      </c>
      <c r="E118" s="29">
        <f>IF(C118-Table_14634578112172243515967[DRC]&gt;0, C118-Table_14634578112172243515967[DRC], 0)</f>
        <v>322.79797530859952</v>
      </c>
      <c r="F118" s="29">
        <f>IF(C118-Table_14634578112172243515967[Egypt]&gt;0, C118-Table_14634578112172243515967[Egypt], 0)</f>
        <v>0</v>
      </c>
      <c r="G118" s="29">
        <f>IF(C118-Table_14634578112172243515967[Eritrea]&gt;0, C118-Table_14634578112172243515967[Eritrea], 0)</f>
        <v>328.1306518149886</v>
      </c>
      <c r="H118" s="29">
        <f>IF(C118-Table_14634578112172243515967[Ethiopia]&gt;0, C118-Table_14634578112172243515967[Ethiopia], 0)</f>
        <v>425.87392843117692</v>
      </c>
      <c r="I118" s="29">
        <f>IF(C118-Table_14634578112172243515967[Kenya]&gt;0, C118-Table_14634578112172243515967[Kenya], 0)</f>
        <v>339.29035196183935</v>
      </c>
      <c r="J118" s="29">
        <f>IF(C118-Table_14634578112172243515967[Rwanda]&gt;0, C118-Table_14634578112172243515967[Rwanda], 0)</f>
        <v>326.44309165238667</v>
      </c>
      <c r="K118" s="29">
        <f>IF(C118-Table_14634578112172243515967[Sudan]&gt;0, C118-Table_14634578112172243515967[Sudan], 0)</f>
        <v>27.673831667494028</v>
      </c>
      <c r="L118" s="29">
        <f>IF(C118-Table_14634578112172243515967[S. Sudan]&gt;0, C118-Table_14634578112172243515967[S. Sudan], 0)</f>
        <v>316.86117300527189</v>
      </c>
      <c r="M118" s="29">
        <f>IF(C118-Table_14634578112172243515967[Tanzania]&gt;0, C118-Table_14634578112172243515967[Tanzania], 0)</f>
        <v>339.80721818399422</v>
      </c>
      <c r="N118" s="29">
        <f>IF(C118-Table_14634578112172243515967[Uganda]&gt;0, C118-Table_14634578112172243515967[Uganda], 0)</f>
        <v>327.61929226718144</v>
      </c>
      <c r="P118" s="21" t="s">
        <v>3</v>
      </c>
      <c r="Q118" s="97">
        <f t="shared" si="14"/>
        <v>1.0873995217280698E-3</v>
      </c>
      <c r="R118" s="97">
        <f t="shared" si="13"/>
        <v>-2.0097118465401895E-4</v>
      </c>
      <c r="S118" s="97">
        <f t="shared" si="13"/>
        <v>-2.0097118465401895E-4</v>
      </c>
      <c r="T118" s="97">
        <f t="shared" si="13"/>
        <v>-2.0097118465401895E-4</v>
      </c>
      <c r="U118" s="97">
        <f t="shared" si="13"/>
        <v>0.22935738792509069</v>
      </c>
      <c r="V118" s="97">
        <f t="shared" si="13"/>
        <v>2.6008529279785648E-2</v>
      </c>
      <c r="W118" s="97">
        <f t="shared" si="13"/>
        <v>-2.0097118465401895E-4</v>
      </c>
      <c r="X118" s="97">
        <f t="shared" si="13"/>
        <v>-2.0097118465401895E-4</v>
      </c>
      <c r="Y118" s="97">
        <f t="shared" si="13"/>
        <v>-2.0097118465401895E-4</v>
      </c>
      <c r="Z118" s="97">
        <f t="shared" si="13"/>
        <v>2.7222433355285663E-2</v>
      </c>
      <c r="AA118" s="97">
        <f t="shared" si="13"/>
        <v>-2.0097118465401895E-4</v>
      </c>
    </row>
    <row r="119" spans="2:31" ht="12.75" customHeight="1" x14ac:dyDescent="0.25">
      <c r="B119" s="21" t="s">
        <v>3</v>
      </c>
      <c r="C119" s="95">
        <f>Annual_sorted!H150</f>
        <v>-0.80097089591657267</v>
      </c>
      <c r="D119" s="29">
        <f>IF(C119-Table_14634578112172243515967[Burundi]&gt;0, C119-Table_14634578112172243515967[Burundi], 0)</f>
        <v>0.54857324658735429</v>
      </c>
      <c r="E119" s="29">
        <f>IF(C119-Table_14634578112172243515967[DRC]&gt;0, C119-Table_14634578112172243515967[DRC], 0)</f>
        <v>0</v>
      </c>
      <c r="F119" s="29">
        <f>IF(C119-Table_14634578112172243515967[Egypt]&gt;0, C119-Table_14634578112172243515967[Egypt], 0)</f>
        <v>0</v>
      </c>
      <c r="G119" s="29">
        <f>IF(C119-Table_14634578112172243515967[Eritrea]&gt;0, C119-Table_14634578112172243515967[Eritrea], 0)</f>
        <v>0</v>
      </c>
      <c r="H119" s="29">
        <f>IF(C119-Table_14634578112172243515967[Ethiopia]&gt;0, C119-Table_14634578112172243515967[Ethiopia], 0)</f>
        <v>97.743276616188311</v>
      </c>
      <c r="I119" s="29">
        <f>IF(C119-Table_14634578112172243515967[Kenya]&gt;0, C119-Table_14634578112172243515967[Kenya], 0)</f>
        <v>11.159700146850779</v>
      </c>
      <c r="J119" s="29">
        <f>IF(C119-Table_14634578112172243515967[Rwanda]&gt;0, C119-Table_14634578112172243515967[Rwanda], 0)</f>
        <v>0</v>
      </c>
      <c r="K119" s="29">
        <f>IF(C119-Table_14634578112172243515967[Sudan]&gt;0, C119-Table_14634578112172243515967[Sudan], 0)</f>
        <v>0</v>
      </c>
      <c r="L119" s="29">
        <f>IF(C119-Table_14634578112172243515967[S. Sudan]&gt;0, C119-Table_14634578112172243515967[S. Sudan], 0)</f>
        <v>0</v>
      </c>
      <c r="M119" s="29">
        <f>IF(C119-Table_14634578112172243515967[Tanzania]&gt;0, C119-Table_14634578112172243515967[Tanzania], 0)</f>
        <v>11.676566369005613</v>
      </c>
      <c r="N119" s="29">
        <f>IF(C119-Table_14634578112172243515967[Uganda]&gt;0, C119-Table_14634578112172243515967[Uganda], 0)</f>
        <v>0</v>
      </c>
      <c r="P119" s="21" t="s">
        <v>4</v>
      </c>
      <c r="Q119" s="97">
        <f t="shared" si="14"/>
        <v>-2.0097118465401895E-4</v>
      </c>
      <c r="R119" s="97">
        <f t="shared" si="13"/>
        <v>-2.0097118465401895E-4</v>
      </c>
      <c r="S119" s="97">
        <f t="shared" si="13"/>
        <v>-2.0097118465401895E-4</v>
      </c>
      <c r="T119" s="97">
        <f t="shared" si="13"/>
        <v>-2.0097118465401895E-4</v>
      </c>
      <c r="U119" s="97">
        <f t="shared" si="13"/>
        <v>-2.0097118465401895E-4</v>
      </c>
      <c r="V119" s="97">
        <f t="shared" si="13"/>
        <v>-2.0097118465401895E-4</v>
      </c>
      <c r="W119" s="97">
        <f t="shared" si="13"/>
        <v>-2.0097118465401895E-4</v>
      </c>
      <c r="X119" s="97">
        <f t="shared" si="13"/>
        <v>-2.0097118465401895E-4</v>
      </c>
      <c r="Y119" s="97">
        <f t="shared" si="13"/>
        <v>-2.0097118465401895E-4</v>
      </c>
      <c r="Z119" s="97">
        <f t="shared" si="13"/>
        <v>-2.0097118465401895E-4</v>
      </c>
      <c r="AA119" s="97">
        <f t="shared" si="13"/>
        <v>-2.0097118465401895E-4</v>
      </c>
    </row>
    <row r="120" spans="2:31" ht="12.75" customHeight="1" x14ac:dyDescent="0.25">
      <c r="B120" s="21" t="s">
        <v>4</v>
      </c>
      <c r="C120" s="95">
        <f>Annual_sorted!H151</f>
        <v>-98.544247512104889</v>
      </c>
      <c r="D120" s="29">
        <f>IF(C120-Table_14634578112172243515967[Burundi]&gt;0, C120-Table_14634578112172243515967[Burundi], 0)</f>
        <v>0</v>
      </c>
      <c r="E120" s="29">
        <f>IF(C120-Table_14634578112172243515967[DRC]&gt;0, C120-Table_14634578112172243515967[DRC], 0)</f>
        <v>0</v>
      </c>
      <c r="F120" s="29">
        <f>IF(C120-Table_14634578112172243515967[Egypt]&gt;0, C120-Table_14634578112172243515967[Egypt], 0)</f>
        <v>0</v>
      </c>
      <c r="G120" s="29">
        <f>IF(C120-Table_14634578112172243515967[Eritrea]&gt;0, C120-Table_14634578112172243515967[Eritrea], 0)</f>
        <v>0</v>
      </c>
      <c r="H120" s="29">
        <f>IF(C120-Table_14634578112172243515967[Ethiopia]&gt;0, C120-Table_14634578112172243515967[Ethiopia], 0)</f>
        <v>0</v>
      </c>
      <c r="I120" s="29">
        <f>IF(C120-Table_14634578112172243515967[Kenya]&gt;0, C120-Table_14634578112172243515967[Kenya], 0)</f>
        <v>0</v>
      </c>
      <c r="J120" s="29">
        <f>IF(C120-Table_14634578112172243515967[Rwanda]&gt;0, C120-Table_14634578112172243515967[Rwanda], 0)</f>
        <v>0</v>
      </c>
      <c r="K120" s="29">
        <f>IF(C120-Table_14634578112172243515967[Sudan]&gt;0, C120-Table_14634578112172243515967[Sudan], 0)</f>
        <v>0</v>
      </c>
      <c r="L120" s="29">
        <f>IF(C120-Table_14634578112172243515967[S. Sudan]&gt;0, C120-Table_14634578112172243515967[S. Sudan], 0)</f>
        <v>0</v>
      </c>
      <c r="M120" s="29">
        <f>IF(C120-Table_14634578112172243515967[Tanzania]&gt;0, C120-Table_14634578112172243515967[Tanzania], 0)</f>
        <v>0</v>
      </c>
      <c r="N120" s="29">
        <f>IF(C120-Table_14634578112172243515967[Uganda]&gt;0, C120-Table_14634578112172243515967[Uganda], 0)</f>
        <v>0</v>
      </c>
      <c r="P120" s="21" t="s">
        <v>5</v>
      </c>
      <c r="Q120" s="97">
        <f t="shared" si="14"/>
        <v>-2.0097118465401895E-4</v>
      </c>
      <c r="R120" s="97">
        <f t="shared" si="13"/>
        <v>-2.0097118465401895E-4</v>
      </c>
      <c r="S120" s="97">
        <f t="shared" si="13"/>
        <v>-2.0097118465401895E-4</v>
      </c>
      <c r="T120" s="97">
        <f t="shared" si="13"/>
        <v>-2.0097118465401895E-4</v>
      </c>
      <c r="U120" s="97">
        <f t="shared" si="13"/>
        <v>0.20314788746065104</v>
      </c>
      <c r="V120" s="97">
        <f t="shared" si="13"/>
        <v>-2.0097118465401895E-4</v>
      </c>
      <c r="W120" s="97">
        <f t="shared" si="13"/>
        <v>-2.0097118465401895E-4</v>
      </c>
      <c r="X120" s="97">
        <f t="shared" si="13"/>
        <v>-2.0097118465401895E-4</v>
      </c>
      <c r="Y120" s="97">
        <f t="shared" si="13"/>
        <v>-2.0097118465401895E-4</v>
      </c>
      <c r="Z120" s="97">
        <f t="shared" si="13"/>
        <v>1.0129328908459966E-3</v>
      </c>
      <c r="AA120" s="97">
        <f t="shared" si="13"/>
        <v>-2.0097118465401895E-4</v>
      </c>
    </row>
    <row r="121" spans="2:31" ht="12.75" customHeight="1" x14ac:dyDescent="0.25">
      <c r="B121" s="21" t="s">
        <v>5</v>
      </c>
      <c r="C121" s="95">
        <f>Annual_sorted!H152</f>
        <v>-11.960671042767352</v>
      </c>
      <c r="D121" s="29">
        <f>IF(C121-Table_14634578112172243515967[Burundi]&gt;0, C121-Table_14634578112172243515967[Burundi], 0)</f>
        <v>0</v>
      </c>
      <c r="E121" s="29">
        <f>IF(C121-Table_14634578112172243515967[DRC]&gt;0, C121-Table_14634578112172243515967[DRC], 0)</f>
        <v>0</v>
      </c>
      <c r="F121" s="29">
        <f>IF(C121-Table_14634578112172243515967[Egypt]&gt;0, C121-Table_14634578112172243515967[Egypt], 0)</f>
        <v>0</v>
      </c>
      <c r="G121" s="29">
        <f>IF(C121-Table_14634578112172243515967[Eritrea]&gt;0, C121-Table_14634578112172243515967[Eritrea], 0)</f>
        <v>0</v>
      </c>
      <c r="H121" s="29">
        <f>IF(C121-Table_14634578112172243515967[Ethiopia]&gt;0, C121-Table_14634578112172243515967[Ethiopia], 0)</f>
        <v>86.583576469337544</v>
      </c>
      <c r="I121" s="29">
        <f>IF(C121-Table_14634578112172243515967[Kenya]&gt;0, C121-Table_14634578112172243515967[Kenya], 0)</f>
        <v>0</v>
      </c>
      <c r="J121" s="29">
        <f>IF(C121-Table_14634578112172243515967[Rwanda]&gt;0, C121-Table_14634578112172243515967[Rwanda], 0)</f>
        <v>0</v>
      </c>
      <c r="K121" s="29">
        <f>IF(C121-Table_14634578112172243515967[Sudan]&gt;0, C121-Table_14634578112172243515967[Sudan], 0)</f>
        <v>0</v>
      </c>
      <c r="L121" s="29">
        <f>IF(C121-Table_14634578112172243515967[S. Sudan]&gt;0, C121-Table_14634578112172243515967[S. Sudan], 0)</f>
        <v>0</v>
      </c>
      <c r="M121" s="29">
        <f>IF(C121-Table_14634578112172243515967[Tanzania]&gt;0, C121-Table_14634578112172243515967[Tanzania], 0)</f>
        <v>0.51686622215483347</v>
      </c>
      <c r="N121" s="29">
        <f>IF(C121-Table_14634578112172243515967[Uganda]&gt;0, C121-Table_14634578112172243515967[Uganda], 0)</f>
        <v>0</v>
      </c>
      <c r="P121" s="21" t="s">
        <v>6</v>
      </c>
      <c r="Q121" s="97">
        <f t="shared" si="14"/>
        <v>5.0507774157090134E-3</v>
      </c>
      <c r="R121" s="97">
        <f t="shared" si="13"/>
        <v>-2.0097118465401895E-4</v>
      </c>
      <c r="S121" s="97">
        <f t="shared" si="13"/>
        <v>-2.0097118465401895E-4</v>
      </c>
      <c r="T121" s="97">
        <f t="shared" si="13"/>
        <v>3.7624067093269243E-3</v>
      </c>
      <c r="U121" s="97">
        <f t="shared" si="13"/>
        <v>0.23332076581907166</v>
      </c>
      <c r="V121" s="97">
        <f t="shared" si="13"/>
        <v>2.997190717376659E-2</v>
      </c>
      <c r="W121" s="97">
        <f t="shared" si="13"/>
        <v>-2.0097118465401895E-4</v>
      </c>
      <c r="X121" s="97">
        <f t="shared" si="13"/>
        <v>-2.0097118465401895E-4</v>
      </c>
      <c r="Y121" s="97">
        <f t="shared" si="13"/>
        <v>-2.0097118465401895E-4</v>
      </c>
      <c r="Z121" s="97">
        <f t="shared" si="13"/>
        <v>3.1185811249266608E-2</v>
      </c>
      <c r="AA121" s="97">
        <f t="shared" si="13"/>
        <v>2.5614355246729049E-3</v>
      </c>
    </row>
    <row r="122" spans="2:31" ht="12.75" customHeight="1" x14ac:dyDescent="0.25">
      <c r="B122" s="21" t="s">
        <v>6</v>
      </c>
      <c r="C122" s="95">
        <f>Annual_sorted!H153</f>
        <v>0.88658926668532312</v>
      </c>
      <c r="D122" s="29">
        <f>IF(C122-Table_14634578112172243515967[Burundi]&gt;0, C122-Table_14634578112172243515967[Burundi], 0)</f>
        <v>2.2361334091892502</v>
      </c>
      <c r="E122" s="29">
        <f>IF(C122-Table_14634578112172243515967[DRC]&gt;0, C122-Table_14634578112172243515967[DRC], 0)</f>
        <v>0</v>
      </c>
      <c r="F122" s="29">
        <f>IF(C122-Table_14634578112172243515967[Egypt]&gt;0, C122-Table_14634578112172243515967[Egypt], 0)</f>
        <v>0</v>
      </c>
      <c r="G122" s="29">
        <f>IF(C122-Table_14634578112172243515967[Eritrea]&gt;0, C122-Table_14634578112172243515967[Eritrea], 0)</f>
        <v>1.6875601626018959</v>
      </c>
      <c r="H122" s="29">
        <f>IF(C122-Table_14634578112172243515967[Ethiopia]&gt;0, C122-Table_14634578112172243515967[Ethiopia], 0)</f>
        <v>99.430836778790209</v>
      </c>
      <c r="I122" s="29">
        <f>IF(C122-Table_14634578112172243515967[Kenya]&gt;0, C122-Table_14634578112172243515967[Kenya], 0)</f>
        <v>12.847260309452675</v>
      </c>
      <c r="J122" s="29">
        <f>IF(C122-Table_14634578112172243515967[Rwanda]&gt;0, C122-Table_14634578112172243515967[Rwanda], 0)</f>
        <v>0</v>
      </c>
      <c r="K122" s="29">
        <f>IF(C122-Table_14634578112172243515967[Sudan]&gt;0, C122-Table_14634578112172243515967[Sudan], 0)</f>
        <v>0</v>
      </c>
      <c r="L122" s="29">
        <f>IF(C122-Table_14634578112172243515967[S. Sudan]&gt;0, C122-Table_14634578112172243515967[S. Sudan], 0)</f>
        <v>0</v>
      </c>
      <c r="M122" s="29">
        <f>IF(C122-Table_14634578112172243515967[Tanzania]&gt;0, C122-Table_14634578112172243515967[Tanzania], 0)</f>
        <v>13.364126531607509</v>
      </c>
      <c r="N122" s="29">
        <f>IF(C122-Table_14634578112172243515967[Uganda]&gt;0, C122-Table_14634578112172243515967[Uganda], 0)</f>
        <v>1.1762006147947512</v>
      </c>
      <c r="P122" s="21" t="s">
        <v>7</v>
      </c>
      <c r="Q122" s="97">
        <f t="shared" si="14"/>
        <v>0.70673567533333803</v>
      </c>
      <c r="R122" s="97">
        <f t="shared" si="13"/>
        <v>0.6929230624401842</v>
      </c>
      <c r="S122" s="97">
        <f t="shared" si="13"/>
        <v>-2.0097118465401895E-4</v>
      </c>
      <c r="T122" s="97">
        <f t="shared" si="13"/>
        <v>0.70544730462695593</v>
      </c>
      <c r="U122" s="97">
        <f t="shared" si="13"/>
        <v>0.93500566373670069</v>
      </c>
      <c r="V122" s="97">
        <f t="shared" si="13"/>
        <v>0.73165680509139563</v>
      </c>
      <c r="W122" s="97">
        <f t="shared" si="13"/>
        <v>0.70148392673297499</v>
      </c>
      <c r="X122" s="97">
        <f t="shared" si="13"/>
        <v>-2.0097118465401895E-4</v>
      </c>
      <c r="Y122" s="97">
        <f>$AE$115+(L123-$AE$113)*($AE$116-$AE$115)/($AE$114-$AE$113)</f>
        <v>0.67897997968000257</v>
      </c>
      <c r="Z122" s="97">
        <f t="shared" si="13"/>
        <v>0.73287070916689567</v>
      </c>
      <c r="AA122" s="97">
        <f t="shared" si="13"/>
        <v>0.70424633344230192</v>
      </c>
    </row>
    <row r="123" spans="2:31" ht="12.75" customHeight="1" x14ac:dyDescent="0.25">
      <c r="B123" s="21" t="s">
        <v>7</v>
      </c>
      <c r="C123" s="95">
        <f>Annual_sorted!H154</f>
        <v>299.65584925157799</v>
      </c>
      <c r="D123" s="29">
        <f>IF(C123-Table_14634578112172243515967[Burundi]&gt;0, C123-Table_14634578112172243515967[Burundi], 0)</f>
        <v>301.00539339408192</v>
      </c>
      <c r="E123" s="29">
        <f>IF(C123-Table_14634578112172243515967[DRC]&gt;0, C123-Table_14634578112172243515967[DRC], 0)</f>
        <v>295.12414364110549</v>
      </c>
      <c r="F123" s="29">
        <f>IF(C123-Table_14634578112172243515967[Egypt]&gt;0, C123-Table_14634578112172243515967[Egypt], 0)</f>
        <v>0</v>
      </c>
      <c r="G123" s="29">
        <f>IF(C123-Table_14634578112172243515967[Eritrea]&gt;0, C123-Table_14634578112172243515967[Eritrea], 0)</f>
        <v>300.45682014749457</v>
      </c>
      <c r="H123" s="29">
        <f>IF(C123-Table_14634578112172243515967[Ethiopia]&gt;0, C123-Table_14634578112172243515967[Ethiopia], 0)</f>
        <v>398.20009676368289</v>
      </c>
      <c r="I123" s="29">
        <f>IF(C123-Table_14634578112172243515967[Kenya]&gt;0, C123-Table_14634578112172243515967[Kenya], 0)</f>
        <v>311.61652029434532</v>
      </c>
      <c r="J123" s="29">
        <f>IF(C123-Table_14634578112172243515967[Rwanda]&gt;0, C123-Table_14634578112172243515967[Rwanda], 0)</f>
        <v>298.76925998489264</v>
      </c>
      <c r="K123" s="29">
        <f>IF(C123-Table_14634578112172243515967[Sudan]&gt;0, C123-Table_14634578112172243515967[Sudan], 0)</f>
        <v>0</v>
      </c>
      <c r="L123" s="29">
        <f>IF(C123-Table_14634578112172243515967[S. Sudan]&gt;0, C123-Table_14634578112172243515967[S. Sudan], 0)</f>
        <v>289.18734133777787</v>
      </c>
      <c r="M123" s="29">
        <f>IF(C123-Table_14634578112172243515967[Tanzania]&gt;0, C123-Table_14634578112172243515967[Tanzania], 0)</f>
        <v>312.1333865165002</v>
      </c>
      <c r="N123" s="29">
        <f>IF(C123-Table_14634578112172243515967[Uganda]&gt;0, C123-Table_14634578112172243515967[Uganda], 0)</f>
        <v>299.94546059968741</v>
      </c>
      <c r="P123" s="21" t="s">
        <v>8</v>
      </c>
      <c r="Q123" s="97">
        <f t="shared" si="14"/>
        <v>2.7554724468681374E-2</v>
      </c>
      <c r="R123" s="97">
        <f t="shared" si="13"/>
        <v>1.3742111575527606E-2</v>
      </c>
      <c r="S123" s="97">
        <f t="shared" si="13"/>
        <v>-2.0097118465401895E-4</v>
      </c>
      <c r="T123" s="97">
        <f t="shared" si="13"/>
        <v>2.6266353762299285E-2</v>
      </c>
      <c r="U123" s="97">
        <f t="shared" si="13"/>
        <v>0.255824712872044</v>
      </c>
      <c r="V123" s="97">
        <f t="shared" si="13"/>
        <v>5.2475854226738949E-2</v>
      </c>
      <c r="W123" s="97">
        <f t="shared" si="13"/>
        <v>2.2302975868318343E-2</v>
      </c>
      <c r="X123" s="97">
        <f t="shared" si="13"/>
        <v>-2.0097118465401895E-4</v>
      </c>
      <c r="Y123" s="97">
        <f t="shared" si="13"/>
        <v>-2.0097118465401895E-4</v>
      </c>
      <c r="Z123" s="97">
        <f t="shared" si="13"/>
        <v>5.368975830223896E-2</v>
      </c>
      <c r="AA123" s="97">
        <f t="shared" si="13"/>
        <v>2.5065382577645269E-2</v>
      </c>
    </row>
    <row r="124" spans="2:31" ht="12.75" customHeight="1" x14ac:dyDescent="0.25">
      <c r="B124" s="21" t="s">
        <v>8</v>
      </c>
      <c r="C124" s="95">
        <f>Annual_sorted!H155</f>
        <v>10.468507913800099</v>
      </c>
      <c r="D124" s="29">
        <f>IF(C124-Table_14634578112172243515967[Burundi]&gt;0, C124-Table_14634578112172243515967[Burundi], 0)</f>
        <v>11.818052056304026</v>
      </c>
      <c r="E124" s="29">
        <f>IF(C124-Table_14634578112172243515967[DRC]&gt;0, C124-Table_14634578112172243515967[DRC], 0)</f>
        <v>5.9368023033276094</v>
      </c>
      <c r="F124" s="29">
        <f>IF(C124-Table_14634578112172243515967[Egypt]&gt;0, C124-Table_14634578112172243515967[Egypt], 0)</f>
        <v>0</v>
      </c>
      <c r="G124" s="29">
        <f>IF(C124-Table_14634578112172243515967[Eritrea]&gt;0, C124-Table_14634578112172243515967[Eritrea], 0)</f>
        <v>11.269478809716672</v>
      </c>
      <c r="H124" s="29">
        <f>IF(C124-Table_14634578112172243515967[Ethiopia]&gt;0, C124-Table_14634578112172243515967[Ethiopia], 0)</f>
        <v>109.01275542590498</v>
      </c>
      <c r="I124" s="29">
        <f>IF(C124-Table_14634578112172243515967[Kenya]&gt;0, C124-Table_14634578112172243515967[Kenya], 0)</f>
        <v>22.429178956567451</v>
      </c>
      <c r="J124" s="29">
        <f>IF(C124-Table_14634578112172243515967[Rwanda]&gt;0, C124-Table_14634578112172243515967[Rwanda], 0)</f>
        <v>9.5819186471147759</v>
      </c>
      <c r="K124" s="29">
        <f>IF(C124-Table_14634578112172243515967[Sudan]&gt;0, C124-Table_14634578112172243515967[Sudan], 0)</f>
        <v>0</v>
      </c>
      <c r="L124" s="29">
        <f>IF(C124-Table_14634578112172243515967[S. Sudan]&gt;0, C124-Table_14634578112172243515967[S. Sudan], 0)</f>
        <v>0</v>
      </c>
      <c r="M124" s="29">
        <f>IF(C124-Table_14634578112172243515967[Tanzania]&gt;0, C124-Table_14634578112172243515967[Tanzania], 0)</f>
        <v>22.946045178722287</v>
      </c>
      <c r="N124" s="29">
        <f>IF(C124-Table_14634578112172243515967[Uganda]&gt;0, C124-Table_14634578112172243515967[Uganda], 0)</f>
        <v>10.758119261909528</v>
      </c>
      <c r="P124" s="21" t="s">
        <v>9</v>
      </c>
      <c r="Q124" s="97">
        <f t="shared" si="14"/>
        <v>-2.0097118465401895E-4</v>
      </c>
      <c r="R124" s="97">
        <f t="shared" si="13"/>
        <v>-2.0097118465401895E-4</v>
      </c>
      <c r="S124" s="97">
        <f t="shared" si="13"/>
        <v>-2.0097118465401895E-4</v>
      </c>
      <c r="T124" s="97">
        <f t="shared" si="13"/>
        <v>-2.0097118465401895E-4</v>
      </c>
      <c r="U124" s="97">
        <f t="shared" si="13"/>
        <v>0.20193398338515101</v>
      </c>
      <c r="V124" s="97">
        <f t="shared" si="13"/>
        <v>-2.0097118465401895E-4</v>
      </c>
      <c r="W124" s="97">
        <f t="shared" si="13"/>
        <v>-2.0097118465401895E-4</v>
      </c>
      <c r="X124" s="97">
        <f t="shared" si="13"/>
        <v>-2.0097118465401895E-4</v>
      </c>
      <c r="Y124" s="97">
        <f t="shared" si="13"/>
        <v>-2.0097118465401895E-4</v>
      </c>
      <c r="Z124" s="97">
        <f t="shared" si="13"/>
        <v>-2.0097118465401895E-4</v>
      </c>
      <c r="AA124" s="97">
        <f t="shared" si="13"/>
        <v>-2.0097118465401895E-4</v>
      </c>
    </row>
    <row r="125" spans="2:31" ht="12.75" customHeight="1" thickBot="1" x14ac:dyDescent="0.3">
      <c r="B125" s="21" t="s">
        <v>9</v>
      </c>
      <c r="C125" s="95">
        <f>Annual_sorted!H156</f>
        <v>-12.477537264922185</v>
      </c>
      <c r="D125" s="29">
        <f>IF(C125-Table_14634578112172243515967[Burundi]&gt;0, C125-Table_14634578112172243515967[Burundi], 0)</f>
        <v>0</v>
      </c>
      <c r="E125" s="29">
        <f>IF(C125-Table_14634578112172243515967[DRC]&gt;0, C125-Table_14634578112172243515967[DRC], 0)</f>
        <v>0</v>
      </c>
      <c r="F125" s="29">
        <f>IF(C125-Table_14634578112172243515967[Egypt]&gt;0, C125-Table_14634578112172243515967[Egypt], 0)</f>
        <v>0</v>
      </c>
      <c r="G125" s="29">
        <f>IF(C125-Table_14634578112172243515967[Eritrea]&gt;0, C125-Table_14634578112172243515967[Eritrea], 0)</f>
        <v>0</v>
      </c>
      <c r="H125" s="29">
        <f>IF(C125-Table_14634578112172243515967[Ethiopia]&gt;0, C125-Table_14634578112172243515967[Ethiopia], 0)</f>
        <v>86.066710247182698</v>
      </c>
      <c r="I125" s="29">
        <f>IF(C125-Table_14634578112172243515967[Kenya]&gt;0, C125-Table_14634578112172243515967[Kenya], 0)</f>
        <v>0</v>
      </c>
      <c r="J125" s="29">
        <f>IF(C125-Table_14634578112172243515967[Rwanda]&gt;0, C125-Table_14634578112172243515967[Rwanda], 0)</f>
        <v>0</v>
      </c>
      <c r="K125" s="29">
        <f>IF(C125-Table_14634578112172243515967[Sudan]&gt;0, C125-Table_14634578112172243515967[Sudan], 0)</f>
        <v>0</v>
      </c>
      <c r="L125" s="29">
        <f>IF(C125-Table_14634578112172243515967[S. Sudan]&gt;0, C125-Table_14634578112172243515967[S. Sudan], 0)</f>
        <v>0</v>
      </c>
      <c r="M125" s="29">
        <f>IF(C125-Table_14634578112172243515967[Tanzania]&gt;0, C125-Table_14634578112172243515967[Tanzania], 0)</f>
        <v>0</v>
      </c>
      <c r="N125" s="29">
        <f>IF(C125-Table_14634578112172243515967[Uganda]&gt;0, C125-Table_14634578112172243515967[Uganda], 0)</f>
        <v>0</v>
      </c>
      <c r="P125" s="22" t="s">
        <v>10</v>
      </c>
      <c r="Q125" s="98">
        <f t="shared" si="14"/>
        <v>2.2883707063820887E-3</v>
      </c>
      <c r="R125" s="98">
        <f t="shared" si="13"/>
        <v>-2.0097118465401895E-4</v>
      </c>
      <c r="S125" s="98">
        <f t="shared" si="13"/>
        <v>-2.0097118465401895E-4</v>
      </c>
      <c r="T125" s="98">
        <f t="shared" si="13"/>
        <v>1E-3</v>
      </c>
      <c r="U125" s="98">
        <f t="shared" si="13"/>
        <v>0.23055835910974473</v>
      </c>
      <c r="V125" s="98">
        <f t="shared" si="13"/>
        <v>2.7209500464439668E-2</v>
      </c>
      <c r="W125" s="98">
        <f t="shared" si="13"/>
        <v>-2.0097118465401895E-4</v>
      </c>
      <c r="X125" s="98">
        <f t="shared" si="13"/>
        <v>-2.0097118465401895E-4</v>
      </c>
      <c r="Y125" s="98">
        <f t="shared" si="13"/>
        <v>-2.0097118465401895E-4</v>
      </c>
      <c r="Z125" s="98">
        <f t="shared" si="13"/>
        <v>2.8423404539939679E-2</v>
      </c>
      <c r="AA125" s="98">
        <f t="shared" si="13"/>
        <v>-2.0097118465401895E-4</v>
      </c>
    </row>
    <row r="126" spans="2:31" ht="12.75" customHeight="1" thickBot="1" x14ac:dyDescent="0.3">
      <c r="B126" s="22" t="s">
        <v>10</v>
      </c>
      <c r="C126" s="96">
        <f>Annual_sorted!H157</f>
        <v>-0.28961134810942823</v>
      </c>
      <c r="D126" s="32">
        <f>IF(C126-Table_14634578112172243515967[Burundi]&gt;0, C126-Table_14634578112172243515967[Burundi], 0)</f>
        <v>1.0599327943944987</v>
      </c>
      <c r="E126" s="32">
        <f>IF(C126-Table_14634578112172243515967[DRC]&gt;0, C126-Table_14634578112172243515967[DRC], 0)</f>
        <v>0</v>
      </c>
      <c r="F126" s="32">
        <f>IF(C126-Table_14634578112172243515967[Egypt]&gt;0, C126-Table_14634578112172243515967[Egypt], 0)</f>
        <v>0</v>
      </c>
      <c r="G126" s="32">
        <f>IF(C126-Table_14634578112172243515967[Eritrea]&gt;0, C126-Table_14634578112172243515967[Eritrea], 0)</f>
        <v>0.51135954780714443</v>
      </c>
      <c r="H126" s="32">
        <f>IF(C126-Table_14634578112172243515967[Ethiopia]&gt;0, C126-Table_14634578112172243515967[Ethiopia], 0)</f>
        <v>98.254636163995457</v>
      </c>
      <c r="I126" s="32">
        <f>IF(C126-Table_14634578112172243515967[Kenya]&gt;0, C126-Table_14634578112172243515967[Kenya], 0)</f>
        <v>11.671059694657924</v>
      </c>
      <c r="J126" s="32">
        <f>IF(C126-Table_14634578112172243515967[Rwanda]&gt;0, C126-Table_14634578112172243515967[Rwanda], 0)</f>
        <v>0</v>
      </c>
      <c r="K126" s="32">
        <f>IF(C126-Table_14634578112172243515967[Sudan]&gt;0, C126-Table_14634578112172243515967[Sudan], 0)</f>
        <v>0</v>
      </c>
      <c r="L126" s="32">
        <f>IF(C126-Table_14634578112172243515967[S. Sudan]&gt;0, C126-Table_14634578112172243515967[S. Sudan], 0)</f>
        <v>0</v>
      </c>
      <c r="M126" s="32">
        <f>IF(C126-Table_14634578112172243515967[Tanzania]&gt;0, C126-Table_14634578112172243515967[Tanzania], 0)</f>
        <v>12.187925916812757</v>
      </c>
      <c r="N126" s="32">
        <f>IF(C126-Table_14634578112172243515967[Uganda]&gt;0, C126-Table_14634578112172243515967[Uganda], 0)</f>
        <v>0</v>
      </c>
      <c r="Z126" s="186"/>
    </row>
    <row r="127" spans="2:31" ht="12.75" customHeight="1" x14ac:dyDescent="0.25"/>
    <row r="128" spans="2:31" ht="12.75" customHeight="1" x14ac:dyDescent="0.25"/>
    <row r="129" spans="2:31" ht="12.75" customHeight="1" x14ac:dyDescent="0.25">
      <c r="P129" s="5"/>
      <c r="Q129" s="5"/>
      <c r="R129" s="5"/>
      <c r="S129" s="5"/>
      <c r="T129" s="5"/>
      <c r="U129" s="5"/>
      <c r="V129" s="5"/>
      <c r="W129" s="5"/>
      <c r="X129" s="5"/>
      <c r="Y129" s="5"/>
      <c r="Z129" s="5"/>
      <c r="AA129" s="5"/>
    </row>
    <row r="130" spans="2:31" ht="12.75" customHeight="1" x14ac:dyDescent="0.25">
      <c r="B130" s="5"/>
      <c r="C130" s="5"/>
      <c r="D130" s="5"/>
      <c r="E130" s="5"/>
      <c r="F130" s="5"/>
      <c r="G130" s="5"/>
      <c r="H130" s="5"/>
      <c r="I130" s="5"/>
      <c r="J130" s="5"/>
      <c r="K130" s="5"/>
      <c r="L130" s="5"/>
      <c r="M130" s="5"/>
      <c r="N130" s="5"/>
      <c r="P130" s="5"/>
      <c r="Q130" s="5"/>
      <c r="R130" s="5"/>
      <c r="S130" s="5"/>
      <c r="T130" s="5"/>
      <c r="U130" s="5"/>
      <c r="V130" s="5"/>
      <c r="W130" s="5"/>
      <c r="X130" s="5"/>
      <c r="Y130" s="5"/>
      <c r="Z130" s="5"/>
      <c r="AA130" s="5"/>
    </row>
    <row r="131" spans="2:31" ht="12.75" customHeight="1" thickBot="1" x14ac:dyDescent="0.3">
      <c r="B131" s="253" t="s">
        <v>89</v>
      </c>
      <c r="C131" s="253"/>
      <c r="D131" s="253"/>
      <c r="E131" s="253"/>
      <c r="F131" s="253"/>
      <c r="G131" s="253"/>
      <c r="H131" s="253"/>
      <c r="I131" s="253"/>
      <c r="J131" s="253"/>
      <c r="K131" s="253"/>
      <c r="L131" s="253"/>
      <c r="M131" s="253"/>
      <c r="N131" s="253"/>
      <c r="P131" s="253" t="s">
        <v>90</v>
      </c>
      <c r="Q131" s="253"/>
      <c r="R131" s="253"/>
      <c r="S131" s="253"/>
      <c r="T131" s="253"/>
      <c r="U131" s="253"/>
      <c r="V131" s="253"/>
      <c r="W131" s="253"/>
      <c r="X131" s="253"/>
      <c r="Y131" s="253"/>
      <c r="Z131" s="253"/>
      <c r="AA131" s="253"/>
      <c r="AB131" s="10"/>
      <c r="AC131" s="3" t="s">
        <v>22</v>
      </c>
      <c r="AD131" s="13" t="s">
        <v>23</v>
      </c>
      <c r="AE131" s="74">
        <f t="array" ref="AE131">MIN(IF(D134:N144&gt;0,D134:N144))</f>
        <v>0.51686622215483347</v>
      </c>
    </row>
    <row r="132" spans="2:31" ht="12.75" customHeight="1" thickBot="1" x14ac:dyDescent="0.3">
      <c r="B132" s="75" t="s">
        <v>13</v>
      </c>
      <c r="C132" s="66" t="s">
        <v>14</v>
      </c>
      <c r="D132" s="67" t="s">
        <v>1</v>
      </c>
      <c r="E132" s="67" t="s">
        <v>195</v>
      </c>
      <c r="F132" s="67" t="s">
        <v>2</v>
      </c>
      <c r="G132" s="67" t="s">
        <v>3</v>
      </c>
      <c r="H132" s="67" t="s">
        <v>4</v>
      </c>
      <c r="I132" s="67" t="s">
        <v>5</v>
      </c>
      <c r="J132" s="67" t="s">
        <v>6</v>
      </c>
      <c r="K132" s="67" t="s">
        <v>7</v>
      </c>
      <c r="L132" s="67" t="s">
        <v>295</v>
      </c>
      <c r="M132" s="67" t="s">
        <v>9</v>
      </c>
      <c r="N132" s="67" t="s">
        <v>10</v>
      </c>
      <c r="P132" s="76" t="s">
        <v>19</v>
      </c>
      <c r="Q132" s="77" t="s">
        <v>1</v>
      </c>
      <c r="R132" s="77" t="s">
        <v>195</v>
      </c>
      <c r="S132" s="77" t="s">
        <v>2</v>
      </c>
      <c r="T132" s="77" t="s">
        <v>3</v>
      </c>
      <c r="U132" s="77" t="s">
        <v>4</v>
      </c>
      <c r="V132" s="77" t="s">
        <v>5</v>
      </c>
      <c r="W132" s="77" t="s">
        <v>6</v>
      </c>
      <c r="X132" s="77" t="s">
        <v>7</v>
      </c>
      <c r="Y132" s="77" t="s">
        <v>295</v>
      </c>
      <c r="Z132" s="77" t="s">
        <v>9</v>
      </c>
      <c r="AA132" s="77" t="s">
        <v>10</v>
      </c>
      <c r="AB132" s="254" t="s">
        <v>26</v>
      </c>
      <c r="AC132" s="254"/>
      <c r="AD132" s="13" t="s">
        <v>24</v>
      </c>
      <c r="AE132" s="20">
        <f>MAX(D134:N144)</f>
        <v>369.37392843117692</v>
      </c>
    </row>
    <row r="133" spans="2:31" ht="12.75" customHeight="1" x14ac:dyDescent="0.25">
      <c r="B133" s="93"/>
      <c r="C133" s="94" t="s">
        <v>264</v>
      </c>
      <c r="D133" s="95">
        <f>C134</f>
        <v>-1.349544142503927</v>
      </c>
      <c r="E133" s="95">
        <f>C135</f>
        <v>4.53170561047249</v>
      </c>
      <c r="F133" s="95">
        <f>C136</f>
        <v>270.82968091907202</v>
      </c>
      <c r="G133" s="95">
        <f>C137</f>
        <v>-0.80097089591657267</v>
      </c>
      <c r="H133" s="95">
        <f>C138</f>
        <v>-98.544247512104889</v>
      </c>
      <c r="I133" s="95">
        <f>C139</f>
        <v>-11.960671042767352</v>
      </c>
      <c r="J133" s="95">
        <f>C140</f>
        <v>-2.9134107333146768</v>
      </c>
      <c r="K133" s="95">
        <f>C141</f>
        <v>265.85584925157798</v>
      </c>
      <c r="L133" s="95">
        <f>C142</f>
        <v>-13.031492086199901</v>
      </c>
      <c r="M133" s="95">
        <f>C143</f>
        <v>-12.477537264922185</v>
      </c>
      <c r="N133" s="95">
        <f>C144</f>
        <v>-21.389611348109433</v>
      </c>
      <c r="P133" s="21" t="s">
        <v>1</v>
      </c>
      <c r="Q133" s="97">
        <f>$AE$133+(D134-$AE$131)*($AE$134-$AE$133)/($AE$132-$AE$131)</f>
        <v>-3.9986300612044755E-4</v>
      </c>
      <c r="R133" s="97">
        <f t="shared" ref="R133:AA143" si="15">$AE$133+(E134-$AE$131)*($AE$134-$AE$133)/($AE$132-$AE$131)</f>
        <v>-3.9986300612044755E-4</v>
      </c>
      <c r="S133" s="97">
        <f t="shared" si="15"/>
        <v>-3.9986300612044755E-4</v>
      </c>
      <c r="T133" s="97">
        <f t="shared" si="15"/>
        <v>-3.9986300612044755E-4</v>
      </c>
      <c r="U133" s="97">
        <f t="shared" si="15"/>
        <v>0.26283898644068399</v>
      </c>
      <c r="V133" s="97">
        <f t="shared" si="15"/>
        <v>2.8338954436816603E-2</v>
      </c>
      <c r="W133" s="97">
        <f t="shared" si="15"/>
        <v>3.8356604100873758E-3</v>
      </c>
      <c r="X133" s="97">
        <f t="shared" si="15"/>
        <v>-3.9986300612044755E-4</v>
      </c>
      <c r="Y133" s="97">
        <f t="shared" si="15"/>
        <v>3.1239129957335486E-2</v>
      </c>
      <c r="Z133" s="97">
        <f t="shared" si="15"/>
        <v>2.9738817442937052E-2</v>
      </c>
      <c r="AA133" s="97">
        <f t="shared" si="15"/>
        <v>5.3875977663713465E-2</v>
      </c>
      <c r="AD133" s="3" t="s">
        <v>25</v>
      </c>
      <c r="AE133" s="2">
        <v>1E-3</v>
      </c>
    </row>
    <row r="134" spans="2:31" ht="12.75" customHeight="1" x14ac:dyDescent="0.25">
      <c r="B134" s="21" t="s">
        <v>1</v>
      </c>
      <c r="C134" s="95">
        <f>Annual_sorted!I147</f>
        <v>-1.349544142503927</v>
      </c>
      <c r="D134" s="29">
        <f>IF(C134-Table_146345781129182142505866[Burundi]&gt;0, C134-Table_146345781129182142505866[Burundi], 0)</f>
        <v>0</v>
      </c>
      <c r="E134" s="29">
        <f>IF(C134-Table_146345781129182142505866[DRC]&gt;0, C134-Table_146345781129182142505866[DRC], 0)</f>
        <v>0</v>
      </c>
      <c r="F134" s="29">
        <f>IF(C134-Table_146345781129182142505866[Egypt]&gt;0, C134-Table_146345781129182142505866[Egypt], 0)</f>
        <v>0</v>
      </c>
      <c r="G134" s="29">
        <f>IF(C134-Table_146345781129182142505866[Eritrea]&gt;0, C134-Table_146345781129182142505866[Eritrea], 0)</f>
        <v>0</v>
      </c>
      <c r="H134" s="29">
        <f>IF(C134-Table_146345781129182142505866[Ethiopia]&gt;0, C134-Table_146345781129182142505866[Ethiopia], 0)</f>
        <v>97.194703369600958</v>
      </c>
      <c r="I134" s="29">
        <f>IF(C134-Table_146345781129182142505866[Kenya]&gt;0, C134-Table_146345781129182142505866[Kenya], 0)</f>
        <v>10.611126900263425</v>
      </c>
      <c r="J134" s="29">
        <f>IF(C134-Table_146345781129182142505866[Rwanda]&gt;0, C134-Table_146345781129182142505866[Rwanda], 0)</f>
        <v>1.5638665908107499</v>
      </c>
      <c r="K134" s="29">
        <f>IF(C134-Table_146345781129182142505866[Sudan]&gt;0, C134-Table_146345781129182142505866[Sudan], 0)</f>
        <v>0</v>
      </c>
      <c r="L134" s="29">
        <f>IF(C134-Table_146345781129182142505866[S. Sudan]&gt;0, C134-Table_146345781129182142505866[S. Sudan], 0)</f>
        <v>11.681947943695974</v>
      </c>
      <c r="M134" s="29">
        <f>IF(C134-Table_146345781129182142505866[Tanzania]&gt;0, C134-Table_146345781129182142505866[Tanzania], 0)</f>
        <v>11.127993122418259</v>
      </c>
      <c r="N134" s="29">
        <f>IF(C134-Table_146345781129182142505866[Uganda]&gt;0, C134-Table_146345781129182142505866[Uganda], 0)</f>
        <v>20.040067205605506</v>
      </c>
      <c r="P134" s="21" t="s">
        <v>195</v>
      </c>
      <c r="Q134" s="97">
        <f t="shared" ref="Q134:Q143" si="16">$AE$133+(D135-$AE$131)*($AE$134-$AE$133)/($AE$132-$AE$131)</f>
        <v>1.5528715039903287E-2</v>
      </c>
      <c r="R134" s="97">
        <f t="shared" si="15"/>
        <v>-3.9986300612044755E-4</v>
      </c>
      <c r="S134" s="97">
        <f t="shared" si="15"/>
        <v>-3.9986300612044755E-4</v>
      </c>
      <c r="T134" s="97">
        <f t="shared" si="15"/>
        <v>1.4042977800500196E-2</v>
      </c>
      <c r="U134" s="97">
        <f t="shared" si="15"/>
        <v>0.27876756448670775</v>
      </c>
      <c r="V134" s="97">
        <f t="shared" si="15"/>
        <v>4.4267532482840335E-2</v>
      </c>
      <c r="W134" s="97">
        <f t="shared" si="15"/>
        <v>1.9764238456111111E-2</v>
      </c>
      <c r="X134" s="97">
        <f t="shared" si="15"/>
        <v>-3.9986300612044755E-4</v>
      </c>
      <c r="Y134" s="97">
        <f t="shared" si="15"/>
        <v>4.7167708003359225E-2</v>
      </c>
      <c r="Z134" s="97">
        <f t="shared" si="15"/>
        <v>4.5667395488960795E-2</v>
      </c>
      <c r="AA134" s="97">
        <f t="shared" si="15"/>
        <v>6.980455570973719E-2</v>
      </c>
      <c r="AD134" s="3" t="s">
        <v>70</v>
      </c>
      <c r="AE134" s="2">
        <v>1</v>
      </c>
    </row>
    <row r="135" spans="2:31" ht="12.75" customHeight="1" x14ac:dyDescent="0.25">
      <c r="B135" s="21" t="s">
        <v>195</v>
      </c>
      <c r="C135" s="95">
        <f>Annual_sorted!I148</f>
        <v>4.53170561047249</v>
      </c>
      <c r="D135" s="29">
        <f>IF(C135-Table_146345781129182142505866[Burundi]&gt;0, C135-Table_146345781129182142505866[Burundi], 0)</f>
        <v>5.8812497529764167</v>
      </c>
      <c r="E135" s="29">
        <f>IF(C135-Table_146345781129182142505866[DRC]&gt;0, C135-Table_146345781129182142505866[DRC], 0)</f>
        <v>0</v>
      </c>
      <c r="F135" s="29">
        <f>IF(C135-Table_146345781129182142505866[Egypt]&gt;0, C135-Table_146345781129182142505866[Egypt], 0)</f>
        <v>0</v>
      </c>
      <c r="G135" s="29">
        <f>IF(C135-Table_146345781129182142505866[Eritrea]&gt;0, C135-Table_146345781129182142505866[Eritrea], 0)</f>
        <v>5.3326765063890624</v>
      </c>
      <c r="H135" s="29">
        <f>IF(C135-Table_146345781129182142505866[Ethiopia]&gt;0, C135-Table_146345781129182142505866[Ethiopia], 0)</f>
        <v>103.07595312257737</v>
      </c>
      <c r="I135" s="29">
        <f>IF(C135-Table_146345781129182142505866[Kenya]&gt;0, C135-Table_146345781129182142505866[Kenya], 0)</f>
        <v>16.492376653239841</v>
      </c>
      <c r="J135" s="29">
        <f>IF(C135-Table_146345781129182142505866[Rwanda]&gt;0, C135-Table_146345781129182142505866[Rwanda], 0)</f>
        <v>7.4451163437871664</v>
      </c>
      <c r="K135" s="29">
        <f>IF(C135-Table_146345781129182142505866[Sudan]&gt;0, C135-Table_146345781129182142505866[Sudan], 0)</f>
        <v>0</v>
      </c>
      <c r="L135" s="29">
        <f>IF(C135-Table_146345781129182142505866[S. Sudan]&gt;0, C135-Table_146345781129182142505866[S. Sudan], 0)</f>
        <v>17.56319769667239</v>
      </c>
      <c r="M135" s="29">
        <f>IF(C135-Table_146345781129182142505866[Tanzania]&gt;0, C135-Table_146345781129182142505866[Tanzania], 0)</f>
        <v>17.009242875394676</v>
      </c>
      <c r="N135" s="29">
        <f>IF(C135-Table_146345781129182142505866[Uganda]&gt;0, C135-Table_146345781129182142505866[Uganda], 0)</f>
        <v>25.921316958581922</v>
      </c>
      <c r="P135" s="21" t="s">
        <v>2</v>
      </c>
      <c r="Q135" s="97">
        <f t="shared" si="16"/>
        <v>0.73676115055319547</v>
      </c>
      <c r="R135" s="97">
        <f t="shared" si="15"/>
        <v>0.7208325725071717</v>
      </c>
      <c r="S135" s="97">
        <f t="shared" si="15"/>
        <v>-3.9986300612044755E-4</v>
      </c>
      <c r="T135" s="97">
        <f t="shared" si="15"/>
        <v>0.73527541331379243</v>
      </c>
      <c r="U135" s="97">
        <f t="shared" si="15"/>
        <v>1</v>
      </c>
      <c r="V135" s="97">
        <f t="shared" si="15"/>
        <v>0.76549996799613251</v>
      </c>
      <c r="W135" s="97">
        <f t="shared" si="15"/>
        <v>0.74099667396940327</v>
      </c>
      <c r="X135" s="97">
        <f t="shared" si="15"/>
        <v>1.3071094567712903E-2</v>
      </c>
      <c r="Y135" s="97">
        <f t="shared" si="15"/>
        <v>0.76840014351665131</v>
      </c>
      <c r="Z135" s="97">
        <f t="shared" si="15"/>
        <v>0.76689983100225301</v>
      </c>
      <c r="AA135" s="97">
        <f t="shared" si="15"/>
        <v>0.7910369912230294</v>
      </c>
    </row>
    <row r="136" spans="2:31" ht="12.75" customHeight="1" x14ac:dyDescent="0.25">
      <c r="B136" s="21" t="s">
        <v>2</v>
      </c>
      <c r="C136" s="95">
        <f>Annual_sorted!I149</f>
        <v>270.82968091907202</v>
      </c>
      <c r="D136" s="29">
        <f>IF(C136-Table_146345781129182142505866[Burundi]&gt;0, C136-Table_146345781129182142505866[Burundi], 0)</f>
        <v>272.17922506157595</v>
      </c>
      <c r="E136" s="29">
        <f>IF(C136-Table_146345781129182142505866[DRC]&gt;0, C136-Table_146345781129182142505866[DRC], 0)</f>
        <v>266.29797530859952</v>
      </c>
      <c r="F136" s="29">
        <f>IF(C136-Table_146345781129182142505866[Egypt]&gt;0, C136-Table_146345781129182142505866[Egypt], 0)</f>
        <v>0</v>
      </c>
      <c r="G136" s="29">
        <f>IF(C136-Table_146345781129182142505866[Eritrea]&gt;0, C136-Table_146345781129182142505866[Eritrea], 0)</f>
        <v>271.6306518149886</v>
      </c>
      <c r="H136" s="29">
        <f>IF(C136-Table_146345781129182142505866[Ethiopia]&gt;0, C136-Table_146345781129182142505866[Ethiopia], 0)</f>
        <v>369.37392843117692</v>
      </c>
      <c r="I136" s="29">
        <f>IF(C136-Table_146345781129182142505866[Kenya]&gt;0, C136-Table_146345781129182142505866[Kenya], 0)</f>
        <v>282.79035196183935</v>
      </c>
      <c r="J136" s="29">
        <f>IF(C136-Table_146345781129182142505866[Rwanda]&gt;0, C136-Table_146345781129182142505866[Rwanda], 0)</f>
        <v>273.74309165238668</v>
      </c>
      <c r="K136" s="29">
        <f>IF(C136-Table_146345781129182142505866[Sudan]&gt;0, C136-Table_146345781129182142505866[Sudan], 0)</f>
        <v>4.9738316674940393</v>
      </c>
      <c r="L136" s="29">
        <f>IF(C136-Table_146345781129182142505866[S. Sudan]&gt;0, C136-Table_146345781129182142505866[S. Sudan], 0)</f>
        <v>283.86117300527189</v>
      </c>
      <c r="M136" s="29">
        <f>IF(C136-Table_146345781129182142505866[Tanzania]&gt;0, C136-Table_146345781129182142505866[Tanzania], 0)</f>
        <v>283.30721818399422</v>
      </c>
      <c r="N136" s="29">
        <f>IF(C136-Table_146345781129182142505866[Uganda]&gt;0, C136-Table_146345781129182142505866[Uganda], 0)</f>
        <v>292.21929226718146</v>
      </c>
      <c r="P136" s="21" t="s">
        <v>3</v>
      </c>
      <c r="Q136" s="97">
        <f t="shared" si="16"/>
        <v>1.085874233282644E-3</v>
      </c>
      <c r="R136" s="97">
        <f t="shared" si="15"/>
        <v>-3.9986300612044755E-4</v>
      </c>
      <c r="S136" s="97">
        <f t="shared" si="15"/>
        <v>-3.9986300612044755E-4</v>
      </c>
      <c r="T136" s="97">
        <f t="shared" si="15"/>
        <v>-3.9986300612044755E-4</v>
      </c>
      <c r="U136" s="97">
        <f t="shared" si="15"/>
        <v>0.26432472368008714</v>
      </c>
      <c r="V136" s="97">
        <f t="shared" si="15"/>
        <v>2.9824691676219699E-2</v>
      </c>
      <c r="W136" s="97">
        <f t="shared" si="15"/>
        <v>5.3213976494904669E-3</v>
      </c>
      <c r="X136" s="97">
        <f t="shared" si="15"/>
        <v>-3.9986300612044755E-4</v>
      </c>
      <c r="Y136" s="97">
        <f t="shared" si="15"/>
        <v>3.2724867196738582E-2</v>
      </c>
      <c r="Z136" s="97">
        <f t="shared" si="15"/>
        <v>3.1224554682340148E-2</v>
      </c>
      <c r="AA136" s="97">
        <f t="shared" si="15"/>
        <v>5.5361714903116546E-2</v>
      </c>
    </row>
    <row r="137" spans="2:31" ht="12.75" customHeight="1" x14ac:dyDescent="0.25">
      <c r="B137" s="21" t="s">
        <v>3</v>
      </c>
      <c r="C137" s="95">
        <f>Annual_sorted!I150</f>
        <v>-0.80097089591657267</v>
      </c>
      <c r="D137" s="29">
        <f>IF(C137-Table_146345781129182142505866[Burundi]&gt;0, C137-Table_146345781129182142505866[Burundi], 0)</f>
        <v>0.54857324658735429</v>
      </c>
      <c r="E137" s="29">
        <f>IF(C137-Table_146345781129182142505866[DRC]&gt;0, C137-Table_146345781129182142505866[DRC], 0)</f>
        <v>0</v>
      </c>
      <c r="F137" s="29">
        <f>IF(C137-Table_146345781129182142505866[Egypt]&gt;0, C137-Table_146345781129182142505866[Egypt], 0)</f>
        <v>0</v>
      </c>
      <c r="G137" s="29">
        <f>IF(C137-Table_146345781129182142505866[Eritrea]&gt;0, C137-Table_146345781129182142505866[Eritrea], 0)</f>
        <v>0</v>
      </c>
      <c r="H137" s="29">
        <f>IF(C137-Table_146345781129182142505866[Ethiopia]&gt;0, C137-Table_146345781129182142505866[Ethiopia], 0)</f>
        <v>97.743276616188311</v>
      </c>
      <c r="I137" s="29">
        <f>IF(C137-Table_146345781129182142505866[Kenya]&gt;0, C137-Table_146345781129182142505866[Kenya], 0)</f>
        <v>11.159700146850779</v>
      </c>
      <c r="J137" s="29">
        <f>IF(C137-Table_146345781129182142505866[Rwanda]&gt;0, C137-Table_146345781129182142505866[Rwanda], 0)</f>
        <v>2.1124398373981039</v>
      </c>
      <c r="K137" s="29">
        <f>IF(C137-Table_146345781129182142505866[Sudan]&gt;0, C137-Table_146345781129182142505866[Sudan], 0)</f>
        <v>0</v>
      </c>
      <c r="L137" s="29">
        <f>IF(C137-Table_146345781129182142505866[S. Sudan]&gt;0, C137-Table_146345781129182142505866[S. Sudan], 0)</f>
        <v>12.230521190283328</v>
      </c>
      <c r="M137" s="29">
        <f>IF(C137-Table_146345781129182142505866[Tanzania]&gt;0, C137-Table_146345781129182142505866[Tanzania], 0)</f>
        <v>11.676566369005613</v>
      </c>
      <c r="N137" s="29">
        <f>IF(C137-Table_146345781129182142505866[Uganda]&gt;0, C137-Table_146345781129182142505866[Uganda], 0)</f>
        <v>20.588640452192859</v>
      </c>
      <c r="P137" s="21" t="s">
        <v>4</v>
      </c>
      <c r="Q137" s="97">
        <f t="shared" si="16"/>
        <v>-3.9986300612044755E-4</v>
      </c>
      <c r="R137" s="97">
        <f t="shared" si="15"/>
        <v>-3.9986300612044755E-4</v>
      </c>
      <c r="S137" s="97">
        <f t="shared" si="15"/>
        <v>-3.9986300612044755E-4</v>
      </c>
      <c r="T137" s="97">
        <f t="shared" si="15"/>
        <v>-3.9986300612044755E-4</v>
      </c>
      <c r="U137" s="97">
        <f t="shared" si="15"/>
        <v>-3.9986300612044755E-4</v>
      </c>
      <c r="V137" s="97">
        <f t="shared" si="15"/>
        <v>-3.9986300612044755E-4</v>
      </c>
      <c r="W137" s="97">
        <f t="shared" si="15"/>
        <v>-3.9986300612044755E-4</v>
      </c>
      <c r="X137" s="97">
        <f t="shared" si="15"/>
        <v>-3.9986300612044755E-4</v>
      </c>
      <c r="Y137" s="97">
        <f t="shared" si="15"/>
        <v>-3.9986300612044755E-4</v>
      </c>
      <c r="Z137" s="97">
        <f t="shared" si="15"/>
        <v>-3.9986300612044755E-4</v>
      </c>
      <c r="AA137" s="97">
        <f t="shared" si="15"/>
        <v>-3.9986300612044755E-4</v>
      </c>
    </row>
    <row r="138" spans="2:31" ht="12.75" customHeight="1" x14ac:dyDescent="0.25">
      <c r="B138" s="21" t="s">
        <v>4</v>
      </c>
      <c r="C138" s="95">
        <f>Annual_sorted!I151</f>
        <v>-98.544247512104889</v>
      </c>
      <c r="D138" s="29">
        <f>IF(C138-Table_146345781129182142505866[Burundi]&gt;0, C138-Table_146345781129182142505866[Burundi], 0)</f>
        <v>0</v>
      </c>
      <c r="E138" s="29">
        <f>IF(C138-Table_146345781129182142505866[DRC]&gt;0, C138-Table_146345781129182142505866[DRC], 0)</f>
        <v>0</v>
      </c>
      <c r="F138" s="29">
        <f>IF(C138-Table_146345781129182142505866[Egypt]&gt;0, C138-Table_146345781129182142505866[Egypt], 0)</f>
        <v>0</v>
      </c>
      <c r="G138" s="29">
        <f>IF(C138-Table_146345781129182142505866[Eritrea]&gt;0, C138-Table_146345781129182142505866[Eritrea], 0)</f>
        <v>0</v>
      </c>
      <c r="H138" s="29">
        <f>IF(C138-Table_146345781129182142505866[Ethiopia]&gt;0, C138-Table_146345781129182142505866[Ethiopia], 0)</f>
        <v>0</v>
      </c>
      <c r="I138" s="29">
        <f>IF(C138-Table_146345781129182142505866[Kenya]&gt;0, C138-Table_146345781129182142505866[Kenya], 0)</f>
        <v>0</v>
      </c>
      <c r="J138" s="29">
        <f>IF(C138-Table_146345781129182142505866[Rwanda]&gt;0, C138-Table_146345781129182142505866[Rwanda], 0)</f>
        <v>0</v>
      </c>
      <c r="K138" s="29">
        <f>IF(C138-Table_146345781129182142505866[Sudan]&gt;0, C138-Table_146345781129182142505866[Sudan], 0)</f>
        <v>0</v>
      </c>
      <c r="L138" s="29">
        <f>IF(C138-Table_146345781129182142505866[S. Sudan]&gt;0, C138-Table_146345781129182142505866[S. Sudan], 0)</f>
        <v>0</v>
      </c>
      <c r="M138" s="29">
        <f>IF(C138-Table_146345781129182142505866[Tanzania]&gt;0, C138-Table_146345781129182142505866[Tanzania], 0)</f>
        <v>0</v>
      </c>
      <c r="N138" s="29">
        <f>IF(C138-Table_146345781129182142505866[Uganda]&gt;0, C138-Table_146345781129182142505866[Uganda], 0)</f>
        <v>0</v>
      </c>
      <c r="P138" s="21" t="s">
        <v>5</v>
      </c>
      <c r="Q138" s="97">
        <f t="shared" si="16"/>
        <v>-3.9986300612044755E-4</v>
      </c>
      <c r="R138" s="97">
        <f t="shared" si="15"/>
        <v>-3.9986300612044755E-4</v>
      </c>
      <c r="S138" s="97">
        <f t="shared" si="15"/>
        <v>-3.9986300612044755E-4</v>
      </c>
      <c r="T138" s="97">
        <f t="shared" si="15"/>
        <v>-3.9986300612044755E-4</v>
      </c>
      <c r="U138" s="97">
        <f t="shared" si="15"/>
        <v>0.23410016899774699</v>
      </c>
      <c r="V138" s="97">
        <f t="shared" si="15"/>
        <v>-3.9986300612044755E-4</v>
      </c>
      <c r="W138" s="97">
        <f t="shared" si="15"/>
        <v>-3.9986300612044755E-4</v>
      </c>
      <c r="X138" s="97">
        <f t="shared" si="15"/>
        <v>-3.9986300612044755E-4</v>
      </c>
      <c r="Y138" s="97">
        <f t="shared" si="15"/>
        <v>2.5003125143984338E-3</v>
      </c>
      <c r="Z138" s="97">
        <f t="shared" si="15"/>
        <v>1E-3</v>
      </c>
      <c r="AA138" s="97">
        <f t="shared" si="15"/>
        <v>2.5137160220776417E-2</v>
      </c>
    </row>
    <row r="139" spans="2:31" ht="12.75" customHeight="1" x14ac:dyDescent="0.25">
      <c r="B139" s="21" t="s">
        <v>5</v>
      </c>
      <c r="C139" s="95">
        <f>Annual_sorted!I152</f>
        <v>-11.960671042767352</v>
      </c>
      <c r="D139" s="29">
        <f>IF(C139-Table_146345781129182142505866[Burundi]&gt;0, C139-Table_146345781129182142505866[Burundi], 0)</f>
        <v>0</v>
      </c>
      <c r="E139" s="29">
        <f>IF(C139-Table_146345781129182142505866[DRC]&gt;0, C139-Table_146345781129182142505866[DRC], 0)</f>
        <v>0</v>
      </c>
      <c r="F139" s="29">
        <f>IF(C139-Table_146345781129182142505866[Egypt]&gt;0, C139-Table_146345781129182142505866[Egypt], 0)</f>
        <v>0</v>
      </c>
      <c r="G139" s="29">
        <f>IF(C139-Table_146345781129182142505866[Eritrea]&gt;0, C139-Table_146345781129182142505866[Eritrea], 0)</f>
        <v>0</v>
      </c>
      <c r="H139" s="29">
        <f>IF(C139-Table_146345781129182142505866[Ethiopia]&gt;0, C139-Table_146345781129182142505866[Ethiopia], 0)</f>
        <v>86.583576469337544</v>
      </c>
      <c r="I139" s="29">
        <f>IF(C139-Table_146345781129182142505866[Kenya]&gt;0, C139-Table_146345781129182142505866[Kenya], 0)</f>
        <v>0</v>
      </c>
      <c r="J139" s="29">
        <f>IF(C139-Table_146345781129182142505866[Rwanda]&gt;0, C139-Table_146345781129182142505866[Rwanda], 0)</f>
        <v>0</v>
      </c>
      <c r="K139" s="29">
        <f>IF(C139-Table_146345781129182142505866[Sudan]&gt;0, C139-Table_146345781129182142505866[Sudan], 0)</f>
        <v>0</v>
      </c>
      <c r="L139" s="29">
        <f>IF(C139-Table_146345781129182142505866[S. Sudan]&gt;0, C139-Table_146345781129182142505866[S. Sudan], 0)</f>
        <v>1.0708210434325487</v>
      </c>
      <c r="M139" s="29">
        <f>IF(C139-Table_146345781129182142505866[Tanzania]&gt;0, C139-Table_146345781129182142505866[Tanzania], 0)</f>
        <v>0.51686622215483347</v>
      </c>
      <c r="N139" s="29">
        <f>IF(C139-Table_146345781129182142505866[Uganda]&gt;0, C139-Table_146345781129182142505866[Uganda], 0)</f>
        <v>9.4289403053420813</v>
      </c>
      <c r="P139" s="21" t="s">
        <v>6</v>
      </c>
      <c r="Q139" s="97">
        <f t="shared" si="16"/>
        <v>-3.9986300612044755E-4</v>
      </c>
      <c r="R139" s="97">
        <f t="shared" si="15"/>
        <v>-3.9986300612044755E-4</v>
      </c>
      <c r="S139" s="97">
        <f t="shared" si="15"/>
        <v>-3.9986300612044755E-4</v>
      </c>
      <c r="T139" s="97">
        <f t="shared" si="15"/>
        <v>-3.9986300612044755E-4</v>
      </c>
      <c r="U139" s="97">
        <f t="shared" si="15"/>
        <v>0.25860346302447618</v>
      </c>
      <c r="V139" s="97">
        <f t="shared" si="15"/>
        <v>2.410343102060878E-2</v>
      </c>
      <c r="W139" s="97">
        <f t="shared" si="15"/>
        <v>-3.9986300612044755E-4</v>
      </c>
      <c r="X139" s="97">
        <f t="shared" si="15"/>
        <v>-3.9986300612044755E-4</v>
      </c>
      <c r="Y139" s="97">
        <f t="shared" si="15"/>
        <v>2.7003606541127659E-2</v>
      </c>
      <c r="Z139" s="97">
        <f t="shared" si="15"/>
        <v>2.5503294026729226E-2</v>
      </c>
      <c r="AA139" s="97">
        <f t="shared" si="15"/>
        <v>4.9640454247505648E-2</v>
      </c>
    </row>
    <row r="140" spans="2:31" ht="12.75" customHeight="1" x14ac:dyDescent="0.25">
      <c r="B140" s="21" t="s">
        <v>6</v>
      </c>
      <c r="C140" s="95">
        <f>Annual_sorted!I153</f>
        <v>-2.9134107333146768</v>
      </c>
      <c r="D140" s="29">
        <f>IF(C140-Table_146345781129182142505866[Burundi]&gt;0, C140-Table_146345781129182142505866[Burundi], 0)</f>
        <v>0</v>
      </c>
      <c r="E140" s="29">
        <f>IF(C140-Table_146345781129182142505866[DRC]&gt;0, C140-Table_146345781129182142505866[DRC], 0)</f>
        <v>0</v>
      </c>
      <c r="F140" s="29">
        <f>IF(C140-Table_146345781129182142505866[Egypt]&gt;0, C140-Table_146345781129182142505866[Egypt], 0)</f>
        <v>0</v>
      </c>
      <c r="G140" s="29">
        <f>IF(C140-Table_146345781129182142505866[Eritrea]&gt;0, C140-Table_146345781129182142505866[Eritrea], 0)</f>
        <v>0</v>
      </c>
      <c r="H140" s="29">
        <f>IF(C140-Table_146345781129182142505866[Ethiopia]&gt;0, C140-Table_146345781129182142505866[Ethiopia], 0)</f>
        <v>95.630836778790211</v>
      </c>
      <c r="I140" s="29">
        <f>IF(C140-Table_146345781129182142505866[Kenya]&gt;0, C140-Table_146345781129182142505866[Kenya], 0)</f>
        <v>9.0472603094526747</v>
      </c>
      <c r="J140" s="29">
        <f>IF(C140-Table_146345781129182142505866[Rwanda]&gt;0, C140-Table_146345781129182142505866[Rwanda], 0)</f>
        <v>0</v>
      </c>
      <c r="K140" s="29">
        <f>IF(C140-Table_146345781129182142505866[Sudan]&gt;0, C140-Table_146345781129182142505866[Sudan], 0)</f>
        <v>0</v>
      </c>
      <c r="L140" s="29">
        <f>IF(C140-Table_146345781129182142505866[S. Sudan]&gt;0, C140-Table_146345781129182142505866[S. Sudan], 0)</f>
        <v>10.118081352885223</v>
      </c>
      <c r="M140" s="29">
        <f>IF(C140-Table_146345781129182142505866[Tanzania]&gt;0, C140-Table_146345781129182142505866[Tanzania], 0)</f>
        <v>9.5641265316075081</v>
      </c>
      <c r="N140" s="29">
        <f>IF(C140-Table_146345781129182142505866[Uganda]&gt;0, C140-Table_146345781129182142505866[Uganda], 0)</f>
        <v>18.476200614794756</v>
      </c>
      <c r="P140" s="21" t="s">
        <v>7</v>
      </c>
      <c r="Q140" s="97">
        <f t="shared" si="16"/>
        <v>0.72329019297936215</v>
      </c>
      <c r="R140" s="97">
        <f t="shared" si="15"/>
        <v>0.70736161493333838</v>
      </c>
      <c r="S140" s="97">
        <f t="shared" si="15"/>
        <v>-3.9986300612044755E-4</v>
      </c>
      <c r="T140" s="97">
        <f t="shared" si="15"/>
        <v>0.72180445573995899</v>
      </c>
      <c r="U140" s="97">
        <f t="shared" si="15"/>
        <v>0.98652904242616657</v>
      </c>
      <c r="V140" s="97">
        <f t="shared" si="15"/>
        <v>0.75202901042229919</v>
      </c>
      <c r="W140" s="97">
        <f t="shared" si="15"/>
        <v>0.72752571639556995</v>
      </c>
      <c r="X140" s="97">
        <f t="shared" si="15"/>
        <v>-3.9986300612044755E-4</v>
      </c>
      <c r="Y140" s="97">
        <f t="shared" si="15"/>
        <v>0.75492918594281788</v>
      </c>
      <c r="Z140" s="97">
        <f t="shared" si="15"/>
        <v>0.7534288734284198</v>
      </c>
      <c r="AA140" s="97">
        <f t="shared" si="15"/>
        <v>0.77756603364919619</v>
      </c>
    </row>
    <row r="141" spans="2:31" ht="12.75" customHeight="1" x14ac:dyDescent="0.25">
      <c r="B141" s="21" t="s">
        <v>7</v>
      </c>
      <c r="C141" s="95">
        <f>Annual_sorted!I154</f>
        <v>265.85584925157798</v>
      </c>
      <c r="D141" s="29">
        <f>IF(C141-Table_146345781129182142505866[Burundi]&gt;0, C141-Table_146345781129182142505866[Burundi], 0)</f>
        <v>267.20539339408191</v>
      </c>
      <c r="E141" s="29">
        <f>IF(C141-Table_146345781129182142505866[DRC]&gt;0, C141-Table_146345781129182142505866[DRC], 0)</f>
        <v>261.32414364110548</v>
      </c>
      <c r="F141" s="29">
        <f>IF(C141-Table_146345781129182142505866[Egypt]&gt;0, C141-Table_146345781129182142505866[Egypt], 0)</f>
        <v>0</v>
      </c>
      <c r="G141" s="29">
        <f>IF(C141-Table_146345781129182142505866[Eritrea]&gt;0, C141-Table_146345781129182142505866[Eritrea], 0)</f>
        <v>266.65682014749456</v>
      </c>
      <c r="H141" s="29">
        <f>IF(C141-Table_146345781129182142505866[Ethiopia]&gt;0, C141-Table_146345781129182142505866[Ethiopia], 0)</f>
        <v>364.40009676368288</v>
      </c>
      <c r="I141" s="29">
        <f>IF(C141-Table_146345781129182142505866[Kenya]&gt;0, C141-Table_146345781129182142505866[Kenya], 0)</f>
        <v>277.81652029434531</v>
      </c>
      <c r="J141" s="29">
        <f>IF(C141-Table_146345781129182142505866[Rwanda]&gt;0, C141-Table_146345781129182142505866[Rwanda], 0)</f>
        <v>268.76925998489264</v>
      </c>
      <c r="K141" s="29">
        <f>IF(C141-Table_146345781129182142505866[Sudan]&gt;0, C141-Table_146345781129182142505866[Sudan], 0)</f>
        <v>0</v>
      </c>
      <c r="L141" s="29">
        <f>IF(C141-Table_146345781129182142505866[S. Sudan]&gt;0, C141-Table_146345781129182142505866[S. Sudan], 0)</f>
        <v>278.88734133777785</v>
      </c>
      <c r="M141" s="29">
        <f>IF(C141-Table_146345781129182142505866[Tanzania]&gt;0, C141-Table_146345781129182142505866[Tanzania], 0)</f>
        <v>278.33338651650018</v>
      </c>
      <c r="N141" s="29">
        <f>IF(C141-Table_146345781129182142505866[Uganda]&gt;0, C141-Table_146345781129182142505866[Uganda], 0)</f>
        <v>287.24546059968742</v>
      </c>
      <c r="P141" s="21" t="s">
        <v>8</v>
      </c>
      <c r="Q141" s="97">
        <f t="shared" si="16"/>
        <v>-3.9986300612044755E-4</v>
      </c>
      <c r="R141" s="97">
        <f t="shared" si="15"/>
        <v>-3.9986300612044755E-4</v>
      </c>
      <c r="S141" s="97">
        <f t="shared" si="15"/>
        <v>-3.9986300612044755E-4</v>
      </c>
      <c r="T141" s="97">
        <f t="shared" si="15"/>
        <v>-3.9986300612044755E-4</v>
      </c>
      <c r="U141" s="97">
        <f t="shared" si="15"/>
        <v>0.23119999347722808</v>
      </c>
      <c r="V141" s="97">
        <f t="shared" si="15"/>
        <v>-3.9986300612044755E-4</v>
      </c>
      <c r="W141" s="97">
        <f t="shared" si="15"/>
        <v>-3.9986300612044755E-4</v>
      </c>
      <c r="X141" s="97">
        <f t="shared" si="15"/>
        <v>-3.9986300612044755E-4</v>
      </c>
      <c r="Y141" s="97">
        <f t="shared" si="15"/>
        <v>-3.9986300612044755E-4</v>
      </c>
      <c r="Z141" s="97">
        <f t="shared" si="15"/>
        <v>-3.9986300612044755E-4</v>
      </c>
      <c r="AA141" s="97">
        <f t="shared" si="15"/>
        <v>2.2236984700257537E-2</v>
      </c>
    </row>
    <row r="142" spans="2:31" ht="12.75" customHeight="1" x14ac:dyDescent="0.25">
      <c r="B142" s="21" t="s">
        <v>8</v>
      </c>
      <c r="C142" s="95">
        <f>Annual_sorted!I155</f>
        <v>-13.031492086199901</v>
      </c>
      <c r="D142" s="29">
        <f>IF(C142-Table_146345781129182142505866[Burundi]&gt;0, C142-Table_146345781129182142505866[Burundi], 0)</f>
        <v>0</v>
      </c>
      <c r="E142" s="29">
        <f>IF(C142-Table_146345781129182142505866[DRC]&gt;0, C142-Table_146345781129182142505866[DRC], 0)</f>
        <v>0</v>
      </c>
      <c r="F142" s="29">
        <f>IF(C142-Table_146345781129182142505866[Egypt]&gt;0, C142-Table_146345781129182142505866[Egypt], 0)</f>
        <v>0</v>
      </c>
      <c r="G142" s="29">
        <f>IF(C142-Table_146345781129182142505866[Eritrea]&gt;0, C142-Table_146345781129182142505866[Eritrea], 0)</f>
        <v>0</v>
      </c>
      <c r="H142" s="29">
        <f>IF(C142-Table_146345781129182142505866[Ethiopia]&gt;0, C142-Table_146345781129182142505866[Ethiopia], 0)</f>
        <v>85.512755425904984</v>
      </c>
      <c r="I142" s="29">
        <f>IF(C142-Table_146345781129182142505866[Kenya]&gt;0, C142-Table_146345781129182142505866[Kenya], 0)</f>
        <v>0</v>
      </c>
      <c r="J142" s="29">
        <f>IF(C142-Table_146345781129182142505866[Rwanda]&gt;0, C142-Table_146345781129182142505866[Rwanda], 0)</f>
        <v>0</v>
      </c>
      <c r="K142" s="29">
        <f>IF(C142-Table_146345781129182142505866[Sudan]&gt;0, C142-Table_146345781129182142505866[Sudan], 0)</f>
        <v>0</v>
      </c>
      <c r="L142" s="29">
        <f>IF(C142-Table_146345781129182142505866[S. Sudan]&gt;0, C142-Table_146345781129182142505866[S. Sudan], 0)</f>
        <v>0</v>
      </c>
      <c r="M142" s="29">
        <f>IF(C142-Table_146345781129182142505866[Tanzania]&gt;0, C142-Table_146345781129182142505866[Tanzania], 0)</f>
        <v>0</v>
      </c>
      <c r="N142" s="29">
        <f>IF(C142-Table_146345781129182142505866[Uganda]&gt;0, C142-Table_146345781129182142505866[Uganda], 0)</f>
        <v>8.3581192619095326</v>
      </c>
      <c r="P142" s="21" t="s">
        <v>9</v>
      </c>
      <c r="Q142" s="97">
        <f t="shared" si="16"/>
        <v>-3.9986300612044755E-4</v>
      </c>
      <c r="R142" s="97">
        <f t="shared" si="15"/>
        <v>-3.9986300612044755E-4</v>
      </c>
      <c r="S142" s="97">
        <f t="shared" si="15"/>
        <v>-3.9986300612044755E-4</v>
      </c>
      <c r="T142" s="97">
        <f t="shared" si="15"/>
        <v>-3.9986300612044755E-4</v>
      </c>
      <c r="U142" s="97">
        <f t="shared" si="15"/>
        <v>0.23270030599162653</v>
      </c>
      <c r="V142" s="97">
        <f t="shared" si="15"/>
        <v>-3.9986300612044755E-4</v>
      </c>
      <c r="W142" s="97">
        <f t="shared" si="15"/>
        <v>-3.9986300612044755E-4</v>
      </c>
      <c r="X142" s="97">
        <f t="shared" si="15"/>
        <v>-3.9986300612044755E-4</v>
      </c>
      <c r="Y142" s="97">
        <f t="shared" si="15"/>
        <v>1.1004495082779864E-3</v>
      </c>
      <c r="Z142" s="97">
        <f t="shared" si="15"/>
        <v>-3.9986300612044755E-4</v>
      </c>
      <c r="AA142" s="97">
        <f t="shared" si="15"/>
        <v>2.3737297214655971E-2</v>
      </c>
    </row>
    <row r="143" spans="2:31" ht="12.75" customHeight="1" thickBot="1" x14ac:dyDescent="0.3">
      <c r="B143" s="21" t="s">
        <v>9</v>
      </c>
      <c r="C143" s="95">
        <f>Annual_sorted!I156</f>
        <v>-12.477537264922185</v>
      </c>
      <c r="D143" s="29">
        <f>IF(C143-Table_146345781129182142505866[Burundi]&gt;0, C143-Table_146345781129182142505866[Burundi], 0)</f>
        <v>0</v>
      </c>
      <c r="E143" s="29">
        <f>IF(C143-Table_146345781129182142505866[DRC]&gt;0, C143-Table_146345781129182142505866[DRC], 0)</f>
        <v>0</v>
      </c>
      <c r="F143" s="29">
        <f>IF(C143-Table_146345781129182142505866[Egypt]&gt;0, C143-Table_146345781129182142505866[Egypt], 0)</f>
        <v>0</v>
      </c>
      <c r="G143" s="29">
        <f>IF(C143-Table_146345781129182142505866[Eritrea]&gt;0, C143-Table_146345781129182142505866[Eritrea], 0)</f>
        <v>0</v>
      </c>
      <c r="H143" s="29">
        <f>IF(C143-Table_146345781129182142505866[Ethiopia]&gt;0, C143-Table_146345781129182142505866[Ethiopia], 0)</f>
        <v>86.066710247182698</v>
      </c>
      <c r="I143" s="29">
        <f>IF(C143-Table_146345781129182142505866[Kenya]&gt;0, C143-Table_146345781129182142505866[Kenya], 0)</f>
        <v>0</v>
      </c>
      <c r="J143" s="29">
        <f>IF(C143-Table_146345781129182142505866[Rwanda]&gt;0, C143-Table_146345781129182142505866[Rwanda], 0)</f>
        <v>0</v>
      </c>
      <c r="K143" s="29">
        <f>IF(C143-Table_146345781129182142505866[Sudan]&gt;0, C143-Table_146345781129182142505866[Sudan], 0)</f>
        <v>0</v>
      </c>
      <c r="L143" s="29">
        <f>IF(C143-Table_146345781129182142505866[S. Sudan]&gt;0, C143-Table_146345781129182142505866[S. Sudan], 0)</f>
        <v>0.55395482127771523</v>
      </c>
      <c r="M143" s="29">
        <f>IF(C143-Table_146345781129182142505866[Tanzania]&gt;0, C143-Table_146345781129182142505866[Tanzania], 0)</f>
        <v>0</v>
      </c>
      <c r="N143" s="29">
        <f>IF(C143-Table_146345781129182142505866[Uganda]&gt;0, C143-Table_146345781129182142505866[Uganda], 0)</f>
        <v>8.9120740831872478</v>
      </c>
      <c r="P143" s="22" t="s">
        <v>10</v>
      </c>
      <c r="Q143" s="98">
        <f t="shared" si="16"/>
        <v>-3.9986300612044755E-4</v>
      </c>
      <c r="R143" s="98">
        <f t="shared" si="15"/>
        <v>-3.9986300612044755E-4</v>
      </c>
      <c r="S143" s="98">
        <f t="shared" si="15"/>
        <v>-3.9986300612044755E-4</v>
      </c>
      <c r="T143" s="98">
        <f t="shared" si="15"/>
        <v>-3.9986300612044755E-4</v>
      </c>
      <c r="U143" s="98">
        <f t="shared" si="15"/>
        <v>0.20856314577085014</v>
      </c>
      <c r="V143" s="98">
        <f t="shared" si="15"/>
        <v>-3.9986300612044755E-4</v>
      </c>
      <c r="W143" s="98">
        <f t="shared" si="15"/>
        <v>-3.9986300612044755E-4</v>
      </c>
      <c r="X143" s="98">
        <f t="shared" si="15"/>
        <v>-3.9986300612044755E-4</v>
      </c>
      <c r="Y143" s="98">
        <f t="shared" si="15"/>
        <v>-3.9986300612044755E-4</v>
      </c>
      <c r="Z143" s="98">
        <f t="shared" si="15"/>
        <v>-3.9986300612044755E-4</v>
      </c>
      <c r="AA143" s="98">
        <f t="shared" si="15"/>
        <v>-3.9986300612044755E-4</v>
      </c>
      <c r="AB143" s="186">
        <f>SUM(Q133:AA143)</f>
        <v>16.648723111259795</v>
      </c>
    </row>
    <row r="144" spans="2:31" ht="12.75" customHeight="1" thickBot="1" x14ac:dyDescent="0.3">
      <c r="B144" s="22" t="s">
        <v>10</v>
      </c>
      <c r="C144" s="96">
        <f>Annual_sorted!I157</f>
        <v>-21.389611348109433</v>
      </c>
      <c r="D144" s="32">
        <f>IF(C144-Table_146345781129182142505866[Burundi]&gt;0, C144-Table_146345781129182142505866[Burundi], 0)</f>
        <v>0</v>
      </c>
      <c r="E144" s="32">
        <f>IF(C144-Table_146345781129182142505866[DRC]&gt;0, C144-Table_146345781129182142505866[DRC], 0)</f>
        <v>0</v>
      </c>
      <c r="F144" s="32">
        <f>IF(C144-Table_146345781129182142505866[Egypt]&gt;0, C144-Table_146345781129182142505866[Egypt], 0)</f>
        <v>0</v>
      </c>
      <c r="G144" s="32">
        <f>IF(C144-Table_146345781129182142505866[Eritrea]&gt;0, C144-Table_146345781129182142505866[Eritrea], 0)</f>
        <v>0</v>
      </c>
      <c r="H144" s="32">
        <f>IF(C144-Table_146345781129182142505866[Ethiopia]&gt;0, C144-Table_146345781129182142505866[Ethiopia], 0)</f>
        <v>77.154636163995463</v>
      </c>
      <c r="I144" s="32">
        <f>IF(C144-Table_146345781129182142505866[Kenya]&gt;0, C144-Table_146345781129182142505866[Kenya], 0)</f>
        <v>0</v>
      </c>
      <c r="J144" s="32">
        <f>IF(C144-Table_146345781129182142505866[Rwanda]&gt;0, C144-Table_146345781129182142505866[Rwanda], 0)</f>
        <v>0</v>
      </c>
      <c r="K144" s="32">
        <f>IF(C144-Table_146345781129182142505866[Sudan]&gt;0, C144-Table_146345781129182142505866[Sudan], 0)</f>
        <v>0</v>
      </c>
      <c r="L144" s="32">
        <f>IF(C144-Table_146345781129182142505866[S. Sudan]&gt;0, C144-Table_146345781129182142505866[S. Sudan], 0)</f>
        <v>0</v>
      </c>
      <c r="M144" s="32">
        <f>IF(C144-Table_146345781129182142505866[Tanzania]&gt;0, C144-Table_146345781129182142505866[Tanzania], 0)</f>
        <v>0</v>
      </c>
      <c r="N144" s="32">
        <f>IF(C144-Table_146345781129182142505866[Uganda]&gt;0, C144-Table_146345781129182142505866[Uganda], 0)</f>
        <v>0</v>
      </c>
    </row>
    <row r="145" ht="12.75" customHeight="1" x14ac:dyDescent="0.25"/>
    <row r="146" ht="12.75" customHeight="1" x14ac:dyDescent="0.25"/>
    <row r="147" ht="12.75" customHeight="1" x14ac:dyDescent="0.25"/>
    <row r="148" ht="12.75" customHeight="1" x14ac:dyDescent="0.25"/>
    <row r="149" ht="12.75" customHeight="1" x14ac:dyDescent="0.25"/>
    <row r="150" ht="12.75" customHeight="1" x14ac:dyDescent="0.25"/>
    <row r="151" ht="12.75" customHeight="1" x14ac:dyDescent="0.25"/>
    <row r="152" ht="12.75" customHeight="1" x14ac:dyDescent="0.25"/>
    <row r="153" ht="12.75" customHeight="1" x14ac:dyDescent="0.25"/>
    <row r="154" ht="12.75" customHeight="1" x14ac:dyDescent="0.25"/>
    <row r="155" ht="12.75" customHeight="1" x14ac:dyDescent="0.25"/>
    <row r="156" ht="12.75" customHeight="1" x14ac:dyDescent="0.25"/>
    <row r="157" ht="12.75" customHeight="1" x14ac:dyDescent="0.25"/>
    <row r="158" ht="12.75" customHeight="1" x14ac:dyDescent="0.25"/>
    <row r="159" ht="12.75" customHeight="1" x14ac:dyDescent="0.25"/>
    <row r="160" ht="12.75" customHeight="1" x14ac:dyDescent="0.25"/>
    <row r="161" ht="12.75" customHeight="1" x14ac:dyDescent="0.25"/>
    <row r="162" ht="12.75" customHeight="1" x14ac:dyDescent="0.25"/>
    <row r="163" ht="12.75" customHeight="1" x14ac:dyDescent="0.25"/>
    <row r="164" ht="12.75" customHeight="1" x14ac:dyDescent="0.25"/>
    <row r="165" ht="12.75" customHeight="1" x14ac:dyDescent="0.25"/>
    <row r="166" ht="12.75" customHeight="1" x14ac:dyDescent="0.25"/>
    <row r="167" ht="12.75" customHeight="1" x14ac:dyDescent="0.25"/>
    <row r="168" ht="12.75" customHeight="1" x14ac:dyDescent="0.25"/>
    <row r="169" ht="12.75" customHeight="1" x14ac:dyDescent="0.25"/>
    <row r="170" ht="12.75" customHeight="1" x14ac:dyDescent="0.25"/>
    <row r="171" ht="12.75" customHeight="1" x14ac:dyDescent="0.25"/>
    <row r="172" ht="12.75" customHeight="1" x14ac:dyDescent="0.25"/>
    <row r="173" ht="12.75" customHeight="1" x14ac:dyDescent="0.25"/>
    <row r="174" ht="12.75" customHeight="1" x14ac:dyDescent="0.25"/>
    <row r="175" ht="12.75" customHeight="1" x14ac:dyDescent="0.25"/>
    <row r="176" ht="12.75" customHeight="1" x14ac:dyDescent="0.25"/>
    <row r="177" ht="12.75" customHeight="1" x14ac:dyDescent="0.25"/>
    <row r="178" ht="12.75" customHeight="1" x14ac:dyDescent="0.25"/>
    <row r="179" ht="12.75" customHeight="1" x14ac:dyDescent="0.25"/>
    <row r="180" ht="12.75" customHeight="1" x14ac:dyDescent="0.25"/>
    <row r="181" ht="12.75" customHeight="1" x14ac:dyDescent="0.25"/>
    <row r="182" ht="12.75" customHeight="1" x14ac:dyDescent="0.25"/>
    <row r="183" ht="12.75" customHeight="1" x14ac:dyDescent="0.25"/>
    <row r="184" ht="12.75" customHeight="1" x14ac:dyDescent="0.25"/>
    <row r="185" ht="12.75" customHeight="1" x14ac:dyDescent="0.25"/>
    <row r="186" ht="12.75" customHeight="1" x14ac:dyDescent="0.25"/>
    <row r="187" ht="12.75" customHeight="1" x14ac:dyDescent="0.25"/>
    <row r="188" ht="12.75" customHeight="1" x14ac:dyDescent="0.25"/>
    <row r="189" ht="12.75" customHeight="1" x14ac:dyDescent="0.25"/>
    <row r="190" ht="12.75" customHeight="1" x14ac:dyDescent="0.25"/>
    <row r="191" ht="12.75" customHeight="1" x14ac:dyDescent="0.25"/>
    <row r="192" ht="12.75" customHeight="1" x14ac:dyDescent="0.25"/>
    <row r="193" ht="12.75" customHeight="1" x14ac:dyDescent="0.25"/>
    <row r="194" ht="12.75" customHeight="1" x14ac:dyDescent="0.25"/>
    <row r="195" ht="12.75" customHeight="1" x14ac:dyDescent="0.25"/>
    <row r="196" ht="12.75" customHeight="1" x14ac:dyDescent="0.25"/>
    <row r="197" ht="12.75" customHeight="1" x14ac:dyDescent="0.25"/>
    <row r="198" ht="12.75" customHeight="1" x14ac:dyDescent="0.25"/>
    <row r="199" ht="12.75" customHeight="1" x14ac:dyDescent="0.25"/>
    <row r="200" ht="12.75" customHeight="1" x14ac:dyDescent="0.25"/>
    <row r="201" ht="12.75" customHeight="1" x14ac:dyDescent="0.25"/>
    <row r="202" ht="12.75" customHeight="1" x14ac:dyDescent="0.25"/>
    <row r="203" ht="12.75" customHeight="1" x14ac:dyDescent="0.25"/>
    <row r="204" ht="12.75" customHeight="1" x14ac:dyDescent="0.25"/>
    <row r="205" ht="12.75" customHeight="1" x14ac:dyDescent="0.25"/>
    <row r="206" ht="12.75" customHeight="1" x14ac:dyDescent="0.25"/>
    <row r="207" ht="12.75" customHeight="1" x14ac:dyDescent="0.25"/>
    <row r="208" ht="12.75" customHeight="1" x14ac:dyDescent="0.25"/>
    <row r="209" ht="12.75" customHeight="1" x14ac:dyDescent="0.25"/>
    <row r="210" ht="12.75" customHeight="1" x14ac:dyDescent="0.25"/>
    <row r="211" ht="12.75" customHeight="1" x14ac:dyDescent="0.25"/>
    <row r="212" ht="12.75" customHeight="1" x14ac:dyDescent="0.25"/>
    <row r="213" ht="12.75" customHeight="1" x14ac:dyDescent="0.25"/>
    <row r="214" ht="12.75" customHeight="1" x14ac:dyDescent="0.25"/>
    <row r="215" ht="12.75" customHeight="1" x14ac:dyDescent="0.25"/>
    <row r="216" ht="12.75" customHeight="1" x14ac:dyDescent="0.25"/>
    <row r="217" ht="12.75" customHeight="1" x14ac:dyDescent="0.25"/>
    <row r="218" ht="12.75" customHeight="1" x14ac:dyDescent="0.25"/>
    <row r="219" ht="12.75" customHeight="1" x14ac:dyDescent="0.25"/>
    <row r="220" ht="12.75" customHeight="1" x14ac:dyDescent="0.25"/>
    <row r="221" ht="12.75" customHeight="1" x14ac:dyDescent="0.25"/>
    <row r="222" ht="12.75" customHeight="1" x14ac:dyDescent="0.25"/>
    <row r="223" ht="12.75" customHeight="1" x14ac:dyDescent="0.25"/>
    <row r="224" ht="12.75" customHeight="1" x14ac:dyDescent="0.25"/>
    <row r="225" ht="12.75" customHeight="1" x14ac:dyDescent="0.25"/>
    <row r="226" ht="12.75" customHeight="1" x14ac:dyDescent="0.25"/>
    <row r="227" ht="12.75" customHeight="1" x14ac:dyDescent="0.25"/>
    <row r="228" ht="12.75" customHeight="1" x14ac:dyDescent="0.25"/>
    <row r="229" ht="12.75" customHeight="1" x14ac:dyDescent="0.25"/>
    <row r="230" ht="12.75" customHeight="1" x14ac:dyDescent="0.25"/>
    <row r="231" ht="12.75" customHeight="1" x14ac:dyDescent="0.25"/>
    <row r="232" ht="12.75" customHeight="1" x14ac:dyDescent="0.25"/>
    <row r="233" ht="12.75" customHeight="1" x14ac:dyDescent="0.25"/>
    <row r="234" ht="12.75" customHeight="1" x14ac:dyDescent="0.25"/>
    <row r="235" ht="12.75" customHeight="1" x14ac:dyDescent="0.25"/>
    <row r="236" ht="12.75" customHeight="1" x14ac:dyDescent="0.25"/>
    <row r="237" ht="12.75" customHeight="1" x14ac:dyDescent="0.25"/>
    <row r="238" ht="12.75" customHeight="1" x14ac:dyDescent="0.25"/>
    <row r="239" ht="12.75" customHeight="1" x14ac:dyDescent="0.25"/>
    <row r="240" ht="12.75" customHeight="1" x14ac:dyDescent="0.25"/>
    <row r="241" ht="12.75" customHeight="1" x14ac:dyDescent="0.25"/>
    <row r="242" ht="12.75" customHeight="1" x14ac:dyDescent="0.25"/>
    <row r="243" ht="12.75" customHeight="1" x14ac:dyDescent="0.25"/>
    <row r="244" ht="12.75" customHeight="1" x14ac:dyDescent="0.25"/>
    <row r="245" ht="12.75" customHeight="1" x14ac:dyDescent="0.25"/>
    <row r="246" ht="12.75" customHeight="1" x14ac:dyDescent="0.25"/>
    <row r="247" ht="12.75" customHeight="1" x14ac:dyDescent="0.25"/>
    <row r="248" ht="12.75" customHeight="1" x14ac:dyDescent="0.25"/>
    <row r="249" ht="12.75" customHeight="1" x14ac:dyDescent="0.25"/>
    <row r="250" ht="12.75" customHeight="1" x14ac:dyDescent="0.25"/>
    <row r="251" ht="12.75" customHeight="1" x14ac:dyDescent="0.25"/>
    <row r="252" ht="12.75" customHeight="1" x14ac:dyDescent="0.25"/>
    <row r="253" ht="12.75" customHeight="1" x14ac:dyDescent="0.25"/>
    <row r="254" ht="12.75" customHeight="1" x14ac:dyDescent="0.25"/>
    <row r="255" ht="12.75" customHeight="1" x14ac:dyDescent="0.25"/>
    <row r="256" ht="12.75" customHeight="1" x14ac:dyDescent="0.25"/>
    <row r="257" ht="12.75" customHeight="1" x14ac:dyDescent="0.25"/>
    <row r="258" ht="12.75" customHeight="1" x14ac:dyDescent="0.25"/>
    <row r="259" ht="12.75" customHeight="1" x14ac:dyDescent="0.25"/>
    <row r="260" ht="12.75" customHeight="1" x14ac:dyDescent="0.25"/>
    <row r="261" ht="12.75" customHeight="1" x14ac:dyDescent="0.25"/>
    <row r="262" ht="12.75" customHeight="1" x14ac:dyDescent="0.25"/>
    <row r="263" ht="12.75" customHeight="1" x14ac:dyDescent="0.25"/>
    <row r="264" ht="12.75" customHeight="1" x14ac:dyDescent="0.25"/>
    <row r="265" ht="12.75" customHeight="1" x14ac:dyDescent="0.25"/>
    <row r="266" ht="12.75" customHeight="1" x14ac:dyDescent="0.25"/>
    <row r="267" ht="12.75" customHeight="1" x14ac:dyDescent="0.25"/>
    <row r="268" ht="12.75" customHeight="1" x14ac:dyDescent="0.25"/>
    <row r="269" ht="12.75" customHeight="1" x14ac:dyDescent="0.25"/>
    <row r="270" ht="12.75" customHeight="1" x14ac:dyDescent="0.25"/>
    <row r="271" ht="12.75" customHeight="1" x14ac:dyDescent="0.25"/>
    <row r="272" ht="12.75" customHeight="1" x14ac:dyDescent="0.25"/>
    <row r="273" ht="12.75" customHeight="1" x14ac:dyDescent="0.25"/>
    <row r="274" ht="12.75" customHeight="1" x14ac:dyDescent="0.25"/>
    <row r="275" ht="12.75" customHeight="1" x14ac:dyDescent="0.25"/>
    <row r="276" ht="12.75" customHeight="1" x14ac:dyDescent="0.25"/>
    <row r="277" ht="12.75" customHeight="1" x14ac:dyDescent="0.25"/>
    <row r="278" ht="12.75" customHeight="1" x14ac:dyDescent="0.25"/>
    <row r="279" ht="12.75" customHeight="1" x14ac:dyDescent="0.25"/>
    <row r="280" ht="12.75" customHeight="1" x14ac:dyDescent="0.25"/>
    <row r="281" ht="12.75" customHeight="1" x14ac:dyDescent="0.25"/>
    <row r="282" ht="12.75" customHeight="1" x14ac:dyDescent="0.25"/>
    <row r="283" ht="12.75" customHeight="1" x14ac:dyDescent="0.25"/>
    <row r="284" ht="12.75" customHeight="1" x14ac:dyDescent="0.25"/>
    <row r="285" ht="12.75" customHeight="1" x14ac:dyDescent="0.25"/>
    <row r="286" ht="12.75" customHeight="1" x14ac:dyDescent="0.25"/>
    <row r="287" ht="12.75" customHeight="1" x14ac:dyDescent="0.25"/>
    <row r="288" ht="12.75" customHeight="1" x14ac:dyDescent="0.25"/>
    <row r="289" ht="12.75" customHeight="1" x14ac:dyDescent="0.25"/>
    <row r="290" ht="12.75" customHeight="1" x14ac:dyDescent="0.25"/>
    <row r="291" ht="12.75" customHeight="1" x14ac:dyDescent="0.25"/>
    <row r="292" ht="12.75" customHeight="1" x14ac:dyDescent="0.25"/>
    <row r="293" ht="12.75" customHeight="1" x14ac:dyDescent="0.25"/>
    <row r="294" ht="12.75" customHeight="1" x14ac:dyDescent="0.25"/>
    <row r="295" ht="12.75" customHeight="1" x14ac:dyDescent="0.25"/>
    <row r="296" ht="12.75" customHeight="1" x14ac:dyDescent="0.25"/>
    <row r="297" ht="12.75" customHeight="1" x14ac:dyDescent="0.25"/>
    <row r="298" ht="12.75" customHeight="1" x14ac:dyDescent="0.25"/>
    <row r="299" ht="12.75" customHeight="1" x14ac:dyDescent="0.25"/>
    <row r="300" ht="12.75" customHeight="1" x14ac:dyDescent="0.25"/>
    <row r="301" ht="12.75" customHeight="1" x14ac:dyDescent="0.25"/>
    <row r="302" ht="12.75" customHeight="1" x14ac:dyDescent="0.25"/>
    <row r="303" ht="12.75" customHeight="1" x14ac:dyDescent="0.25"/>
    <row r="304" ht="12.75" customHeight="1" x14ac:dyDescent="0.25"/>
    <row r="305" ht="12.75" customHeight="1" x14ac:dyDescent="0.25"/>
    <row r="306" ht="12.75" customHeight="1" x14ac:dyDescent="0.25"/>
    <row r="307" ht="12.75" customHeight="1" x14ac:dyDescent="0.25"/>
    <row r="308" ht="12.75" customHeight="1" x14ac:dyDescent="0.25"/>
    <row r="309" ht="12.75" customHeight="1" x14ac:dyDescent="0.25"/>
    <row r="310" ht="12.75" customHeight="1" x14ac:dyDescent="0.25"/>
    <row r="311" ht="12.75" customHeight="1" x14ac:dyDescent="0.25"/>
    <row r="312" ht="12.75" customHeight="1" x14ac:dyDescent="0.25"/>
    <row r="313" ht="12.75" customHeight="1" x14ac:dyDescent="0.25"/>
    <row r="314" ht="12.75" customHeight="1" x14ac:dyDescent="0.25"/>
    <row r="315" ht="12.75" customHeight="1" x14ac:dyDescent="0.25"/>
    <row r="316" ht="12.75" customHeight="1" x14ac:dyDescent="0.25"/>
    <row r="317" ht="12.75" customHeight="1" x14ac:dyDescent="0.25"/>
    <row r="318" ht="12.75" customHeight="1" x14ac:dyDescent="0.25"/>
    <row r="319" ht="12.75" customHeight="1" x14ac:dyDescent="0.25"/>
    <row r="320" ht="12.75" customHeight="1" x14ac:dyDescent="0.25"/>
    <row r="321" ht="12.75" customHeight="1" x14ac:dyDescent="0.25"/>
    <row r="322" ht="12.75" customHeight="1" x14ac:dyDescent="0.25"/>
    <row r="323" ht="12.75" customHeight="1" x14ac:dyDescent="0.25"/>
    <row r="324" ht="12.75" customHeight="1" x14ac:dyDescent="0.25"/>
    <row r="325" ht="12.75" customHeight="1" x14ac:dyDescent="0.25"/>
    <row r="326" ht="12.75" customHeight="1" x14ac:dyDescent="0.25"/>
    <row r="327" ht="12.75" customHeight="1" x14ac:dyDescent="0.25"/>
    <row r="328" ht="12.75" customHeight="1" x14ac:dyDescent="0.25"/>
    <row r="329" ht="12.75" customHeight="1" x14ac:dyDescent="0.25"/>
    <row r="330" ht="12.75" customHeight="1" x14ac:dyDescent="0.25"/>
    <row r="331" ht="12.75" customHeight="1" x14ac:dyDescent="0.25"/>
    <row r="332" ht="12.75" customHeight="1" x14ac:dyDescent="0.25"/>
    <row r="333" ht="12.75" customHeight="1" x14ac:dyDescent="0.25"/>
    <row r="334" ht="12.75" customHeight="1" x14ac:dyDescent="0.25"/>
    <row r="335" ht="12.75" customHeight="1" x14ac:dyDescent="0.25"/>
    <row r="336" ht="12.75" customHeight="1" x14ac:dyDescent="0.25"/>
    <row r="337" ht="12.75" customHeight="1" x14ac:dyDescent="0.25"/>
    <row r="338" ht="12.75" customHeight="1" x14ac:dyDescent="0.25"/>
    <row r="339" ht="12.75" customHeight="1" x14ac:dyDescent="0.25"/>
    <row r="340" ht="12.75" customHeight="1" x14ac:dyDescent="0.25"/>
    <row r="341" ht="12.75" customHeight="1" x14ac:dyDescent="0.25"/>
    <row r="342" ht="12.75" customHeight="1" x14ac:dyDescent="0.25"/>
    <row r="343" ht="12.75" customHeight="1" x14ac:dyDescent="0.25"/>
    <row r="344" ht="12.75" customHeight="1" x14ac:dyDescent="0.25"/>
    <row r="345" ht="12.75" customHeight="1" x14ac:dyDescent="0.25"/>
    <row r="346" ht="12.75" customHeight="1" x14ac:dyDescent="0.25"/>
    <row r="347" ht="12.75" customHeight="1" x14ac:dyDescent="0.25"/>
    <row r="348" ht="12.75" customHeight="1" x14ac:dyDescent="0.25"/>
    <row r="349" ht="12.75" customHeight="1" x14ac:dyDescent="0.25"/>
    <row r="350" ht="12.75" customHeight="1" x14ac:dyDescent="0.25"/>
    <row r="351" ht="12.75" customHeight="1" x14ac:dyDescent="0.25"/>
    <row r="352" ht="12.75" customHeight="1" x14ac:dyDescent="0.25"/>
    <row r="353" ht="12.75" customHeight="1" x14ac:dyDescent="0.25"/>
    <row r="354" ht="12.75" customHeight="1" x14ac:dyDescent="0.25"/>
    <row r="355" ht="12.75" customHeight="1" x14ac:dyDescent="0.25"/>
    <row r="356" ht="12.75" customHeight="1" x14ac:dyDescent="0.25"/>
    <row r="357" ht="12.75" customHeight="1" x14ac:dyDescent="0.25"/>
    <row r="358" ht="12.75" customHeight="1" x14ac:dyDescent="0.25"/>
    <row r="359" ht="12.75" customHeight="1" x14ac:dyDescent="0.25"/>
    <row r="360" ht="12.75" customHeight="1" x14ac:dyDescent="0.25"/>
    <row r="361" ht="12.75" customHeight="1" x14ac:dyDescent="0.25"/>
    <row r="362" ht="12.75" customHeight="1" x14ac:dyDescent="0.25"/>
    <row r="363" ht="12.75" customHeight="1" x14ac:dyDescent="0.25"/>
    <row r="364" ht="12.75" customHeight="1" x14ac:dyDescent="0.25"/>
    <row r="365" ht="12.75" customHeight="1" x14ac:dyDescent="0.25"/>
    <row r="366" ht="12.75" customHeight="1" x14ac:dyDescent="0.25"/>
    <row r="367" ht="12.75" customHeight="1" x14ac:dyDescent="0.25"/>
    <row r="368" ht="12.75" customHeight="1" x14ac:dyDescent="0.25"/>
    <row r="369" ht="12.75" customHeight="1" x14ac:dyDescent="0.25"/>
    <row r="370" ht="12.75" customHeight="1" x14ac:dyDescent="0.25"/>
    <row r="371" ht="12.75" customHeight="1" x14ac:dyDescent="0.25"/>
    <row r="372" ht="12.75" customHeight="1" x14ac:dyDescent="0.25"/>
    <row r="373" ht="12.75" customHeight="1" x14ac:dyDescent="0.25"/>
    <row r="374" ht="12.75" customHeight="1" x14ac:dyDescent="0.25"/>
    <row r="375" ht="12.75" customHeight="1" x14ac:dyDescent="0.25"/>
    <row r="376" ht="12.75" customHeight="1" x14ac:dyDescent="0.25"/>
    <row r="377" ht="12.75" customHeight="1" x14ac:dyDescent="0.25"/>
    <row r="378" ht="12.75" customHeight="1" x14ac:dyDescent="0.25"/>
    <row r="379" ht="12.75" customHeight="1" x14ac:dyDescent="0.25"/>
    <row r="380" ht="12.75" customHeight="1" x14ac:dyDescent="0.25"/>
    <row r="381" ht="12.75" customHeight="1" x14ac:dyDescent="0.25"/>
    <row r="382" ht="12.75" customHeight="1" x14ac:dyDescent="0.25"/>
    <row r="383" ht="12.75" customHeight="1" x14ac:dyDescent="0.25"/>
    <row r="384" ht="12.75" customHeight="1" x14ac:dyDescent="0.25"/>
    <row r="385" ht="12.75" customHeight="1" x14ac:dyDescent="0.25"/>
    <row r="386" ht="12.75" customHeight="1" x14ac:dyDescent="0.25"/>
    <row r="387" ht="12.75" customHeight="1" x14ac:dyDescent="0.25"/>
    <row r="388" ht="12.75" customHeight="1" x14ac:dyDescent="0.25"/>
    <row r="389" ht="12.75" customHeight="1" x14ac:dyDescent="0.25"/>
    <row r="390" ht="12.75" customHeight="1" x14ac:dyDescent="0.25"/>
    <row r="391" ht="12.75" customHeight="1" x14ac:dyDescent="0.25"/>
    <row r="392" ht="12.75" customHeight="1" x14ac:dyDescent="0.25"/>
    <row r="393" ht="12.75" customHeight="1" x14ac:dyDescent="0.25"/>
    <row r="394" ht="12.75" customHeight="1" x14ac:dyDescent="0.25"/>
    <row r="395" ht="12.75" customHeight="1" x14ac:dyDescent="0.25"/>
    <row r="396" ht="12.75" customHeight="1" x14ac:dyDescent="0.25"/>
    <row r="397" ht="12.75" customHeight="1" x14ac:dyDescent="0.25"/>
    <row r="398" ht="12.75" customHeight="1" x14ac:dyDescent="0.25"/>
    <row r="399" ht="12.75" customHeight="1" x14ac:dyDescent="0.25"/>
    <row r="400" ht="12.75" customHeight="1" x14ac:dyDescent="0.25"/>
    <row r="401" ht="12.75" customHeight="1" x14ac:dyDescent="0.25"/>
    <row r="402" ht="12.75" customHeight="1" x14ac:dyDescent="0.25"/>
    <row r="403" ht="12.75" customHeight="1" x14ac:dyDescent="0.25"/>
    <row r="404" ht="12.75" customHeight="1" x14ac:dyDescent="0.25"/>
    <row r="405" ht="12.75" customHeight="1" x14ac:dyDescent="0.25"/>
    <row r="406" ht="12.75" customHeight="1" x14ac:dyDescent="0.25"/>
    <row r="407" ht="12.75" customHeight="1" x14ac:dyDescent="0.25"/>
    <row r="408" ht="12.75" customHeight="1" x14ac:dyDescent="0.25"/>
    <row r="409" ht="12.75" customHeight="1" x14ac:dyDescent="0.25"/>
    <row r="410" ht="12.75" customHeight="1" x14ac:dyDescent="0.25"/>
    <row r="411" ht="12.75" customHeight="1" x14ac:dyDescent="0.25"/>
    <row r="412" ht="12.75" customHeight="1" x14ac:dyDescent="0.25"/>
    <row r="413" ht="12.75" customHeight="1" x14ac:dyDescent="0.25"/>
    <row r="414" ht="12.75" customHeight="1" x14ac:dyDescent="0.25"/>
    <row r="415" ht="12.75" customHeight="1" x14ac:dyDescent="0.25"/>
    <row r="416" ht="12.75" customHeight="1" x14ac:dyDescent="0.25"/>
    <row r="417" ht="12.75" customHeight="1" x14ac:dyDescent="0.25"/>
    <row r="418" ht="12.75" customHeight="1" x14ac:dyDescent="0.25"/>
    <row r="419" ht="12.75" customHeight="1" x14ac:dyDescent="0.25"/>
    <row r="420" ht="12.75" customHeight="1" x14ac:dyDescent="0.25"/>
    <row r="421" ht="12.75" customHeight="1" x14ac:dyDescent="0.25"/>
    <row r="422" ht="12.75" customHeight="1" x14ac:dyDescent="0.25"/>
    <row r="423" ht="12.75" customHeight="1" x14ac:dyDescent="0.25"/>
    <row r="424" ht="12.75" customHeight="1" x14ac:dyDescent="0.25"/>
    <row r="425" ht="12.75" customHeight="1" x14ac:dyDescent="0.25"/>
    <row r="426" ht="12.75" customHeight="1" x14ac:dyDescent="0.25"/>
    <row r="427" ht="12.75" customHeight="1" x14ac:dyDescent="0.25"/>
    <row r="428" ht="12.75" customHeight="1" x14ac:dyDescent="0.25"/>
    <row r="429" ht="12.75" customHeight="1" x14ac:dyDescent="0.25"/>
    <row r="430" ht="12.75" customHeight="1" x14ac:dyDescent="0.25"/>
    <row r="431" ht="12.75" customHeight="1" x14ac:dyDescent="0.25"/>
    <row r="432" ht="12.75" customHeight="1" x14ac:dyDescent="0.25"/>
    <row r="433" ht="12.75" customHeight="1" x14ac:dyDescent="0.25"/>
    <row r="434" ht="12.75" customHeight="1" x14ac:dyDescent="0.25"/>
    <row r="435" ht="12.75" customHeight="1" x14ac:dyDescent="0.25"/>
    <row r="436" ht="12.75" customHeight="1" x14ac:dyDescent="0.25"/>
    <row r="437" ht="12.75" customHeight="1" x14ac:dyDescent="0.25"/>
    <row r="438" ht="12.75" customHeight="1" x14ac:dyDescent="0.25"/>
    <row r="439" ht="12.75" customHeight="1" x14ac:dyDescent="0.25"/>
    <row r="440" ht="12.75" customHeight="1" x14ac:dyDescent="0.25"/>
    <row r="441" ht="12.75" customHeight="1" x14ac:dyDescent="0.25"/>
    <row r="442" ht="12.75" customHeight="1" x14ac:dyDescent="0.25"/>
    <row r="443" ht="12.75" customHeight="1" x14ac:dyDescent="0.25"/>
    <row r="444" ht="12.75" customHeight="1" x14ac:dyDescent="0.25"/>
    <row r="445" ht="12.75" customHeight="1" x14ac:dyDescent="0.25"/>
    <row r="446" ht="12.75" customHeight="1" x14ac:dyDescent="0.25"/>
    <row r="447" ht="12.75" customHeight="1" x14ac:dyDescent="0.25"/>
    <row r="448" ht="12.75" customHeight="1" x14ac:dyDescent="0.25"/>
    <row r="449" ht="12.75" customHeight="1" x14ac:dyDescent="0.25"/>
    <row r="450" ht="12.75" customHeight="1" x14ac:dyDescent="0.25"/>
    <row r="451" ht="12.75" customHeight="1" x14ac:dyDescent="0.25"/>
    <row r="452" ht="12.75" customHeight="1" x14ac:dyDescent="0.25"/>
    <row r="453" ht="12.75" customHeight="1" x14ac:dyDescent="0.25"/>
    <row r="454" ht="12.75" customHeight="1" x14ac:dyDescent="0.25"/>
    <row r="455" ht="12.75" customHeight="1" x14ac:dyDescent="0.25"/>
    <row r="456" ht="12.75" customHeight="1" x14ac:dyDescent="0.25"/>
    <row r="457" ht="12.75" customHeight="1" x14ac:dyDescent="0.25"/>
    <row r="458" ht="12.75" customHeight="1" x14ac:dyDescent="0.25"/>
    <row r="459" ht="12.75" customHeight="1" x14ac:dyDescent="0.25"/>
    <row r="460" ht="12.75" customHeight="1" x14ac:dyDescent="0.25"/>
    <row r="461" ht="12.75" customHeight="1" x14ac:dyDescent="0.25"/>
    <row r="462" ht="12.75" customHeight="1" x14ac:dyDescent="0.25"/>
    <row r="463" ht="12.75" customHeight="1" x14ac:dyDescent="0.25"/>
    <row r="464" ht="12.75" customHeight="1" x14ac:dyDescent="0.25"/>
    <row r="465" ht="12.75" customHeight="1" x14ac:dyDescent="0.25"/>
    <row r="466" ht="12.75" customHeight="1" x14ac:dyDescent="0.25"/>
    <row r="467" ht="12.75" customHeight="1" x14ac:dyDescent="0.25"/>
    <row r="468" ht="12.75" customHeight="1" x14ac:dyDescent="0.25"/>
    <row r="469" ht="12.75" customHeight="1" x14ac:dyDescent="0.25"/>
    <row r="470" ht="12.75" customHeight="1" x14ac:dyDescent="0.25"/>
    <row r="471" ht="12.75" customHeight="1" x14ac:dyDescent="0.25"/>
    <row r="472" ht="12.75" customHeight="1" x14ac:dyDescent="0.25"/>
    <row r="473" ht="12.75" customHeight="1" x14ac:dyDescent="0.25"/>
    <row r="474" ht="12.75" customHeight="1" x14ac:dyDescent="0.25"/>
    <row r="475" ht="12.75" customHeight="1" x14ac:dyDescent="0.25"/>
    <row r="476" ht="12.75" customHeight="1" x14ac:dyDescent="0.25"/>
    <row r="477" ht="12.75" customHeight="1" x14ac:dyDescent="0.25"/>
    <row r="478" ht="12.75" customHeight="1" x14ac:dyDescent="0.25"/>
    <row r="479" ht="12.75" customHeight="1" x14ac:dyDescent="0.25"/>
    <row r="480" ht="12.75" customHeight="1" x14ac:dyDescent="0.25"/>
    <row r="481" ht="12.75" customHeight="1" x14ac:dyDescent="0.25"/>
    <row r="482" ht="12.75" customHeight="1" x14ac:dyDescent="0.25"/>
    <row r="483" ht="12.75" customHeight="1" x14ac:dyDescent="0.25"/>
    <row r="484" ht="12.75" customHeight="1" x14ac:dyDescent="0.25"/>
    <row r="485" ht="12.75" customHeight="1" x14ac:dyDescent="0.25"/>
    <row r="486" ht="12.75" customHeight="1" x14ac:dyDescent="0.25"/>
    <row r="487" ht="12.75" customHeight="1" x14ac:dyDescent="0.25"/>
    <row r="488" ht="12.75" customHeight="1" x14ac:dyDescent="0.25"/>
    <row r="489" ht="12.75" customHeight="1" x14ac:dyDescent="0.25"/>
    <row r="490" ht="12.75" customHeight="1" x14ac:dyDescent="0.25"/>
    <row r="491" ht="12.75" customHeight="1" x14ac:dyDescent="0.25"/>
    <row r="492" ht="12.75" customHeight="1" x14ac:dyDescent="0.25"/>
    <row r="493" ht="12.75" customHeight="1" x14ac:dyDescent="0.25"/>
    <row r="494" ht="12.75" customHeight="1" x14ac:dyDescent="0.25"/>
    <row r="495" ht="12.75" customHeight="1" x14ac:dyDescent="0.25"/>
    <row r="496" ht="12.75" customHeight="1" x14ac:dyDescent="0.25"/>
    <row r="497" ht="12.75" customHeight="1" x14ac:dyDescent="0.25"/>
    <row r="498" ht="12.75" customHeight="1" x14ac:dyDescent="0.25"/>
    <row r="499" ht="12.75" customHeight="1" x14ac:dyDescent="0.25"/>
    <row r="500" ht="12.75" customHeight="1" x14ac:dyDescent="0.25"/>
    <row r="501" ht="12.75" customHeight="1" x14ac:dyDescent="0.25"/>
    <row r="502" ht="12.75" customHeight="1" x14ac:dyDescent="0.25"/>
    <row r="503" ht="12.75" customHeight="1" x14ac:dyDescent="0.25"/>
    <row r="504" ht="12.75" customHeight="1" x14ac:dyDescent="0.25"/>
    <row r="505" ht="12.75" customHeight="1" x14ac:dyDescent="0.25"/>
    <row r="506" ht="12.75" customHeight="1" x14ac:dyDescent="0.25"/>
    <row r="507" ht="12.75" customHeight="1" x14ac:dyDescent="0.25"/>
    <row r="508" ht="12.75" customHeight="1" x14ac:dyDescent="0.25"/>
    <row r="509" ht="12.75" customHeight="1" x14ac:dyDescent="0.25"/>
    <row r="510" ht="12.75" customHeight="1" x14ac:dyDescent="0.25"/>
    <row r="511" ht="12.75" customHeight="1" x14ac:dyDescent="0.25"/>
    <row r="512" ht="12.75" customHeight="1" x14ac:dyDescent="0.25"/>
    <row r="513" ht="12.75" customHeight="1" x14ac:dyDescent="0.25"/>
    <row r="514" ht="12.75" customHeight="1" x14ac:dyDescent="0.25"/>
    <row r="515" ht="12.75" customHeight="1" x14ac:dyDescent="0.25"/>
    <row r="516" ht="12.75" customHeight="1" x14ac:dyDescent="0.25"/>
    <row r="517" ht="12.75" customHeight="1" x14ac:dyDescent="0.25"/>
    <row r="518" ht="12.75" customHeight="1" x14ac:dyDescent="0.25"/>
    <row r="519" ht="12.75" customHeight="1" x14ac:dyDescent="0.25"/>
    <row r="520" ht="12.75" customHeight="1" x14ac:dyDescent="0.25"/>
    <row r="521" ht="12.75" customHeight="1" x14ac:dyDescent="0.25"/>
    <row r="522" ht="12.75" customHeight="1" x14ac:dyDescent="0.25"/>
    <row r="523" ht="12.75" customHeight="1" x14ac:dyDescent="0.25"/>
    <row r="524" ht="12.75" customHeight="1" x14ac:dyDescent="0.25"/>
    <row r="525" ht="12.75" customHeight="1" x14ac:dyDescent="0.25"/>
    <row r="526" ht="12.75" customHeight="1" x14ac:dyDescent="0.25"/>
    <row r="527" ht="12.75" customHeight="1" x14ac:dyDescent="0.25"/>
    <row r="528" ht="12.75" customHeight="1" x14ac:dyDescent="0.25"/>
    <row r="529" ht="12.75" customHeight="1" x14ac:dyDescent="0.25"/>
    <row r="530" ht="12.75" customHeight="1" x14ac:dyDescent="0.25"/>
    <row r="531" ht="12.75" customHeight="1" x14ac:dyDescent="0.25"/>
    <row r="532" ht="12.75" customHeight="1" x14ac:dyDescent="0.25"/>
    <row r="533" ht="12.75" customHeight="1" x14ac:dyDescent="0.25"/>
    <row r="534" ht="12.75" customHeight="1" x14ac:dyDescent="0.25"/>
    <row r="535" ht="12.75" customHeight="1" x14ac:dyDescent="0.25"/>
    <row r="536" ht="12.75" customHeight="1" x14ac:dyDescent="0.25"/>
    <row r="537" ht="12.75" customHeight="1" x14ac:dyDescent="0.25"/>
    <row r="538" ht="12.75" customHeight="1" x14ac:dyDescent="0.25"/>
    <row r="539" ht="12.75" customHeight="1" x14ac:dyDescent="0.25"/>
    <row r="540" ht="12.75" customHeight="1" x14ac:dyDescent="0.25"/>
    <row r="541" ht="12.75" customHeight="1" x14ac:dyDescent="0.25"/>
    <row r="542" ht="12.75" customHeight="1" x14ac:dyDescent="0.25"/>
    <row r="543" ht="12.75" customHeight="1" x14ac:dyDescent="0.25"/>
    <row r="544" ht="12.75" customHeight="1" x14ac:dyDescent="0.25"/>
    <row r="545" ht="12.75" customHeight="1" x14ac:dyDescent="0.25"/>
    <row r="546" ht="12.75" customHeight="1" x14ac:dyDescent="0.25"/>
    <row r="547" ht="12.75" customHeight="1" x14ac:dyDescent="0.25"/>
    <row r="548" ht="12.75" customHeight="1" x14ac:dyDescent="0.25"/>
    <row r="549" ht="12.75" customHeight="1" x14ac:dyDescent="0.25"/>
    <row r="550" ht="12.75" customHeight="1" x14ac:dyDescent="0.25"/>
    <row r="551" ht="12.75" customHeight="1" x14ac:dyDescent="0.25"/>
    <row r="552" ht="12.75" customHeight="1" x14ac:dyDescent="0.25"/>
    <row r="553" ht="12.75" customHeight="1" x14ac:dyDescent="0.25"/>
    <row r="554" ht="12.75" customHeight="1" x14ac:dyDescent="0.25"/>
    <row r="555" ht="12.75" customHeight="1" x14ac:dyDescent="0.25"/>
    <row r="556" ht="12.75" customHeight="1" x14ac:dyDescent="0.25"/>
    <row r="557" ht="12.75" customHeight="1" x14ac:dyDescent="0.25"/>
    <row r="558" ht="12.75" customHeight="1" x14ac:dyDescent="0.25"/>
    <row r="559" ht="12.75" customHeight="1" x14ac:dyDescent="0.25"/>
    <row r="560" ht="12.75" customHeight="1" x14ac:dyDescent="0.25"/>
    <row r="561" ht="12.75" customHeight="1" x14ac:dyDescent="0.25"/>
    <row r="562" ht="12.75" customHeight="1" x14ac:dyDescent="0.25"/>
    <row r="563" ht="12.75" customHeight="1" x14ac:dyDescent="0.25"/>
    <row r="564" ht="12.75" customHeight="1" x14ac:dyDescent="0.25"/>
    <row r="565" ht="12.75" customHeight="1" x14ac:dyDescent="0.25"/>
    <row r="566" ht="12.75" customHeight="1" x14ac:dyDescent="0.25"/>
    <row r="567" ht="12.75" customHeight="1" x14ac:dyDescent="0.25"/>
    <row r="568" ht="12.75" customHeight="1" x14ac:dyDescent="0.25"/>
    <row r="569" ht="12.75" customHeight="1" x14ac:dyDescent="0.25"/>
    <row r="570" ht="12.75" customHeight="1" x14ac:dyDescent="0.25"/>
    <row r="571" ht="12.75" customHeight="1" x14ac:dyDescent="0.25"/>
    <row r="572" ht="12.75" customHeight="1" x14ac:dyDescent="0.25"/>
    <row r="573" ht="12.75" customHeight="1" x14ac:dyDescent="0.25"/>
    <row r="574" ht="12.75" customHeight="1" x14ac:dyDescent="0.25"/>
    <row r="575" ht="12.75" customHeight="1" x14ac:dyDescent="0.25"/>
    <row r="576" ht="12.75" customHeight="1" x14ac:dyDescent="0.25"/>
    <row r="577" ht="12.75" customHeight="1" x14ac:dyDescent="0.25"/>
    <row r="578" ht="12.75" customHeight="1" x14ac:dyDescent="0.25"/>
    <row r="579" ht="12.75" customHeight="1" x14ac:dyDescent="0.25"/>
    <row r="580" ht="12.75" customHeight="1" x14ac:dyDescent="0.25"/>
    <row r="581" ht="12.75" customHeight="1" x14ac:dyDescent="0.25"/>
    <row r="582" ht="12.75" customHeight="1" x14ac:dyDescent="0.25"/>
    <row r="583" ht="12.75" customHeight="1" x14ac:dyDescent="0.25"/>
    <row r="584" ht="12.75" customHeight="1" x14ac:dyDescent="0.25"/>
    <row r="585" ht="12.75" customHeight="1" x14ac:dyDescent="0.25"/>
    <row r="586" ht="12.75" customHeight="1" x14ac:dyDescent="0.25"/>
    <row r="587" ht="12.75" customHeight="1" x14ac:dyDescent="0.25"/>
    <row r="588" ht="12.75" customHeight="1" x14ac:dyDescent="0.25"/>
    <row r="589" ht="12.75" customHeight="1" x14ac:dyDescent="0.25"/>
    <row r="590" ht="12.75" customHeight="1" x14ac:dyDescent="0.25"/>
    <row r="591" ht="12.75" customHeight="1" x14ac:dyDescent="0.25"/>
    <row r="592" ht="12.75" customHeight="1" x14ac:dyDescent="0.25"/>
    <row r="593" ht="12.75" customHeight="1" x14ac:dyDescent="0.25"/>
    <row r="594" ht="12.75" customHeight="1" x14ac:dyDescent="0.25"/>
    <row r="595" ht="12.75" customHeight="1" x14ac:dyDescent="0.25"/>
    <row r="596" ht="12.75" customHeight="1" x14ac:dyDescent="0.25"/>
    <row r="597" ht="12.75" customHeight="1" x14ac:dyDescent="0.25"/>
    <row r="598" ht="12.75" customHeight="1" x14ac:dyDescent="0.25"/>
    <row r="599" ht="12.75" customHeight="1" x14ac:dyDescent="0.25"/>
    <row r="600" ht="12.75" customHeight="1" x14ac:dyDescent="0.25"/>
    <row r="601" ht="12.75" customHeight="1" x14ac:dyDescent="0.25"/>
    <row r="602" ht="12.75" customHeight="1" x14ac:dyDescent="0.25"/>
    <row r="603" ht="12.75" customHeight="1" x14ac:dyDescent="0.25"/>
    <row r="604" ht="12.75" customHeight="1" x14ac:dyDescent="0.25"/>
    <row r="605" ht="12.75" customHeight="1" x14ac:dyDescent="0.25"/>
    <row r="606" ht="12.75" customHeight="1" x14ac:dyDescent="0.25"/>
    <row r="607" ht="12.75" customHeight="1" x14ac:dyDescent="0.25"/>
    <row r="608" ht="12.75" customHeight="1" x14ac:dyDescent="0.25"/>
    <row r="609" ht="12.75" customHeight="1" x14ac:dyDescent="0.25"/>
    <row r="610" ht="12.75" customHeight="1" x14ac:dyDescent="0.25"/>
    <row r="611" ht="12.75" customHeight="1" x14ac:dyDescent="0.25"/>
    <row r="612" ht="12.75" customHeight="1" x14ac:dyDescent="0.25"/>
    <row r="613" ht="12.75" customHeight="1" x14ac:dyDescent="0.25"/>
    <row r="614" ht="12.75" customHeight="1" x14ac:dyDescent="0.25"/>
    <row r="615" ht="12.75" customHeight="1" x14ac:dyDescent="0.25"/>
    <row r="616" ht="12.75" customHeight="1" x14ac:dyDescent="0.25"/>
    <row r="617" ht="12.75" customHeight="1" x14ac:dyDescent="0.25"/>
    <row r="618" ht="12.75" customHeight="1" x14ac:dyDescent="0.25"/>
    <row r="619" ht="12.75" customHeight="1" x14ac:dyDescent="0.25"/>
    <row r="620" ht="12.75" customHeight="1" x14ac:dyDescent="0.25"/>
    <row r="621" ht="12.75" customHeight="1" x14ac:dyDescent="0.25"/>
    <row r="622" ht="12.75" customHeight="1" x14ac:dyDescent="0.25"/>
    <row r="623" ht="12.75" customHeight="1" x14ac:dyDescent="0.25"/>
    <row r="624" ht="12.75" customHeight="1" x14ac:dyDescent="0.25"/>
    <row r="625" ht="12.75" customHeight="1" x14ac:dyDescent="0.25"/>
    <row r="626" ht="12.75" customHeight="1" x14ac:dyDescent="0.25"/>
    <row r="627" ht="12.75" customHeight="1" x14ac:dyDescent="0.25"/>
    <row r="628" ht="12.75" customHeight="1" x14ac:dyDescent="0.25"/>
    <row r="629" ht="12.75" customHeight="1" x14ac:dyDescent="0.25"/>
    <row r="630" ht="12.75" customHeight="1" x14ac:dyDescent="0.25"/>
    <row r="631" ht="12.75" customHeight="1" x14ac:dyDescent="0.25"/>
    <row r="632" ht="12.75" customHeight="1" x14ac:dyDescent="0.25"/>
    <row r="633" ht="12.75" customHeight="1" x14ac:dyDescent="0.25"/>
    <row r="634" ht="12.75" customHeight="1" x14ac:dyDescent="0.25"/>
    <row r="635" ht="12.75" customHeight="1" x14ac:dyDescent="0.25"/>
    <row r="636" ht="12.75" customHeight="1" x14ac:dyDescent="0.25"/>
    <row r="637" ht="12.75" customHeight="1" x14ac:dyDescent="0.25"/>
    <row r="638" ht="12.75" customHeight="1" x14ac:dyDescent="0.25"/>
    <row r="639" ht="12.75" customHeight="1" x14ac:dyDescent="0.25"/>
    <row r="640" ht="12.75" customHeight="1" x14ac:dyDescent="0.25"/>
    <row r="641" ht="12.75" customHeight="1" x14ac:dyDescent="0.25"/>
    <row r="642" ht="12.75" customHeight="1" x14ac:dyDescent="0.25"/>
    <row r="643" ht="12.75" customHeight="1" x14ac:dyDescent="0.25"/>
    <row r="644" ht="12.75" customHeight="1" x14ac:dyDescent="0.25"/>
    <row r="645" ht="12.75" customHeight="1" x14ac:dyDescent="0.25"/>
    <row r="646" ht="12.75" customHeight="1" x14ac:dyDescent="0.25"/>
    <row r="647" ht="12.75" customHeight="1" x14ac:dyDescent="0.25"/>
    <row r="648" ht="12.75" customHeight="1" x14ac:dyDescent="0.25"/>
    <row r="649" ht="12.75" customHeight="1" x14ac:dyDescent="0.25"/>
    <row r="650" ht="12.75" customHeight="1" x14ac:dyDescent="0.25"/>
    <row r="651" ht="12.75" customHeight="1" x14ac:dyDescent="0.25"/>
    <row r="652" ht="12.75" customHeight="1" x14ac:dyDescent="0.25"/>
    <row r="653" ht="12.75" customHeight="1" x14ac:dyDescent="0.25"/>
    <row r="654" ht="12.75" customHeight="1" x14ac:dyDescent="0.25"/>
    <row r="655" ht="12.75" customHeight="1" x14ac:dyDescent="0.25"/>
    <row r="656" ht="12.75" customHeight="1" x14ac:dyDescent="0.25"/>
    <row r="657" ht="12.75" customHeight="1" x14ac:dyDescent="0.25"/>
    <row r="658" ht="12.75" customHeight="1" x14ac:dyDescent="0.25"/>
    <row r="659" ht="12.75" customHeight="1" x14ac:dyDescent="0.25"/>
    <row r="660" ht="12.75" customHeight="1" x14ac:dyDescent="0.25"/>
    <row r="661" ht="12.75" customHeight="1" x14ac:dyDescent="0.25"/>
    <row r="662" ht="12.75" customHeight="1" x14ac:dyDescent="0.25"/>
    <row r="663" ht="12.75" customHeight="1" x14ac:dyDescent="0.25"/>
    <row r="664" ht="12.75" customHeight="1" x14ac:dyDescent="0.25"/>
    <row r="665" ht="12.75" customHeight="1" x14ac:dyDescent="0.25"/>
    <row r="666" ht="12.75" customHeight="1" x14ac:dyDescent="0.25"/>
    <row r="667" ht="12.75" customHeight="1" x14ac:dyDescent="0.25"/>
    <row r="668" ht="12.75" customHeight="1" x14ac:dyDescent="0.25"/>
    <row r="669" ht="12.75" customHeight="1" x14ac:dyDescent="0.25"/>
    <row r="670" ht="12.75" customHeight="1" x14ac:dyDescent="0.25"/>
    <row r="671" ht="12.75" customHeight="1" x14ac:dyDescent="0.25"/>
    <row r="672" ht="12.75" customHeight="1" x14ac:dyDescent="0.25"/>
    <row r="673" ht="12.75" customHeight="1" x14ac:dyDescent="0.25"/>
    <row r="674" ht="12.75" customHeight="1" x14ac:dyDescent="0.25"/>
    <row r="675" ht="12.75" customHeight="1" x14ac:dyDescent="0.25"/>
    <row r="676" ht="12.75" customHeight="1" x14ac:dyDescent="0.25"/>
    <row r="677" ht="12.75" customHeight="1" x14ac:dyDescent="0.25"/>
    <row r="678" ht="12.75" customHeight="1" x14ac:dyDescent="0.25"/>
    <row r="679" ht="12.75" customHeight="1" x14ac:dyDescent="0.25"/>
    <row r="680" ht="12.75" customHeight="1" x14ac:dyDescent="0.25"/>
    <row r="681" ht="12.75" customHeight="1" x14ac:dyDescent="0.25"/>
    <row r="682" ht="12.75" customHeight="1" x14ac:dyDescent="0.25"/>
    <row r="683" ht="12.75" customHeight="1" x14ac:dyDescent="0.25"/>
    <row r="684" ht="12.75" customHeight="1" x14ac:dyDescent="0.25"/>
    <row r="685" ht="12.75" customHeight="1" x14ac:dyDescent="0.25"/>
    <row r="686" ht="12.75" customHeight="1" x14ac:dyDescent="0.25"/>
    <row r="687" ht="12.75" customHeight="1" x14ac:dyDescent="0.25"/>
    <row r="688" ht="12.75" customHeight="1" x14ac:dyDescent="0.25"/>
    <row r="689" ht="12.75" customHeight="1" x14ac:dyDescent="0.25"/>
    <row r="690" ht="12.75" customHeight="1" x14ac:dyDescent="0.25"/>
    <row r="691" ht="12.75" customHeight="1" x14ac:dyDescent="0.25"/>
    <row r="692" ht="12.75" customHeight="1" x14ac:dyDescent="0.25"/>
    <row r="693" ht="12.75" customHeight="1" x14ac:dyDescent="0.25"/>
    <row r="694" ht="12.75" customHeight="1" x14ac:dyDescent="0.25"/>
    <row r="695" ht="12.75" customHeight="1" x14ac:dyDescent="0.25"/>
    <row r="696" ht="12.75" customHeight="1" x14ac:dyDescent="0.25"/>
    <row r="697" ht="12.75" customHeight="1" x14ac:dyDescent="0.25"/>
    <row r="698" ht="12.75" customHeight="1" x14ac:dyDescent="0.25"/>
    <row r="699" ht="12.75" customHeight="1" x14ac:dyDescent="0.25"/>
    <row r="700" ht="12.75" customHeight="1" x14ac:dyDescent="0.25"/>
    <row r="701" ht="12.75" customHeight="1" x14ac:dyDescent="0.25"/>
    <row r="702" ht="12.75" customHeight="1" x14ac:dyDescent="0.25"/>
    <row r="703" ht="12.75" customHeight="1" x14ac:dyDescent="0.25"/>
    <row r="704" ht="12.75" customHeight="1" x14ac:dyDescent="0.25"/>
    <row r="705" ht="12.75" customHeight="1" x14ac:dyDescent="0.25"/>
    <row r="706" ht="12.75" customHeight="1" x14ac:dyDescent="0.25"/>
    <row r="707" ht="12.75" customHeight="1" x14ac:dyDescent="0.25"/>
    <row r="708" ht="12.75" customHeight="1" x14ac:dyDescent="0.25"/>
    <row r="709" ht="12.75" customHeight="1" x14ac:dyDescent="0.25"/>
    <row r="710" ht="12.75" customHeight="1" x14ac:dyDescent="0.25"/>
    <row r="711" ht="12.75" customHeight="1" x14ac:dyDescent="0.25"/>
    <row r="712" ht="12.75" customHeight="1" x14ac:dyDescent="0.25"/>
    <row r="713" ht="12.75" customHeight="1" x14ac:dyDescent="0.25"/>
    <row r="714" ht="12.75" customHeight="1" x14ac:dyDescent="0.25"/>
    <row r="715" ht="12.75" customHeight="1" x14ac:dyDescent="0.25"/>
    <row r="716" ht="12.75" customHeight="1" x14ac:dyDescent="0.25"/>
    <row r="717" ht="12.75" customHeight="1" x14ac:dyDescent="0.25"/>
    <row r="718" ht="12.75" customHeight="1" x14ac:dyDescent="0.25"/>
    <row r="719" ht="12.75" customHeight="1" x14ac:dyDescent="0.25"/>
    <row r="720" ht="12.75" customHeight="1" x14ac:dyDescent="0.25"/>
    <row r="721" ht="12.75" customHeight="1" x14ac:dyDescent="0.25"/>
    <row r="722" ht="12.75" customHeight="1" x14ac:dyDescent="0.25"/>
    <row r="723" ht="12.75" customHeight="1" x14ac:dyDescent="0.25"/>
    <row r="724" ht="12.75" customHeight="1" x14ac:dyDescent="0.25"/>
    <row r="725" ht="12.75" customHeight="1" x14ac:dyDescent="0.25"/>
    <row r="726" ht="12.75" customHeight="1" x14ac:dyDescent="0.25"/>
    <row r="727" ht="12.75" customHeight="1" x14ac:dyDescent="0.25"/>
    <row r="728" ht="12.75" customHeight="1" x14ac:dyDescent="0.25"/>
    <row r="729" ht="12.75" customHeight="1" x14ac:dyDescent="0.25"/>
    <row r="730" ht="12.75" customHeight="1" x14ac:dyDescent="0.25"/>
    <row r="731" ht="12.75" customHeight="1" x14ac:dyDescent="0.25"/>
    <row r="732" ht="12.75" customHeight="1" x14ac:dyDescent="0.25"/>
    <row r="733" ht="12.75" customHeight="1" x14ac:dyDescent="0.25"/>
    <row r="734" ht="12.75" customHeight="1" x14ac:dyDescent="0.25"/>
    <row r="735" ht="12.75" customHeight="1" x14ac:dyDescent="0.25"/>
    <row r="736" ht="12.75" customHeight="1" x14ac:dyDescent="0.25"/>
    <row r="737" ht="12.75" customHeight="1" x14ac:dyDescent="0.25"/>
    <row r="738" ht="12.75" customHeight="1" x14ac:dyDescent="0.25"/>
    <row r="739" ht="12.75" customHeight="1" x14ac:dyDescent="0.25"/>
    <row r="740" ht="12.75" customHeight="1" x14ac:dyDescent="0.25"/>
    <row r="741" ht="12.75" customHeight="1" x14ac:dyDescent="0.25"/>
    <row r="742" ht="12.75" customHeight="1" x14ac:dyDescent="0.25"/>
    <row r="743" ht="12.75" customHeight="1" x14ac:dyDescent="0.25"/>
    <row r="744" ht="12.75" customHeight="1" x14ac:dyDescent="0.25"/>
    <row r="745" ht="12.75" customHeight="1" x14ac:dyDescent="0.25"/>
    <row r="746" ht="12.75" customHeight="1" x14ac:dyDescent="0.25"/>
    <row r="747" ht="12.75" customHeight="1" x14ac:dyDescent="0.25"/>
    <row r="748" ht="12.75" customHeight="1" x14ac:dyDescent="0.25"/>
    <row r="749" ht="12.75" customHeight="1" x14ac:dyDescent="0.25"/>
    <row r="750" ht="12.75" customHeight="1" x14ac:dyDescent="0.25"/>
    <row r="751" ht="12.75" customHeight="1" x14ac:dyDescent="0.25"/>
    <row r="752" ht="12.75" customHeight="1" x14ac:dyDescent="0.25"/>
    <row r="753" ht="12.75" customHeight="1" x14ac:dyDescent="0.25"/>
    <row r="754" ht="12.75" customHeight="1" x14ac:dyDescent="0.25"/>
    <row r="755" ht="12.75" customHeight="1" x14ac:dyDescent="0.25"/>
    <row r="756" ht="12.75" customHeight="1" x14ac:dyDescent="0.25"/>
    <row r="757" ht="12.75" customHeight="1" x14ac:dyDescent="0.25"/>
    <row r="758" ht="12.75" customHeight="1" x14ac:dyDescent="0.25"/>
    <row r="759" ht="12.75" customHeight="1" x14ac:dyDescent="0.25"/>
    <row r="760" ht="12.75" customHeight="1" x14ac:dyDescent="0.25"/>
    <row r="761" ht="12.75" customHeight="1" x14ac:dyDescent="0.25"/>
    <row r="762" ht="12.75" customHeight="1" x14ac:dyDescent="0.25"/>
    <row r="763" ht="12.75" customHeight="1" x14ac:dyDescent="0.25"/>
    <row r="764" ht="12.75" customHeight="1" x14ac:dyDescent="0.25"/>
    <row r="765" ht="12.75" customHeight="1" x14ac:dyDescent="0.25"/>
    <row r="766" ht="12.75" customHeight="1" x14ac:dyDescent="0.25"/>
    <row r="767" ht="12.75" customHeight="1" x14ac:dyDescent="0.25"/>
    <row r="768" ht="12.75" customHeight="1" x14ac:dyDescent="0.25"/>
    <row r="769" ht="12.75" customHeight="1" x14ac:dyDescent="0.25"/>
    <row r="770" ht="12.75" customHeight="1" x14ac:dyDescent="0.25"/>
    <row r="771" ht="12.75" customHeight="1" x14ac:dyDescent="0.25"/>
    <row r="772" ht="12.75" customHeight="1" x14ac:dyDescent="0.25"/>
    <row r="773" ht="12.75" customHeight="1" x14ac:dyDescent="0.25"/>
    <row r="774" ht="12.75" customHeight="1" x14ac:dyDescent="0.25"/>
    <row r="775" ht="12.75" customHeight="1" x14ac:dyDescent="0.25"/>
    <row r="776" ht="12.75" customHeight="1" x14ac:dyDescent="0.25"/>
    <row r="777" ht="12.75" customHeight="1" x14ac:dyDescent="0.25"/>
    <row r="778" ht="12.75" customHeight="1" x14ac:dyDescent="0.25"/>
    <row r="779" ht="12.75" customHeight="1" x14ac:dyDescent="0.25"/>
    <row r="780" ht="12.75" customHeight="1" x14ac:dyDescent="0.25"/>
    <row r="781" ht="12.75" customHeight="1" x14ac:dyDescent="0.25"/>
    <row r="782" ht="12.75" customHeight="1" x14ac:dyDescent="0.25"/>
    <row r="783" ht="12.75" customHeight="1" x14ac:dyDescent="0.25"/>
    <row r="784" ht="12.75" customHeight="1" x14ac:dyDescent="0.25"/>
    <row r="785" ht="12.75" customHeight="1" x14ac:dyDescent="0.25"/>
    <row r="786" ht="12.75" customHeight="1" x14ac:dyDescent="0.25"/>
    <row r="787" ht="12.75" customHeight="1" x14ac:dyDescent="0.25"/>
    <row r="788" ht="12.75" customHeight="1" x14ac:dyDescent="0.25"/>
    <row r="789" ht="12.75" customHeight="1" x14ac:dyDescent="0.25"/>
    <row r="790" ht="12.75" customHeight="1" x14ac:dyDescent="0.25"/>
    <row r="791" ht="12.75" customHeight="1" x14ac:dyDescent="0.25"/>
    <row r="792" ht="12.75" customHeight="1" x14ac:dyDescent="0.25"/>
    <row r="793" ht="12.75" customHeight="1" x14ac:dyDescent="0.25"/>
    <row r="794" ht="12.75" customHeight="1" x14ac:dyDescent="0.25"/>
    <row r="795" ht="12.75" customHeight="1" x14ac:dyDescent="0.25"/>
    <row r="796" ht="12.75" customHeight="1" x14ac:dyDescent="0.25"/>
    <row r="797" ht="12.75" customHeight="1" x14ac:dyDescent="0.25"/>
    <row r="798" ht="12.75" customHeight="1" x14ac:dyDescent="0.25"/>
    <row r="799" ht="12.75" customHeight="1" x14ac:dyDescent="0.25"/>
    <row r="800" ht="12.75" customHeight="1" x14ac:dyDescent="0.25"/>
    <row r="801" ht="12.75" customHeight="1" x14ac:dyDescent="0.25"/>
    <row r="802" ht="12.75" customHeight="1" x14ac:dyDescent="0.25"/>
    <row r="803" ht="12.75" customHeight="1" x14ac:dyDescent="0.25"/>
    <row r="804" ht="12.75" customHeight="1" x14ac:dyDescent="0.25"/>
    <row r="805" ht="12.75" customHeight="1" x14ac:dyDescent="0.25"/>
    <row r="806" ht="12.75" customHeight="1" x14ac:dyDescent="0.25"/>
    <row r="807" ht="12.75" customHeight="1" x14ac:dyDescent="0.25"/>
    <row r="808" ht="12.75" customHeight="1" x14ac:dyDescent="0.25"/>
    <row r="809" ht="12.75" customHeight="1" x14ac:dyDescent="0.25"/>
    <row r="810" ht="12.75" customHeight="1" x14ac:dyDescent="0.25"/>
    <row r="811" ht="12.75" customHeight="1" x14ac:dyDescent="0.25"/>
    <row r="812" ht="12.75" customHeight="1" x14ac:dyDescent="0.25"/>
    <row r="813" ht="12.75" customHeight="1" x14ac:dyDescent="0.25"/>
    <row r="814" ht="12.75" customHeight="1" x14ac:dyDescent="0.25"/>
    <row r="815" ht="12.75" customHeight="1" x14ac:dyDescent="0.25"/>
    <row r="816" ht="12.75" customHeight="1" x14ac:dyDescent="0.25"/>
    <row r="817" ht="12.75" customHeight="1" x14ac:dyDescent="0.25"/>
    <row r="818" ht="12.75" customHeight="1" x14ac:dyDescent="0.25"/>
    <row r="819" ht="12.75" customHeight="1" x14ac:dyDescent="0.25"/>
    <row r="820" ht="12.75" customHeight="1" x14ac:dyDescent="0.25"/>
    <row r="821" ht="12.75" customHeight="1" x14ac:dyDescent="0.25"/>
    <row r="822" ht="12.75" customHeight="1" x14ac:dyDescent="0.25"/>
    <row r="823" ht="12.75" customHeight="1" x14ac:dyDescent="0.25"/>
    <row r="824" ht="12.75" customHeight="1" x14ac:dyDescent="0.25"/>
    <row r="825" ht="12.75" customHeight="1" x14ac:dyDescent="0.25"/>
    <row r="826" ht="12.75" customHeight="1" x14ac:dyDescent="0.25"/>
    <row r="827" ht="12.75" customHeight="1" x14ac:dyDescent="0.25"/>
    <row r="828" ht="12.75" customHeight="1" x14ac:dyDescent="0.25"/>
    <row r="829" ht="12.75" customHeight="1" x14ac:dyDescent="0.25"/>
    <row r="830" ht="12.75" customHeight="1" x14ac:dyDescent="0.25"/>
    <row r="831" ht="12.75" customHeight="1" x14ac:dyDescent="0.25"/>
    <row r="832" ht="12.75" customHeight="1" x14ac:dyDescent="0.25"/>
    <row r="833" ht="12.75" customHeight="1" x14ac:dyDescent="0.25"/>
    <row r="834" ht="12.75" customHeight="1" x14ac:dyDescent="0.25"/>
    <row r="835" ht="12.75" customHeight="1" x14ac:dyDescent="0.25"/>
    <row r="836" ht="12.75" customHeight="1" x14ac:dyDescent="0.25"/>
    <row r="837" ht="12.75" customHeight="1" x14ac:dyDescent="0.25"/>
    <row r="838" ht="12.75" customHeight="1" x14ac:dyDescent="0.25"/>
    <row r="839" ht="12.75" customHeight="1" x14ac:dyDescent="0.25"/>
    <row r="840" ht="12.75" customHeight="1" x14ac:dyDescent="0.25"/>
    <row r="841" ht="12.75" customHeight="1" x14ac:dyDescent="0.25"/>
    <row r="842" ht="12.75" customHeight="1" x14ac:dyDescent="0.25"/>
    <row r="843" ht="12.75" customHeight="1" x14ac:dyDescent="0.25"/>
    <row r="844" ht="12.75" customHeight="1" x14ac:dyDescent="0.25"/>
    <row r="845" ht="12.75" customHeight="1" x14ac:dyDescent="0.25"/>
    <row r="846" ht="12.75" customHeight="1" x14ac:dyDescent="0.25"/>
    <row r="847" ht="12.75" customHeight="1" x14ac:dyDescent="0.25"/>
    <row r="848" ht="12.75" customHeight="1" x14ac:dyDescent="0.25"/>
    <row r="849" ht="12.75" customHeight="1" x14ac:dyDescent="0.25"/>
    <row r="850" ht="12.75" customHeight="1" x14ac:dyDescent="0.25"/>
    <row r="851" ht="12.75" customHeight="1" x14ac:dyDescent="0.25"/>
    <row r="852" ht="12.75" customHeight="1" x14ac:dyDescent="0.25"/>
    <row r="853" ht="12.75" customHeight="1" x14ac:dyDescent="0.25"/>
    <row r="854" ht="12.75" customHeight="1" x14ac:dyDescent="0.25"/>
    <row r="855" ht="12.75" customHeight="1" x14ac:dyDescent="0.25"/>
    <row r="856" ht="12.75" customHeight="1" x14ac:dyDescent="0.25"/>
    <row r="857" ht="12.75" customHeight="1" x14ac:dyDescent="0.25"/>
    <row r="858" ht="12.75" customHeight="1" x14ac:dyDescent="0.25"/>
    <row r="859" ht="12.75" customHeight="1" x14ac:dyDescent="0.25"/>
    <row r="860" ht="12.75" customHeight="1" x14ac:dyDescent="0.25"/>
    <row r="861" ht="12.75" customHeight="1" x14ac:dyDescent="0.25"/>
    <row r="862" ht="12.75" customHeight="1" x14ac:dyDescent="0.25"/>
    <row r="863" ht="12.75" customHeight="1" x14ac:dyDescent="0.25"/>
    <row r="864" ht="12.75" customHeight="1" x14ac:dyDescent="0.25"/>
    <row r="865" ht="12.75" customHeight="1" x14ac:dyDescent="0.25"/>
    <row r="866" ht="12.75" customHeight="1" x14ac:dyDescent="0.25"/>
    <row r="867" ht="12.75" customHeight="1" x14ac:dyDescent="0.25"/>
    <row r="868" ht="12.75" customHeight="1" x14ac:dyDescent="0.25"/>
    <row r="869" ht="12.75" customHeight="1" x14ac:dyDescent="0.25"/>
    <row r="870" ht="12.75" customHeight="1" x14ac:dyDescent="0.25"/>
    <row r="871" ht="12.75" customHeight="1" x14ac:dyDescent="0.25"/>
    <row r="872" ht="12.75" customHeight="1" x14ac:dyDescent="0.25"/>
    <row r="873" ht="12.75" customHeight="1" x14ac:dyDescent="0.25"/>
    <row r="874" ht="12.75" customHeight="1" x14ac:dyDescent="0.25"/>
    <row r="875" ht="12.75" customHeight="1" x14ac:dyDescent="0.25"/>
    <row r="876" ht="12.75" customHeight="1" x14ac:dyDescent="0.25"/>
    <row r="877" ht="12.75" customHeight="1" x14ac:dyDescent="0.25"/>
    <row r="878" ht="12.75" customHeight="1" x14ac:dyDescent="0.25"/>
    <row r="879" ht="12.75" customHeight="1" x14ac:dyDescent="0.25"/>
    <row r="880" ht="12.75" customHeight="1" x14ac:dyDescent="0.25"/>
    <row r="881" ht="12.75" customHeight="1" x14ac:dyDescent="0.25"/>
    <row r="882" ht="12.75" customHeight="1" x14ac:dyDescent="0.25"/>
    <row r="883" ht="12.75" customHeight="1" x14ac:dyDescent="0.25"/>
    <row r="884" ht="12.75" customHeight="1" x14ac:dyDescent="0.25"/>
    <row r="885" ht="12.75" customHeight="1" x14ac:dyDescent="0.25"/>
    <row r="886" ht="12.75" customHeight="1" x14ac:dyDescent="0.25"/>
    <row r="887" ht="12.75" customHeight="1" x14ac:dyDescent="0.25"/>
    <row r="888" ht="12.75" customHeight="1" x14ac:dyDescent="0.25"/>
    <row r="889" ht="12.75" customHeight="1" x14ac:dyDescent="0.25"/>
    <row r="890" ht="12.75" customHeight="1" x14ac:dyDescent="0.25"/>
    <row r="891" ht="12.75" customHeight="1" x14ac:dyDescent="0.25"/>
    <row r="892" ht="12.75" customHeight="1" x14ac:dyDescent="0.25"/>
    <row r="893" ht="12.75" customHeight="1" x14ac:dyDescent="0.25"/>
    <row r="894" ht="12.75" customHeight="1" x14ac:dyDescent="0.25"/>
    <row r="895" ht="12.75" customHeight="1" x14ac:dyDescent="0.25"/>
    <row r="896" ht="12.75" customHeight="1" x14ac:dyDescent="0.25"/>
    <row r="897" ht="12.75" customHeight="1" x14ac:dyDescent="0.25"/>
    <row r="898" ht="12.75" customHeight="1" x14ac:dyDescent="0.25"/>
    <row r="899" ht="12.75" customHeight="1" x14ac:dyDescent="0.25"/>
    <row r="900" ht="12.75" customHeight="1" x14ac:dyDescent="0.25"/>
    <row r="901" ht="12.75" customHeight="1" x14ac:dyDescent="0.25"/>
    <row r="902" ht="12.75" customHeight="1" x14ac:dyDescent="0.25"/>
    <row r="903" ht="12.75" customHeight="1" x14ac:dyDescent="0.25"/>
    <row r="904" ht="12.75" customHeight="1" x14ac:dyDescent="0.25"/>
    <row r="905" ht="12.75" customHeight="1" x14ac:dyDescent="0.25"/>
    <row r="906" ht="12.75" customHeight="1" x14ac:dyDescent="0.25"/>
    <row r="907" ht="12.75" customHeight="1" x14ac:dyDescent="0.25"/>
    <row r="908" ht="12.75" customHeight="1" x14ac:dyDescent="0.25"/>
    <row r="909" ht="12.75" customHeight="1" x14ac:dyDescent="0.25"/>
    <row r="910" ht="12.75" customHeight="1" x14ac:dyDescent="0.25"/>
    <row r="911" ht="12.75" customHeight="1" x14ac:dyDescent="0.25"/>
    <row r="912" ht="12.75" customHeight="1" x14ac:dyDescent="0.25"/>
    <row r="913" ht="12.75" customHeight="1" x14ac:dyDescent="0.25"/>
    <row r="914" ht="12.75" customHeight="1" x14ac:dyDescent="0.25"/>
    <row r="915" ht="12.75" customHeight="1" x14ac:dyDescent="0.25"/>
    <row r="916" ht="12.75" customHeight="1" x14ac:dyDescent="0.25"/>
  </sheetData>
  <mergeCells count="26">
    <mergeCell ref="AB132:AC132"/>
    <mergeCell ref="AB96:AC96"/>
    <mergeCell ref="B113:N113"/>
    <mergeCell ref="P113:AA113"/>
    <mergeCell ref="AB114:AC114"/>
    <mergeCell ref="B131:N131"/>
    <mergeCell ref="P131:AA131"/>
    <mergeCell ref="B95:N95"/>
    <mergeCell ref="P95:AA95"/>
    <mergeCell ref="AB22:AC22"/>
    <mergeCell ref="B39:N39"/>
    <mergeCell ref="P39:AA39"/>
    <mergeCell ref="AB40:AC40"/>
    <mergeCell ref="B57:N57"/>
    <mergeCell ref="P57:AA57"/>
    <mergeCell ref="AB58:AC58"/>
    <mergeCell ref="A74:F74"/>
    <mergeCell ref="B77:N77"/>
    <mergeCell ref="P77:AA77"/>
    <mergeCell ref="AB78:AC78"/>
    <mergeCell ref="A1:F1"/>
    <mergeCell ref="B3:N3"/>
    <mergeCell ref="P3:AA3"/>
    <mergeCell ref="AB4:AC4"/>
    <mergeCell ref="B21:N21"/>
    <mergeCell ref="P21:AA21"/>
  </mergeCells>
  <conditionalFormatting sqref="Q5:AA15">
    <cfRule type="dataBar" priority="15">
      <dataBar>
        <cfvo type="min"/>
        <cfvo type="max"/>
        <color rgb="FFFFB628"/>
      </dataBar>
      <extLst>
        <ext xmlns:x14="http://schemas.microsoft.com/office/spreadsheetml/2009/9/main" uri="{B025F937-C7B1-47D3-B67F-A62EFF666E3E}">
          <x14:id>{F70AF156-8E93-4990-B15C-870A21FED114}</x14:id>
        </ext>
      </extLst>
    </cfRule>
    <cfRule type="dataBar" priority="16">
      <dataBar>
        <cfvo type="min"/>
        <cfvo type="max"/>
        <color rgb="FFFF555A"/>
      </dataBar>
      <extLst>
        <ext xmlns:x14="http://schemas.microsoft.com/office/spreadsheetml/2009/9/main" uri="{B025F937-C7B1-47D3-B67F-A62EFF666E3E}">
          <x14:id>{39AC26C6-D6E7-4438-965A-2F6AC7F74186}</x14:id>
        </ext>
      </extLst>
    </cfRule>
  </conditionalFormatting>
  <conditionalFormatting sqref="Q23:AA33">
    <cfRule type="dataBar" priority="13">
      <dataBar>
        <cfvo type="min"/>
        <cfvo type="max"/>
        <color rgb="FFFFB628"/>
      </dataBar>
      <extLst>
        <ext xmlns:x14="http://schemas.microsoft.com/office/spreadsheetml/2009/9/main" uri="{B025F937-C7B1-47D3-B67F-A62EFF666E3E}">
          <x14:id>{EA889CD4-ACBF-4F55-8A0E-3FE6B95ADAA4}</x14:id>
        </ext>
      </extLst>
    </cfRule>
    <cfRule type="dataBar" priority="14">
      <dataBar>
        <cfvo type="min"/>
        <cfvo type="max"/>
        <color rgb="FFFF555A"/>
      </dataBar>
      <extLst>
        <ext xmlns:x14="http://schemas.microsoft.com/office/spreadsheetml/2009/9/main" uri="{B025F937-C7B1-47D3-B67F-A62EFF666E3E}">
          <x14:id>{FE396C8F-459E-4952-B24C-66D8B1F87D9D}</x14:id>
        </ext>
      </extLst>
    </cfRule>
  </conditionalFormatting>
  <conditionalFormatting sqref="Q41:AA51">
    <cfRule type="dataBar" priority="11">
      <dataBar>
        <cfvo type="min"/>
        <cfvo type="max"/>
        <color rgb="FFFFB628"/>
      </dataBar>
      <extLst>
        <ext xmlns:x14="http://schemas.microsoft.com/office/spreadsheetml/2009/9/main" uri="{B025F937-C7B1-47D3-B67F-A62EFF666E3E}">
          <x14:id>{4E00408E-CEC4-44FE-BF85-195C993FAB13}</x14:id>
        </ext>
      </extLst>
    </cfRule>
    <cfRule type="dataBar" priority="12">
      <dataBar>
        <cfvo type="min"/>
        <cfvo type="max"/>
        <color rgb="FFFF555A"/>
      </dataBar>
      <extLst>
        <ext xmlns:x14="http://schemas.microsoft.com/office/spreadsheetml/2009/9/main" uri="{B025F937-C7B1-47D3-B67F-A62EFF666E3E}">
          <x14:id>{09783ED3-3342-473C-9734-C262A978EB4D}</x14:id>
        </ext>
      </extLst>
    </cfRule>
  </conditionalFormatting>
  <conditionalFormatting sqref="Q59:AA69">
    <cfRule type="dataBar" priority="9">
      <dataBar>
        <cfvo type="min"/>
        <cfvo type="max"/>
        <color rgb="FFFFB628"/>
      </dataBar>
      <extLst>
        <ext xmlns:x14="http://schemas.microsoft.com/office/spreadsheetml/2009/9/main" uri="{B025F937-C7B1-47D3-B67F-A62EFF666E3E}">
          <x14:id>{5EA922EA-3138-47F4-97BF-F9D6F8241BFF}</x14:id>
        </ext>
      </extLst>
    </cfRule>
    <cfRule type="dataBar" priority="10">
      <dataBar>
        <cfvo type="min"/>
        <cfvo type="max"/>
        <color rgb="FFFF555A"/>
      </dataBar>
      <extLst>
        <ext xmlns:x14="http://schemas.microsoft.com/office/spreadsheetml/2009/9/main" uri="{B025F937-C7B1-47D3-B67F-A62EFF666E3E}">
          <x14:id>{55E54AE8-FFBB-4447-A396-E1510EB5B7B8}</x14:id>
        </ext>
      </extLst>
    </cfRule>
  </conditionalFormatting>
  <conditionalFormatting sqref="Q79:AA89">
    <cfRule type="dataBar" priority="7">
      <dataBar>
        <cfvo type="min"/>
        <cfvo type="max"/>
        <color rgb="FFFFB628"/>
      </dataBar>
      <extLst>
        <ext xmlns:x14="http://schemas.microsoft.com/office/spreadsheetml/2009/9/main" uri="{B025F937-C7B1-47D3-B67F-A62EFF666E3E}">
          <x14:id>{2A23BBC8-EAB2-4EAE-BF68-5ABCD3EABEDF}</x14:id>
        </ext>
      </extLst>
    </cfRule>
    <cfRule type="dataBar" priority="8">
      <dataBar>
        <cfvo type="min"/>
        <cfvo type="max"/>
        <color rgb="FFFF555A"/>
      </dataBar>
      <extLst>
        <ext xmlns:x14="http://schemas.microsoft.com/office/spreadsheetml/2009/9/main" uri="{B025F937-C7B1-47D3-B67F-A62EFF666E3E}">
          <x14:id>{94BC80B7-F581-4C0F-9527-2CA97032F72D}</x14:id>
        </ext>
      </extLst>
    </cfRule>
  </conditionalFormatting>
  <conditionalFormatting sqref="Q97:AA107">
    <cfRule type="dataBar" priority="5">
      <dataBar>
        <cfvo type="min"/>
        <cfvo type="max"/>
        <color rgb="FFFFB628"/>
      </dataBar>
      <extLst>
        <ext xmlns:x14="http://schemas.microsoft.com/office/spreadsheetml/2009/9/main" uri="{B025F937-C7B1-47D3-B67F-A62EFF666E3E}">
          <x14:id>{2BB45D89-1222-4810-8865-A32F22256617}</x14:id>
        </ext>
      </extLst>
    </cfRule>
    <cfRule type="dataBar" priority="6">
      <dataBar>
        <cfvo type="min"/>
        <cfvo type="max"/>
        <color rgb="FFFF555A"/>
      </dataBar>
      <extLst>
        <ext xmlns:x14="http://schemas.microsoft.com/office/spreadsheetml/2009/9/main" uri="{B025F937-C7B1-47D3-B67F-A62EFF666E3E}">
          <x14:id>{9C84162D-ABC0-4157-BAA7-47B7308B2A08}</x14:id>
        </ext>
      </extLst>
    </cfRule>
  </conditionalFormatting>
  <conditionalFormatting sqref="Q115:AA125">
    <cfRule type="dataBar" priority="3">
      <dataBar>
        <cfvo type="min"/>
        <cfvo type="max"/>
        <color rgb="FFFFB628"/>
      </dataBar>
      <extLst>
        <ext xmlns:x14="http://schemas.microsoft.com/office/spreadsheetml/2009/9/main" uri="{B025F937-C7B1-47D3-B67F-A62EFF666E3E}">
          <x14:id>{35D664A0-D38F-40A4-A0D6-66DE30B2DA50}</x14:id>
        </ext>
      </extLst>
    </cfRule>
    <cfRule type="dataBar" priority="4">
      <dataBar>
        <cfvo type="min"/>
        <cfvo type="max"/>
        <color rgb="FFFF555A"/>
      </dataBar>
      <extLst>
        <ext xmlns:x14="http://schemas.microsoft.com/office/spreadsheetml/2009/9/main" uri="{B025F937-C7B1-47D3-B67F-A62EFF666E3E}">
          <x14:id>{8AFFD921-E333-4FD7-82E0-8FFF155C45A5}</x14:id>
        </ext>
      </extLst>
    </cfRule>
  </conditionalFormatting>
  <conditionalFormatting sqref="Q133:AA143">
    <cfRule type="dataBar" priority="1">
      <dataBar>
        <cfvo type="min"/>
        <cfvo type="max"/>
        <color rgb="FFFFB628"/>
      </dataBar>
      <extLst>
        <ext xmlns:x14="http://schemas.microsoft.com/office/spreadsheetml/2009/9/main" uri="{B025F937-C7B1-47D3-B67F-A62EFF666E3E}">
          <x14:id>{71F30B9B-EA58-41A2-8DE6-5602FE57C1A5}</x14:id>
        </ext>
      </extLst>
    </cfRule>
    <cfRule type="dataBar" priority="2">
      <dataBar>
        <cfvo type="min"/>
        <cfvo type="max"/>
        <color rgb="FFFF555A"/>
      </dataBar>
      <extLst>
        <ext xmlns:x14="http://schemas.microsoft.com/office/spreadsheetml/2009/9/main" uri="{B025F937-C7B1-47D3-B67F-A62EFF666E3E}">
          <x14:id>{C1F60F84-BA9A-4833-9D91-C855B494CAE5}</x14:id>
        </ext>
      </extLst>
    </cfRule>
  </conditionalFormatting>
  <pageMargins left="0.7" right="0.7" top="0.75" bottom="0.75" header="0" footer="0"/>
  <pageSetup paperSize="9" orientation="portrait" r:id="rId1"/>
  <tableParts count="8">
    <tablePart r:id="rId2"/>
    <tablePart r:id="rId3"/>
    <tablePart r:id="rId4"/>
    <tablePart r:id="rId5"/>
    <tablePart r:id="rId6"/>
    <tablePart r:id="rId7"/>
    <tablePart r:id="rId8"/>
    <tablePart r:id="rId9"/>
  </tableParts>
  <extLst>
    <ext xmlns:x14="http://schemas.microsoft.com/office/spreadsheetml/2009/9/main" uri="{78C0D931-6437-407d-A8EE-F0AAD7539E65}">
      <x14:conditionalFormattings>
        <x14:conditionalFormatting xmlns:xm="http://schemas.microsoft.com/office/excel/2006/main">
          <x14:cfRule type="dataBar" id="{F70AF156-8E93-4990-B15C-870A21FED114}">
            <x14:dataBar minLength="0" maxLength="100" gradient="0">
              <x14:cfvo type="autoMin"/>
              <x14:cfvo type="autoMax"/>
              <x14:negativeFillColor rgb="FFFF0000"/>
              <x14:axisColor rgb="FF000000"/>
            </x14:dataBar>
          </x14:cfRule>
          <x14:cfRule type="dataBar" id="{39AC26C6-D6E7-4438-965A-2F6AC7F74186}">
            <x14:dataBar minLength="0" maxLength="100" border="1" negativeBarBorderColorSameAsPositive="0">
              <x14:cfvo type="autoMin"/>
              <x14:cfvo type="autoMax"/>
              <x14:borderColor rgb="FFFF555A"/>
              <x14:negativeFillColor rgb="FFFF0000"/>
              <x14:negativeBorderColor rgb="FFFF0000"/>
              <x14:axisColor rgb="FF000000"/>
            </x14:dataBar>
          </x14:cfRule>
          <xm:sqref>Q5:AA15</xm:sqref>
        </x14:conditionalFormatting>
        <x14:conditionalFormatting xmlns:xm="http://schemas.microsoft.com/office/excel/2006/main">
          <x14:cfRule type="dataBar" id="{EA889CD4-ACBF-4F55-8A0E-3FE6B95ADAA4}">
            <x14:dataBar minLength="0" maxLength="100" gradient="0">
              <x14:cfvo type="autoMin"/>
              <x14:cfvo type="autoMax"/>
              <x14:negativeFillColor rgb="FFFF0000"/>
              <x14:axisColor rgb="FF000000"/>
            </x14:dataBar>
          </x14:cfRule>
          <x14:cfRule type="dataBar" id="{FE396C8F-459E-4952-B24C-66D8B1F87D9D}">
            <x14:dataBar minLength="0" maxLength="100" border="1" negativeBarBorderColorSameAsPositive="0">
              <x14:cfvo type="autoMin"/>
              <x14:cfvo type="autoMax"/>
              <x14:borderColor rgb="FFFF555A"/>
              <x14:negativeFillColor rgb="FFFF0000"/>
              <x14:negativeBorderColor rgb="FFFF0000"/>
              <x14:axisColor rgb="FF000000"/>
            </x14:dataBar>
          </x14:cfRule>
          <xm:sqref>Q23:AA33</xm:sqref>
        </x14:conditionalFormatting>
        <x14:conditionalFormatting xmlns:xm="http://schemas.microsoft.com/office/excel/2006/main">
          <x14:cfRule type="dataBar" id="{4E00408E-CEC4-44FE-BF85-195C993FAB13}">
            <x14:dataBar minLength="0" maxLength="100" gradient="0">
              <x14:cfvo type="autoMin"/>
              <x14:cfvo type="autoMax"/>
              <x14:negativeFillColor rgb="FFFF0000"/>
              <x14:axisColor rgb="FF000000"/>
            </x14:dataBar>
          </x14:cfRule>
          <x14:cfRule type="dataBar" id="{09783ED3-3342-473C-9734-C262A978EB4D}">
            <x14:dataBar minLength="0" maxLength="100" border="1" negativeBarBorderColorSameAsPositive="0">
              <x14:cfvo type="autoMin"/>
              <x14:cfvo type="autoMax"/>
              <x14:borderColor rgb="FFFF555A"/>
              <x14:negativeFillColor rgb="FFFF0000"/>
              <x14:negativeBorderColor rgb="FFFF0000"/>
              <x14:axisColor rgb="FF000000"/>
            </x14:dataBar>
          </x14:cfRule>
          <xm:sqref>Q41:AA51</xm:sqref>
        </x14:conditionalFormatting>
        <x14:conditionalFormatting xmlns:xm="http://schemas.microsoft.com/office/excel/2006/main">
          <x14:cfRule type="dataBar" id="{5EA922EA-3138-47F4-97BF-F9D6F8241BFF}">
            <x14:dataBar minLength="0" maxLength="100" gradient="0">
              <x14:cfvo type="autoMin"/>
              <x14:cfvo type="autoMax"/>
              <x14:negativeFillColor rgb="FFFF0000"/>
              <x14:axisColor rgb="FF000000"/>
            </x14:dataBar>
          </x14:cfRule>
          <x14:cfRule type="dataBar" id="{55E54AE8-FFBB-4447-A396-E1510EB5B7B8}">
            <x14:dataBar minLength="0" maxLength="100" border="1" negativeBarBorderColorSameAsPositive="0">
              <x14:cfvo type="autoMin"/>
              <x14:cfvo type="autoMax"/>
              <x14:borderColor rgb="FFFF555A"/>
              <x14:negativeFillColor rgb="FFFF0000"/>
              <x14:negativeBorderColor rgb="FFFF0000"/>
              <x14:axisColor rgb="FF000000"/>
            </x14:dataBar>
          </x14:cfRule>
          <xm:sqref>Q59:AA69</xm:sqref>
        </x14:conditionalFormatting>
        <x14:conditionalFormatting xmlns:xm="http://schemas.microsoft.com/office/excel/2006/main">
          <x14:cfRule type="dataBar" id="{2A23BBC8-EAB2-4EAE-BF68-5ABCD3EABEDF}">
            <x14:dataBar minLength="0" maxLength="100" gradient="0">
              <x14:cfvo type="autoMin"/>
              <x14:cfvo type="autoMax"/>
              <x14:negativeFillColor rgb="FFFF0000"/>
              <x14:axisColor rgb="FF000000"/>
            </x14:dataBar>
          </x14:cfRule>
          <x14:cfRule type="dataBar" id="{94BC80B7-F581-4C0F-9527-2CA97032F72D}">
            <x14:dataBar minLength="0" maxLength="100" border="1" negativeBarBorderColorSameAsPositive="0">
              <x14:cfvo type="autoMin"/>
              <x14:cfvo type="autoMax"/>
              <x14:borderColor rgb="FFFF555A"/>
              <x14:negativeFillColor rgb="FFFF0000"/>
              <x14:negativeBorderColor rgb="FFFF0000"/>
              <x14:axisColor rgb="FF000000"/>
            </x14:dataBar>
          </x14:cfRule>
          <xm:sqref>Q79:AA89</xm:sqref>
        </x14:conditionalFormatting>
        <x14:conditionalFormatting xmlns:xm="http://schemas.microsoft.com/office/excel/2006/main">
          <x14:cfRule type="dataBar" id="{2BB45D89-1222-4810-8865-A32F22256617}">
            <x14:dataBar minLength="0" maxLength="100" gradient="0">
              <x14:cfvo type="autoMin"/>
              <x14:cfvo type="autoMax"/>
              <x14:negativeFillColor rgb="FFFF0000"/>
              <x14:axisColor rgb="FF000000"/>
            </x14:dataBar>
          </x14:cfRule>
          <x14:cfRule type="dataBar" id="{9C84162D-ABC0-4157-BAA7-47B7308B2A08}">
            <x14:dataBar minLength="0" maxLength="100" border="1" negativeBarBorderColorSameAsPositive="0">
              <x14:cfvo type="autoMin"/>
              <x14:cfvo type="autoMax"/>
              <x14:borderColor rgb="FFFF555A"/>
              <x14:negativeFillColor rgb="FFFF0000"/>
              <x14:negativeBorderColor rgb="FFFF0000"/>
              <x14:axisColor rgb="FF000000"/>
            </x14:dataBar>
          </x14:cfRule>
          <xm:sqref>Q97:AA107</xm:sqref>
        </x14:conditionalFormatting>
        <x14:conditionalFormatting xmlns:xm="http://schemas.microsoft.com/office/excel/2006/main">
          <x14:cfRule type="dataBar" id="{35D664A0-D38F-40A4-A0D6-66DE30B2DA50}">
            <x14:dataBar minLength="0" maxLength="100" gradient="0">
              <x14:cfvo type="autoMin"/>
              <x14:cfvo type="autoMax"/>
              <x14:negativeFillColor rgb="FFFF0000"/>
              <x14:axisColor rgb="FF000000"/>
            </x14:dataBar>
          </x14:cfRule>
          <x14:cfRule type="dataBar" id="{8AFFD921-E333-4FD7-82E0-8FFF155C45A5}">
            <x14:dataBar minLength="0" maxLength="100" border="1" negativeBarBorderColorSameAsPositive="0">
              <x14:cfvo type="autoMin"/>
              <x14:cfvo type="autoMax"/>
              <x14:borderColor rgb="FFFF555A"/>
              <x14:negativeFillColor rgb="FFFF0000"/>
              <x14:negativeBorderColor rgb="FFFF0000"/>
              <x14:axisColor rgb="FF000000"/>
            </x14:dataBar>
          </x14:cfRule>
          <xm:sqref>Q115:AA125</xm:sqref>
        </x14:conditionalFormatting>
        <x14:conditionalFormatting xmlns:xm="http://schemas.microsoft.com/office/excel/2006/main">
          <x14:cfRule type="dataBar" id="{71F30B9B-EA58-41A2-8DE6-5602FE57C1A5}">
            <x14:dataBar minLength="0" maxLength="100" gradient="0">
              <x14:cfvo type="autoMin"/>
              <x14:cfvo type="autoMax"/>
              <x14:negativeFillColor rgb="FFFF0000"/>
              <x14:axisColor rgb="FF000000"/>
            </x14:dataBar>
          </x14:cfRule>
          <x14:cfRule type="dataBar" id="{C1F60F84-BA9A-4833-9D91-C855B494CAE5}">
            <x14:dataBar minLength="0" maxLength="100" border="1" negativeBarBorderColorSameAsPositive="0">
              <x14:cfvo type="autoMin"/>
              <x14:cfvo type="autoMax"/>
              <x14:borderColor rgb="FFFF555A"/>
              <x14:negativeFillColor rgb="FFFF0000"/>
              <x14:negativeBorderColor rgb="FFFF0000"/>
              <x14:axisColor rgb="FF000000"/>
            </x14:dataBar>
          </x14:cfRule>
          <xm:sqref>Q133:AA143</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2FB4A5-5687-49E0-9399-0DCB0C4D83D5}">
  <dimension ref="A1:AE916"/>
  <sheetViews>
    <sheetView showGridLines="0" zoomScale="65" zoomScaleNormal="40" workbookViewId="0">
      <selection activeCell="Q4" sqref="Q4:AA4"/>
    </sheetView>
  </sheetViews>
  <sheetFormatPr defaultColWidth="12.6640625" defaultRowHeight="15" customHeight="1" x14ac:dyDescent="0.25"/>
  <cols>
    <col min="1" max="1" width="8.6640625" style="2" customWidth="1"/>
    <col min="2" max="2" width="12.6640625" style="2" customWidth="1"/>
    <col min="3" max="3" width="38.44140625" style="2" bestFit="1" customWidth="1"/>
    <col min="4" max="4" width="9.88671875" style="2" bestFit="1" customWidth="1"/>
    <col min="5" max="6" width="8.77734375" style="2" bestFit="1" customWidth="1"/>
    <col min="7" max="7" width="9" style="2" bestFit="1" customWidth="1"/>
    <col min="8" max="8" width="10.5546875" style="2" bestFit="1" customWidth="1"/>
    <col min="9" max="9" width="9" style="2" bestFit="1" customWidth="1"/>
    <col min="10" max="10" width="9.88671875" style="2" bestFit="1" customWidth="1"/>
    <col min="11" max="11" width="10.21875" style="2" customWidth="1"/>
    <col min="12" max="13" width="11.21875" style="2" bestFit="1" customWidth="1"/>
    <col min="14" max="14" width="9.6640625" style="2" bestFit="1" customWidth="1"/>
    <col min="15" max="15" width="8.6640625" style="2" customWidth="1"/>
    <col min="16" max="16" width="14.6640625" style="2" bestFit="1" customWidth="1"/>
    <col min="17" max="17" width="10" style="2" bestFit="1" customWidth="1"/>
    <col min="18" max="18" width="8.6640625" style="2" customWidth="1"/>
    <col min="19" max="19" width="7.33203125" style="2" bestFit="1" customWidth="1"/>
    <col min="20" max="20" width="8.33203125" style="2" bestFit="1" customWidth="1"/>
    <col min="21" max="21" width="10" style="2" bestFit="1" customWidth="1"/>
    <col min="22" max="22" width="8" style="2" customWidth="1"/>
    <col min="23" max="23" width="9.6640625" style="2" bestFit="1" customWidth="1"/>
    <col min="24" max="24" width="10.5546875" style="2" bestFit="1" customWidth="1"/>
    <col min="25" max="25" width="11.21875" style="2" bestFit="1" customWidth="1"/>
    <col min="26" max="26" width="11.109375" style="2" bestFit="1" customWidth="1"/>
    <col min="27" max="27" width="9.5546875" style="2" bestFit="1" customWidth="1"/>
    <col min="28" max="16384" width="12.6640625" style="2"/>
  </cols>
  <sheetData>
    <row r="1" spans="1:31" ht="25.05" customHeight="1" x14ac:dyDescent="0.25">
      <c r="A1" s="252" t="s">
        <v>81</v>
      </c>
      <c r="B1" s="252"/>
      <c r="C1" s="252"/>
      <c r="D1" s="252"/>
      <c r="E1" s="252"/>
      <c r="F1" s="252"/>
    </row>
    <row r="2" spans="1:31" ht="15" customHeight="1" x14ac:dyDescent="0.25">
      <c r="B2" s="5"/>
      <c r="C2" s="5"/>
      <c r="D2" s="5"/>
      <c r="E2" s="5"/>
      <c r="F2" s="5"/>
      <c r="G2" s="5"/>
      <c r="H2" s="5"/>
      <c r="I2" s="5"/>
      <c r="J2" s="5"/>
      <c r="K2" s="5"/>
      <c r="L2" s="5"/>
      <c r="M2" s="5"/>
      <c r="N2" s="5"/>
      <c r="O2" s="5"/>
      <c r="P2" s="5"/>
      <c r="Q2" s="5"/>
      <c r="R2" s="5"/>
      <c r="S2" s="5"/>
      <c r="T2" s="5"/>
      <c r="U2" s="5"/>
      <c r="V2" s="5"/>
      <c r="W2" s="5"/>
      <c r="X2" s="5"/>
      <c r="Y2" s="5"/>
      <c r="Z2" s="5"/>
      <c r="AA2" s="5"/>
    </row>
    <row r="3" spans="1:31" ht="15" customHeight="1" thickBot="1" x14ac:dyDescent="0.3">
      <c r="B3" s="253" t="s">
        <v>71</v>
      </c>
      <c r="C3" s="253"/>
      <c r="D3" s="253"/>
      <c r="E3" s="253"/>
      <c r="F3" s="253"/>
      <c r="G3" s="253"/>
      <c r="H3" s="253"/>
      <c r="I3" s="253"/>
      <c r="J3" s="253"/>
      <c r="K3" s="253"/>
      <c r="L3" s="253"/>
      <c r="M3" s="253"/>
      <c r="N3" s="253"/>
      <c r="P3" s="253" t="s">
        <v>76</v>
      </c>
      <c r="Q3" s="253"/>
      <c r="R3" s="253"/>
      <c r="S3" s="253"/>
      <c r="T3" s="253"/>
      <c r="U3" s="253"/>
      <c r="V3" s="253"/>
      <c r="W3" s="253"/>
      <c r="X3" s="253"/>
      <c r="Y3" s="253"/>
      <c r="Z3" s="253"/>
      <c r="AA3" s="253"/>
      <c r="AB3" s="10"/>
      <c r="AC3" s="3" t="s">
        <v>22</v>
      </c>
      <c r="AD3" s="13" t="s">
        <v>23</v>
      </c>
      <c r="AE3" s="15">
        <f t="array" ref="AE3">MIN(IF(D6:N16&gt;0,D6:N16))</f>
        <v>4.5344965118622724</v>
      </c>
    </row>
    <row r="4" spans="1:31" ht="15" customHeight="1" thickBot="1" x14ac:dyDescent="0.3">
      <c r="B4" s="75" t="s">
        <v>13</v>
      </c>
      <c r="C4" s="66" t="s">
        <v>14</v>
      </c>
      <c r="D4" s="67" t="s">
        <v>1</v>
      </c>
      <c r="E4" s="67" t="s">
        <v>195</v>
      </c>
      <c r="F4" s="67" t="s">
        <v>2</v>
      </c>
      <c r="G4" s="67" t="s">
        <v>3</v>
      </c>
      <c r="H4" s="67" t="s">
        <v>4</v>
      </c>
      <c r="I4" s="67" t="s">
        <v>5</v>
      </c>
      <c r="J4" s="67" t="s">
        <v>6</v>
      </c>
      <c r="K4" s="67" t="s">
        <v>7</v>
      </c>
      <c r="L4" s="67" t="s">
        <v>295</v>
      </c>
      <c r="M4" s="67" t="s">
        <v>9</v>
      </c>
      <c r="N4" s="67" t="s">
        <v>10</v>
      </c>
      <c r="P4" s="76" t="s">
        <v>19</v>
      </c>
      <c r="Q4" s="77" t="s">
        <v>1</v>
      </c>
      <c r="R4" s="77" t="s">
        <v>195</v>
      </c>
      <c r="S4" s="77" t="s">
        <v>2</v>
      </c>
      <c r="T4" s="77" t="s">
        <v>3</v>
      </c>
      <c r="U4" s="77" t="s">
        <v>4</v>
      </c>
      <c r="V4" s="77" t="s">
        <v>5</v>
      </c>
      <c r="W4" s="77" t="s">
        <v>6</v>
      </c>
      <c r="X4" s="77" t="s">
        <v>7</v>
      </c>
      <c r="Y4" s="77" t="s">
        <v>295</v>
      </c>
      <c r="Z4" s="77" t="s">
        <v>9</v>
      </c>
      <c r="AA4" s="77" t="s">
        <v>10</v>
      </c>
      <c r="AB4" s="254" t="s">
        <v>26</v>
      </c>
      <c r="AC4" s="254"/>
      <c r="AD4" s="13" t="s">
        <v>24</v>
      </c>
      <c r="AE4" s="20">
        <f>MAX(D6:N16)</f>
        <v>616.78826020108625</v>
      </c>
    </row>
    <row r="5" spans="1:31" ht="15.6" customHeight="1" x14ac:dyDescent="0.25">
      <c r="B5" s="93"/>
      <c r="C5" s="94" t="s">
        <v>69</v>
      </c>
      <c r="D5" s="95">
        <f>C6</f>
        <v>-16.53960728555499</v>
      </c>
      <c r="E5" s="95">
        <f>C7</f>
        <v>-25.642115406727438</v>
      </c>
      <c r="F5" s="95">
        <f>C8</f>
        <v>-1.8594540835006628</v>
      </c>
      <c r="G5" s="95">
        <f>C9</f>
        <v>-11.921500544900805</v>
      </c>
      <c r="H5" s="95">
        <f>C10</f>
        <v>-412.71459052630132</v>
      </c>
      <c r="I5" s="95">
        <f>C11</f>
        <v>-74.425374806309208</v>
      </c>
      <c r="J5" s="95">
        <f>C12</f>
        <v>-21.107618894865166</v>
      </c>
      <c r="K5" s="95">
        <f>C13</f>
        <v>-329.75144672111736</v>
      </c>
      <c r="L5" s="95">
        <f>C14</f>
        <v>-618.64771428458687</v>
      </c>
      <c r="M5" s="95">
        <f>C15</f>
        <v>-148.57017507945341</v>
      </c>
      <c r="N5" s="95">
        <f>C16</f>
        <v>-310.10776717590892</v>
      </c>
      <c r="P5" s="21" t="s">
        <v>1</v>
      </c>
      <c r="Q5" s="97">
        <f t="shared" ref="Q5:AA15" si="0">$AE$5+(D6-$AE$3)*($AE$6-$AE$5)/($AE$4-$AE$3)</f>
        <v>-6.3988308182124773E-3</v>
      </c>
      <c r="R5" s="97">
        <f t="shared" si="0"/>
        <v>8.4535166108300804E-3</v>
      </c>
      <c r="S5" s="97">
        <f t="shared" si="0"/>
        <v>-6.3988308182124773E-3</v>
      </c>
      <c r="T5" s="97">
        <f t="shared" si="0"/>
        <v>-6.3988308182124773E-3</v>
      </c>
      <c r="U5" s="97">
        <f t="shared" si="0"/>
        <v>0.64003052859100196</v>
      </c>
      <c r="V5" s="97">
        <f t="shared" si="0"/>
        <v>8.8052008331853601E-2</v>
      </c>
      <c r="W5" s="97">
        <f t="shared" si="0"/>
        <v>1.0546857926176027E-3</v>
      </c>
      <c r="X5" s="97">
        <f t="shared" si="0"/>
        <v>0.50466152708095435</v>
      </c>
      <c r="Y5" s="97">
        <f t="shared" si="0"/>
        <v>0.97604674087998511</v>
      </c>
      <c r="Z5" s="97">
        <f t="shared" si="0"/>
        <v>0.20903232705876115</v>
      </c>
      <c r="AA5" s="97">
        <f t="shared" si="0"/>
        <v>0.47260939930404083</v>
      </c>
      <c r="AD5" s="3" t="s">
        <v>25</v>
      </c>
      <c r="AE5" s="2">
        <v>1E-3</v>
      </c>
    </row>
    <row r="6" spans="1:31" ht="15" customHeight="1" x14ac:dyDescent="0.25">
      <c r="B6" s="21" t="s">
        <v>1</v>
      </c>
      <c r="C6" s="95">
        <f>Annual_sorted!M116</f>
        <v>-16.53960728555499</v>
      </c>
      <c r="D6" s="29">
        <f>IF(C6-Table_14631093846546270[Burundi]&gt;0, C6-Table_14631093846546270[Burundi], 0)</f>
        <v>0</v>
      </c>
      <c r="E6" s="29">
        <f>IF(C6-Table_14631093846546270[DRC]&gt;0, C6-Table_14631093846546270[DRC], 0)</f>
        <v>9.1025081211724483</v>
      </c>
      <c r="F6" s="29">
        <f>IF(C6-Table_14631093846546270[Egypt]&gt;0, C6-Table_14631093846546270[Egypt], 0)</f>
        <v>0</v>
      </c>
      <c r="G6" s="29">
        <f>IF(C6-Table_14631093846546270[Eritrea]&gt;0, C6-Table_14631093846546270[Eritrea], 0)</f>
        <v>0</v>
      </c>
      <c r="H6" s="29">
        <f>IF(C6-Table_14631093846546270[Ethiopia]&gt;0, C6-Table_14631093846546270[Ethiopia], 0)</f>
        <v>396.17498324074631</v>
      </c>
      <c r="I6" s="29">
        <f>IF(C6-Table_14631093846546270[Kenya]&gt;0, C6-Table_14631093846546270[Kenya], 0)</f>
        <v>57.885767520754214</v>
      </c>
      <c r="J6" s="29">
        <f>IF(C6-Table_14631093846546270[Rwanda]&gt;0, C6-Table_14631093846546270[Rwanda], 0)</f>
        <v>4.5680116093101759</v>
      </c>
      <c r="K6" s="29">
        <f>IF(C6-Table_14631093846546270[Sudan]&gt;0, C6-Table_14631093846546270[Sudan], 0)</f>
        <v>313.21183943556235</v>
      </c>
      <c r="L6" s="29">
        <f>IF(C6-Table_14631093846546270[S. Sudan]&gt;0, C6-Table_14631093846546270[S. Sudan], 0)</f>
        <v>602.10810699903186</v>
      </c>
      <c r="M6" s="29">
        <f>IF(C6-Table_14631093846546270[Tanzania]&gt;0, C6-Table_14631093846546270[Tanzania], 0)</f>
        <v>132.03056779389843</v>
      </c>
      <c r="N6" s="29">
        <f>IF(C6-Table_14631093846546270[Uganda]&gt;0, C6-Table_14631093846546270[Uganda], 0)</f>
        <v>293.56815989035391</v>
      </c>
      <c r="P6" s="21" t="s">
        <v>195</v>
      </c>
      <c r="Q6" s="97">
        <f t="shared" si="0"/>
        <v>-6.3988308182124773E-3</v>
      </c>
      <c r="R6" s="97">
        <f t="shared" si="0"/>
        <v>-6.3988308182124773E-3</v>
      </c>
      <c r="S6" s="97">
        <f t="shared" si="0"/>
        <v>-6.3988308182124773E-3</v>
      </c>
      <c r="T6" s="97">
        <f t="shared" si="0"/>
        <v>-6.3988308182124773E-3</v>
      </c>
      <c r="U6" s="97">
        <f t="shared" si="0"/>
        <v>0.62517818116195922</v>
      </c>
      <c r="V6" s="97">
        <f t="shared" si="0"/>
        <v>7.3199660902811034E-2</v>
      </c>
      <c r="W6" s="97">
        <f t="shared" si="0"/>
        <v>-6.3988308182124773E-3</v>
      </c>
      <c r="X6" s="97">
        <f t="shared" si="0"/>
        <v>0.48980917965191201</v>
      </c>
      <c r="Y6" s="97">
        <f t="shared" si="0"/>
        <v>0.9611943934509426</v>
      </c>
      <c r="Z6" s="97">
        <f t="shared" si="0"/>
        <v>0.19417997962971859</v>
      </c>
      <c r="AA6" s="97">
        <f t="shared" si="0"/>
        <v>0.45775705187499843</v>
      </c>
      <c r="AD6" s="3" t="s">
        <v>70</v>
      </c>
      <c r="AE6" s="2">
        <v>1</v>
      </c>
    </row>
    <row r="7" spans="1:31" ht="15" customHeight="1" x14ac:dyDescent="0.25">
      <c r="B7" s="21" t="s">
        <v>195</v>
      </c>
      <c r="C7" s="95">
        <f>Annual_sorted!M117</f>
        <v>-25.642115406727438</v>
      </c>
      <c r="D7" s="29">
        <f>IF(C7-Table_14631093846546270[Burundi]&gt;0, C7-Table_14631093846546270[Burundi], 0)</f>
        <v>0</v>
      </c>
      <c r="E7" s="29">
        <f>IF(C7-Table_14631093846546270[DRC]&gt;0, C7-Table_14631093846546270[DRC], 0)</f>
        <v>0</v>
      </c>
      <c r="F7" s="29">
        <f>IF(C7-Table_14631093846546270[Egypt]&gt;0, C7-Table_14631093846546270[Egypt], 0)</f>
        <v>0</v>
      </c>
      <c r="G7" s="29">
        <f>IF(C7-Table_14631093846546270[Eritrea]&gt;0, C7-Table_14631093846546270[Eritrea], 0)</f>
        <v>0</v>
      </c>
      <c r="H7" s="29">
        <f>IF(C7-Table_14631093846546270[Ethiopia]&gt;0, C7-Table_14631093846546270[Ethiopia], 0)</f>
        <v>387.07247511957388</v>
      </c>
      <c r="I7" s="29">
        <f>IF(C7-Table_14631093846546270[Kenya]&gt;0, C7-Table_14631093846546270[Kenya], 0)</f>
        <v>48.783259399581766</v>
      </c>
      <c r="J7" s="29">
        <f>IF(C7-Table_14631093846546270[Rwanda]&gt;0, C7-Table_14631093846546270[Rwanda], 0)</f>
        <v>0</v>
      </c>
      <c r="K7" s="29">
        <f>IF(C7-Table_14631093846546270[Sudan]&gt;0, C7-Table_14631093846546270[Sudan], 0)</f>
        <v>304.10933131438992</v>
      </c>
      <c r="L7" s="29">
        <f>IF(C7-Table_14631093846546270[S. Sudan]&gt;0, C7-Table_14631093846546270[S. Sudan], 0)</f>
        <v>593.00559887785948</v>
      </c>
      <c r="M7" s="29">
        <f>IF(C7-Table_14631093846546270[Tanzania]&gt;0, C7-Table_14631093846546270[Tanzania], 0)</f>
        <v>122.92805967272596</v>
      </c>
      <c r="N7" s="29">
        <f>IF(C7-Table_14631093846546270[Uganda]&gt;0, C7-Table_14631093846546270[Uganda], 0)</f>
        <v>284.46565176918148</v>
      </c>
      <c r="P7" s="21" t="s">
        <v>2</v>
      </c>
      <c r="Q7" s="97">
        <f t="shared" si="0"/>
        <v>1.7554428301802295E-2</v>
      </c>
      <c r="R7" s="97">
        <f t="shared" si="0"/>
        <v>3.2406775730844849E-2</v>
      </c>
      <c r="S7" s="97">
        <f t="shared" si="0"/>
        <v>-6.3988308182124773E-3</v>
      </c>
      <c r="T7" s="97">
        <f t="shared" si="0"/>
        <v>1.0019172648796121E-2</v>
      </c>
      <c r="U7" s="97">
        <f t="shared" si="0"/>
        <v>0.66398378771101663</v>
      </c>
      <c r="V7" s="97">
        <f t="shared" si="0"/>
        <v>0.11200526745186837</v>
      </c>
      <c r="W7" s="97">
        <f t="shared" si="0"/>
        <v>2.5007944912632377E-2</v>
      </c>
      <c r="X7" s="97">
        <f t="shared" si="0"/>
        <v>0.52861478620096924</v>
      </c>
      <c r="Y7" s="97">
        <f t="shared" si="0"/>
        <v>1</v>
      </c>
      <c r="Z7" s="97">
        <f t="shared" si="0"/>
        <v>0.23298558617877591</v>
      </c>
      <c r="AA7" s="97">
        <f t="shared" si="0"/>
        <v>0.49656265842405567</v>
      </c>
    </row>
    <row r="8" spans="1:31" ht="15" customHeight="1" x14ac:dyDescent="0.25">
      <c r="B8" s="21" t="s">
        <v>2</v>
      </c>
      <c r="C8" s="95">
        <f>Annual_sorted!M118</f>
        <v>-1.8594540835006628</v>
      </c>
      <c r="D8" s="29">
        <f>IF(C8-Table_14631093846546270[Burundi]&gt;0, C8-Table_14631093846546270[Burundi], 0)</f>
        <v>14.680153202054328</v>
      </c>
      <c r="E8" s="29">
        <f>IF(C8-Table_14631093846546270[DRC]&gt;0, C8-Table_14631093846546270[DRC], 0)</f>
        <v>23.782661323226776</v>
      </c>
      <c r="F8" s="29">
        <f>IF(C8-Table_14631093846546270[Egypt]&gt;0, C8-Table_14631093846546270[Egypt], 0)</f>
        <v>0</v>
      </c>
      <c r="G8" s="29">
        <f>IF(C8-Table_14631093846546270[Eritrea]&gt;0, C8-Table_14631093846546270[Eritrea], 0)</f>
        <v>10.062046461400143</v>
      </c>
      <c r="H8" s="29">
        <f>IF(C8-Table_14631093846546270[Ethiopia]&gt;0, C8-Table_14631093846546270[Ethiopia], 0)</f>
        <v>410.85513644280064</v>
      </c>
      <c r="I8" s="29">
        <f>IF(C8-Table_14631093846546270[Kenya]&gt;0, C8-Table_14631093846546270[Kenya], 0)</f>
        <v>72.565920722808542</v>
      </c>
      <c r="J8" s="29">
        <f>IF(C8-Table_14631093846546270[Rwanda]&gt;0, C8-Table_14631093846546270[Rwanda], 0)</f>
        <v>19.248164811364504</v>
      </c>
      <c r="K8" s="29">
        <f>IF(C8-Table_14631093846546270[Sudan]&gt;0, C8-Table_14631093846546270[Sudan], 0)</f>
        <v>327.89199263761668</v>
      </c>
      <c r="L8" s="29">
        <f>IF(C8-Table_14631093846546270[S. Sudan]&gt;0, C8-Table_14631093846546270[S. Sudan], 0)</f>
        <v>616.78826020108625</v>
      </c>
      <c r="M8" s="29">
        <f>IF(C8-Table_14631093846546270[Tanzania]&gt;0, C8-Table_14631093846546270[Tanzania], 0)</f>
        <v>146.71072099595276</v>
      </c>
      <c r="N8" s="29">
        <f>IF(C8-Table_14631093846546270[Uganda]&gt;0, C8-Table_14631093846546270[Uganda], 0)</f>
        <v>308.24831309240824</v>
      </c>
      <c r="P8" s="21" t="s">
        <v>3</v>
      </c>
      <c r="Q8" s="97">
        <f t="shared" si="0"/>
        <v>1.1364248347936943E-3</v>
      </c>
      <c r="R8" s="97">
        <f t="shared" si="0"/>
        <v>1.5988772263836253E-2</v>
      </c>
      <c r="S8" s="97">
        <f t="shared" si="0"/>
        <v>-6.3988308182124773E-3</v>
      </c>
      <c r="T8" s="97">
        <f t="shared" si="0"/>
        <v>-6.3988308182124773E-3</v>
      </c>
      <c r="U8" s="97">
        <f t="shared" si="0"/>
        <v>0.64756578424400801</v>
      </c>
      <c r="V8" s="97">
        <f t="shared" si="0"/>
        <v>9.5587263984859769E-2</v>
      </c>
      <c r="W8" s="97">
        <f t="shared" si="0"/>
        <v>8.5899414456237742E-3</v>
      </c>
      <c r="X8" s="97">
        <f t="shared" si="0"/>
        <v>0.51219678273396063</v>
      </c>
      <c r="Y8" s="97">
        <f t="shared" si="0"/>
        <v>0.98358199653299128</v>
      </c>
      <c r="Z8" s="97">
        <f t="shared" si="0"/>
        <v>0.21656758271176732</v>
      </c>
      <c r="AA8" s="97">
        <f t="shared" si="0"/>
        <v>0.48014465495704706</v>
      </c>
    </row>
    <row r="9" spans="1:31" ht="15" customHeight="1" x14ac:dyDescent="0.25">
      <c r="B9" s="21" t="s">
        <v>3</v>
      </c>
      <c r="C9" s="95">
        <f>Annual_sorted!M119</f>
        <v>-11.921500544900805</v>
      </c>
      <c r="D9" s="29">
        <f>IF(C9-Table_14631093846546270[Burundi]&gt;0, C9-Table_14631093846546270[Burundi], 0)</f>
        <v>4.6181067406541843</v>
      </c>
      <c r="E9" s="29">
        <f>IF(C9-Table_14631093846546270[DRC]&gt;0, C9-Table_14631093846546270[DRC], 0)</f>
        <v>13.720614861826633</v>
      </c>
      <c r="F9" s="29">
        <f>IF(C9-Table_14631093846546270[Egypt]&gt;0, C9-Table_14631093846546270[Egypt], 0)</f>
        <v>0</v>
      </c>
      <c r="G9" s="29">
        <f>IF(C9-Table_14631093846546270[Eritrea]&gt;0, C9-Table_14631093846546270[Eritrea], 0)</f>
        <v>0</v>
      </c>
      <c r="H9" s="29">
        <f>IF(C9-Table_14631093846546270[Ethiopia]&gt;0, C9-Table_14631093846546270[Ethiopia], 0)</f>
        <v>400.7930899814005</v>
      </c>
      <c r="I9" s="29">
        <f>IF(C9-Table_14631093846546270[Kenya]&gt;0, C9-Table_14631093846546270[Kenya], 0)</f>
        <v>62.503874261408399</v>
      </c>
      <c r="J9" s="29">
        <f>IF(C9-Table_14631093846546270[Rwanda]&gt;0, C9-Table_14631093846546270[Rwanda], 0)</f>
        <v>9.1861183499643602</v>
      </c>
      <c r="K9" s="29">
        <f>IF(C9-Table_14631093846546270[Sudan]&gt;0, C9-Table_14631093846546270[Sudan], 0)</f>
        <v>317.82994617621654</v>
      </c>
      <c r="L9" s="29">
        <f>IF(C9-Table_14631093846546270[S. Sudan]&gt;0, C9-Table_14631093846546270[S. Sudan], 0)</f>
        <v>606.72621373968605</v>
      </c>
      <c r="M9" s="29">
        <f>IF(C9-Table_14631093846546270[Tanzania]&gt;0, C9-Table_14631093846546270[Tanzania], 0)</f>
        <v>136.64867453455261</v>
      </c>
      <c r="N9" s="29">
        <f>IF(C9-Table_14631093846546270[Uganda]&gt;0, C9-Table_14631093846546270[Uganda], 0)</f>
        <v>298.1862666310081</v>
      </c>
      <c r="P9" s="21" t="s">
        <v>4</v>
      </c>
      <c r="Q9" s="97">
        <f t="shared" si="0"/>
        <v>-6.3988308182124773E-3</v>
      </c>
      <c r="R9" s="97">
        <f t="shared" si="0"/>
        <v>-6.3988308182124773E-3</v>
      </c>
      <c r="S9" s="97">
        <f t="shared" si="0"/>
        <v>-6.3988308182124773E-3</v>
      </c>
      <c r="T9" s="97">
        <f t="shared" si="0"/>
        <v>-6.3988308182124773E-3</v>
      </c>
      <c r="U9" s="97">
        <f t="shared" si="0"/>
        <v>-6.3988308182124773E-3</v>
      </c>
      <c r="V9" s="97">
        <f t="shared" si="0"/>
        <v>-6.3988308182124773E-3</v>
      </c>
      <c r="W9" s="97">
        <f t="shared" si="0"/>
        <v>-6.3988308182124773E-3</v>
      </c>
      <c r="X9" s="97">
        <f t="shared" si="0"/>
        <v>-6.3988308182124773E-3</v>
      </c>
      <c r="Y9" s="97">
        <f t="shared" si="0"/>
        <v>0.32961738147077074</v>
      </c>
      <c r="Z9" s="97">
        <f t="shared" si="0"/>
        <v>-6.3988308182124773E-3</v>
      </c>
      <c r="AA9" s="97">
        <f t="shared" si="0"/>
        <v>-6.3988308182124773E-3</v>
      </c>
    </row>
    <row r="10" spans="1:31" ht="15" customHeight="1" x14ac:dyDescent="0.25">
      <c r="B10" s="21" t="s">
        <v>4</v>
      </c>
      <c r="C10" s="95">
        <f>Annual_sorted!M120</f>
        <v>-412.71459052630132</v>
      </c>
      <c r="D10" s="29">
        <f>IF(C10-Table_14631093846546270[Burundi]&gt;0, C10-Table_14631093846546270[Burundi], 0)</f>
        <v>0</v>
      </c>
      <c r="E10" s="29">
        <f>IF(C10-Table_14631093846546270[DRC]&gt;0, C10-Table_14631093846546270[DRC], 0)</f>
        <v>0</v>
      </c>
      <c r="F10" s="29">
        <f>IF(C10-Table_14631093846546270[Egypt]&gt;0, C10-Table_14631093846546270[Egypt], 0)</f>
        <v>0</v>
      </c>
      <c r="G10" s="29">
        <f>IF(C10-Table_14631093846546270[Eritrea]&gt;0, C10-Table_14631093846546270[Eritrea], 0)</f>
        <v>0</v>
      </c>
      <c r="H10" s="29">
        <f>IF(C10-Table_14631093846546270[Ethiopia]&gt;0, C10-Table_14631093846546270[Ethiopia], 0)</f>
        <v>0</v>
      </c>
      <c r="I10" s="29">
        <f>IF(C10-Table_14631093846546270[Kenya]&gt;0, C10-Table_14631093846546270[Kenya], 0)</f>
        <v>0</v>
      </c>
      <c r="J10" s="29">
        <f>IF(C10-Table_14631093846546270[Rwanda]&gt;0, C10-Table_14631093846546270[Rwanda], 0)</f>
        <v>0</v>
      </c>
      <c r="K10" s="29">
        <f>IF(C10-Table_14631093846546270[Sudan]&gt;0, C10-Table_14631093846546270[Sudan], 0)</f>
        <v>0</v>
      </c>
      <c r="L10" s="29">
        <f>IF(C10-Table_14631093846546270[S. Sudan]&gt;0, C10-Table_14631093846546270[S. Sudan], 0)</f>
        <v>205.93312375828555</v>
      </c>
      <c r="M10" s="29">
        <f>IF(C10-Table_14631093846546270[Tanzania]&gt;0, C10-Table_14631093846546270[Tanzania], 0)</f>
        <v>0</v>
      </c>
      <c r="N10" s="29">
        <f>IF(C10-Table_14631093846546270[Uganda]&gt;0, C10-Table_14631093846546270[Uganda], 0)</f>
        <v>0</v>
      </c>
      <c r="P10" s="21" t="s">
        <v>5</v>
      </c>
      <c r="Q10" s="97">
        <f t="shared" si="0"/>
        <v>-6.3988308182124773E-3</v>
      </c>
      <c r="R10" s="97">
        <f t="shared" si="0"/>
        <v>-6.3988308182124773E-3</v>
      </c>
      <c r="S10" s="97">
        <f t="shared" si="0"/>
        <v>-6.3988308182124773E-3</v>
      </c>
      <c r="T10" s="97">
        <f t="shared" si="0"/>
        <v>-6.3988308182124773E-3</v>
      </c>
      <c r="U10" s="97">
        <f t="shared" si="0"/>
        <v>0.54557968944093582</v>
      </c>
      <c r="V10" s="97">
        <f t="shared" si="0"/>
        <v>-6.3988308182124773E-3</v>
      </c>
      <c r="W10" s="97">
        <f t="shared" si="0"/>
        <v>-6.3988308182124773E-3</v>
      </c>
      <c r="X10" s="97">
        <f t="shared" si="0"/>
        <v>0.41021068793088838</v>
      </c>
      <c r="Y10" s="97">
        <f t="shared" si="0"/>
        <v>0.8815959017299192</v>
      </c>
      <c r="Z10" s="97">
        <f t="shared" si="0"/>
        <v>0.11458148790869507</v>
      </c>
      <c r="AA10" s="97">
        <f t="shared" si="0"/>
        <v>0.37815856015397487</v>
      </c>
    </row>
    <row r="11" spans="1:31" ht="15" customHeight="1" x14ac:dyDescent="0.25">
      <c r="B11" s="21" t="s">
        <v>5</v>
      </c>
      <c r="C11" s="95">
        <f>Annual_sorted!M121</f>
        <v>-74.425374806309208</v>
      </c>
      <c r="D11" s="29">
        <f>IF(C11-Table_14631093846546270[Burundi]&gt;0, C11-Table_14631093846546270[Burundi], 0)</f>
        <v>0</v>
      </c>
      <c r="E11" s="29">
        <f>IF(C11-Table_14631093846546270[DRC]&gt;0, C11-Table_14631093846546270[DRC], 0)</f>
        <v>0</v>
      </c>
      <c r="F11" s="29">
        <f>IF(C11-Table_14631093846546270[Egypt]&gt;0, C11-Table_14631093846546270[Egypt], 0)</f>
        <v>0</v>
      </c>
      <c r="G11" s="29">
        <f>IF(C11-Table_14631093846546270[Eritrea]&gt;0, C11-Table_14631093846546270[Eritrea], 0)</f>
        <v>0</v>
      </c>
      <c r="H11" s="29">
        <f>IF(C11-Table_14631093846546270[Ethiopia]&gt;0, C11-Table_14631093846546270[Ethiopia], 0)</f>
        <v>338.28921571999211</v>
      </c>
      <c r="I11" s="29">
        <f>IF(C11-Table_14631093846546270[Kenya]&gt;0, C11-Table_14631093846546270[Kenya], 0)</f>
        <v>0</v>
      </c>
      <c r="J11" s="29">
        <f>IF(C11-Table_14631093846546270[Rwanda]&gt;0, C11-Table_14631093846546270[Rwanda], 0)</f>
        <v>0</v>
      </c>
      <c r="K11" s="29">
        <f>IF(C11-Table_14631093846546270[Sudan]&gt;0, C11-Table_14631093846546270[Sudan], 0)</f>
        <v>255.32607191480815</v>
      </c>
      <c r="L11" s="29">
        <f>IF(C11-Table_14631093846546270[S. Sudan]&gt;0, C11-Table_14631093846546270[S. Sudan], 0)</f>
        <v>544.22233947827772</v>
      </c>
      <c r="M11" s="29">
        <f>IF(C11-Table_14631093846546270[Tanzania]&gt;0, C11-Table_14631093846546270[Tanzania], 0)</f>
        <v>74.144800273144199</v>
      </c>
      <c r="N11" s="29">
        <f>IF(C11-Table_14631093846546270[Uganda]&gt;0, C11-Table_14631093846546270[Uganda], 0)</f>
        <v>235.68239236959971</v>
      </c>
      <c r="P11" s="21" t="s">
        <v>6</v>
      </c>
      <c r="Q11" s="97">
        <f t="shared" si="0"/>
        <v>-6.3988308182124773E-3</v>
      </c>
      <c r="R11" s="97">
        <f t="shared" si="0"/>
        <v>1E-3</v>
      </c>
      <c r="S11" s="97">
        <f t="shared" si="0"/>
        <v>-6.3988308182124773E-3</v>
      </c>
      <c r="T11" s="97">
        <f t="shared" si="0"/>
        <v>-6.3988308182124773E-3</v>
      </c>
      <c r="U11" s="97">
        <f t="shared" si="0"/>
        <v>0.63257701198017191</v>
      </c>
      <c r="V11" s="97">
        <f t="shared" si="0"/>
        <v>8.0598491721023513E-2</v>
      </c>
      <c r="W11" s="97">
        <f t="shared" si="0"/>
        <v>-6.3988308182124773E-3</v>
      </c>
      <c r="X11" s="97">
        <f t="shared" si="0"/>
        <v>0.49720801047012436</v>
      </c>
      <c r="Y11" s="97">
        <f t="shared" si="0"/>
        <v>0.96859322426915506</v>
      </c>
      <c r="Z11" s="97">
        <f t="shared" si="0"/>
        <v>0.20157881044793105</v>
      </c>
      <c r="AA11" s="97">
        <f t="shared" si="0"/>
        <v>0.46515588269321079</v>
      </c>
    </row>
    <row r="12" spans="1:31" ht="15" customHeight="1" x14ac:dyDescent="0.25">
      <c r="B12" s="21" t="s">
        <v>6</v>
      </c>
      <c r="C12" s="95">
        <f>Annual_sorted!M122</f>
        <v>-21.107618894865166</v>
      </c>
      <c r="D12" s="29">
        <f>IF(C12-Table_14631093846546270[Burundi]&gt;0, C12-Table_14631093846546270[Burundi], 0)</f>
        <v>0</v>
      </c>
      <c r="E12" s="29">
        <f>IF(C12-Table_14631093846546270[DRC]&gt;0, C12-Table_14631093846546270[DRC], 0)</f>
        <v>4.5344965118622724</v>
      </c>
      <c r="F12" s="29">
        <f>IF(C12-Table_14631093846546270[Egypt]&gt;0, C12-Table_14631093846546270[Egypt], 0)</f>
        <v>0</v>
      </c>
      <c r="G12" s="29">
        <f>IF(C12-Table_14631093846546270[Eritrea]&gt;0, C12-Table_14631093846546270[Eritrea], 0)</f>
        <v>0</v>
      </c>
      <c r="H12" s="29">
        <f>IF(C12-Table_14631093846546270[Ethiopia]&gt;0, C12-Table_14631093846546270[Ethiopia], 0)</f>
        <v>391.60697163143618</v>
      </c>
      <c r="I12" s="29">
        <f>IF(C12-Table_14631093846546270[Kenya]&gt;0, C12-Table_14631093846546270[Kenya], 0)</f>
        <v>53.317755911444038</v>
      </c>
      <c r="J12" s="29">
        <f>IF(C12-Table_14631093846546270[Rwanda]&gt;0, C12-Table_14631093846546270[Rwanda], 0)</f>
        <v>0</v>
      </c>
      <c r="K12" s="29">
        <f>IF(C12-Table_14631093846546270[Sudan]&gt;0, C12-Table_14631093846546270[Sudan], 0)</f>
        <v>308.64382782625222</v>
      </c>
      <c r="L12" s="29">
        <f>IF(C12-Table_14631093846546270[S. Sudan]&gt;0, C12-Table_14631093846546270[S. Sudan], 0)</f>
        <v>597.54009538972173</v>
      </c>
      <c r="M12" s="29">
        <f>IF(C12-Table_14631093846546270[Tanzania]&gt;0, C12-Table_14631093846546270[Tanzania], 0)</f>
        <v>127.46255618458824</v>
      </c>
      <c r="N12" s="29">
        <f>IF(C12-Table_14631093846546270[Uganda]&gt;0, C12-Table_14631093846546270[Uganda], 0)</f>
        <v>289.00014828104378</v>
      </c>
      <c r="P12" s="21" t="s">
        <v>7</v>
      </c>
      <c r="Q12" s="97">
        <f t="shared" si="0"/>
        <v>-6.3988308182124773E-3</v>
      </c>
      <c r="R12" s="97">
        <f t="shared" si="0"/>
        <v>-6.3988308182124773E-3</v>
      </c>
      <c r="S12" s="97">
        <f t="shared" si="0"/>
        <v>-6.3988308182124773E-3</v>
      </c>
      <c r="T12" s="97">
        <f t="shared" si="0"/>
        <v>-6.3988308182124773E-3</v>
      </c>
      <c r="U12" s="97">
        <f t="shared" si="0"/>
        <v>0.12897017069183495</v>
      </c>
      <c r="V12" s="97">
        <f t="shared" si="0"/>
        <v>-6.3988308182124773E-3</v>
      </c>
      <c r="W12" s="97">
        <f t="shared" si="0"/>
        <v>-6.3988308182124773E-3</v>
      </c>
      <c r="X12" s="97">
        <f t="shared" si="0"/>
        <v>-6.3988308182124773E-3</v>
      </c>
      <c r="Y12" s="97">
        <f t="shared" si="0"/>
        <v>0.46498638298081807</v>
      </c>
      <c r="Z12" s="97">
        <f t="shared" si="0"/>
        <v>-6.3988308182124773E-3</v>
      </c>
      <c r="AA12" s="97">
        <f t="shared" si="0"/>
        <v>-6.3988308182124773E-3</v>
      </c>
    </row>
    <row r="13" spans="1:31" ht="15" customHeight="1" x14ac:dyDescent="0.25">
      <c r="B13" s="21" t="s">
        <v>7</v>
      </c>
      <c r="C13" s="95">
        <f>Annual_sorted!M123</f>
        <v>-329.75144672111736</v>
      </c>
      <c r="D13" s="29">
        <f>IF(C13-Table_14631093846546270[Burundi]&gt;0, C13-Table_14631093846546270[Burundi], 0)</f>
        <v>0</v>
      </c>
      <c r="E13" s="29">
        <f>IF(C13-Table_14631093846546270[DRC]&gt;0, C13-Table_14631093846546270[DRC], 0)</f>
        <v>0</v>
      </c>
      <c r="F13" s="29">
        <f>IF(C13-Table_14631093846546270[Egypt]&gt;0, C13-Table_14631093846546270[Egypt], 0)</f>
        <v>0</v>
      </c>
      <c r="G13" s="29">
        <f>IF(C13-Table_14631093846546270[Eritrea]&gt;0, C13-Table_14631093846546270[Eritrea], 0)</f>
        <v>0</v>
      </c>
      <c r="H13" s="29">
        <f>IF(C13-Table_14631093846546270[Ethiopia]&gt;0, C13-Table_14631093846546270[Ethiopia], 0)</f>
        <v>82.963143805183961</v>
      </c>
      <c r="I13" s="29">
        <f>IF(C13-Table_14631093846546270[Kenya]&gt;0, C13-Table_14631093846546270[Kenya], 0)</f>
        <v>0</v>
      </c>
      <c r="J13" s="29">
        <f>IF(C13-Table_14631093846546270[Rwanda]&gt;0, C13-Table_14631093846546270[Rwanda], 0)</f>
        <v>0</v>
      </c>
      <c r="K13" s="29">
        <f>IF(C13-Table_14631093846546270[Sudan]&gt;0, C13-Table_14631093846546270[Sudan], 0)</f>
        <v>0</v>
      </c>
      <c r="L13" s="29">
        <f>IF(C13-Table_14631093846546270[S. Sudan]&gt;0, C13-Table_14631093846546270[S. Sudan], 0)</f>
        <v>288.89626756346951</v>
      </c>
      <c r="M13" s="29">
        <f>IF(C13-Table_14631093846546270[Tanzania]&gt;0, C13-Table_14631093846546270[Tanzania], 0)</f>
        <v>0</v>
      </c>
      <c r="N13" s="29">
        <f>IF(C13-Table_14631093846546270[Uganda]&gt;0, C13-Table_14631093846546270[Uganda], 0)</f>
        <v>0</v>
      </c>
      <c r="P13" s="21" t="s">
        <v>8</v>
      </c>
      <c r="Q13" s="97">
        <f t="shared" si="0"/>
        <v>-6.3988308182124773E-3</v>
      </c>
      <c r="R13" s="97">
        <f t="shared" si="0"/>
        <v>-6.3988308182124773E-3</v>
      </c>
      <c r="S13" s="97">
        <f t="shared" si="0"/>
        <v>-6.3988308182124773E-3</v>
      </c>
      <c r="T13" s="97">
        <f t="shared" si="0"/>
        <v>-6.3988308182124773E-3</v>
      </c>
      <c r="U13" s="97">
        <f t="shared" si="0"/>
        <v>-6.3988308182124773E-3</v>
      </c>
      <c r="V13" s="97">
        <f t="shared" si="0"/>
        <v>-6.3988308182124773E-3</v>
      </c>
      <c r="W13" s="97">
        <f t="shared" si="0"/>
        <v>-6.3988308182124773E-3</v>
      </c>
      <c r="X13" s="97">
        <f t="shared" si="0"/>
        <v>-6.3988308182124773E-3</v>
      </c>
      <c r="Y13" s="97">
        <f t="shared" si="0"/>
        <v>-6.3988308182124773E-3</v>
      </c>
      <c r="Z13" s="97">
        <f t="shared" si="0"/>
        <v>-6.3988308182124773E-3</v>
      </c>
      <c r="AA13" s="97">
        <f t="shared" si="0"/>
        <v>-6.3988308182124773E-3</v>
      </c>
    </row>
    <row r="14" spans="1:31" ht="15" customHeight="1" x14ac:dyDescent="0.25">
      <c r="B14" s="21" t="s">
        <v>8</v>
      </c>
      <c r="C14" s="95">
        <f>Annual_sorted!M124</f>
        <v>-618.64771428458687</v>
      </c>
      <c r="D14" s="29">
        <f>IF(C14-Table_14631093846546270[Burundi]&gt;0, C14-Table_14631093846546270[Burundi], 0)</f>
        <v>0</v>
      </c>
      <c r="E14" s="29">
        <f>IF(C14-Table_14631093846546270[DRC]&gt;0, C14-Table_14631093846546270[DRC], 0)</f>
        <v>0</v>
      </c>
      <c r="F14" s="29">
        <f>IF(C14-Table_14631093846546270[Egypt]&gt;0, C14-Table_14631093846546270[Egypt], 0)</f>
        <v>0</v>
      </c>
      <c r="G14" s="29">
        <f>IF(C14-Table_14631093846546270[Eritrea]&gt;0, C14-Table_14631093846546270[Eritrea], 0)</f>
        <v>0</v>
      </c>
      <c r="H14" s="29">
        <f>IF(C14-Table_14631093846546270[Ethiopia]&gt;0, C14-Table_14631093846546270[Ethiopia], 0)</f>
        <v>0</v>
      </c>
      <c r="I14" s="29">
        <f>IF(C14-Table_14631093846546270[Kenya]&gt;0, C14-Table_14631093846546270[Kenya], 0)</f>
        <v>0</v>
      </c>
      <c r="J14" s="29">
        <f>IF(C14-Table_14631093846546270[Rwanda]&gt;0, C14-Table_14631093846546270[Rwanda], 0)</f>
        <v>0</v>
      </c>
      <c r="K14" s="29">
        <f>IF(C14-Table_14631093846546270[Sudan]&gt;0, C14-Table_14631093846546270[Sudan], 0)</f>
        <v>0</v>
      </c>
      <c r="L14" s="29">
        <f>IF(C14-Table_14631093846546270[S. Sudan]&gt;0, C14-Table_14631093846546270[S. Sudan], 0)</f>
        <v>0</v>
      </c>
      <c r="M14" s="29">
        <f>IF(C14-Table_14631093846546270[Tanzania]&gt;0, C14-Table_14631093846546270[Tanzania], 0)</f>
        <v>0</v>
      </c>
      <c r="N14" s="29">
        <f>IF(C14-Table_14631093846546270[Uganda]&gt;0, C14-Table_14631093846546270[Uganda], 0)</f>
        <v>0</v>
      </c>
      <c r="P14" s="21" t="s">
        <v>9</v>
      </c>
      <c r="Q14" s="97">
        <f t="shared" si="0"/>
        <v>-6.3988308182124773E-3</v>
      </c>
      <c r="R14" s="97">
        <f t="shared" si="0"/>
        <v>-6.3988308182124773E-3</v>
      </c>
      <c r="S14" s="97">
        <f t="shared" si="0"/>
        <v>-6.3988308182124773E-3</v>
      </c>
      <c r="T14" s="97">
        <f t="shared" si="0"/>
        <v>-6.3988308182124773E-3</v>
      </c>
      <c r="U14" s="97">
        <f t="shared" si="0"/>
        <v>0.42459937071402831</v>
      </c>
      <c r="V14" s="97">
        <f t="shared" si="0"/>
        <v>-6.3988308182124773E-3</v>
      </c>
      <c r="W14" s="97">
        <f t="shared" si="0"/>
        <v>-6.3988308182124773E-3</v>
      </c>
      <c r="X14" s="97">
        <f t="shared" si="0"/>
        <v>0.28923036920398087</v>
      </c>
      <c r="Y14" s="97">
        <f t="shared" si="0"/>
        <v>0.76061558300301146</v>
      </c>
      <c r="Z14" s="97">
        <f t="shared" si="0"/>
        <v>-6.3988308182124773E-3</v>
      </c>
      <c r="AA14" s="97">
        <f t="shared" si="0"/>
        <v>0.2571782414270673</v>
      </c>
    </row>
    <row r="15" spans="1:31" ht="15" customHeight="1" thickBot="1" x14ac:dyDescent="0.3">
      <c r="B15" s="21" t="s">
        <v>9</v>
      </c>
      <c r="C15" s="95">
        <f>Annual_sorted!M125</f>
        <v>-148.57017507945341</v>
      </c>
      <c r="D15" s="29">
        <f>IF(C15-Table_14631093846546270[Burundi]&gt;0, C15-Table_14631093846546270[Burundi], 0)</f>
        <v>0</v>
      </c>
      <c r="E15" s="29">
        <f>IF(C15-Table_14631093846546270[DRC]&gt;0, C15-Table_14631093846546270[DRC], 0)</f>
        <v>0</v>
      </c>
      <c r="F15" s="29">
        <f>IF(C15-Table_14631093846546270[Egypt]&gt;0, C15-Table_14631093846546270[Egypt], 0)</f>
        <v>0</v>
      </c>
      <c r="G15" s="29">
        <f>IF(C15-Table_14631093846546270[Eritrea]&gt;0, C15-Table_14631093846546270[Eritrea], 0)</f>
        <v>0</v>
      </c>
      <c r="H15" s="29">
        <f>IF(C15-Table_14631093846546270[Ethiopia]&gt;0, C15-Table_14631093846546270[Ethiopia], 0)</f>
        <v>264.14441544684792</v>
      </c>
      <c r="I15" s="29">
        <f>IF(C15-Table_14631093846546270[Kenya]&gt;0, C15-Table_14631093846546270[Kenya], 0)</f>
        <v>0</v>
      </c>
      <c r="J15" s="29">
        <f>IF(C15-Table_14631093846546270[Rwanda]&gt;0, C15-Table_14631093846546270[Rwanda], 0)</f>
        <v>0</v>
      </c>
      <c r="K15" s="29">
        <f>IF(C15-Table_14631093846546270[Sudan]&gt;0, C15-Table_14631093846546270[Sudan], 0)</f>
        <v>181.18127164166395</v>
      </c>
      <c r="L15" s="29">
        <f>IF(C15-Table_14631093846546270[S. Sudan]&gt;0, C15-Table_14631093846546270[S. Sudan], 0)</f>
        <v>470.07753920513346</v>
      </c>
      <c r="M15" s="29">
        <f>IF(C15-Table_14631093846546270[Tanzania]&gt;0, C15-Table_14631093846546270[Tanzania], 0)</f>
        <v>0</v>
      </c>
      <c r="N15" s="29">
        <f>IF(C15-Table_14631093846546270[Uganda]&gt;0, C15-Table_14631093846546270[Uganda], 0)</f>
        <v>161.53759209645551</v>
      </c>
      <c r="P15" s="22" t="s">
        <v>10</v>
      </c>
      <c r="Q15" s="98">
        <f t="shared" si="0"/>
        <v>-6.3988308182124773E-3</v>
      </c>
      <c r="R15" s="98">
        <f t="shared" si="0"/>
        <v>-6.3988308182124773E-3</v>
      </c>
      <c r="S15" s="98">
        <f t="shared" si="0"/>
        <v>-6.3988308182124773E-3</v>
      </c>
      <c r="T15" s="98">
        <f t="shared" si="0"/>
        <v>-6.3988308182124773E-3</v>
      </c>
      <c r="U15" s="98">
        <f t="shared" si="0"/>
        <v>0.16102229846874846</v>
      </c>
      <c r="V15" s="98">
        <f t="shared" si="0"/>
        <v>-6.3988308182124773E-3</v>
      </c>
      <c r="W15" s="98">
        <f t="shared" si="0"/>
        <v>-6.3988308182124773E-3</v>
      </c>
      <c r="X15" s="98">
        <f t="shared" si="0"/>
        <v>2.5653296958701062E-2</v>
      </c>
      <c r="Y15" s="98">
        <f t="shared" si="0"/>
        <v>0.49703851075773164</v>
      </c>
      <c r="Z15" s="98">
        <f t="shared" si="0"/>
        <v>-6.3988308182124773E-3</v>
      </c>
      <c r="AA15" s="98">
        <f t="shared" si="0"/>
        <v>-6.3988308182124773E-3</v>
      </c>
    </row>
    <row r="16" spans="1:31" ht="15" customHeight="1" thickBot="1" x14ac:dyDescent="0.3">
      <c r="B16" s="22" t="s">
        <v>10</v>
      </c>
      <c r="C16" s="96">
        <f>Annual_sorted!M126</f>
        <v>-310.10776717590892</v>
      </c>
      <c r="D16" s="32">
        <f>IF(C16-Table_14631093846546270[Burundi]&gt;0, C16-Table_14631093846546270[Burundi], 0)</f>
        <v>0</v>
      </c>
      <c r="E16" s="32">
        <f>IF(C16-Table_14631093846546270[DRC]&gt;0, C16-Table_14631093846546270[DRC], 0)</f>
        <v>0</v>
      </c>
      <c r="F16" s="32">
        <f>IF(C16-Table_14631093846546270[Egypt]&gt;0, C16-Table_14631093846546270[Egypt], 0)</f>
        <v>0</v>
      </c>
      <c r="G16" s="32">
        <f>IF(C16-Table_14631093846546270[Eritrea]&gt;0, C16-Table_14631093846546270[Eritrea], 0)</f>
        <v>0</v>
      </c>
      <c r="H16" s="32">
        <f>IF(C16-Table_14631093846546270[Ethiopia]&gt;0, C16-Table_14631093846546270[Ethiopia], 0)</f>
        <v>102.6068233503924</v>
      </c>
      <c r="I16" s="32">
        <f>IF(C16-Table_14631093846546270[Kenya]&gt;0, C16-Table_14631093846546270[Kenya], 0)</f>
        <v>0</v>
      </c>
      <c r="J16" s="32">
        <f>IF(C16-Table_14631093846546270[Rwanda]&gt;0, C16-Table_14631093846546270[Rwanda], 0)</f>
        <v>0</v>
      </c>
      <c r="K16" s="32">
        <f>IF(C16-Table_14631093846546270[Sudan]&gt;0, C16-Table_14631093846546270[Sudan], 0)</f>
        <v>19.643679545208443</v>
      </c>
      <c r="L16" s="32">
        <f>IF(C16-Table_14631093846546270[S. Sudan]&gt;0, C16-Table_14631093846546270[S. Sudan], 0)</f>
        <v>308.53994710867795</v>
      </c>
      <c r="M16" s="32">
        <f>IF(C16-Table_14631093846546270[Tanzania]&gt;0, C16-Table_14631093846546270[Tanzania], 0)</f>
        <v>0</v>
      </c>
      <c r="N16" s="32">
        <f>IF(C16-Table_14631093846546270[Uganda]&gt;0, C16-Table_14631093846546270[Uganda], 0)</f>
        <v>0</v>
      </c>
      <c r="Q16" s="186"/>
      <c r="R16" s="186"/>
      <c r="S16" s="186"/>
      <c r="T16" s="186"/>
      <c r="U16" s="186"/>
      <c r="V16" s="186"/>
      <c r="W16" s="186"/>
      <c r="X16" s="186"/>
      <c r="Y16" s="186"/>
      <c r="Z16" s="186"/>
      <c r="AA16" s="186"/>
      <c r="AB16" s="186"/>
    </row>
    <row r="18" spans="2:31" ht="12.75" customHeight="1" x14ac:dyDescent="0.25">
      <c r="B18" s="5"/>
      <c r="C18" s="5"/>
      <c r="D18" s="5"/>
      <c r="E18" s="5"/>
      <c r="F18" s="5"/>
      <c r="G18" s="5"/>
      <c r="H18" s="5"/>
      <c r="I18" s="5"/>
      <c r="J18" s="5"/>
      <c r="K18" s="5"/>
      <c r="L18" s="5"/>
      <c r="M18" s="5"/>
      <c r="N18" s="5"/>
    </row>
    <row r="19" spans="2:31" ht="12.75" customHeight="1" x14ac:dyDescent="0.25">
      <c r="B19" s="5"/>
      <c r="C19" s="5"/>
      <c r="D19" s="5"/>
      <c r="E19" s="5"/>
      <c r="F19" s="5"/>
      <c r="G19" s="5"/>
      <c r="H19" s="5"/>
      <c r="I19" s="5"/>
      <c r="J19" s="5"/>
      <c r="K19" s="5"/>
      <c r="L19" s="5"/>
      <c r="M19" s="5"/>
      <c r="N19" s="44"/>
      <c r="O19" s="5"/>
      <c r="P19" s="5"/>
      <c r="Q19" s="5"/>
      <c r="R19" s="5"/>
      <c r="S19" s="5"/>
      <c r="T19" s="5"/>
      <c r="U19" s="5"/>
      <c r="V19" s="5"/>
      <c r="W19" s="5"/>
      <c r="X19" s="5"/>
      <c r="Y19" s="5"/>
      <c r="Z19" s="5"/>
      <c r="AA19" s="5"/>
    </row>
    <row r="20" spans="2:31" ht="12.75" customHeight="1" x14ac:dyDescent="0.25">
      <c r="B20" s="5"/>
      <c r="C20" s="5"/>
      <c r="D20" s="5"/>
      <c r="E20" s="5"/>
      <c r="F20" s="5"/>
      <c r="G20" s="5"/>
      <c r="H20" s="5"/>
      <c r="I20" s="5"/>
      <c r="J20" s="5"/>
      <c r="K20" s="5"/>
      <c r="L20" s="5"/>
      <c r="M20" s="5"/>
      <c r="N20" s="44"/>
      <c r="O20" s="5"/>
      <c r="P20" s="5"/>
      <c r="Q20" s="5"/>
      <c r="R20" s="5"/>
      <c r="S20" s="5"/>
      <c r="T20" s="5"/>
      <c r="U20" s="5"/>
      <c r="V20" s="5"/>
      <c r="W20" s="5"/>
      <c r="X20" s="5"/>
      <c r="Y20" s="5"/>
      <c r="Z20" s="5"/>
      <c r="AA20" s="5"/>
    </row>
    <row r="21" spans="2:31" ht="12.75" customHeight="1" thickBot="1" x14ac:dyDescent="0.3">
      <c r="B21" s="253" t="s">
        <v>102</v>
      </c>
      <c r="C21" s="253"/>
      <c r="D21" s="253"/>
      <c r="E21" s="253"/>
      <c r="F21" s="253"/>
      <c r="G21" s="253"/>
      <c r="H21" s="253"/>
      <c r="I21" s="253"/>
      <c r="J21" s="253"/>
      <c r="K21" s="253"/>
      <c r="L21" s="253"/>
      <c r="M21" s="253"/>
      <c r="N21" s="253"/>
      <c r="P21" s="253" t="s">
        <v>103</v>
      </c>
      <c r="Q21" s="253"/>
      <c r="R21" s="253"/>
      <c r="S21" s="253"/>
      <c r="T21" s="253"/>
      <c r="U21" s="253"/>
      <c r="V21" s="253"/>
      <c r="W21" s="253"/>
      <c r="X21" s="253"/>
      <c r="Y21" s="253"/>
      <c r="Z21" s="253"/>
      <c r="AA21" s="253"/>
      <c r="AB21" s="10"/>
      <c r="AC21" s="3" t="s">
        <v>22</v>
      </c>
      <c r="AD21" s="13" t="s">
        <v>23</v>
      </c>
      <c r="AE21" s="74">
        <f t="array" ref="AE21">MIN(IF(D24:N34&gt;0,D24:N34))</f>
        <v>1.2240746568783525</v>
      </c>
    </row>
    <row r="22" spans="2:31" ht="12.75" customHeight="1" thickBot="1" x14ac:dyDescent="0.3">
      <c r="B22" s="75" t="s">
        <v>13</v>
      </c>
      <c r="C22" s="66" t="s">
        <v>14</v>
      </c>
      <c r="D22" s="67" t="s">
        <v>1</v>
      </c>
      <c r="E22" s="67" t="s">
        <v>195</v>
      </c>
      <c r="F22" s="67" t="s">
        <v>2</v>
      </c>
      <c r="G22" s="67" t="s">
        <v>3</v>
      </c>
      <c r="H22" s="67" t="s">
        <v>4</v>
      </c>
      <c r="I22" s="67" t="s">
        <v>5</v>
      </c>
      <c r="J22" s="67" t="s">
        <v>6</v>
      </c>
      <c r="K22" s="67" t="s">
        <v>7</v>
      </c>
      <c r="L22" s="67" t="s">
        <v>295</v>
      </c>
      <c r="M22" s="67" t="s">
        <v>9</v>
      </c>
      <c r="N22" s="67" t="s">
        <v>10</v>
      </c>
      <c r="P22" s="76" t="s">
        <v>19</v>
      </c>
      <c r="Q22" s="77" t="s">
        <v>1</v>
      </c>
      <c r="R22" s="77" t="s">
        <v>195</v>
      </c>
      <c r="S22" s="77" t="s">
        <v>2</v>
      </c>
      <c r="T22" s="77" t="s">
        <v>3</v>
      </c>
      <c r="U22" s="77" t="s">
        <v>4</v>
      </c>
      <c r="V22" s="77" t="s">
        <v>5</v>
      </c>
      <c r="W22" s="77" t="s">
        <v>6</v>
      </c>
      <c r="X22" s="77" t="s">
        <v>7</v>
      </c>
      <c r="Y22" s="77" t="s">
        <v>295</v>
      </c>
      <c r="Z22" s="77" t="s">
        <v>9</v>
      </c>
      <c r="AA22" s="77" t="s">
        <v>10</v>
      </c>
      <c r="AB22" s="254" t="s">
        <v>26</v>
      </c>
      <c r="AC22" s="254"/>
      <c r="AD22" s="13" t="s">
        <v>24</v>
      </c>
      <c r="AE22" s="20">
        <f>MAX(D24:N34)</f>
        <v>769.4561765964113</v>
      </c>
    </row>
    <row r="23" spans="2:31" ht="13.2" x14ac:dyDescent="0.25">
      <c r="B23" s="93"/>
      <c r="C23" s="94" t="s">
        <v>258</v>
      </c>
      <c r="D23" s="95">
        <f>C24</f>
        <v>-12.549241190140817</v>
      </c>
      <c r="E23" s="95">
        <f>C25</f>
        <v>-25.26816077831063</v>
      </c>
      <c r="F23" s="95">
        <f>C26</f>
        <v>-61.344232183002767</v>
      </c>
      <c r="G23" s="95">
        <f>C27</f>
        <v>-11.325166533262465</v>
      </c>
      <c r="H23" s="95">
        <f>C28</f>
        <v>-353.43830416896429</v>
      </c>
      <c r="I23" s="95">
        <f>C29</f>
        <v>-54.209429740052592</v>
      </c>
      <c r="J23" s="95">
        <f>C30</f>
        <v>-19.140017623913611</v>
      </c>
      <c r="K23" s="95">
        <f>C31</f>
        <v>-421.15202682695849</v>
      </c>
      <c r="L23" s="95">
        <f>C32</f>
        <v>-780.78134312967381</v>
      </c>
      <c r="M23" s="95">
        <f>C33</f>
        <v>-117.03732667800436</v>
      </c>
      <c r="N23" s="95">
        <f>C34</f>
        <v>-268.84633267666646</v>
      </c>
      <c r="P23" s="21" t="s">
        <v>1</v>
      </c>
      <c r="Q23" s="97">
        <f>AE23+(D24-AE21)*(AE24-AE23)/(AE22-AE21)</f>
        <v>-5.9177230310238169E-4</v>
      </c>
      <c r="R23" s="97">
        <f t="shared" ref="R23:AA33" si="1">$AE$23+(E24-$AE$21)*($AE$24-$AE$23)/($AE$22-$AE$21)</f>
        <v>1.5947761304648027E-2</v>
      </c>
      <c r="S23" s="97">
        <f t="shared" si="1"/>
        <v>6.2860660729572249E-2</v>
      </c>
      <c r="T23" s="97">
        <f t="shared" si="1"/>
        <v>-5.9177230310238169E-4</v>
      </c>
      <c r="U23" s="97">
        <f t="shared" si="1"/>
        <v>0.44269636035377652</v>
      </c>
      <c r="V23" s="97">
        <f t="shared" si="1"/>
        <v>5.3582647454011111E-2</v>
      </c>
      <c r="W23" s="97">
        <f t="shared" si="1"/>
        <v>7.9787959414634475E-3</v>
      </c>
      <c r="X23" s="97">
        <f t="shared" si="1"/>
        <v>0.53075048978230777</v>
      </c>
      <c r="Y23" s="97">
        <f t="shared" si="1"/>
        <v>0.99840822769689774</v>
      </c>
      <c r="Z23" s="97">
        <f t="shared" si="1"/>
        <v>0.13528330651596998</v>
      </c>
      <c r="AA23" s="97">
        <f t="shared" si="1"/>
        <v>0.33269395443055072</v>
      </c>
      <c r="AD23" s="3" t="s">
        <v>25</v>
      </c>
      <c r="AE23" s="2">
        <v>1E-3</v>
      </c>
    </row>
    <row r="24" spans="2:31" ht="12.75" customHeight="1" x14ac:dyDescent="0.25">
      <c r="B24" s="21" t="s">
        <v>1</v>
      </c>
      <c r="C24" s="95">
        <f>Annual_sorted!N116</f>
        <v>-12.549241190140817</v>
      </c>
      <c r="D24" s="29">
        <f>IF(C24-Table_1463412113947556371[Burundi]&gt;0, C24-Table_1463412113947556371[Burundi], 0)</f>
        <v>0</v>
      </c>
      <c r="E24" s="29">
        <f>IF(C24-Table_1463412113947556371[DRC]&gt;0, C24-Table_1463412113947556371[DRC], 0)</f>
        <v>12.718919588169813</v>
      </c>
      <c r="F24" s="29">
        <f>IF(C24-Table_1463412113947556371[Egypt]&gt;0, C24-Table_1463412113947556371[Egypt], 0)</f>
        <v>48.794990992861948</v>
      </c>
      <c r="G24" s="29">
        <f>IF(C24-Table_1463412113947556371[Eritrea]&gt;0, C24-Table_1463412113947556371[Eritrea], 0)</f>
        <v>0</v>
      </c>
      <c r="H24" s="29">
        <f>IF(C24-Table_1463412113947556371[Ethiopia]&gt;0, C24-Table_1463412113947556371[Ethiopia], 0)</f>
        <v>340.88906297882346</v>
      </c>
      <c r="I24" s="29">
        <f>IF(C24-Table_1463412113947556371[Kenya]&gt;0, C24-Table_1463412113947556371[Kenya], 0)</f>
        <v>41.660188549911773</v>
      </c>
      <c r="J24" s="29">
        <f>IF(C24-Table_1463412113947556371[Rwanda]&gt;0, C24-Table_1463412113947556371[Rwanda], 0)</f>
        <v>6.5907764337727937</v>
      </c>
      <c r="K24" s="29">
        <f>IF(C24-Table_1463412113947556371[Sudan]&gt;0, C24-Table_1463412113947556371[Sudan], 0)</f>
        <v>408.60278563681766</v>
      </c>
      <c r="L24" s="29">
        <f>IF(C24-Table_1463412113947556371[S. Sudan]&gt;0, C24-Table_1463412113947556371[S. Sudan], 0)</f>
        <v>768.23210193953298</v>
      </c>
      <c r="M24" s="29">
        <f>IF(C24-Table_1463412113947556371[Tanzania]&gt;0, C24-Table_1463412113947556371[Tanzania], 0)</f>
        <v>104.48808548786354</v>
      </c>
      <c r="N24" s="29">
        <f>IF(C24-Table_1463412113947556371[Uganda]&gt;0, C24-Table_1463412113947556371[Uganda], 0)</f>
        <v>256.29709148652563</v>
      </c>
      <c r="P24" s="21" t="s">
        <v>195</v>
      </c>
      <c r="Q24" s="97">
        <f t="shared" ref="Q24:Q33" si="2">$AE$23+(D25-$AE$21)*($AE$24-$AE$23)/($AE$22-$AE$21)</f>
        <v>-5.9177230310238169E-4</v>
      </c>
      <c r="R24" s="97">
        <f t="shared" si="1"/>
        <v>-5.9177230310238169E-4</v>
      </c>
      <c r="S24" s="97">
        <f t="shared" si="1"/>
        <v>4.6321127121821848E-2</v>
      </c>
      <c r="T24" s="97">
        <f t="shared" si="1"/>
        <v>-5.9177230310238169E-4</v>
      </c>
      <c r="U24" s="97">
        <f t="shared" si="1"/>
        <v>0.42615682674602612</v>
      </c>
      <c r="V24" s="97">
        <f t="shared" si="1"/>
        <v>3.704311384626071E-2</v>
      </c>
      <c r="W24" s="97">
        <f t="shared" si="1"/>
        <v>-5.9177230310238169E-4</v>
      </c>
      <c r="X24" s="97">
        <f t="shared" si="1"/>
        <v>0.51421095617455737</v>
      </c>
      <c r="Y24" s="97">
        <f t="shared" si="1"/>
        <v>0.98186869408914723</v>
      </c>
      <c r="Z24" s="97">
        <f t="shared" si="1"/>
        <v>0.11874377290821957</v>
      </c>
      <c r="AA24" s="97">
        <f t="shared" si="1"/>
        <v>0.31615442082280032</v>
      </c>
      <c r="AD24" s="3" t="s">
        <v>70</v>
      </c>
      <c r="AE24" s="2">
        <v>1</v>
      </c>
    </row>
    <row r="25" spans="2:31" ht="12.75" customHeight="1" x14ac:dyDescent="0.25">
      <c r="B25" s="21" t="s">
        <v>195</v>
      </c>
      <c r="C25" s="95">
        <f>Annual_sorted!N117</f>
        <v>-25.26816077831063</v>
      </c>
      <c r="D25" s="29">
        <f>IF(C25-Table_1463412113947556371[Burundi]&gt;0, C25-Table_1463412113947556371[Burundi], 0)</f>
        <v>0</v>
      </c>
      <c r="E25" s="29">
        <f>IF(C25-Table_1463412113947556371[DRC]&gt;0, C25-Table_1463412113947556371[DRC], 0)</f>
        <v>0</v>
      </c>
      <c r="F25" s="29">
        <f>IF(C25-Table_1463412113947556371[Egypt]&gt;0, C25-Table_1463412113947556371[Egypt], 0)</f>
        <v>36.076071404692136</v>
      </c>
      <c r="G25" s="29">
        <f>IF(C25-Table_1463412113947556371[Eritrea]&gt;0, C25-Table_1463412113947556371[Eritrea], 0)</f>
        <v>0</v>
      </c>
      <c r="H25" s="29">
        <f>IF(C25-Table_1463412113947556371[Ethiopia]&gt;0, C25-Table_1463412113947556371[Ethiopia], 0)</f>
        <v>328.17014339065366</v>
      </c>
      <c r="I25" s="29">
        <f>IF(C25-Table_1463412113947556371[Kenya]&gt;0, C25-Table_1463412113947556371[Kenya], 0)</f>
        <v>28.941268961741962</v>
      </c>
      <c r="J25" s="29">
        <f>IF(C25-Table_1463412113947556371[Rwanda]&gt;0, C25-Table_1463412113947556371[Rwanda], 0)</f>
        <v>0</v>
      </c>
      <c r="K25" s="29">
        <f>IF(C25-Table_1463412113947556371[Sudan]&gt;0, C25-Table_1463412113947556371[Sudan], 0)</f>
        <v>395.88386604864786</v>
      </c>
      <c r="L25" s="29">
        <f>IF(C25-Table_1463412113947556371[S. Sudan]&gt;0, C25-Table_1463412113947556371[S. Sudan], 0)</f>
        <v>755.51318235136318</v>
      </c>
      <c r="M25" s="29">
        <f>IF(C25-Table_1463412113947556371[Tanzania]&gt;0, C25-Table_1463412113947556371[Tanzania], 0)</f>
        <v>91.769165899693732</v>
      </c>
      <c r="N25" s="29">
        <f>IF(C25-Table_1463412113947556371[Uganda]&gt;0, C25-Table_1463412113947556371[Uganda], 0)</f>
        <v>243.57817189835583</v>
      </c>
      <c r="P25" s="21" t="s">
        <v>2</v>
      </c>
      <c r="Q25" s="97">
        <f t="shared" si="2"/>
        <v>-5.9177230310238169E-4</v>
      </c>
      <c r="R25" s="97">
        <f t="shared" si="1"/>
        <v>-5.9177230310238169E-4</v>
      </c>
      <c r="S25" s="97">
        <f t="shared" si="1"/>
        <v>-5.9177230310238169E-4</v>
      </c>
      <c r="T25" s="97">
        <f t="shared" si="1"/>
        <v>-5.9177230310238169E-4</v>
      </c>
      <c r="U25" s="97">
        <f t="shared" si="1"/>
        <v>0.3792439273211019</v>
      </c>
      <c r="V25" s="97">
        <f t="shared" si="1"/>
        <v>-5.9177230310238169E-4</v>
      </c>
      <c r="W25" s="97">
        <f t="shared" si="1"/>
        <v>-5.9177230310238169E-4</v>
      </c>
      <c r="X25" s="97">
        <f t="shared" si="1"/>
        <v>0.46729805674963315</v>
      </c>
      <c r="Y25" s="97">
        <f t="shared" si="1"/>
        <v>0.93495579466422318</v>
      </c>
      <c r="Z25" s="97">
        <f t="shared" si="1"/>
        <v>7.1830873483295352E-2</v>
      </c>
      <c r="AA25" s="97">
        <f t="shared" si="1"/>
        <v>0.2692415213978761</v>
      </c>
    </row>
    <row r="26" spans="2:31" ht="12.75" customHeight="1" x14ac:dyDescent="0.25">
      <c r="B26" s="21" t="s">
        <v>2</v>
      </c>
      <c r="C26" s="95">
        <f>Annual_sorted!N118</f>
        <v>-61.344232183002767</v>
      </c>
      <c r="D26" s="29">
        <f>IF(C26-Table_1463412113947556371[Burundi]&gt;0, C26-Table_1463412113947556371[Burundi], 0)</f>
        <v>0</v>
      </c>
      <c r="E26" s="29">
        <f>IF(C26-Table_1463412113947556371[DRC]&gt;0, C26-Table_1463412113947556371[DRC], 0)</f>
        <v>0</v>
      </c>
      <c r="F26" s="29">
        <f>IF(C26-Table_1463412113947556371[Egypt]&gt;0, C26-Table_1463412113947556371[Egypt], 0)</f>
        <v>0</v>
      </c>
      <c r="G26" s="29">
        <f>IF(C26-Table_1463412113947556371[Eritrea]&gt;0, C26-Table_1463412113947556371[Eritrea], 0)</f>
        <v>0</v>
      </c>
      <c r="H26" s="29">
        <f>IF(C26-Table_1463412113947556371[Ethiopia]&gt;0, C26-Table_1463412113947556371[Ethiopia], 0)</f>
        <v>292.09407198596153</v>
      </c>
      <c r="I26" s="29">
        <f>IF(C26-Table_1463412113947556371[Kenya]&gt;0, C26-Table_1463412113947556371[Kenya], 0)</f>
        <v>0</v>
      </c>
      <c r="J26" s="29">
        <f>IF(C26-Table_1463412113947556371[Rwanda]&gt;0, C26-Table_1463412113947556371[Rwanda], 0)</f>
        <v>0</v>
      </c>
      <c r="K26" s="29">
        <f>IF(C26-Table_1463412113947556371[Sudan]&gt;0, C26-Table_1463412113947556371[Sudan], 0)</f>
        <v>359.80779464395573</v>
      </c>
      <c r="L26" s="29">
        <f>IF(C26-Table_1463412113947556371[S. Sudan]&gt;0, C26-Table_1463412113947556371[S. Sudan], 0)</f>
        <v>719.43711094667105</v>
      </c>
      <c r="M26" s="29">
        <f>IF(C26-Table_1463412113947556371[Tanzania]&gt;0, C26-Table_1463412113947556371[Tanzania], 0)</f>
        <v>55.693094495001596</v>
      </c>
      <c r="N26" s="29">
        <f>IF(C26-Table_1463412113947556371[Uganda]&gt;0, C26-Table_1463412113947556371[Uganda], 0)</f>
        <v>207.5021004936637</v>
      </c>
      <c r="P26" s="21" t="s">
        <v>3</v>
      </c>
      <c r="Q26" s="97">
        <f t="shared" si="2"/>
        <v>1E-3</v>
      </c>
      <c r="R26" s="97">
        <f t="shared" si="1"/>
        <v>1.7539533607750409E-2</v>
      </c>
      <c r="S26" s="97">
        <f t="shared" si="1"/>
        <v>6.445243303267463E-2</v>
      </c>
      <c r="T26" s="97">
        <f t="shared" si="1"/>
        <v>-5.9177230310238169E-4</v>
      </c>
      <c r="U26" s="97">
        <f t="shared" si="1"/>
        <v>0.44428813265687894</v>
      </c>
      <c r="V26" s="97">
        <f t="shared" si="1"/>
        <v>5.5174419757113492E-2</v>
      </c>
      <c r="W26" s="97">
        <f t="shared" si="1"/>
        <v>9.5705682445658309E-3</v>
      </c>
      <c r="X26" s="97">
        <f t="shared" si="1"/>
        <v>0.53234226208541013</v>
      </c>
      <c r="Y26" s="97">
        <f>$AE$23+(L27-$AE$21)*($AE$24-$AE$23)/($AE$22-$AE$21)</f>
        <v>0.99999999999999989</v>
      </c>
      <c r="Z26" s="97">
        <f t="shared" si="1"/>
        <v>0.13687507881907238</v>
      </c>
      <c r="AA26" s="97">
        <f t="shared" si="1"/>
        <v>0.33428572673365303</v>
      </c>
    </row>
    <row r="27" spans="2:31" ht="12.75" customHeight="1" x14ac:dyDescent="0.25">
      <c r="B27" s="21" t="s">
        <v>3</v>
      </c>
      <c r="C27" s="95">
        <f>Annual_sorted!N119</f>
        <v>-11.325166533262465</v>
      </c>
      <c r="D27" s="29">
        <f>IF(C27-Table_1463412113947556371[Burundi]&gt;0, C27-Table_1463412113947556371[Burundi], 0)</f>
        <v>1.2240746568783525</v>
      </c>
      <c r="E27" s="29">
        <f>IF(C27-Table_1463412113947556371[DRC]&gt;0, C27-Table_1463412113947556371[DRC], 0)</f>
        <v>13.942994245048165</v>
      </c>
      <c r="F27" s="29">
        <f>IF(C27-Table_1463412113947556371[Egypt]&gt;0, C27-Table_1463412113947556371[Egypt], 0)</f>
        <v>50.019065649740298</v>
      </c>
      <c r="G27" s="29">
        <f>IF(C27-Table_1463412113947556371[Eritrea]&gt;0, C27-Table_1463412113947556371[Eritrea], 0)</f>
        <v>0</v>
      </c>
      <c r="H27" s="29">
        <f>IF(C27-Table_1463412113947556371[Ethiopia]&gt;0, C27-Table_1463412113947556371[Ethiopia], 0)</f>
        <v>342.11313763570183</v>
      </c>
      <c r="I27" s="29">
        <f>IF(C27-Table_1463412113947556371[Kenya]&gt;0, C27-Table_1463412113947556371[Kenya], 0)</f>
        <v>42.884263206790123</v>
      </c>
      <c r="J27" s="29">
        <f>IF(C27-Table_1463412113947556371[Rwanda]&gt;0, C27-Table_1463412113947556371[Rwanda], 0)</f>
        <v>7.8148510906511461</v>
      </c>
      <c r="K27" s="29">
        <f>IF(C27-Table_1463412113947556371[Sudan]&gt;0, C27-Table_1463412113947556371[Sudan], 0)</f>
        <v>409.82686029369603</v>
      </c>
      <c r="L27" s="29">
        <f>IF(C27-Table_1463412113947556371[S. Sudan]&gt;0, C27-Table_1463412113947556371[S. Sudan], 0)</f>
        <v>769.4561765964113</v>
      </c>
      <c r="M27" s="29">
        <f>IF(C27-Table_1463412113947556371[Tanzania]&gt;0, C27-Table_1463412113947556371[Tanzania], 0)</f>
        <v>105.7121601447419</v>
      </c>
      <c r="N27" s="29">
        <f>IF(C27-Table_1463412113947556371[Uganda]&gt;0, C27-Table_1463412113947556371[Uganda], 0)</f>
        <v>257.521166143404</v>
      </c>
      <c r="P27" s="21" t="s">
        <v>4</v>
      </c>
      <c r="Q27" s="97">
        <f t="shared" si="2"/>
        <v>-5.9177230310238169E-4</v>
      </c>
      <c r="R27" s="97">
        <f t="shared" si="1"/>
        <v>-5.9177230310238169E-4</v>
      </c>
      <c r="S27" s="97">
        <f t="shared" si="1"/>
        <v>-5.9177230310238169E-4</v>
      </c>
      <c r="T27" s="97">
        <f t="shared" si="1"/>
        <v>-5.9177230310238169E-4</v>
      </c>
      <c r="U27" s="97">
        <f t="shared" si="1"/>
        <v>-5.9177230310238169E-4</v>
      </c>
      <c r="V27" s="97">
        <f t="shared" si="1"/>
        <v>-5.9177230310238169E-4</v>
      </c>
      <c r="W27" s="97">
        <f t="shared" si="1"/>
        <v>-5.9177230310238169E-4</v>
      </c>
      <c r="X27" s="97">
        <f t="shared" si="1"/>
        <v>8.7462357125428811E-2</v>
      </c>
      <c r="Y27" s="97">
        <f t="shared" si="1"/>
        <v>0.55512009504001869</v>
      </c>
      <c r="Z27" s="97">
        <f t="shared" si="1"/>
        <v>-5.9177230310238169E-4</v>
      </c>
      <c r="AA27" s="97">
        <f t="shared" si="1"/>
        <v>-5.9177230310238169E-4</v>
      </c>
    </row>
    <row r="28" spans="2:31" ht="12.75" customHeight="1" x14ac:dyDescent="0.25">
      <c r="B28" s="21" t="s">
        <v>4</v>
      </c>
      <c r="C28" s="95">
        <f>Annual_sorted!N120</f>
        <v>-353.43830416896429</v>
      </c>
      <c r="D28" s="29">
        <f>IF(C28-Table_1463412113947556371[Burundi]&gt;0, C28-Table_1463412113947556371[Burundi], 0)</f>
        <v>0</v>
      </c>
      <c r="E28" s="29">
        <f>IF(C28-Table_1463412113947556371[DRC]&gt;0, C28-Table_1463412113947556371[DRC], 0)</f>
        <v>0</v>
      </c>
      <c r="F28" s="29">
        <f>IF(C28-Table_1463412113947556371[Egypt]&gt;0, C28-Table_1463412113947556371[Egypt], 0)</f>
        <v>0</v>
      </c>
      <c r="G28" s="29">
        <f>IF(C28-Table_1463412113947556371[Eritrea]&gt;0, C28-Table_1463412113947556371[Eritrea], 0)</f>
        <v>0</v>
      </c>
      <c r="H28" s="29">
        <f>IF(C28-Table_1463412113947556371[Ethiopia]&gt;0, C28-Table_1463412113947556371[Ethiopia], 0)</f>
        <v>0</v>
      </c>
      <c r="I28" s="29">
        <f>IF(C28-Table_1463412113947556371[Kenya]&gt;0, C28-Table_1463412113947556371[Kenya], 0)</f>
        <v>0</v>
      </c>
      <c r="J28" s="29">
        <f>IF(C28-Table_1463412113947556371[Rwanda]&gt;0, C28-Table_1463412113947556371[Rwanda], 0)</f>
        <v>0</v>
      </c>
      <c r="K28" s="29">
        <f>IF(C28-Table_1463412113947556371[Sudan]&gt;0, C28-Table_1463412113947556371[Sudan], 0)</f>
        <v>67.713722657994197</v>
      </c>
      <c r="L28" s="29">
        <f>IF(C28-Table_1463412113947556371[S. Sudan]&gt;0, C28-Table_1463412113947556371[S. Sudan], 0)</f>
        <v>427.34303896070952</v>
      </c>
      <c r="M28" s="29">
        <f>IF(C28-Table_1463412113947556371[Tanzania]&gt;0, C28-Table_1463412113947556371[Tanzania], 0)</f>
        <v>0</v>
      </c>
      <c r="N28" s="29">
        <f>IF(C28-Table_1463412113947556371[Uganda]&gt;0, C28-Table_1463412113947556371[Uganda], 0)</f>
        <v>0</v>
      </c>
      <c r="P28" s="21" t="s">
        <v>5</v>
      </c>
      <c r="Q28" s="97">
        <f t="shared" si="2"/>
        <v>-5.9177230310238169E-4</v>
      </c>
      <c r="R28" s="97">
        <f t="shared" si="1"/>
        <v>-5.9177230310238169E-4</v>
      </c>
      <c r="S28" s="97">
        <f t="shared" si="1"/>
        <v>8.6862409724587572E-3</v>
      </c>
      <c r="T28" s="97">
        <f t="shared" si="1"/>
        <v>-5.9177230310238169E-4</v>
      </c>
      <c r="U28" s="97">
        <f t="shared" si="1"/>
        <v>0.38852194059666301</v>
      </c>
      <c r="V28" s="97">
        <f t="shared" si="1"/>
        <v>-5.9177230310238169E-4</v>
      </c>
      <c r="W28" s="97">
        <f t="shared" si="1"/>
        <v>-5.9177230310238169E-4</v>
      </c>
      <c r="X28" s="97">
        <f t="shared" si="1"/>
        <v>0.47657607002519425</v>
      </c>
      <c r="Y28" s="97">
        <f t="shared" si="1"/>
        <v>0.94423380793978418</v>
      </c>
      <c r="Z28" s="97">
        <f t="shared" si="1"/>
        <v>8.1108886758856497E-2</v>
      </c>
      <c r="AA28" s="97">
        <f t="shared" si="1"/>
        <v>0.27851953467343726</v>
      </c>
    </row>
    <row r="29" spans="2:31" ht="12.75" customHeight="1" x14ac:dyDescent="0.25">
      <c r="B29" s="21" t="s">
        <v>5</v>
      </c>
      <c r="C29" s="95">
        <f>Annual_sorted!N121</f>
        <v>-54.209429740052592</v>
      </c>
      <c r="D29" s="29">
        <f>IF(C29-Table_1463412113947556371[Burundi]&gt;0, C29-Table_1463412113947556371[Burundi], 0)</f>
        <v>0</v>
      </c>
      <c r="E29" s="29">
        <f>IF(C29-Table_1463412113947556371[DRC]&gt;0, C29-Table_1463412113947556371[DRC], 0)</f>
        <v>0</v>
      </c>
      <c r="F29" s="29">
        <f>IF(C29-Table_1463412113947556371[Egypt]&gt;0, C29-Table_1463412113947556371[Egypt], 0)</f>
        <v>7.1348024429501749</v>
      </c>
      <c r="G29" s="29">
        <f>IF(C29-Table_1463412113947556371[Eritrea]&gt;0, C29-Table_1463412113947556371[Eritrea], 0)</f>
        <v>0</v>
      </c>
      <c r="H29" s="29">
        <f>IF(C29-Table_1463412113947556371[Ethiopia]&gt;0, C29-Table_1463412113947556371[Ethiopia], 0)</f>
        <v>299.22887442891169</v>
      </c>
      <c r="I29" s="29">
        <f>IF(C29-Table_1463412113947556371[Kenya]&gt;0, C29-Table_1463412113947556371[Kenya], 0)</f>
        <v>0</v>
      </c>
      <c r="J29" s="29">
        <f>IF(C29-Table_1463412113947556371[Rwanda]&gt;0, C29-Table_1463412113947556371[Rwanda], 0)</f>
        <v>0</v>
      </c>
      <c r="K29" s="29">
        <f>IF(C29-Table_1463412113947556371[Sudan]&gt;0, C29-Table_1463412113947556371[Sudan], 0)</f>
        <v>366.94259708690589</v>
      </c>
      <c r="L29" s="29">
        <f>IF(C29-Table_1463412113947556371[S. Sudan]&gt;0, C29-Table_1463412113947556371[S. Sudan], 0)</f>
        <v>726.57191338962127</v>
      </c>
      <c r="M29" s="29">
        <f>IF(C29-Table_1463412113947556371[Tanzania]&gt;0, C29-Table_1463412113947556371[Tanzania], 0)</f>
        <v>62.82789693795177</v>
      </c>
      <c r="N29" s="29">
        <f>IF(C29-Table_1463412113947556371[Uganda]&gt;0, C29-Table_1463412113947556371[Uganda], 0)</f>
        <v>214.63690293661386</v>
      </c>
      <c r="P29" s="21" t="s">
        <v>6</v>
      </c>
      <c r="Q29" s="97">
        <f t="shared" si="2"/>
        <v>-5.9177230310238169E-4</v>
      </c>
      <c r="R29" s="97">
        <f t="shared" si="1"/>
        <v>7.3771930600821968E-3</v>
      </c>
      <c r="S29" s="97">
        <f t="shared" si="1"/>
        <v>5.4290092485006422E-2</v>
      </c>
      <c r="T29" s="97">
        <f t="shared" si="1"/>
        <v>-5.9177230310238169E-4</v>
      </c>
      <c r="U29" s="97">
        <f t="shared" si="1"/>
        <v>0.43412579210921076</v>
      </c>
      <c r="V29" s="97">
        <f t="shared" si="1"/>
        <v>4.5012079209445277E-2</v>
      </c>
      <c r="W29" s="97">
        <f t="shared" si="1"/>
        <v>-5.9177230310238169E-4</v>
      </c>
      <c r="X29" s="97">
        <f t="shared" si="1"/>
        <v>0.52217992153774195</v>
      </c>
      <c r="Y29" s="97">
        <f t="shared" si="1"/>
        <v>0.98983765945233182</v>
      </c>
      <c r="Z29" s="97">
        <f t="shared" si="1"/>
        <v>0.12671273827140414</v>
      </c>
      <c r="AA29" s="97">
        <f t="shared" si="1"/>
        <v>0.32412338618598491</v>
      </c>
    </row>
    <row r="30" spans="2:31" ht="12.75" customHeight="1" x14ac:dyDescent="0.25">
      <c r="B30" s="21" t="s">
        <v>6</v>
      </c>
      <c r="C30" s="95">
        <f>Annual_sorted!N122</f>
        <v>-19.140017623913611</v>
      </c>
      <c r="D30" s="29">
        <f>IF(C30-Table_1463412113947556371[Burundi]&gt;0, C30-Table_1463412113947556371[Burundi], 0)</f>
        <v>0</v>
      </c>
      <c r="E30" s="29">
        <f>IF(C30-Table_1463412113947556371[DRC]&gt;0, C30-Table_1463412113947556371[DRC], 0)</f>
        <v>6.1281431543970193</v>
      </c>
      <c r="F30" s="29">
        <f>IF(C30-Table_1463412113947556371[Egypt]&gt;0, C30-Table_1463412113947556371[Egypt], 0)</f>
        <v>42.204214559089152</v>
      </c>
      <c r="G30" s="29">
        <f>IF(C30-Table_1463412113947556371[Eritrea]&gt;0, C30-Table_1463412113947556371[Eritrea], 0)</f>
        <v>0</v>
      </c>
      <c r="H30" s="29">
        <f>IF(C30-Table_1463412113947556371[Ethiopia]&gt;0, C30-Table_1463412113947556371[Ethiopia], 0)</f>
        <v>334.2982865450507</v>
      </c>
      <c r="I30" s="29">
        <f>IF(C30-Table_1463412113947556371[Kenya]&gt;0, C30-Table_1463412113947556371[Kenya], 0)</f>
        <v>35.069412116138977</v>
      </c>
      <c r="J30" s="29">
        <f>IF(C30-Table_1463412113947556371[Rwanda]&gt;0, C30-Table_1463412113947556371[Rwanda], 0)</f>
        <v>0</v>
      </c>
      <c r="K30" s="29">
        <f>IF(C30-Table_1463412113947556371[Sudan]&gt;0, C30-Table_1463412113947556371[Sudan], 0)</f>
        <v>402.0120092030449</v>
      </c>
      <c r="L30" s="29">
        <f>IF(C30-Table_1463412113947556371[S. Sudan]&gt;0, C30-Table_1463412113947556371[S. Sudan], 0)</f>
        <v>761.64132550576016</v>
      </c>
      <c r="M30" s="29">
        <f>IF(C30-Table_1463412113947556371[Tanzania]&gt;0, C30-Table_1463412113947556371[Tanzania], 0)</f>
        <v>97.897309054090755</v>
      </c>
      <c r="N30" s="29">
        <f>IF(C30-Table_1463412113947556371[Uganda]&gt;0, C30-Table_1463412113947556371[Uganda], 0)</f>
        <v>249.70631505275284</v>
      </c>
      <c r="P30" s="21" t="s">
        <v>7</v>
      </c>
      <c r="Q30" s="97">
        <f t="shared" si="2"/>
        <v>-5.9177230310238169E-4</v>
      </c>
      <c r="R30" s="97">
        <f t="shared" si="1"/>
        <v>-5.9177230310238169E-4</v>
      </c>
      <c r="S30" s="97">
        <f t="shared" si="1"/>
        <v>-5.9177230310238169E-4</v>
      </c>
      <c r="T30" s="97">
        <f t="shared" si="1"/>
        <v>-5.9177230310238169E-4</v>
      </c>
      <c r="U30" s="97">
        <f t="shared" si="1"/>
        <v>-5.9177230310238169E-4</v>
      </c>
      <c r="V30" s="97">
        <f t="shared" si="1"/>
        <v>-5.9177230310238169E-4</v>
      </c>
      <c r="W30" s="97">
        <f t="shared" si="1"/>
        <v>-5.9177230310238169E-4</v>
      </c>
      <c r="X30" s="97">
        <f t="shared" si="1"/>
        <v>-5.9177230310238169E-4</v>
      </c>
      <c r="Y30" s="97">
        <f t="shared" si="1"/>
        <v>0.4670659656114875</v>
      </c>
      <c r="Z30" s="97">
        <f t="shared" si="1"/>
        <v>-5.9177230310238169E-4</v>
      </c>
      <c r="AA30" s="97">
        <f t="shared" si="1"/>
        <v>-5.9177230310238169E-4</v>
      </c>
    </row>
    <row r="31" spans="2:31" ht="12.75" customHeight="1" x14ac:dyDescent="0.25">
      <c r="B31" s="21" t="s">
        <v>7</v>
      </c>
      <c r="C31" s="95">
        <f>Annual_sorted!N123</f>
        <v>-421.15202682695849</v>
      </c>
      <c r="D31" s="29">
        <f>IF(C31-Table_1463412113947556371[Burundi]&gt;0, C31-Table_1463412113947556371[Burundi], 0)</f>
        <v>0</v>
      </c>
      <c r="E31" s="29">
        <f>IF(C31-Table_1463412113947556371[DRC]&gt;0, C31-Table_1463412113947556371[DRC], 0)</f>
        <v>0</v>
      </c>
      <c r="F31" s="29">
        <f>IF(C31-Table_1463412113947556371[Egypt]&gt;0, C31-Table_1463412113947556371[Egypt], 0)</f>
        <v>0</v>
      </c>
      <c r="G31" s="29">
        <f>IF(C31-Table_1463412113947556371[Eritrea]&gt;0, C31-Table_1463412113947556371[Eritrea], 0)</f>
        <v>0</v>
      </c>
      <c r="H31" s="29">
        <f>IF(C31-Table_1463412113947556371[Ethiopia]&gt;0, C31-Table_1463412113947556371[Ethiopia], 0)</f>
        <v>0</v>
      </c>
      <c r="I31" s="29">
        <f>IF(C31-Table_1463412113947556371[Kenya]&gt;0, C31-Table_1463412113947556371[Kenya], 0)</f>
        <v>0</v>
      </c>
      <c r="J31" s="29">
        <f>IF(C31-Table_1463412113947556371[Rwanda]&gt;0, C31-Table_1463412113947556371[Rwanda], 0)</f>
        <v>0</v>
      </c>
      <c r="K31" s="29">
        <f>IF(C31-Table_1463412113947556371[Sudan]&gt;0, C31-Table_1463412113947556371[Sudan], 0)</f>
        <v>0</v>
      </c>
      <c r="L31" s="29">
        <f>IF(C31-Table_1463412113947556371[S. Sudan]&gt;0, C31-Table_1463412113947556371[S. Sudan], 0)</f>
        <v>359.62931630271532</v>
      </c>
      <c r="M31" s="29">
        <f>IF(C31-Table_1463412113947556371[Tanzania]&gt;0, C31-Table_1463412113947556371[Tanzania], 0)</f>
        <v>0</v>
      </c>
      <c r="N31" s="29">
        <f>IF(C31-Table_1463412113947556371[Uganda]&gt;0, C31-Table_1463412113947556371[Uganda], 0)</f>
        <v>0</v>
      </c>
      <c r="P31" s="21" t="s">
        <v>8</v>
      </c>
      <c r="Q31" s="97">
        <f t="shared" si="2"/>
        <v>-5.9177230310238169E-4</v>
      </c>
      <c r="R31" s="97">
        <f t="shared" si="1"/>
        <v>-5.9177230310238169E-4</v>
      </c>
      <c r="S31" s="97">
        <f t="shared" si="1"/>
        <v>-5.9177230310238169E-4</v>
      </c>
      <c r="T31" s="97">
        <f t="shared" si="1"/>
        <v>-5.9177230310238169E-4</v>
      </c>
      <c r="U31" s="97">
        <f t="shared" si="1"/>
        <v>-5.9177230310238169E-4</v>
      </c>
      <c r="V31" s="97">
        <f t="shared" si="1"/>
        <v>-5.9177230310238169E-4</v>
      </c>
      <c r="W31" s="97">
        <f t="shared" si="1"/>
        <v>-5.9177230310238169E-4</v>
      </c>
      <c r="X31" s="97">
        <f t="shared" si="1"/>
        <v>-5.9177230310238169E-4</v>
      </c>
      <c r="Y31" s="97">
        <f t="shared" si="1"/>
        <v>-5.9177230310238169E-4</v>
      </c>
      <c r="Z31" s="97">
        <f t="shared" si="1"/>
        <v>-5.9177230310238169E-4</v>
      </c>
      <c r="AA31" s="97">
        <f t="shared" si="1"/>
        <v>-5.9177230310238169E-4</v>
      </c>
    </row>
    <row r="32" spans="2:31" ht="12.75" customHeight="1" x14ac:dyDescent="0.25">
      <c r="B32" s="21" t="s">
        <v>8</v>
      </c>
      <c r="C32" s="95">
        <f>Annual_sorted!N124</f>
        <v>-780.78134312967381</v>
      </c>
      <c r="D32" s="29">
        <f>IF(C32-Table_1463412113947556371[Burundi]&gt;0, C32-Table_1463412113947556371[Burundi], 0)</f>
        <v>0</v>
      </c>
      <c r="E32" s="29">
        <f>IF(C32-Table_1463412113947556371[DRC]&gt;0, C32-Table_1463412113947556371[DRC], 0)</f>
        <v>0</v>
      </c>
      <c r="F32" s="29">
        <f>IF(C32-Table_1463412113947556371[Egypt]&gt;0, C32-Table_1463412113947556371[Egypt], 0)</f>
        <v>0</v>
      </c>
      <c r="G32" s="29">
        <f>IF(C32-Table_1463412113947556371[Eritrea]&gt;0, C32-Table_1463412113947556371[Eritrea], 0)</f>
        <v>0</v>
      </c>
      <c r="H32" s="29">
        <f>IF(C32-Table_1463412113947556371[Ethiopia]&gt;0, C32-Table_1463412113947556371[Ethiopia], 0)</f>
        <v>0</v>
      </c>
      <c r="I32" s="29">
        <f>IF(C32-Table_1463412113947556371[Kenya]&gt;0, C32-Table_1463412113947556371[Kenya], 0)</f>
        <v>0</v>
      </c>
      <c r="J32" s="29">
        <f>IF(C32-Table_1463412113947556371[Rwanda]&gt;0, C32-Table_1463412113947556371[Rwanda], 0)</f>
        <v>0</v>
      </c>
      <c r="K32" s="29">
        <f>IF(C32-Table_1463412113947556371[Sudan]&gt;0, C32-Table_1463412113947556371[Sudan], 0)</f>
        <v>0</v>
      </c>
      <c r="L32" s="29">
        <f>IF(C32-Table_1463412113947556371[S. Sudan]&gt;0, C32-Table_1463412113947556371[S. Sudan], 0)</f>
        <v>0</v>
      </c>
      <c r="M32" s="29">
        <f>IF(C32-Table_1463412113947556371[Tanzania]&gt;0, C32-Table_1463412113947556371[Tanzania], 0)</f>
        <v>0</v>
      </c>
      <c r="N32" s="29">
        <f>IF(C32-Table_1463412113947556371[Uganda]&gt;0, C32-Table_1463412113947556371[Uganda], 0)</f>
        <v>0</v>
      </c>
      <c r="P32" s="21" t="s">
        <v>9</v>
      </c>
      <c r="Q32" s="97">
        <f t="shared" si="2"/>
        <v>-5.9177230310238169E-4</v>
      </c>
      <c r="R32" s="97">
        <f t="shared" si="1"/>
        <v>-5.9177230310238169E-4</v>
      </c>
      <c r="S32" s="97">
        <f t="shared" si="1"/>
        <v>-5.9177230310238169E-4</v>
      </c>
      <c r="T32" s="97">
        <f t="shared" si="1"/>
        <v>-5.9177230310238169E-4</v>
      </c>
      <c r="U32" s="97">
        <f t="shared" si="1"/>
        <v>0.30682128153470423</v>
      </c>
      <c r="V32" s="97">
        <f t="shared" si="1"/>
        <v>-5.9177230310238169E-4</v>
      </c>
      <c r="W32" s="97">
        <f t="shared" si="1"/>
        <v>-5.9177230310238169E-4</v>
      </c>
      <c r="X32" s="97">
        <f t="shared" si="1"/>
        <v>0.39487541096323536</v>
      </c>
      <c r="Y32" s="97">
        <f t="shared" si="1"/>
        <v>0.8625331488778254</v>
      </c>
      <c r="Z32" s="97">
        <f t="shared" si="1"/>
        <v>-5.9177230310238169E-4</v>
      </c>
      <c r="AA32" s="97">
        <f t="shared" si="1"/>
        <v>0.19681887561147832</v>
      </c>
    </row>
    <row r="33" spans="2:31" ht="12.75" customHeight="1" thickBot="1" x14ac:dyDescent="0.3">
      <c r="B33" s="21" t="s">
        <v>9</v>
      </c>
      <c r="C33" s="95">
        <f>Annual_sorted!N125</f>
        <v>-117.03732667800436</v>
      </c>
      <c r="D33" s="29">
        <f>IF(C33-Table_1463412113947556371[Burundi]&gt;0, C33-Table_1463412113947556371[Burundi], 0)</f>
        <v>0</v>
      </c>
      <c r="E33" s="29">
        <f>IF(C33-Table_1463412113947556371[DRC]&gt;0, C33-Table_1463412113947556371[DRC], 0)</f>
        <v>0</v>
      </c>
      <c r="F33" s="29">
        <f>IF(C33-Table_1463412113947556371[Egypt]&gt;0, C33-Table_1463412113947556371[Egypt], 0)</f>
        <v>0</v>
      </c>
      <c r="G33" s="29">
        <f>IF(C33-Table_1463412113947556371[Eritrea]&gt;0, C33-Table_1463412113947556371[Eritrea], 0)</f>
        <v>0</v>
      </c>
      <c r="H33" s="29">
        <f>IF(C33-Table_1463412113947556371[Ethiopia]&gt;0, C33-Table_1463412113947556371[Ethiopia], 0)</f>
        <v>236.40097749095992</v>
      </c>
      <c r="I33" s="29">
        <f>IF(C33-Table_1463412113947556371[Kenya]&gt;0, C33-Table_1463412113947556371[Kenya], 0)</f>
        <v>0</v>
      </c>
      <c r="J33" s="29">
        <f>IF(C33-Table_1463412113947556371[Rwanda]&gt;0, C33-Table_1463412113947556371[Rwanda], 0)</f>
        <v>0</v>
      </c>
      <c r="K33" s="29">
        <f>IF(C33-Table_1463412113947556371[Sudan]&gt;0, C33-Table_1463412113947556371[Sudan], 0)</f>
        <v>304.11470014895411</v>
      </c>
      <c r="L33" s="29">
        <f>IF(C33-Table_1463412113947556371[S. Sudan]&gt;0, C33-Table_1463412113947556371[S. Sudan], 0)</f>
        <v>663.74401645166949</v>
      </c>
      <c r="M33" s="29">
        <f>IF(C33-Table_1463412113947556371[Tanzania]&gt;0, C33-Table_1463412113947556371[Tanzania], 0)</f>
        <v>0</v>
      </c>
      <c r="N33" s="29">
        <f>IF(C33-Table_1463412113947556371[Uganda]&gt;0, C33-Table_1463412113947556371[Uganda], 0)</f>
        <v>151.80900599866209</v>
      </c>
      <c r="P33" s="22" t="s">
        <v>10</v>
      </c>
      <c r="Q33" s="98">
        <f t="shared" si="2"/>
        <v>-5.9177230310238169E-4</v>
      </c>
      <c r="R33" s="98">
        <f t="shared" si="1"/>
        <v>-5.9177230310238169E-4</v>
      </c>
      <c r="S33" s="98">
        <f t="shared" si="1"/>
        <v>-5.9177230310238169E-4</v>
      </c>
      <c r="T33" s="98">
        <f t="shared" si="1"/>
        <v>-5.9177230310238169E-4</v>
      </c>
      <c r="U33" s="98">
        <f t="shared" si="1"/>
        <v>0.10941063362012346</v>
      </c>
      <c r="V33" s="98">
        <f t="shared" si="1"/>
        <v>-5.9177230310238169E-4</v>
      </c>
      <c r="W33" s="98">
        <f t="shared" si="1"/>
        <v>-5.9177230310238169E-4</v>
      </c>
      <c r="X33" s="98">
        <f t="shared" si="1"/>
        <v>0.19746476304865465</v>
      </c>
      <c r="Y33" s="98">
        <f t="shared" si="1"/>
        <v>0.66512250096324455</v>
      </c>
      <c r="Z33" s="98">
        <f t="shared" si="1"/>
        <v>-5.9177230310238169E-4</v>
      </c>
      <c r="AA33" s="98">
        <f t="shared" si="1"/>
        <v>-5.9177230310238169E-4</v>
      </c>
      <c r="AB33" s="186"/>
    </row>
    <row r="34" spans="2:31" ht="12.75" customHeight="1" thickBot="1" x14ac:dyDescent="0.3">
      <c r="B34" s="22" t="s">
        <v>10</v>
      </c>
      <c r="C34" s="96">
        <f>Annual_sorted!N126</f>
        <v>-268.84633267666646</v>
      </c>
      <c r="D34" s="32">
        <f>IF(C34-Table_1463412113947556371[Burundi]&gt;0, C34-Table_1463412113947556371[Burundi], 0)</f>
        <v>0</v>
      </c>
      <c r="E34" s="32">
        <f>IF(C34-Table_1463412113947556371[DRC]&gt;0, C34-Table_1463412113947556371[DRC], 0)</f>
        <v>0</v>
      </c>
      <c r="F34" s="32">
        <f>IF(C34-Table_1463412113947556371[Egypt]&gt;0, C34-Table_1463412113947556371[Egypt], 0)</f>
        <v>0</v>
      </c>
      <c r="G34" s="32">
        <f>IF(C34-Table_1463412113947556371[Eritrea]&gt;0, C34-Table_1463412113947556371[Eritrea], 0)</f>
        <v>0</v>
      </c>
      <c r="H34" s="32">
        <f>IF(C34-Table_1463412113947556371[Ethiopia]&gt;0, C34-Table_1463412113947556371[Ethiopia], 0)</f>
        <v>84.59197149229783</v>
      </c>
      <c r="I34" s="32">
        <f>IF(C34-Table_1463412113947556371[Kenya]&gt;0, C34-Table_1463412113947556371[Kenya], 0)</f>
        <v>0</v>
      </c>
      <c r="J34" s="32">
        <f>IF(C34-Table_1463412113947556371[Rwanda]&gt;0, C34-Table_1463412113947556371[Rwanda], 0)</f>
        <v>0</v>
      </c>
      <c r="K34" s="32">
        <f>IF(C34-Table_1463412113947556371[Sudan]&gt;0, C34-Table_1463412113947556371[Sudan], 0)</f>
        <v>152.30569415029203</v>
      </c>
      <c r="L34" s="32">
        <f>IF(C34-Table_1463412113947556371[S. Sudan]&gt;0, C34-Table_1463412113947556371[S. Sudan], 0)</f>
        <v>511.93501045300735</v>
      </c>
      <c r="M34" s="32">
        <f>IF(C34-Table_1463412113947556371[Tanzania]&gt;0, C34-Table_1463412113947556371[Tanzania], 0)</f>
        <v>0</v>
      </c>
      <c r="N34" s="32">
        <f>IF(C34-Table_1463412113947556371[Uganda]&gt;0, C34-Table_1463412113947556371[Uganda], 0)</f>
        <v>0</v>
      </c>
    </row>
    <row r="35" spans="2:31" ht="12.75" customHeight="1" x14ac:dyDescent="0.25">
      <c r="C35" s="19"/>
    </row>
    <row r="36" spans="2:31" ht="12.75" customHeight="1" x14ac:dyDescent="0.25"/>
    <row r="37" spans="2:31" ht="12.75" customHeight="1" x14ac:dyDescent="0.25">
      <c r="B37" s="5"/>
      <c r="C37" s="5"/>
      <c r="D37" s="5"/>
      <c r="E37" s="5"/>
      <c r="F37" s="5"/>
      <c r="G37" s="5"/>
      <c r="H37" s="5"/>
      <c r="I37" s="5"/>
      <c r="J37" s="5"/>
      <c r="K37" s="5"/>
      <c r="L37" s="5"/>
      <c r="M37" s="5"/>
      <c r="N37" s="5"/>
      <c r="O37" s="5"/>
      <c r="P37" s="5"/>
      <c r="Q37" s="5"/>
      <c r="R37" s="5"/>
      <c r="S37" s="5"/>
      <c r="T37" s="5"/>
      <c r="U37" s="5"/>
      <c r="V37" s="5"/>
      <c r="W37" s="5"/>
      <c r="X37" s="5"/>
      <c r="Y37" s="5"/>
      <c r="Z37" s="5"/>
      <c r="AA37" s="5"/>
    </row>
    <row r="38" spans="2:31" ht="12.75" customHeight="1" x14ac:dyDescent="0.25">
      <c r="B38" s="5"/>
      <c r="C38" s="5"/>
      <c r="D38" s="5"/>
      <c r="E38" s="5"/>
      <c r="F38" s="5"/>
      <c r="G38" s="5"/>
      <c r="H38" s="5"/>
      <c r="I38" s="5"/>
      <c r="J38" s="5"/>
      <c r="K38" s="5"/>
      <c r="L38" s="5"/>
      <c r="M38" s="5"/>
      <c r="N38" s="44"/>
      <c r="O38" s="5"/>
      <c r="P38" s="5"/>
      <c r="Q38" s="5"/>
      <c r="R38" s="5"/>
      <c r="S38" s="5"/>
      <c r="T38" s="5"/>
      <c r="U38" s="5"/>
      <c r="V38" s="5"/>
      <c r="W38" s="5"/>
      <c r="X38" s="5"/>
      <c r="Y38" s="5"/>
      <c r="Z38" s="5"/>
      <c r="AA38" s="5"/>
    </row>
    <row r="39" spans="2:31" ht="12.75" customHeight="1" thickBot="1" x14ac:dyDescent="0.3">
      <c r="B39" s="253" t="s">
        <v>77</v>
      </c>
      <c r="C39" s="253"/>
      <c r="D39" s="253"/>
      <c r="E39" s="253"/>
      <c r="F39" s="253"/>
      <c r="G39" s="253"/>
      <c r="H39" s="253"/>
      <c r="I39" s="253"/>
      <c r="J39" s="253"/>
      <c r="K39" s="253"/>
      <c r="L39" s="253"/>
      <c r="M39" s="253"/>
      <c r="N39" s="253"/>
      <c r="O39" s="5"/>
      <c r="P39" s="253" t="s">
        <v>78</v>
      </c>
      <c r="Q39" s="253"/>
      <c r="R39" s="253"/>
      <c r="S39" s="253"/>
      <c r="T39" s="253"/>
      <c r="U39" s="253"/>
      <c r="V39" s="253"/>
      <c r="W39" s="253"/>
      <c r="X39" s="253"/>
      <c r="Y39" s="253"/>
      <c r="Z39" s="253"/>
      <c r="AA39" s="253"/>
      <c r="AB39" s="10"/>
      <c r="AC39" s="3" t="s">
        <v>22</v>
      </c>
      <c r="AD39" s="13" t="s">
        <v>23</v>
      </c>
      <c r="AE39" s="74">
        <f t="array" ref="AE39">MIN(IF(D42:N52&gt;0,D42:N52))</f>
        <v>0.12946171561080227</v>
      </c>
    </row>
    <row r="40" spans="2:31" ht="12.75" customHeight="1" thickBot="1" x14ac:dyDescent="0.3">
      <c r="B40" s="75" t="s">
        <v>13</v>
      </c>
      <c r="C40" s="66" t="s">
        <v>14</v>
      </c>
      <c r="D40" s="67" t="s">
        <v>1</v>
      </c>
      <c r="E40" s="67" t="s">
        <v>195</v>
      </c>
      <c r="F40" s="67" t="s">
        <v>2</v>
      </c>
      <c r="G40" s="67" t="s">
        <v>3</v>
      </c>
      <c r="H40" s="67" t="s">
        <v>4</v>
      </c>
      <c r="I40" s="67" t="s">
        <v>5</v>
      </c>
      <c r="J40" s="67" t="s">
        <v>6</v>
      </c>
      <c r="K40" s="67" t="s">
        <v>7</v>
      </c>
      <c r="L40" s="67" t="s">
        <v>295</v>
      </c>
      <c r="M40" s="67" t="s">
        <v>9</v>
      </c>
      <c r="N40" s="67" t="s">
        <v>10</v>
      </c>
      <c r="P40" s="76" t="s">
        <v>19</v>
      </c>
      <c r="Q40" s="77" t="s">
        <v>1</v>
      </c>
      <c r="R40" s="77" t="s">
        <v>195</v>
      </c>
      <c r="S40" s="77" t="s">
        <v>2</v>
      </c>
      <c r="T40" s="77" t="s">
        <v>3</v>
      </c>
      <c r="U40" s="77" t="s">
        <v>4</v>
      </c>
      <c r="V40" s="77" t="s">
        <v>5</v>
      </c>
      <c r="W40" s="77" t="s">
        <v>6</v>
      </c>
      <c r="X40" s="77" t="s">
        <v>7</v>
      </c>
      <c r="Y40" s="77" t="s">
        <v>295</v>
      </c>
      <c r="Z40" s="77" t="s">
        <v>9</v>
      </c>
      <c r="AA40" s="77" t="s">
        <v>10</v>
      </c>
      <c r="AB40" s="254" t="s">
        <v>26</v>
      </c>
      <c r="AC40" s="254"/>
      <c r="AD40" s="13" t="s">
        <v>24</v>
      </c>
      <c r="AE40" s="20">
        <f>MAX(D42:N52)</f>
        <v>60.580159633367806</v>
      </c>
    </row>
    <row r="41" spans="2:31" ht="12.75" customHeight="1" x14ac:dyDescent="0.25">
      <c r="B41" s="93"/>
      <c r="C41" s="94" t="s">
        <v>259</v>
      </c>
      <c r="D41" s="95">
        <f>C42</f>
        <v>-3.9100814314718826</v>
      </c>
      <c r="E41" s="95">
        <f>C43</f>
        <v>-0.49756366954476156</v>
      </c>
      <c r="F41" s="95">
        <f>C44</f>
        <v>1.4107544516178501</v>
      </c>
      <c r="G41" s="95">
        <f>C45</f>
        <v>-0.62702538515556383</v>
      </c>
      <c r="H41" s="95">
        <f>C46</f>
        <v>-59.169405181749958</v>
      </c>
      <c r="I41" s="95">
        <f>C47</f>
        <v>-21.449695345564972</v>
      </c>
      <c r="J41" s="95">
        <f>C48</f>
        <v>-1.8867597097456426</v>
      </c>
      <c r="K41" s="95">
        <f>C49</f>
        <v>0.60708283473435232</v>
      </c>
      <c r="L41" s="95">
        <f>C50</f>
        <v>0.19016927213571888</v>
      </c>
      <c r="M41" s="95">
        <f>C51</f>
        <v>-44.751218570345777</v>
      </c>
      <c r="N41" s="95">
        <f>C52</f>
        <v>-50.10654487963275</v>
      </c>
      <c r="P41" s="21" t="s">
        <v>1</v>
      </c>
      <c r="Q41" s="97">
        <f>$AE$41+(D42-$AE$39)*($AE$42-$AE$41)/($AE$40-$AE$39)</f>
        <v>-1.1394666786336796E-3</v>
      </c>
      <c r="R41" s="97">
        <f t="shared" ref="R41:AA51" si="3">$AE$41+(E42-$AE$39)*($AE$42-$AE$41)/($AE$40-$AE$39)</f>
        <v>-1.1394666786336796E-3</v>
      </c>
      <c r="S41" s="97">
        <f t="shared" si="3"/>
        <v>-1.1394666786336796E-3</v>
      </c>
      <c r="T41" s="97">
        <f t="shared" si="3"/>
        <v>-1.1394666786336796E-3</v>
      </c>
      <c r="U41" s="97">
        <f t="shared" si="3"/>
        <v>0.91206859092944825</v>
      </c>
      <c r="V41" s="97">
        <f t="shared" si="3"/>
        <v>0.28871780385309326</v>
      </c>
      <c r="W41" s="97">
        <f t="shared" si="3"/>
        <v>-1.1394666786336796E-3</v>
      </c>
      <c r="X41" s="97">
        <f t="shared" si="3"/>
        <v>-1.1394666786336796E-3</v>
      </c>
      <c r="Y41" s="97">
        <f t="shared" si="3"/>
        <v>-1.1394666786336796E-3</v>
      </c>
      <c r="Z41" s="97">
        <f t="shared" si="3"/>
        <v>0.67379560284270934</v>
      </c>
      <c r="AA41" s="97">
        <f t="shared" si="3"/>
        <v>0.7622969959987701</v>
      </c>
      <c r="AD41" s="3" t="s">
        <v>25</v>
      </c>
      <c r="AE41" s="2">
        <v>1E-3</v>
      </c>
    </row>
    <row r="42" spans="2:31" ht="12.75" customHeight="1" x14ac:dyDescent="0.25">
      <c r="B42" s="21" t="s">
        <v>1</v>
      </c>
      <c r="C42" s="95">
        <f>Annual_sorted!O116</f>
        <v>-3.9100814314718826</v>
      </c>
      <c r="D42" s="29">
        <f>IF(C42-Table_14634515204149576573[Burundi]&gt;0, C42-Table_14634515204149576573[Burundi], 0)</f>
        <v>0</v>
      </c>
      <c r="E42" s="29">
        <f>IF(C42-Table_14634515204149576573[DRC]&gt;0, C42-Table_14634515204149576573[DRC], 0)</f>
        <v>0</v>
      </c>
      <c r="F42" s="29">
        <f>IF(C42-Table_14634515204149576573[Egypt]&gt;0, C42-Table_14634515204149576573[Egypt], 0)</f>
        <v>0</v>
      </c>
      <c r="G42" s="29">
        <f>IF(C42-Table_14634515204149576573[Eritrea]&gt;0, C42-Table_14634515204149576573[Eritrea], 0)</f>
        <v>0</v>
      </c>
      <c r="H42" s="29">
        <f>IF(C42-Table_14634515204149576573[Ethiopia]&gt;0, C42-Table_14634515204149576573[Ethiopia], 0)</f>
        <v>55.259323750278078</v>
      </c>
      <c r="I42" s="29">
        <f>IF(C42-Table_14634515204149576573[Kenya]&gt;0, C42-Table_14634515204149576573[Kenya], 0)</f>
        <v>17.539613914093088</v>
      </c>
      <c r="J42" s="29">
        <f>IF(C42-Table_14634515204149576573[Rwanda]&gt;0, C42-Table_14634515204149576573[Rwanda], 0)</f>
        <v>0</v>
      </c>
      <c r="K42" s="29">
        <f>IF(C42-Table_14634515204149576573[Sudan]&gt;0, C42-Table_14634515204149576573[Sudan], 0)</f>
        <v>0</v>
      </c>
      <c r="L42" s="29">
        <f>IF(C42-Table_14634515204149576573[S. Sudan]&gt;0, C42-Table_14634515204149576573[S. Sudan], 0)</f>
        <v>0</v>
      </c>
      <c r="M42" s="29">
        <f>IF(C42-Table_14634515204149576573[Tanzania]&gt;0, C42-Table_14634515204149576573[Tanzania], 0)</f>
        <v>40.841137138873897</v>
      </c>
      <c r="N42" s="29">
        <f>IF(C42-Table_14634515204149576573[Uganda]&gt;0, C42-Table_14634515204149576573[Uganda], 0)</f>
        <v>46.19646344816087</v>
      </c>
      <c r="P42" s="21" t="s">
        <v>195</v>
      </c>
      <c r="Q42" s="97">
        <f t="shared" ref="Q42:Q51" si="4">$AE$41+(D43-$AE$39)*($AE$42-$AE$41)/($AE$40-$AE$39)</f>
        <v>5.5255337047259975E-2</v>
      </c>
      <c r="R42" s="97">
        <f t="shared" si="3"/>
        <v>-1.1394666786336796E-3</v>
      </c>
      <c r="S42" s="97">
        <f t="shared" si="3"/>
        <v>-1.1394666786336796E-3</v>
      </c>
      <c r="T42" s="97">
        <f t="shared" si="3"/>
        <v>1E-3</v>
      </c>
      <c r="U42" s="97">
        <f t="shared" si="3"/>
        <v>0.96846339465534204</v>
      </c>
      <c r="V42" s="97">
        <f t="shared" si="3"/>
        <v>0.34511260757898699</v>
      </c>
      <c r="W42" s="97">
        <f t="shared" si="3"/>
        <v>2.1818197863945916E-2</v>
      </c>
      <c r="X42" s="97">
        <f t="shared" si="3"/>
        <v>-1.1394666786336796E-3</v>
      </c>
      <c r="Y42" s="97">
        <f t="shared" si="3"/>
        <v>-1.1394666786336796E-3</v>
      </c>
      <c r="Z42" s="97">
        <f t="shared" si="3"/>
        <v>0.7301904065686029</v>
      </c>
      <c r="AA42" s="97">
        <f t="shared" si="3"/>
        <v>0.81869179972466377</v>
      </c>
      <c r="AD42" s="3" t="s">
        <v>70</v>
      </c>
      <c r="AE42" s="2">
        <v>1</v>
      </c>
    </row>
    <row r="43" spans="2:31" ht="12.75" customHeight="1" x14ac:dyDescent="0.25">
      <c r="B43" s="21" t="s">
        <v>195</v>
      </c>
      <c r="C43" s="95">
        <f>Annual_sorted!O117</f>
        <v>-0.49756366954476156</v>
      </c>
      <c r="D43" s="29">
        <f>IF(C43-Table_14634515204149576573[Burundi]&gt;0, C43-Table_14634515204149576573[Burundi], 0)</f>
        <v>3.4125177619271212</v>
      </c>
      <c r="E43" s="29">
        <f>IF(C43-Table_14634515204149576573[DRC]&gt;0, C43-Table_14634515204149576573[DRC], 0)</f>
        <v>0</v>
      </c>
      <c r="F43" s="29">
        <f>IF(C43-Table_14634515204149576573[Egypt]&gt;0, C43-Table_14634515204149576573[Egypt], 0)</f>
        <v>0</v>
      </c>
      <c r="G43" s="29">
        <f>IF(C43-Table_14634515204149576573[Eritrea]&gt;0, C43-Table_14634515204149576573[Eritrea], 0)</f>
        <v>0.12946171561080227</v>
      </c>
      <c r="H43" s="29">
        <f>IF(C43-Table_14634515204149576573[Ethiopia]&gt;0, C43-Table_14634515204149576573[Ethiopia], 0)</f>
        <v>58.671841512205198</v>
      </c>
      <c r="I43" s="29">
        <f>IF(C43-Table_14634515204149576573[Kenya]&gt;0, C43-Table_14634515204149576573[Kenya], 0)</f>
        <v>20.952131676020212</v>
      </c>
      <c r="J43" s="29">
        <f>IF(C43-Table_14634515204149576573[Rwanda]&gt;0, C43-Table_14634515204149576573[Rwanda], 0)</f>
        <v>1.3891960402008809</v>
      </c>
      <c r="K43" s="29">
        <f>IF(C43-Table_14634515204149576573[Sudan]&gt;0, C43-Table_14634515204149576573[Sudan], 0)</f>
        <v>0</v>
      </c>
      <c r="L43" s="29">
        <f>IF(C43-Table_14634515204149576573[S. Sudan]&gt;0, C43-Table_14634515204149576573[S. Sudan], 0)</f>
        <v>0</v>
      </c>
      <c r="M43" s="29">
        <f>IF(C43-Table_14634515204149576573[Tanzania]&gt;0, C43-Table_14634515204149576573[Tanzania], 0)</f>
        <v>44.253654900801017</v>
      </c>
      <c r="N43" s="29">
        <f>IF(C43-Table_14634515204149576573[Uganda]&gt;0, C43-Table_14634515204149576573[Uganda], 0)</f>
        <v>49.60898121008799</v>
      </c>
      <c r="P43" s="21" t="s">
        <v>2</v>
      </c>
      <c r="Q43" s="97">
        <f t="shared" si="4"/>
        <v>8.6791942391918078E-2</v>
      </c>
      <c r="R43" s="97">
        <f t="shared" si="3"/>
        <v>3.0397138666024441E-2</v>
      </c>
      <c r="S43" s="97">
        <f t="shared" si="3"/>
        <v>-1.1394666786336796E-3</v>
      </c>
      <c r="T43" s="97">
        <f t="shared" si="3"/>
        <v>3.2536605344658118E-2</v>
      </c>
      <c r="U43" s="97">
        <f t="shared" si="3"/>
        <v>1</v>
      </c>
      <c r="V43" s="97">
        <f t="shared" si="3"/>
        <v>0.37664921292364506</v>
      </c>
      <c r="W43" s="97">
        <f t="shared" si="3"/>
        <v>5.3354803208604043E-2</v>
      </c>
      <c r="X43" s="97">
        <f t="shared" si="3"/>
        <v>1.2141900996540455E-2</v>
      </c>
      <c r="Y43" s="97">
        <f t="shared" si="3"/>
        <v>1.9031757745633367E-2</v>
      </c>
      <c r="Z43" s="97">
        <f t="shared" si="3"/>
        <v>0.76172701191326098</v>
      </c>
      <c r="AA43" s="97">
        <f t="shared" si="3"/>
        <v>0.85022840506932185</v>
      </c>
    </row>
    <row r="44" spans="2:31" ht="12.75" customHeight="1" x14ac:dyDescent="0.25">
      <c r="B44" s="21" t="s">
        <v>2</v>
      </c>
      <c r="C44" s="95">
        <f>Annual_sorted!O118</f>
        <v>1.4107544516178501</v>
      </c>
      <c r="D44" s="29">
        <f>IF(C44-Table_14634515204149576573[Burundi]&gt;0, C44-Table_14634515204149576573[Burundi], 0)</f>
        <v>5.3208358830897327</v>
      </c>
      <c r="E44" s="29">
        <f>IF(C44-Table_14634515204149576573[DRC]&gt;0, C44-Table_14634515204149576573[DRC], 0)</f>
        <v>1.9083181211626117</v>
      </c>
      <c r="F44" s="29">
        <f>IF(C44-Table_14634515204149576573[Egypt]&gt;0, C44-Table_14634515204149576573[Egypt], 0)</f>
        <v>0</v>
      </c>
      <c r="G44" s="29">
        <f>IF(C44-Table_14634515204149576573[Eritrea]&gt;0, C44-Table_14634515204149576573[Eritrea], 0)</f>
        <v>2.0377798367734137</v>
      </c>
      <c r="H44" s="29">
        <f>IF(C44-Table_14634515204149576573[Ethiopia]&gt;0, C44-Table_14634515204149576573[Ethiopia], 0)</f>
        <v>60.580159633367806</v>
      </c>
      <c r="I44" s="29">
        <f>IF(C44-Table_14634515204149576573[Kenya]&gt;0, C44-Table_14634515204149576573[Kenya], 0)</f>
        <v>22.860449797182824</v>
      </c>
      <c r="J44" s="29">
        <f>IF(C44-Table_14634515204149576573[Rwanda]&gt;0, C44-Table_14634515204149576573[Rwanda], 0)</f>
        <v>3.2975141613634928</v>
      </c>
      <c r="K44" s="29">
        <f>IF(C44-Table_14634515204149576573[Sudan]&gt;0, C44-Table_14634515204149576573[Sudan], 0)</f>
        <v>0.80367161688349775</v>
      </c>
      <c r="L44" s="29">
        <f>IF(C44-Table_14634515204149576573[S. Sudan]&gt;0, C44-Table_14634515204149576573[S. Sudan], 0)</f>
        <v>1.2205851794821312</v>
      </c>
      <c r="M44" s="29">
        <f>IF(C44-Table_14634515204149576573[Tanzania]&gt;0, C44-Table_14634515204149576573[Tanzania], 0)</f>
        <v>46.161973021963625</v>
      </c>
      <c r="N44" s="29">
        <f>IF(C44-Table_14634515204149576573[Uganda]&gt;0, C44-Table_14634515204149576573[Uganda], 0)</f>
        <v>51.517299331250598</v>
      </c>
      <c r="P44" s="21" t="s">
        <v>3</v>
      </c>
      <c r="Q44" s="97">
        <f t="shared" si="4"/>
        <v>5.3115870368626285E-2</v>
      </c>
      <c r="R44" s="97">
        <f t="shared" si="3"/>
        <v>-1.1394666786336796E-3</v>
      </c>
      <c r="S44" s="97">
        <f t="shared" si="3"/>
        <v>-1.1394666786336796E-3</v>
      </c>
      <c r="T44" s="97">
        <f t="shared" si="3"/>
        <v>-1.1394666786336796E-3</v>
      </c>
      <c r="U44" s="97">
        <f t="shared" si="3"/>
        <v>0.9663239279767083</v>
      </c>
      <c r="V44" s="97">
        <f t="shared" si="3"/>
        <v>0.3429731409003533</v>
      </c>
      <c r="W44" s="97">
        <f t="shared" si="3"/>
        <v>1.9678731185312239E-2</v>
      </c>
      <c r="X44" s="97">
        <f t="shared" si="3"/>
        <v>-1.1394666786336796E-3</v>
      </c>
      <c r="Y44" s="97">
        <f t="shared" si="3"/>
        <v>-1.1394666786336796E-3</v>
      </c>
      <c r="Z44" s="97">
        <f t="shared" si="3"/>
        <v>0.72805093988996916</v>
      </c>
      <c r="AA44" s="97">
        <f t="shared" si="3"/>
        <v>0.81655233304603014</v>
      </c>
    </row>
    <row r="45" spans="2:31" ht="12.75" customHeight="1" x14ac:dyDescent="0.25">
      <c r="B45" s="21" t="s">
        <v>3</v>
      </c>
      <c r="C45" s="95">
        <f>Annual_sorted!O119</f>
        <v>-0.62702538515556383</v>
      </c>
      <c r="D45" s="29">
        <f>IF(C45-Table_14634515204149576573[Burundi]&gt;0, C45-Table_14634515204149576573[Burundi], 0)</f>
        <v>3.283056046316319</v>
      </c>
      <c r="E45" s="29">
        <f>IF(C45-Table_14634515204149576573[DRC]&gt;0, C45-Table_14634515204149576573[DRC], 0)</f>
        <v>0</v>
      </c>
      <c r="F45" s="29">
        <f>IF(C45-Table_14634515204149576573[Egypt]&gt;0, C45-Table_14634515204149576573[Egypt], 0)</f>
        <v>0</v>
      </c>
      <c r="G45" s="29">
        <f>IF(C45-Table_14634515204149576573[Eritrea]&gt;0, C45-Table_14634515204149576573[Eritrea], 0)</f>
        <v>0</v>
      </c>
      <c r="H45" s="29">
        <f>IF(C45-Table_14634515204149576573[Ethiopia]&gt;0, C45-Table_14634515204149576573[Ethiopia], 0)</f>
        <v>58.542379796594396</v>
      </c>
      <c r="I45" s="29">
        <f>IF(C45-Table_14634515204149576573[Kenya]&gt;0, C45-Table_14634515204149576573[Kenya], 0)</f>
        <v>20.82266996040941</v>
      </c>
      <c r="J45" s="29">
        <f>IF(C45-Table_14634515204149576573[Rwanda]&gt;0, C45-Table_14634515204149576573[Rwanda], 0)</f>
        <v>1.2597343245900787</v>
      </c>
      <c r="K45" s="29">
        <f>IF(C45-Table_14634515204149576573[Sudan]&gt;0, C45-Table_14634515204149576573[Sudan], 0)</f>
        <v>0</v>
      </c>
      <c r="L45" s="29">
        <f>IF(C45-Table_14634515204149576573[S. Sudan]&gt;0, C45-Table_14634515204149576573[S. Sudan], 0)</f>
        <v>0</v>
      </c>
      <c r="M45" s="29">
        <f>IF(C45-Table_14634515204149576573[Tanzania]&gt;0, C45-Table_14634515204149576573[Tanzania], 0)</f>
        <v>44.124193185190215</v>
      </c>
      <c r="N45" s="29">
        <f>IF(C45-Table_14634515204149576573[Uganda]&gt;0, C45-Table_14634515204149576573[Uganda], 0)</f>
        <v>49.479519494477188</v>
      </c>
      <c r="P45" s="21" t="s">
        <v>4</v>
      </c>
      <c r="Q45" s="97">
        <f t="shared" si="4"/>
        <v>-1.1394666786336796E-3</v>
      </c>
      <c r="R45" s="97">
        <f t="shared" si="3"/>
        <v>-1.1394666786336796E-3</v>
      </c>
      <c r="S45" s="97">
        <f t="shared" si="3"/>
        <v>-1.1394666786336796E-3</v>
      </c>
      <c r="T45" s="97">
        <f t="shared" si="3"/>
        <v>-1.1394666786336796E-3</v>
      </c>
      <c r="U45" s="97">
        <f t="shared" si="3"/>
        <v>-1.1394666786336796E-3</v>
      </c>
      <c r="V45" s="97">
        <f t="shared" si="3"/>
        <v>-1.1394666786336796E-3</v>
      </c>
      <c r="W45" s="97">
        <f t="shared" si="3"/>
        <v>-1.1394666786336796E-3</v>
      </c>
      <c r="X45" s="97">
        <f t="shared" si="3"/>
        <v>-1.1394666786336796E-3</v>
      </c>
      <c r="Y45" s="97">
        <f t="shared" si="3"/>
        <v>-1.1394666786336796E-3</v>
      </c>
      <c r="Z45" s="97">
        <f t="shared" si="3"/>
        <v>-1.1394666786336796E-3</v>
      </c>
      <c r="AA45" s="97">
        <f t="shared" si="3"/>
        <v>-1.1394666786336796E-3</v>
      </c>
    </row>
    <row r="46" spans="2:31" ht="12.75" customHeight="1" x14ac:dyDescent="0.25">
      <c r="B46" s="21" t="s">
        <v>4</v>
      </c>
      <c r="C46" s="95">
        <f>Annual_sorted!O120</f>
        <v>-59.169405181749958</v>
      </c>
      <c r="D46" s="29">
        <f>IF(C46-Table_14634515204149576573[Burundi]&gt;0, C46-Table_14634515204149576573[Burundi], 0)</f>
        <v>0</v>
      </c>
      <c r="E46" s="29">
        <f>IF(C46-Table_14634515204149576573[DRC]&gt;0, C46-Table_14634515204149576573[DRC], 0)</f>
        <v>0</v>
      </c>
      <c r="F46" s="29">
        <f>IF(C46-Table_14634515204149576573[Egypt]&gt;0, C46-Table_14634515204149576573[Egypt], 0)</f>
        <v>0</v>
      </c>
      <c r="G46" s="29">
        <f>IF(C46-Table_14634515204149576573[Eritrea]&gt;0, C46-Table_14634515204149576573[Eritrea], 0)</f>
        <v>0</v>
      </c>
      <c r="H46" s="29">
        <f>IF(C46-Table_14634515204149576573[Ethiopia]&gt;0, C46-Table_14634515204149576573[Ethiopia], 0)</f>
        <v>0</v>
      </c>
      <c r="I46" s="29">
        <f>IF(C46-Table_14634515204149576573[Kenya]&gt;0, C46-Table_14634515204149576573[Kenya], 0)</f>
        <v>0</v>
      </c>
      <c r="J46" s="29">
        <f>IF(C46-Table_14634515204149576573[Rwanda]&gt;0, C46-Table_14634515204149576573[Rwanda], 0)</f>
        <v>0</v>
      </c>
      <c r="K46" s="29">
        <f>IF(C46-Table_14634515204149576573[Sudan]&gt;0, C46-Table_14634515204149576573[Sudan], 0)</f>
        <v>0</v>
      </c>
      <c r="L46" s="29">
        <f>IF(C46-Table_14634515204149576573[S. Sudan]&gt;0, C46-Table_14634515204149576573[S. Sudan], 0)</f>
        <v>0</v>
      </c>
      <c r="M46" s="29">
        <f>IF(C46-Table_14634515204149576573[Tanzania]&gt;0, C46-Table_14634515204149576573[Tanzania], 0)</f>
        <v>0</v>
      </c>
      <c r="N46" s="29">
        <f>IF(C46-Table_14634515204149576573[Uganda]&gt;0, C46-Table_14634515204149576573[Uganda], 0)</f>
        <v>0</v>
      </c>
      <c r="P46" s="21" t="s">
        <v>5</v>
      </c>
      <c r="Q46" s="97">
        <f t="shared" si="4"/>
        <v>-1.1394666786336796E-3</v>
      </c>
      <c r="R46" s="97">
        <f t="shared" si="3"/>
        <v>-1.1394666786336796E-3</v>
      </c>
      <c r="S46" s="97">
        <f t="shared" si="3"/>
        <v>-1.1394666786336796E-3</v>
      </c>
      <c r="T46" s="97">
        <f t="shared" si="3"/>
        <v>-1.1394666786336796E-3</v>
      </c>
      <c r="U46" s="97">
        <f t="shared" si="3"/>
        <v>0.62221132039772142</v>
      </c>
      <c r="V46" s="97">
        <f t="shared" si="3"/>
        <v>-1.1394666786336796E-3</v>
      </c>
      <c r="W46" s="97">
        <f t="shared" si="3"/>
        <v>-1.1394666786336796E-3</v>
      </c>
      <c r="X46" s="97">
        <f t="shared" si="3"/>
        <v>-1.1394666786336796E-3</v>
      </c>
      <c r="Y46" s="97">
        <f t="shared" si="3"/>
        <v>-1.1394666786336796E-3</v>
      </c>
      <c r="Z46" s="97">
        <f t="shared" si="3"/>
        <v>0.38393833231098218</v>
      </c>
      <c r="AA46" s="97">
        <f t="shared" si="3"/>
        <v>0.47243972546704316</v>
      </c>
    </row>
    <row r="47" spans="2:31" ht="12.75" customHeight="1" x14ac:dyDescent="0.25">
      <c r="B47" s="21" t="s">
        <v>5</v>
      </c>
      <c r="C47" s="95">
        <f>Annual_sorted!O121</f>
        <v>-21.449695345564972</v>
      </c>
      <c r="D47" s="29">
        <f>IF(C47-Table_14634515204149576573[Burundi]&gt;0, C47-Table_14634515204149576573[Burundi], 0)</f>
        <v>0</v>
      </c>
      <c r="E47" s="29">
        <f>IF(C47-Table_14634515204149576573[DRC]&gt;0, C47-Table_14634515204149576573[DRC], 0)</f>
        <v>0</v>
      </c>
      <c r="F47" s="29">
        <f>IF(C47-Table_14634515204149576573[Egypt]&gt;0, C47-Table_14634515204149576573[Egypt], 0)</f>
        <v>0</v>
      </c>
      <c r="G47" s="29">
        <f>IF(C47-Table_14634515204149576573[Eritrea]&gt;0, C47-Table_14634515204149576573[Eritrea], 0)</f>
        <v>0</v>
      </c>
      <c r="H47" s="29">
        <f>IF(C47-Table_14634515204149576573[Ethiopia]&gt;0, C47-Table_14634515204149576573[Ethiopia], 0)</f>
        <v>37.71970983618499</v>
      </c>
      <c r="I47" s="29">
        <f>IF(C47-Table_14634515204149576573[Kenya]&gt;0, C47-Table_14634515204149576573[Kenya], 0)</f>
        <v>0</v>
      </c>
      <c r="J47" s="29">
        <f>IF(C47-Table_14634515204149576573[Rwanda]&gt;0, C47-Table_14634515204149576573[Rwanda], 0)</f>
        <v>0</v>
      </c>
      <c r="K47" s="29">
        <f>IF(C47-Table_14634515204149576573[Sudan]&gt;0, C47-Table_14634515204149576573[Sudan], 0)</f>
        <v>0</v>
      </c>
      <c r="L47" s="29">
        <f>IF(C47-Table_14634515204149576573[S. Sudan]&gt;0, C47-Table_14634515204149576573[S. Sudan], 0)</f>
        <v>0</v>
      </c>
      <c r="M47" s="29">
        <f>IF(C47-Table_14634515204149576573[Tanzania]&gt;0, C47-Table_14634515204149576573[Tanzania], 0)</f>
        <v>23.301523224780805</v>
      </c>
      <c r="N47" s="29">
        <f>IF(C47-Table_14634515204149576573[Uganda]&gt;0, C47-Table_14634515204149576573[Uganda], 0)</f>
        <v>28.656849534067778</v>
      </c>
      <c r="P47" s="21" t="s">
        <v>6</v>
      </c>
      <c r="Q47" s="97">
        <f t="shared" si="4"/>
        <v>3.2297672504680366E-2</v>
      </c>
      <c r="R47" s="97">
        <f t="shared" si="3"/>
        <v>-1.1394666786336796E-3</v>
      </c>
      <c r="S47" s="97">
        <f t="shared" si="3"/>
        <v>-1.1394666786336796E-3</v>
      </c>
      <c r="T47" s="97">
        <f t="shared" si="3"/>
        <v>-1.1394666786336796E-3</v>
      </c>
      <c r="U47" s="97">
        <f t="shared" si="3"/>
        <v>0.9455057301127624</v>
      </c>
      <c r="V47" s="97">
        <f t="shared" si="3"/>
        <v>0.32215494303640735</v>
      </c>
      <c r="W47" s="97">
        <f t="shared" si="3"/>
        <v>-1.1394666786336796E-3</v>
      </c>
      <c r="X47" s="97">
        <f t="shared" si="3"/>
        <v>-1.1394666786336796E-3</v>
      </c>
      <c r="Y47" s="97">
        <f t="shared" si="3"/>
        <v>-1.1394666786336796E-3</v>
      </c>
      <c r="Z47" s="97">
        <f t="shared" si="3"/>
        <v>0.70723274202602326</v>
      </c>
      <c r="AA47" s="97">
        <f t="shared" si="3"/>
        <v>0.79573413518208425</v>
      </c>
    </row>
    <row r="48" spans="2:31" ht="12.75" customHeight="1" x14ac:dyDescent="0.25">
      <c r="B48" s="21" t="s">
        <v>6</v>
      </c>
      <c r="C48" s="95">
        <f>Annual_sorted!O122</f>
        <v>-1.8867597097456426</v>
      </c>
      <c r="D48" s="29">
        <f>IF(C48-Table_14634515204149576573[Burundi]&gt;0, C48-Table_14634515204149576573[Burundi], 0)</f>
        <v>2.0233217217262398</v>
      </c>
      <c r="E48" s="29">
        <f>IF(C48-Table_14634515204149576573[DRC]&gt;0, C48-Table_14634515204149576573[DRC], 0)</f>
        <v>0</v>
      </c>
      <c r="F48" s="29">
        <f>IF(C48-Table_14634515204149576573[Egypt]&gt;0, C48-Table_14634515204149576573[Egypt], 0)</f>
        <v>0</v>
      </c>
      <c r="G48" s="29">
        <f>IF(C48-Table_14634515204149576573[Eritrea]&gt;0, C48-Table_14634515204149576573[Eritrea], 0)</f>
        <v>0</v>
      </c>
      <c r="H48" s="29">
        <f>IF(C48-Table_14634515204149576573[Ethiopia]&gt;0, C48-Table_14634515204149576573[Ethiopia], 0)</f>
        <v>57.282645472004319</v>
      </c>
      <c r="I48" s="29">
        <f>IF(C48-Table_14634515204149576573[Kenya]&gt;0, C48-Table_14634515204149576573[Kenya], 0)</f>
        <v>19.562935635819329</v>
      </c>
      <c r="J48" s="29">
        <f>IF(C48-Table_14634515204149576573[Rwanda]&gt;0, C48-Table_14634515204149576573[Rwanda], 0)</f>
        <v>0</v>
      </c>
      <c r="K48" s="29">
        <f>IF(C48-Table_14634515204149576573[Sudan]&gt;0, C48-Table_14634515204149576573[Sudan], 0)</f>
        <v>0</v>
      </c>
      <c r="L48" s="29">
        <f>IF(C48-Table_14634515204149576573[S. Sudan]&gt;0, C48-Table_14634515204149576573[S. Sudan], 0)</f>
        <v>0</v>
      </c>
      <c r="M48" s="29">
        <f>IF(C48-Table_14634515204149576573[Tanzania]&gt;0, C48-Table_14634515204149576573[Tanzania], 0)</f>
        <v>42.864458860600138</v>
      </c>
      <c r="N48" s="29">
        <f>IF(C48-Table_14634515204149576573[Uganda]&gt;0, C48-Table_14634515204149576573[Uganda], 0)</f>
        <v>48.21978516988711</v>
      </c>
      <c r="P48" s="21" t="s">
        <v>7</v>
      </c>
      <c r="Q48" s="97">
        <f t="shared" si="4"/>
        <v>7.3510574716743937E-2</v>
      </c>
      <c r="R48" s="97">
        <f t="shared" si="3"/>
        <v>1.7115770990850307E-2</v>
      </c>
      <c r="S48" s="97">
        <f t="shared" si="3"/>
        <v>-1.1394666786336796E-3</v>
      </c>
      <c r="T48" s="97">
        <f t="shared" si="3"/>
        <v>1.9255237669483984E-2</v>
      </c>
      <c r="U48" s="97">
        <f t="shared" si="3"/>
        <v>0.98671863232482582</v>
      </c>
      <c r="V48" s="97">
        <f t="shared" si="3"/>
        <v>0.36336784524847099</v>
      </c>
      <c r="W48" s="97">
        <f t="shared" si="3"/>
        <v>4.0073435533429895E-2</v>
      </c>
      <c r="X48" s="97">
        <f t="shared" si="3"/>
        <v>-1.1394666786336796E-3</v>
      </c>
      <c r="Y48" s="97">
        <f t="shared" si="3"/>
        <v>5.7503900704592307E-3</v>
      </c>
      <c r="Z48" s="97">
        <f t="shared" si="3"/>
        <v>0.74844564423808679</v>
      </c>
      <c r="AA48" s="97">
        <f t="shared" si="3"/>
        <v>0.83694703739414766</v>
      </c>
    </row>
    <row r="49" spans="2:31" ht="12.75" customHeight="1" x14ac:dyDescent="0.25">
      <c r="B49" s="21" t="s">
        <v>7</v>
      </c>
      <c r="C49" s="95">
        <f>Annual_sorted!O123</f>
        <v>0.60708283473435232</v>
      </c>
      <c r="D49" s="29">
        <f>IF(C49-Table_14634515204149576573[Burundi]&gt;0, C49-Table_14634515204149576573[Burundi], 0)</f>
        <v>4.517164266206235</v>
      </c>
      <c r="E49" s="29">
        <f>IF(C49-Table_14634515204149576573[DRC]&gt;0, C49-Table_14634515204149576573[DRC], 0)</f>
        <v>1.1046465042791138</v>
      </c>
      <c r="F49" s="29">
        <f>IF(C49-Table_14634515204149576573[Egypt]&gt;0, C49-Table_14634515204149576573[Egypt], 0)</f>
        <v>0</v>
      </c>
      <c r="G49" s="29">
        <f>IF(C49-Table_14634515204149576573[Eritrea]&gt;0, C49-Table_14634515204149576573[Eritrea], 0)</f>
        <v>1.234108219889916</v>
      </c>
      <c r="H49" s="29">
        <f>IF(C49-Table_14634515204149576573[Ethiopia]&gt;0, C49-Table_14634515204149576573[Ethiopia], 0)</f>
        <v>59.776488016484308</v>
      </c>
      <c r="I49" s="29">
        <f>IF(C49-Table_14634515204149576573[Kenya]&gt;0, C49-Table_14634515204149576573[Kenya], 0)</f>
        <v>22.056778180299325</v>
      </c>
      <c r="J49" s="29">
        <f>IF(C49-Table_14634515204149576573[Rwanda]&gt;0, C49-Table_14634515204149576573[Rwanda], 0)</f>
        <v>2.4938425444799948</v>
      </c>
      <c r="K49" s="29">
        <f>IF(C49-Table_14634515204149576573[Sudan]&gt;0, C49-Table_14634515204149576573[Sudan], 0)</f>
        <v>0</v>
      </c>
      <c r="L49" s="29">
        <f>IF(C49-Table_14634515204149576573[S. Sudan]&gt;0, C49-Table_14634515204149576573[S. Sudan], 0)</f>
        <v>0.41691356259863344</v>
      </c>
      <c r="M49" s="29">
        <f>IF(C49-Table_14634515204149576573[Tanzania]&gt;0, C49-Table_14634515204149576573[Tanzania], 0)</f>
        <v>45.358301405080127</v>
      </c>
      <c r="N49" s="29">
        <f>IF(C49-Table_14634515204149576573[Uganda]&gt;0, C49-Table_14634515204149576573[Uganda], 0)</f>
        <v>50.713627714367099</v>
      </c>
      <c r="P49" s="21" t="s">
        <v>8</v>
      </c>
      <c r="Q49" s="97">
        <f t="shared" si="4"/>
        <v>6.6620717967651039E-2</v>
      </c>
      <c r="R49" s="97">
        <f t="shared" si="3"/>
        <v>1.0225914241757398E-2</v>
      </c>
      <c r="S49" s="97">
        <f t="shared" si="3"/>
        <v>-1.1394666786336796E-3</v>
      </c>
      <c r="T49" s="97">
        <f t="shared" si="3"/>
        <v>1.2365380920391078E-2</v>
      </c>
      <c r="U49" s="97">
        <f t="shared" si="3"/>
        <v>0.979828775575733</v>
      </c>
      <c r="V49" s="97">
        <f t="shared" si="3"/>
        <v>0.35647798849937801</v>
      </c>
      <c r="W49" s="97">
        <f t="shared" si="3"/>
        <v>3.3183578784336996E-2</v>
      </c>
      <c r="X49" s="97">
        <f t="shared" si="3"/>
        <v>-1.1394666786336796E-3</v>
      </c>
      <c r="Y49" s="97">
        <f t="shared" si="3"/>
        <v>-1.1394666786336796E-3</v>
      </c>
      <c r="Z49" s="97">
        <f t="shared" si="3"/>
        <v>0.74155578748899398</v>
      </c>
      <c r="AA49" s="97">
        <f t="shared" si="3"/>
        <v>0.83005718064505485</v>
      </c>
    </row>
    <row r="50" spans="2:31" ht="12.75" customHeight="1" x14ac:dyDescent="0.25">
      <c r="B50" s="21" t="s">
        <v>8</v>
      </c>
      <c r="C50" s="95">
        <f>Annual_sorted!O124</f>
        <v>0.19016927213571888</v>
      </c>
      <c r="D50" s="29">
        <f>IF(C50-Table_14634515204149576573[Burundi]&gt;0, C50-Table_14634515204149576573[Burundi], 0)</f>
        <v>4.1002507036076015</v>
      </c>
      <c r="E50" s="29">
        <f>IF(C50-Table_14634515204149576573[DRC]&gt;0, C50-Table_14634515204149576573[DRC], 0)</f>
        <v>0.68773294168048049</v>
      </c>
      <c r="F50" s="29">
        <f>IF(C50-Table_14634515204149576573[Egypt]&gt;0, C50-Table_14634515204149576573[Egypt], 0)</f>
        <v>0</v>
      </c>
      <c r="G50" s="29">
        <f>IF(C50-Table_14634515204149576573[Eritrea]&gt;0, C50-Table_14634515204149576573[Eritrea], 0)</f>
        <v>0.81719465729128271</v>
      </c>
      <c r="H50" s="29">
        <f>IF(C50-Table_14634515204149576573[Ethiopia]&gt;0, C50-Table_14634515204149576573[Ethiopia], 0)</f>
        <v>59.359574453885678</v>
      </c>
      <c r="I50" s="29">
        <f>IF(C50-Table_14634515204149576573[Kenya]&gt;0, C50-Table_14634515204149576573[Kenya], 0)</f>
        <v>21.639864617700692</v>
      </c>
      <c r="J50" s="29">
        <f>IF(C50-Table_14634515204149576573[Rwanda]&gt;0, C50-Table_14634515204149576573[Rwanda], 0)</f>
        <v>2.0769289818813617</v>
      </c>
      <c r="K50" s="29">
        <f>IF(C50-Table_14634515204149576573[Sudan]&gt;0, C50-Table_14634515204149576573[Sudan], 0)</f>
        <v>0</v>
      </c>
      <c r="L50" s="29">
        <f>IF(C50-Table_14634515204149576573[S. Sudan]&gt;0, C50-Table_14634515204149576573[S. Sudan], 0)</f>
        <v>0</v>
      </c>
      <c r="M50" s="29">
        <f>IF(C50-Table_14634515204149576573[Tanzania]&gt;0, C50-Table_14634515204149576573[Tanzania], 0)</f>
        <v>44.941387842481497</v>
      </c>
      <c r="N50" s="29">
        <f>IF(C50-Table_14634515204149576573[Uganda]&gt;0, C50-Table_14634515204149576573[Uganda], 0)</f>
        <v>50.296714151768469</v>
      </c>
      <c r="P50" s="21" t="s">
        <v>9</v>
      </c>
      <c r="Q50" s="97">
        <f t="shared" si="4"/>
        <v>-1.1394666786336796E-3</v>
      </c>
      <c r="R50" s="97">
        <f t="shared" si="3"/>
        <v>-1.1394666786336796E-3</v>
      </c>
      <c r="S50" s="97">
        <f t="shared" si="3"/>
        <v>-1.1394666786336796E-3</v>
      </c>
      <c r="T50" s="97">
        <f t="shared" si="3"/>
        <v>-1.1394666786336796E-3</v>
      </c>
      <c r="U50" s="97">
        <f t="shared" si="3"/>
        <v>0.2371335214081054</v>
      </c>
      <c r="V50" s="97">
        <f t="shared" si="3"/>
        <v>-1.1394666786336796E-3</v>
      </c>
      <c r="W50" s="97">
        <f t="shared" si="3"/>
        <v>-1.1394666786336796E-3</v>
      </c>
      <c r="X50" s="97">
        <f t="shared" si="3"/>
        <v>-1.1394666786336796E-3</v>
      </c>
      <c r="Y50" s="97">
        <f t="shared" si="3"/>
        <v>-1.1394666786336796E-3</v>
      </c>
      <c r="Z50" s="97">
        <f t="shared" si="3"/>
        <v>-1.1394666786336796E-3</v>
      </c>
      <c r="AA50" s="97">
        <f t="shared" si="3"/>
        <v>8.7361926477427229E-2</v>
      </c>
    </row>
    <row r="51" spans="2:31" ht="12.75" customHeight="1" thickBot="1" x14ac:dyDescent="0.3">
      <c r="B51" s="21" t="s">
        <v>9</v>
      </c>
      <c r="C51" s="95">
        <f>Annual_sorted!O125</f>
        <v>-44.751218570345777</v>
      </c>
      <c r="D51" s="29">
        <f>IF(C51-Table_14634515204149576573[Burundi]&gt;0, C51-Table_14634515204149576573[Burundi], 0)</f>
        <v>0</v>
      </c>
      <c r="E51" s="29">
        <f>IF(C51-Table_14634515204149576573[DRC]&gt;0, C51-Table_14634515204149576573[DRC], 0)</f>
        <v>0</v>
      </c>
      <c r="F51" s="29">
        <f>IF(C51-Table_14634515204149576573[Egypt]&gt;0, C51-Table_14634515204149576573[Egypt], 0)</f>
        <v>0</v>
      </c>
      <c r="G51" s="29">
        <f>IF(C51-Table_14634515204149576573[Eritrea]&gt;0, C51-Table_14634515204149576573[Eritrea], 0)</f>
        <v>0</v>
      </c>
      <c r="H51" s="29">
        <f>IF(C51-Table_14634515204149576573[Ethiopia]&gt;0, C51-Table_14634515204149576573[Ethiopia], 0)</f>
        <v>14.418186611404181</v>
      </c>
      <c r="I51" s="29">
        <f>IF(C51-Table_14634515204149576573[Kenya]&gt;0, C51-Table_14634515204149576573[Kenya], 0)</f>
        <v>0</v>
      </c>
      <c r="J51" s="29">
        <f>IF(C51-Table_14634515204149576573[Rwanda]&gt;0, C51-Table_14634515204149576573[Rwanda], 0)</f>
        <v>0</v>
      </c>
      <c r="K51" s="29">
        <f>IF(C51-Table_14634515204149576573[Sudan]&gt;0, C51-Table_14634515204149576573[Sudan], 0)</f>
        <v>0</v>
      </c>
      <c r="L51" s="29">
        <f>IF(C51-Table_14634515204149576573[S. Sudan]&gt;0, C51-Table_14634515204149576573[S. Sudan], 0)</f>
        <v>0</v>
      </c>
      <c r="M51" s="29">
        <f>IF(C51-Table_14634515204149576573[Tanzania]&gt;0, C51-Table_14634515204149576573[Tanzania], 0)</f>
        <v>0</v>
      </c>
      <c r="N51" s="29">
        <f>IF(C51-Table_14634515204149576573[Uganda]&gt;0, C51-Table_14634515204149576573[Uganda], 0)</f>
        <v>5.3553263092869727</v>
      </c>
      <c r="P51" s="22" t="s">
        <v>10</v>
      </c>
      <c r="Q51" s="98">
        <f t="shared" si="4"/>
        <v>-1.1394666786336796E-3</v>
      </c>
      <c r="R51" s="98">
        <f t="shared" si="3"/>
        <v>-1.1394666786336796E-3</v>
      </c>
      <c r="S51" s="98">
        <f t="shared" si="3"/>
        <v>-1.1394666786336796E-3</v>
      </c>
      <c r="T51" s="98">
        <f t="shared" si="3"/>
        <v>-1.1394666786336796E-3</v>
      </c>
      <c r="U51" s="98">
        <f t="shared" si="3"/>
        <v>0.14863212825204447</v>
      </c>
      <c r="V51" s="98">
        <f t="shared" si="3"/>
        <v>-1.1394666786336796E-3</v>
      </c>
      <c r="W51" s="98">
        <f t="shared" si="3"/>
        <v>-1.1394666786336796E-3</v>
      </c>
      <c r="X51" s="98">
        <f t="shared" si="3"/>
        <v>-1.1394666786336796E-3</v>
      </c>
      <c r="Y51" s="98">
        <f t="shared" si="3"/>
        <v>-1.1394666786336796E-3</v>
      </c>
      <c r="Z51" s="98">
        <f t="shared" si="3"/>
        <v>-1.1394666786336796E-3</v>
      </c>
      <c r="AA51" s="98">
        <f t="shared" si="3"/>
        <v>-1.1394666786336796E-3</v>
      </c>
      <c r="AB51" s="186"/>
    </row>
    <row r="52" spans="2:31" ht="12.75" customHeight="1" thickBot="1" x14ac:dyDescent="0.3">
      <c r="B52" s="22" t="s">
        <v>10</v>
      </c>
      <c r="C52" s="96">
        <f>Annual_sorted!O126</f>
        <v>-50.10654487963275</v>
      </c>
      <c r="D52" s="32">
        <f>IF(C52-Table_14634515204149576573[Burundi]&gt;0, C52-Table_14634515204149576573[Burundi], 0)</f>
        <v>0</v>
      </c>
      <c r="E52" s="32">
        <f>IF(C52-Table_14634515204149576573[DRC]&gt;0, C52-Table_14634515204149576573[DRC], 0)</f>
        <v>0</v>
      </c>
      <c r="F52" s="32">
        <f>IF(C52-Table_14634515204149576573[Egypt]&gt;0, C52-Table_14634515204149576573[Egypt], 0)</f>
        <v>0</v>
      </c>
      <c r="G52" s="32">
        <f>IF(C52-Table_14634515204149576573[Eritrea]&gt;0, C52-Table_14634515204149576573[Eritrea], 0)</f>
        <v>0</v>
      </c>
      <c r="H52" s="32">
        <f>IF(C52-Table_14634515204149576573[Ethiopia]&gt;0, C52-Table_14634515204149576573[Ethiopia], 0)</f>
        <v>9.0628603021172083</v>
      </c>
      <c r="I52" s="32">
        <f>IF(C52-Table_14634515204149576573[Kenya]&gt;0, C52-Table_14634515204149576573[Kenya], 0)</f>
        <v>0</v>
      </c>
      <c r="J52" s="32">
        <f>IF(C52-Table_14634515204149576573[Rwanda]&gt;0, C52-Table_14634515204149576573[Rwanda], 0)</f>
        <v>0</v>
      </c>
      <c r="K52" s="32">
        <f>IF(C52-Table_14634515204149576573[Sudan]&gt;0, C52-Table_14634515204149576573[Sudan], 0)</f>
        <v>0</v>
      </c>
      <c r="L52" s="32">
        <f>IF(C52-Table_14634515204149576573[S. Sudan]&gt;0, C52-Table_14634515204149576573[S. Sudan], 0)</f>
        <v>0</v>
      </c>
      <c r="M52" s="32">
        <f>IF(C52-Table_14634515204149576573[Tanzania]&gt;0, C52-Table_14634515204149576573[Tanzania], 0)</f>
        <v>0</v>
      </c>
      <c r="N52" s="32">
        <f>IF(C52-Table_14634515204149576573[Uganda]&gt;0, C52-Table_14634515204149576573[Uganda], 0)</f>
        <v>0</v>
      </c>
    </row>
    <row r="53" spans="2:31" ht="12.75" customHeight="1" x14ac:dyDescent="0.25"/>
    <row r="54" spans="2:31" ht="12.75" customHeight="1" x14ac:dyDescent="0.25"/>
    <row r="55" spans="2:31" ht="12.75" customHeight="1" x14ac:dyDescent="0.25"/>
    <row r="56" spans="2:31" ht="12.75" customHeight="1" x14ac:dyDescent="0.25">
      <c r="B56" s="5"/>
      <c r="C56" s="5"/>
      <c r="D56" s="5"/>
      <c r="E56" s="5"/>
      <c r="F56" s="5"/>
      <c r="G56" s="5"/>
      <c r="H56" s="5"/>
      <c r="I56" s="5"/>
      <c r="J56" s="5"/>
      <c r="K56" s="5"/>
      <c r="L56" s="5"/>
      <c r="M56" s="5"/>
      <c r="N56" s="44"/>
      <c r="O56" s="5"/>
      <c r="P56" s="5"/>
      <c r="Q56" s="5"/>
      <c r="R56" s="5"/>
      <c r="S56" s="5"/>
      <c r="T56" s="5"/>
      <c r="U56" s="5"/>
      <c r="V56" s="5"/>
      <c r="W56" s="5"/>
      <c r="X56" s="5"/>
      <c r="Y56" s="5"/>
      <c r="Z56" s="5"/>
      <c r="AA56" s="5"/>
    </row>
    <row r="57" spans="2:31" ht="12.75" customHeight="1" thickBot="1" x14ac:dyDescent="0.3">
      <c r="B57" s="253" t="s">
        <v>79</v>
      </c>
      <c r="C57" s="253"/>
      <c r="D57" s="253"/>
      <c r="E57" s="253"/>
      <c r="F57" s="253"/>
      <c r="G57" s="253"/>
      <c r="H57" s="253"/>
      <c r="I57" s="253"/>
      <c r="J57" s="253"/>
      <c r="K57" s="253"/>
      <c r="L57" s="253"/>
      <c r="M57" s="253"/>
      <c r="N57" s="253"/>
      <c r="O57" s="5"/>
      <c r="P57" s="253" t="s">
        <v>80</v>
      </c>
      <c r="Q57" s="253"/>
      <c r="R57" s="253"/>
      <c r="S57" s="253"/>
      <c r="T57" s="253"/>
      <c r="U57" s="253"/>
      <c r="V57" s="253"/>
      <c r="W57" s="253"/>
      <c r="X57" s="253"/>
      <c r="Y57" s="253"/>
      <c r="Z57" s="253"/>
      <c r="AA57" s="253"/>
      <c r="AB57" s="10"/>
      <c r="AC57" s="3" t="s">
        <v>22</v>
      </c>
      <c r="AD57" s="13" t="s">
        <v>23</v>
      </c>
      <c r="AE57" s="74">
        <f t="array" ref="AE57">MIN(IF(D60:N70&gt;0,D60:N70))</f>
        <v>0.12946171561080227</v>
      </c>
    </row>
    <row r="58" spans="2:31" ht="12.75" customHeight="1" thickBot="1" x14ac:dyDescent="0.3">
      <c r="B58" s="75" t="s">
        <v>13</v>
      </c>
      <c r="C58" s="66" t="s">
        <v>14</v>
      </c>
      <c r="D58" s="67" t="s">
        <v>1</v>
      </c>
      <c r="E58" s="67" t="s">
        <v>195</v>
      </c>
      <c r="F58" s="67" t="s">
        <v>2</v>
      </c>
      <c r="G58" s="67" t="s">
        <v>3</v>
      </c>
      <c r="H58" s="67" t="s">
        <v>4</v>
      </c>
      <c r="I58" s="67" t="s">
        <v>5</v>
      </c>
      <c r="J58" s="67" t="s">
        <v>6</v>
      </c>
      <c r="K58" s="67" t="s">
        <v>7</v>
      </c>
      <c r="L58" s="67" t="s">
        <v>295</v>
      </c>
      <c r="M58" s="67" t="s">
        <v>9</v>
      </c>
      <c r="N58" s="67" t="s">
        <v>10</v>
      </c>
      <c r="P58" s="128" t="s">
        <v>19</v>
      </c>
      <c r="Q58" s="123" t="s">
        <v>1</v>
      </c>
      <c r="R58" s="123" t="s">
        <v>195</v>
      </c>
      <c r="S58" s="123" t="s">
        <v>2</v>
      </c>
      <c r="T58" s="123" t="s">
        <v>3</v>
      </c>
      <c r="U58" s="123" t="s">
        <v>4</v>
      </c>
      <c r="V58" s="123" t="s">
        <v>5</v>
      </c>
      <c r="W58" s="123" t="s">
        <v>6</v>
      </c>
      <c r="X58" s="123" t="s">
        <v>7</v>
      </c>
      <c r="Y58" s="123" t="s">
        <v>295</v>
      </c>
      <c r="Z58" s="123" t="s">
        <v>9</v>
      </c>
      <c r="AA58" s="123" t="s">
        <v>10</v>
      </c>
      <c r="AB58" s="254" t="s">
        <v>26</v>
      </c>
      <c r="AC58" s="254"/>
      <c r="AD58" s="13" t="s">
        <v>24</v>
      </c>
      <c r="AE58" s="20">
        <f>MAX(D60:N70)</f>
        <v>70.708981210087998</v>
      </c>
    </row>
    <row r="59" spans="2:31" ht="12.75" customHeight="1" x14ac:dyDescent="0.25">
      <c r="B59" s="93"/>
      <c r="C59" s="94" t="s">
        <v>260</v>
      </c>
      <c r="D59" s="95">
        <f>C60</f>
        <v>-3.9100814314718826</v>
      </c>
      <c r="E59" s="95">
        <f>C61</f>
        <v>-0.49756366954476156</v>
      </c>
      <c r="F59" s="95">
        <f>C62</f>
        <v>-55.089245548382152</v>
      </c>
      <c r="G59" s="95">
        <f>C63</f>
        <v>-0.62702538515556383</v>
      </c>
      <c r="H59" s="95">
        <f>C64</f>
        <v>-59.169405181749958</v>
      </c>
      <c r="I59" s="95">
        <f>C65</f>
        <v>-21.449695345564972</v>
      </c>
      <c r="J59" s="95">
        <f>C66</f>
        <v>-5.6867597097456422</v>
      </c>
      <c r="K59" s="95">
        <f>C67</f>
        <v>-33.192917165265648</v>
      </c>
      <c r="L59" s="95">
        <f>C68</f>
        <v>-23.309830727864281</v>
      </c>
      <c r="M59" s="95">
        <f>C69</f>
        <v>-44.751218570345777</v>
      </c>
      <c r="N59" s="95">
        <f>C70</f>
        <v>-71.206544879632759</v>
      </c>
      <c r="P59" s="21" t="s">
        <v>1</v>
      </c>
      <c r="Q59" s="97">
        <f>$AE$59+(D60-$AE$57)*($AE$60-$AE$59)/($AE$58-$AE$57)</f>
        <v>-8.3243318772256106E-4</v>
      </c>
      <c r="R59" s="97">
        <f t="shared" ref="R59:AA69" si="5">$AE$59+(E60-$AE$57)*($AE$60-$AE$59)/($AE$58-$AE$57)</f>
        <v>-8.3243318772256106E-4</v>
      </c>
      <c r="S59" s="97">
        <f t="shared" si="5"/>
        <v>0.72357013173472773</v>
      </c>
      <c r="T59" s="97">
        <f t="shared" si="5"/>
        <v>-8.3243318772256106E-4</v>
      </c>
      <c r="U59" s="97">
        <f t="shared" si="5"/>
        <v>0.78132172175587244</v>
      </c>
      <c r="V59" s="97">
        <f t="shared" si="5"/>
        <v>0.24742760634896041</v>
      </c>
      <c r="W59" s="97">
        <f t="shared" si="5"/>
        <v>2.4315111209124333E-2</v>
      </c>
      <c r="X59" s="97">
        <f t="shared" si="5"/>
        <v>0.41364407653616475</v>
      </c>
      <c r="Y59" s="97">
        <f t="shared" si="5"/>
        <v>0.27375642326676924</v>
      </c>
      <c r="Z59" s="97">
        <f t="shared" si="5"/>
        <v>0.57724313737389943</v>
      </c>
      <c r="AA59" s="97">
        <f t="shared" si="5"/>
        <v>0.95169837838819571</v>
      </c>
      <c r="AD59" s="3" t="s">
        <v>25</v>
      </c>
      <c r="AE59" s="2">
        <v>1E-3</v>
      </c>
    </row>
    <row r="60" spans="2:31" ht="12.75" customHeight="1" x14ac:dyDescent="0.25">
      <c r="B60" s="21" t="s">
        <v>1</v>
      </c>
      <c r="C60" s="95">
        <f>Annual_sorted!P116</f>
        <v>-3.9100814314718826</v>
      </c>
      <c r="D60" s="29">
        <f>IF(C60-Table_146345714194048566472[Burundi]&gt;0, C60-Table_146345714194048566472[Burundi], 0)</f>
        <v>0</v>
      </c>
      <c r="E60" s="29">
        <f>IF(C60-Table_146345714194048566472[DRC]&gt;0, C60-Table_146345714194048566472[DRC], 0)</f>
        <v>0</v>
      </c>
      <c r="F60" s="29">
        <f>IF(C60-Table_146345714194048566472[Egypt]&gt;0, C60-Table_146345714194048566472[Egypt], 0)</f>
        <v>51.179164116910272</v>
      </c>
      <c r="G60" s="29">
        <f>IF(C60-Table_146345714194048566472[Eritrea]&gt;0, C60-Table_146345714194048566472[Eritrea], 0)</f>
        <v>0</v>
      </c>
      <c r="H60" s="29">
        <f>IF(C60-Table_146345714194048566472[Ethiopia]&gt;0, C60-Table_146345714194048566472[Ethiopia], 0)</f>
        <v>55.259323750278078</v>
      </c>
      <c r="I60" s="29">
        <f>IF(C60-Table_146345714194048566472[Kenya]&gt;0, C60-Table_146345714194048566472[Kenya], 0)</f>
        <v>17.539613914093088</v>
      </c>
      <c r="J60" s="29">
        <f>IF(C60-Table_146345714194048566472[Rwanda]&gt;0, C60-Table_146345714194048566472[Rwanda], 0)</f>
        <v>1.7766782782737596</v>
      </c>
      <c r="K60" s="29">
        <f>IF(C60-Table_146345714194048566472[Sudan]&gt;0, C60-Table_146345714194048566472[Sudan], 0)</f>
        <v>29.282835733793764</v>
      </c>
      <c r="L60" s="29">
        <f>IF(C60-Table_146345714194048566472[S. Sudan]&gt;0, C60-Table_146345714194048566472[S. Sudan], 0)</f>
        <v>19.399749296392397</v>
      </c>
      <c r="M60" s="29">
        <f>IF(C60-Table_146345714194048566472[Tanzania]&gt;0, C60-Table_146345714194048566472[Tanzania], 0)</f>
        <v>40.841137138873897</v>
      </c>
      <c r="N60" s="29">
        <f>IF(C60-Table_146345714194048566472[Uganda]&gt;0, C60-Table_146345714194048566472[Uganda], 0)</f>
        <v>67.296463448160878</v>
      </c>
      <c r="P60" s="21" t="s">
        <v>195</v>
      </c>
      <c r="Q60" s="97">
        <f t="shared" ref="Q60:Q69" si="6">$AE$59+(D61-$AE$57)*($AE$60-$AE$59)/($AE$58-$AE$57)</f>
        <v>4.7469188424081619E-2</v>
      </c>
      <c r="R60" s="97">
        <f t="shared" si="5"/>
        <v>-8.3243318772256106E-4</v>
      </c>
      <c r="S60" s="97">
        <f t="shared" si="5"/>
        <v>0.77187175334653191</v>
      </c>
      <c r="T60" s="97">
        <f t="shared" si="5"/>
        <v>1E-3</v>
      </c>
      <c r="U60" s="97">
        <f t="shared" si="5"/>
        <v>0.82962334336767662</v>
      </c>
      <c r="V60" s="97">
        <f t="shared" si="5"/>
        <v>0.29572922796076462</v>
      </c>
      <c r="W60" s="97">
        <f t="shared" si="5"/>
        <v>7.2616732820928509E-2</v>
      </c>
      <c r="X60" s="97">
        <f t="shared" si="5"/>
        <v>0.46194569814796893</v>
      </c>
      <c r="Y60" s="97">
        <f t="shared" si="5"/>
        <v>0.32205804487857348</v>
      </c>
      <c r="Z60" s="97">
        <f t="shared" si="5"/>
        <v>0.6255447589857035</v>
      </c>
      <c r="AA60" s="97">
        <f t="shared" si="5"/>
        <v>1</v>
      </c>
      <c r="AD60" s="3" t="s">
        <v>70</v>
      </c>
      <c r="AE60" s="2">
        <v>1</v>
      </c>
    </row>
    <row r="61" spans="2:31" ht="12.75" customHeight="1" x14ac:dyDescent="0.25">
      <c r="B61" s="21" t="s">
        <v>195</v>
      </c>
      <c r="C61" s="95">
        <f>Annual_sorted!P117</f>
        <v>-0.49756366954476156</v>
      </c>
      <c r="D61" s="29">
        <f>IF(C61-Table_146345714194048566472[Burundi]&gt;0, C61-Table_146345714194048566472[Burundi], 0)</f>
        <v>3.4125177619271212</v>
      </c>
      <c r="E61" s="29">
        <f>IF(C61-Table_146345714194048566472[DRC]&gt;0, C61-Table_146345714194048566472[DRC], 0)</f>
        <v>0</v>
      </c>
      <c r="F61" s="29">
        <f>IF(C61-Table_146345714194048566472[Egypt]&gt;0, C61-Table_146345714194048566472[Egypt], 0)</f>
        <v>54.591681878837392</v>
      </c>
      <c r="G61" s="29">
        <f>IF(C61-Table_146345714194048566472[Eritrea]&gt;0, C61-Table_146345714194048566472[Eritrea], 0)</f>
        <v>0.12946171561080227</v>
      </c>
      <c r="H61" s="29">
        <f>IF(C61-Table_146345714194048566472[Ethiopia]&gt;0, C61-Table_146345714194048566472[Ethiopia], 0)</f>
        <v>58.671841512205198</v>
      </c>
      <c r="I61" s="29">
        <f>IF(C61-Table_146345714194048566472[Kenya]&gt;0, C61-Table_146345714194048566472[Kenya], 0)</f>
        <v>20.952131676020212</v>
      </c>
      <c r="J61" s="29">
        <f>IF(C61-Table_146345714194048566472[Rwanda]&gt;0, C61-Table_146345714194048566472[Rwanda], 0)</f>
        <v>5.1891960402008808</v>
      </c>
      <c r="K61" s="29">
        <f>IF(C61-Table_146345714194048566472[Sudan]&gt;0, C61-Table_146345714194048566472[Sudan], 0)</f>
        <v>32.695353495720887</v>
      </c>
      <c r="L61" s="29">
        <f>IF(C61-Table_146345714194048566472[S. Sudan]&gt;0, C61-Table_146345714194048566472[S. Sudan], 0)</f>
        <v>22.81226705831952</v>
      </c>
      <c r="M61" s="29">
        <f>IF(C61-Table_146345714194048566472[Tanzania]&gt;0, C61-Table_146345714194048566472[Tanzania], 0)</f>
        <v>44.253654900801017</v>
      </c>
      <c r="N61" s="29">
        <f>IF(C61-Table_146345714194048566472[Uganda]&gt;0, C61-Table_146345714194048566472[Uganda], 0)</f>
        <v>70.708981210087998</v>
      </c>
      <c r="P61" s="21" t="s">
        <v>2</v>
      </c>
      <c r="Q61" s="97">
        <f t="shared" si="6"/>
        <v>-8.3243318772256106E-4</v>
      </c>
      <c r="R61" s="97">
        <f t="shared" si="5"/>
        <v>-8.3243318772256106E-4</v>
      </c>
      <c r="S61" s="97">
        <f t="shared" si="5"/>
        <v>-8.3243318772256106E-4</v>
      </c>
      <c r="T61" s="97">
        <f t="shared" si="5"/>
        <v>-8.3243318772256106E-4</v>
      </c>
      <c r="U61" s="97">
        <f t="shared" si="5"/>
        <v>5.6919156833422163E-2</v>
      </c>
      <c r="V61" s="97">
        <f t="shared" si="5"/>
        <v>-8.3243318772256106E-4</v>
      </c>
      <c r="W61" s="97">
        <f t="shared" si="5"/>
        <v>-8.3243318772256106E-4</v>
      </c>
      <c r="X61" s="97">
        <f t="shared" si="5"/>
        <v>-8.3243318772256106E-4</v>
      </c>
      <c r="Y61" s="97">
        <f t="shared" si="5"/>
        <v>-8.3243318772256106E-4</v>
      </c>
      <c r="Z61" s="97">
        <f t="shared" si="5"/>
        <v>-8.3243318772256106E-4</v>
      </c>
      <c r="AA61" s="97">
        <f t="shared" si="5"/>
        <v>0.22729581346574557</v>
      </c>
    </row>
    <row r="62" spans="2:31" ht="12.75" customHeight="1" x14ac:dyDescent="0.25">
      <c r="B62" s="21" t="s">
        <v>2</v>
      </c>
      <c r="C62" s="95">
        <f>Annual_sorted!P118</f>
        <v>-55.089245548382152</v>
      </c>
      <c r="D62" s="29">
        <f>IF(C62-Table_146345714194048566472[Burundi]&gt;0, C62-Table_146345714194048566472[Burundi], 0)</f>
        <v>0</v>
      </c>
      <c r="E62" s="29">
        <f>IF(C62-Table_146345714194048566472[DRC]&gt;0, C62-Table_146345714194048566472[DRC], 0)</f>
        <v>0</v>
      </c>
      <c r="F62" s="29">
        <f>IF(C62-Table_146345714194048566472[Egypt]&gt;0, C62-Table_146345714194048566472[Egypt], 0)</f>
        <v>0</v>
      </c>
      <c r="G62" s="29">
        <f>IF(C62-Table_146345714194048566472[Eritrea]&gt;0, C62-Table_146345714194048566472[Eritrea], 0)</f>
        <v>0</v>
      </c>
      <c r="H62" s="29">
        <f>IF(C62-Table_146345714194048566472[Ethiopia]&gt;0, C62-Table_146345714194048566472[Ethiopia], 0)</f>
        <v>4.0801596333678063</v>
      </c>
      <c r="I62" s="29">
        <f>IF(C62-Table_146345714194048566472[Kenya]&gt;0, C62-Table_146345714194048566472[Kenya], 0)</f>
        <v>0</v>
      </c>
      <c r="J62" s="29">
        <f>IF(C62-Table_146345714194048566472[Rwanda]&gt;0, C62-Table_146345714194048566472[Rwanda], 0)</f>
        <v>0</v>
      </c>
      <c r="K62" s="29">
        <f>IF(C62-Table_146345714194048566472[Sudan]&gt;0, C62-Table_146345714194048566472[Sudan], 0)</f>
        <v>0</v>
      </c>
      <c r="L62" s="29">
        <f>IF(C62-Table_146345714194048566472[S. Sudan]&gt;0, C62-Table_146345714194048566472[S. Sudan], 0)</f>
        <v>0</v>
      </c>
      <c r="M62" s="29">
        <f>IF(C62-Table_146345714194048566472[Tanzania]&gt;0, C62-Table_146345714194048566472[Tanzania], 0)</f>
        <v>0</v>
      </c>
      <c r="N62" s="29">
        <f>IF(C62-Table_146345714194048566472[Uganda]&gt;0, C62-Table_146345714194048566472[Uganda], 0)</f>
        <v>16.117299331250607</v>
      </c>
      <c r="P62" s="21" t="s">
        <v>3</v>
      </c>
      <c r="Q62" s="97">
        <f t="shared" si="6"/>
        <v>4.5636755236359058E-2</v>
      </c>
      <c r="R62" s="97">
        <f t="shared" si="5"/>
        <v>-8.3243318772256106E-4</v>
      </c>
      <c r="S62" s="97">
        <f t="shared" si="5"/>
        <v>0.77003932015880938</v>
      </c>
      <c r="T62" s="97">
        <f t="shared" si="5"/>
        <v>-8.3243318772256106E-4</v>
      </c>
      <c r="U62" s="97">
        <f t="shared" si="5"/>
        <v>0.8277909101799541</v>
      </c>
      <c r="V62" s="97">
        <f t="shared" si="5"/>
        <v>0.29389679477304209</v>
      </c>
      <c r="W62" s="97">
        <f t="shared" si="5"/>
        <v>7.0784299633205927E-2</v>
      </c>
      <c r="X62" s="97">
        <f t="shared" si="5"/>
        <v>0.4601132649602464</v>
      </c>
      <c r="Y62" s="97">
        <f t="shared" si="5"/>
        <v>0.3202256116908509</v>
      </c>
      <c r="Z62" s="97">
        <f t="shared" si="5"/>
        <v>0.62371232579798097</v>
      </c>
      <c r="AA62" s="97">
        <f t="shared" si="5"/>
        <v>0.99816756681227736</v>
      </c>
    </row>
    <row r="63" spans="2:31" ht="12.75" customHeight="1" x14ac:dyDescent="0.25">
      <c r="B63" s="21" t="s">
        <v>3</v>
      </c>
      <c r="C63" s="95">
        <f>Annual_sorted!P119</f>
        <v>-0.62702538515556383</v>
      </c>
      <c r="D63" s="29">
        <f>IF(C63-Table_146345714194048566472[Burundi]&gt;0, C63-Table_146345714194048566472[Burundi], 0)</f>
        <v>3.283056046316319</v>
      </c>
      <c r="E63" s="29">
        <f>IF(C63-Table_146345714194048566472[DRC]&gt;0, C63-Table_146345714194048566472[DRC], 0)</f>
        <v>0</v>
      </c>
      <c r="F63" s="29">
        <f>IF(C63-Table_146345714194048566472[Egypt]&gt;0, C63-Table_146345714194048566472[Egypt], 0)</f>
        <v>54.46222016322659</v>
      </c>
      <c r="G63" s="29">
        <f>IF(C63-Table_146345714194048566472[Eritrea]&gt;0, C63-Table_146345714194048566472[Eritrea], 0)</f>
        <v>0</v>
      </c>
      <c r="H63" s="29">
        <f>IF(C63-Table_146345714194048566472[Ethiopia]&gt;0, C63-Table_146345714194048566472[Ethiopia], 0)</f>
        <v>58.542379796594396</v>
      </c>
      <c r="I63" s="29">
        <f>IF(C63-Table_146345714194048566472[Kenya]&gt;0, C63-Table_146345714194048566472[Kenya], 0)</f>
        <v>20.82266996040941</v>
      </c>
      <c r="J63" s="29">
        <f>IF(C63-Table_146345714194048566472[Rwanda]&gt;0, C63-Table_146345714194048566472[Rwanda], 0)</f>
        <v>5.0597343245900781</v>
      </c>
      <c r="K63" s="29">
        <f>IF(C63-Table_146345714194048566472[Sudan]&gt;0, C63-Table_146345714194048566472[Sudan], 0)</f>
        <v>32.565891780110086</v>
      </c>
      <c r="L63" s="29">
        <f>IF(C63-Table_146345714194048566472[S. Sudan]&gt;0, C63-Table_146345714194048566472[S. Sudan], 0)</f>
        <v>22.682805342708718</v>
      </c>
      <c r="M63" s="29">
        <f>IF(C63-Table_146345714194048566472[Tanzania]&gt;0, C63-Table_146345714194048566472[Tanzania], 0)</f>
        <v>44.124193185190215</v>
      </c>
      <c r="N63" s="29">
        <f>IF(C63-Table_146345714194048566472[Uganda]&gt;0, C63-Table_146345714194048566472[Uganda], 0)</f>
        <v>70.579519494477196</v>
      </c>
      <c r="P63" s="21" t="s">
        <v>4</v>
      </c>
      <c r="Q63" s="97">
        <f t="shared" si="6"/>
        <v>-8.3243318772256106E-4</v>
      </c>
      <c r="R63" s="97">
        <f t="shared" si="5"/>
        <v>-8.3243318772256106E-4</v>
      </c>
      <c r="S63" s="97">
        <f t="shared" si="5"/>
        <v>-8.3243318772256106E-4</v>
      </c>
      <c r="T63" s="97">
        <f t="shared" si="5"/>
        <v>-8.3243318772256106E-4</v>
      </c>
      <c r="U63" s="97">
        <f t="shared" si="5"/>
        <v>-8.3243318772256106E-4</v>
      </c>
      <c r="V63" s="97">
        <f t="shared" si="5"/>
        <v>-8.3243318772256106E-4</v>
      </c>
      <c r="W63" s="97">
        <f t="shared" si="5"/>
        <v>-8.3243318772256106E-4</v>
      </c>
      <c r="X63" s="97">
        <f t="shared" si="5"/>
        <v>-8.3243318772256106E-4</v>
      </c>
      <c r="Y63" s="97">
        <f t="shared" si="5"/>
        <v>-8.3243318772256106E-4</v>
      </c>
      <c r="Z63" s="97">
        <f t="shared" si="5"/>
        <v>-8.3243318772256106E-4</v>
      </c>
      <c r="AA63" s="97">
        <f t="shared" si="5"/>
        <v>0.16954422344460085</v>
      </c>
    </row>
    <row r="64" spans="2:31" ht="12.75" customHeight="1" x14ac:dyDescent="0.25">
      <c r="B64" s="21" t="s">
        <v>4</v>
      </c>
      <c r="C64" s="95">
        <f>Annual_sorted!P120</f>
        <v>-59.169405181749958</v>
      </c>
      <c r="D64" s="29">
        <f>IF(C64-Table_146345714194048566472[Burundi]&gt;0, C64-Table_146345714194048566472[Burundi], 0)</f>
        <v>0</v>
      </c>
      <c r="E64" s="29">
        <f>IF(C64-Table_146345714194048566472[DRC]&gt;0, C64-Table_146345714194048566472[DRC], 0)</f>
        <v>0</v>
      </c>
      <c r="F64" s="29">
        <f>IF(C64-Table_146345714194048566472[Egypt]&gt;0, C64-Table_146345714194048566472[Egypt], 0)</f>
        <v>0</v>
      </c>
      <c r="G64" s="29">
        <f>IF(C64-Table_146345714194048566472[Eritrea]&gt;0, C64-Table_146345714194048566472[Eritrea], 0)</f>
        <v>0</v>
      </c>
      <c r="H64" s="29">
        <f>IF(C64-Table_146345714194048566472[Ethiopia]&gt;0, C64-Table_146345714194048566472[Ethiopia], 0)</f>
        <v>0</v>
      </c>
      <c r="I64" s="29">
        <f>IF(C64-Table_146345714194048566472[Kenya]&gt;0, C64-Table_146345714194048566472[Kenya], 0)</f>
        <v>0</v>
      </c>
      <c r="J64" s="29">
        <f>IF(C64-Table_146345714194048566472[Rwanda]&gt;0, C64-Table_146345714194048566472[Rwanda], 0)</f>
        <v>0</v>
      </c>
      <c r="K64" s="29">
        <f>IF(C64-Table_146345714194048566472[Sudan]&gt;0, C64-Table_146345714194048566472[Sudan], 0)</f>
        <v>0</v>
      </c>
      <c r="L64" s="29">
        <f>IF(C64-Table_146345714194048566472[S. Sudan]&gt;0, C64-Table_146345714194048566472[S. Sudan], 0)</f>
        <v>0</v>
      </c>
      <c r="M64" s="29">
        <f>IF(C64-Table_146345714194048566472[Tanzania]&gt;0, C64-Table_146345714194048566472[Tanzania], 0)</f>
        <v>0</v>
      </c>
      <c r="N64" s="29">
        <f>IF(C64-Table_146345714194048566472[Uganda]&gt;0, C64-Table_146345714194048566472[Uganda], 0)</f>
        <v>12.0371396978828</v>
      </c>
      <c r="P64" s="21" t="s">
        <v>5</v>
      </c>
      <c r="Q64" s="97">
        <f t="shared" si="6"/>
        <v>-8.3243318772256106E-4</v>
      </c>
      <c r="R64" s="97">
        <f t="shared" si="5"/>
        <v>-8.3243318772256106E-4</v>
      </c>
      <c r="S64" s="97">
        <f t="shared" si="5"/>
        <v>0.47531009219804465</v>
      </c>
      <c r="T64" s="97">
        <f t="shared" si="5"/>
        <v>-8.3243318772256106E-4</v>
      </c>
      <c r="U64" s="97">
        <f t="shared" si="5"/>
        <v>0.53306168221918948</v>
      </c>
      <c r="V64" s="97">
        <f t="shared" si="5"/>
        <v>-8.3243318772256106E-4</v>
      </c>
      <c r="W64" s="97">
        <f t="shared" si="5"/>
        <v>-8.3243318772256106E-4</v>
      </c>
      <c r="X64" s="97">
        <f t="shared" si="5"/>
        <v>0.16538403699948176</v>
      </c>
      <c r="Y64" s="97">
        <f t="shared" si="5"/>
        <v>2.5496383730086267E-2</v>
      </c>
      <c r="Z64" s="97">
        <f t="shared" si="5"/>
        <v>0.32898309783721635</v>
      </c>
      <c r="AA64" s="97">
        <f t="shared" si="5"/>
        <v>0.70343833885151286</v>
      </c>
    </row>
    <row r="65" spans="1:31" ht="12.75" customHeight="1" x14ac:dyDescent="0.25">
      <c r="B65" s="21" t="s">
        <v>5</v>
      </c>
      <c r="C65" s="95">
        <f>Annual_sorted!P121</f>
        <v>-21.449695345564972</v>
      </c>
      <c r="D65" s="29">
        <f>IF(C65-Table_146345714194048566472[Burundi]&gt;0, C65-Table_146345714194048566472[Burundi], 0)</f>
        <v>0</v>
      </c>
      <c r="E65" s="29">
        <f>IF(C65-Table_146345714194048566472[DRC]&gt;0, C65-Table_146345714194048566472[DRC], 0)</f>
        <v>0</v>
      </c>
      <c r="F65" s="29">
        <f>IF(C65-Table_146345714194048566472[Egypt]&gt;0, C65-Table_146345714194048566472[Egypt], 0)</f>
        <v>33.639550202817176</v>
      </c>
      <c r="G65" s="29">
        <f>IF(C65-Table_146345714194048566472[Eritrea]&gt;0, C65-Table_146345714194048566472[Eritrea], 0)</f>
        <v>0</v>
      </c>
      <c r="H65" s="29">
        <f>IF(C65-Table_146345714194048566472[Ethiopia]&gt;0, C65-Table_146345714194048566472[Ethiopia], 0)</f>
        <v>37.71970983618499</v>
      </c>
      <c r="I65" s="29">
        <f>IF(C65-Table_146345714194048566472[Kenya]&gt;0, C65-Table_146345714194048566472[Kenya], 0)</f>
        <v>0</v>
      </c>
      <c r="J65" s="29">
        <f>IF(C65-Table_146345714194048566472[Rwanda]&gt;0, C65-Table_146345714194048566472[Rwanda], 0)</f>
        <v>0</v>
      </c>
      <c r="K65" s="29">
        <f>IF(C65-Table_146345714194048566472[Sudan]&gt;0, C65-Table_146345714194048566472[Sudan], 0)</f>
        <v>11.743221819700675</v>
      </c>
      <c r="L65" s="29">
        <f>IF(C65-Table_146345714194048566472[S. Sudan]&gt;0, C65-Table_146345714194048566472[S. Sudan], 0)</f>
        <v>1.8601353822993083</v>
      </c>
      <c r="M65" s="29">
        <f>IF(C65-Table_146345714194048566472[Tanzania]&gt;0, C65-Table_146345714194048566472[Tanzania], 0)</f>
        <v>23.301523224780805</v>
      </c>
      <c r="N65" s="29">
        <f>IF(C65-Table_146345714194048566472[Uganda]&gt;0, C65-Table_146345714194048566472[Uganda], 0)</f>
        <v>49.756849534067783</v>
      </c>
      <c r="P65" s="21" t="s">
        <v>6</v>
      </c>
      <c r="Q65" s="97">
        <f t="shared" si="6"/>
        <v>-8.3243318772256106E-4</v>
      </c>
      <c r="R65" s="97">
        <f t="shared" si="5"/>
        <v>-8.3243318772256106E-4</v>
      </c>
      <c r="S65" s="97">
        <f t="shared" si="5"/>
        <v>0.69842258733788076</v>
      </c>
      <c r="T65" s="97">
        <f t="shared" si="5"/>
        <v>-8.3243318772256106E-4</v>
      </c>
      <c r="U65" s="97">
        <f t="shared" si="5"/>
        <v>0.75617417735902548</v>
      </c>
      <c r="V65" s="97">
        <f t="shared" si="5"/>
        <v>0.22228006195211353</v>
      </c>
      <c r="W65" s="97">
        <f t="shared" si="5"/>
        <v>-8.3243318772256106E-4</v>
      </c>
      <c r="X65" s="97">
        <f t="shared" si="5"/>
        <v>0.38849653213931784</v>
      </c>
      <c r="Y65" s="97">
        <f t="shared" si="5"/>
        <v>0.24860887886992233</v>
      </c>
      <c r="Z65" s="97">
        <f t="shared" si="5"/>
        <v>0.55209559297705235</v>
      </c>
      <c r="AA65" s="97">
        <f t="shared" si="5"/>
        <v>0.92655083399134885</v>
      </c>
    </row>
    <row r="66" spans="1:31" ht="12.75" customHeight="1" x14ac:dyDescent="0.25">
      <c r="B66" s="21" t="s">
        <v>6</v>
      </c>
      <c r="C66" s="95">
        <f>Annual_sorted!P122</f>
        <v>-5.6867597097456422</v>
      </c>
      <c r="D66" s="29">
        <f>IF(C66-Table_146345714194048566472[Burundi]&gt;0, C66-Table_146345714194048566472[Burundi], 0)</f>
        <v>0</v>
      </c>
      <c r="E66" s="29">
        <f>IF(C66-Table_146345714194048566472[DRC]&gt;0, C66-Table_146345714194048566472[DRC], 0)</f>
        <v>0</v>
      </c>
      <c r="F66" s="29">
        <f>IF(C66-Table_146345714194048566472[Egypt]&gt;0, C66-Table_146345714194048566472[Egypt], 0)</f>
        <v>49.402485838636508</v>
      </c>
      <c r="G66" s="29">
        <f>IF(C66-Table_146345714194048566472[Eritrea]&gt;0, C66-Table_146345714194048566472[Eritrea], 0)</f>
        <v>0</v>
      </c>
      <c r="H66" s="29">
        <f>IF(C66-Table_146345714194048566472[Ethiopia]&gt;0, C66-Table_146345714194048566472[Ethiopia], 0)</f>
        <v>53.482645472004315</v>
      </c>
      <c r="I66" s="29">
        <f>IF(C66-Table_146345714194048566472[Kenya]&gt;0, C66-Table_146345714194048566472[Kenya], 0)</f>
        <v>15.76293563581933</v>
      </c>
      <c r="J66" s="29">
        <f>IF(C66-Table_146345714194048566472[Rwanda]&gt;0, C66-Table_146345714194048566472[Rwanda], 0)</f>
        <v>0</v>
      </c>
      <c r="K66" s="29">
        <f>IF(C66-Table_146345714194048566472[Sudan]&gt;0, C66-Table_146345714194048566472[Sudan], 0)</f>
        <v>27.506157455520004</v>
      </c>
      <c r="L66" s="29">
        <f>IF(C66-Table_146345714194048566472[S. Sudan]&gt;0, C66-Table_146345714194048566472[S. Sudan], 0)</f>
        <v>17.623071018118637</v>
      </c>
      <c r="M66" s="29">
        <f>IF(C66-Table_146345714194048566472[Tanzania]&gt;0, C66-Table_146345714194048566472[Tanzania], 0)</f>
        <v>39.064458860600134</v>
      </c>
      <c r="N66" s="29">
        <f>IF(C66-Table_146345714194048566472[Uganda]&gt;0, C66-Table_146345714194048566472[Uganda], 0)</f>
        <v>65.519785169887115</v>
      </c>
      <c r="P66" s="21" t="s">
        <v>7</v>
      </c>
      <c r="Q66" s="97">
        <f t="shared" si="6"/>
        <v>-8.3243318772256106E-4</v>
      </c>
      <c r="R66" s="97">
        <f t="shared" si="5"/>
        <v>-8.3243318772256106E-4</v>
      </c>
      <c r="S66" s="97">
        <f t="shared" si="5"/>
        <v>0.3090936220108404</v>
      </c>
      <c r="T66" s="97">
        <f t="shared" si="5"/>
        <v>-8.3243318772256106E-4</v>
      </c>
      <c r="U66" s="97">
        <f t="shared" si="5"/>
        <v>0.36684521203198511</v>
      </c>
      <c r="V66" s="97">
        <f t="shared" si="5"/>
        <v>-8.3243318772256106E-4</v>
      </c>
      <c r="W66" s="97">
        <f t="shared" si="5"/>
        <v>-8.3243318772256106E-4</v>
      </c>
      <c r="X66" s="97">
        <f t="shared" si="5"/>
        <v>-8.3243318772256106E-4</v>
      </c>
      <c r="Y66" s="97">
        <f t="shared" si="5"/>
        <v>-8.3243318772256106E-4</v>
      </c>
      <c r="Z66" s="97">
        <f t="shared" si="5"/>
        <v>0.16276662765001204</v>
      </c>
      <c r="AA66" s="97">
        <f t="shared" si="5"/>
        <v>0.53722186866430854</v>
      </c>
    </row>
    <row r="67" spans="1:31" ht="12.75" customHeight="1" x14ac:dyDescent="0.25">
      <c r="B67" s="21" t="s">
        <v>7</v>
      </c>
      <c r="C67" s="95">
        <f>Annual_sorted!P123</f>
        <v>-33.192917165265648</v>
      </c>
      <c r="D67" s="29">
        <f>IF(C67-Table_146345714194048566472[Burundi]&gt;0, C67-Table_146345714194048566472[Burundi], 0)</f>
        <v>0</v>
      </c>
      <c r="E67" s="29">
        <f>IF(C67-Table_146345714194048566472[DRC]&gt;0, C67-Table_146345714194048566472[DRC], 0)</f>
        <v>0</v>
      </c>
      <c r="F67" s="29">
        <f>IF(C67-Table_146345714194048566472[Egypt]&gt;0, C67-Table_146345714194048566472[Egypt], 0)</f>
        <v>21.896328383116504</v>
      </c>
      <c r="G67" s="29">
        <f>IF(C67-Table_146345714194048566472[Eritrea]&gt;0, C67-Table_146345714194048566472[Eritrea], 0)</f>
        <v>0</v>
      </c>
      <c r="H67" s="29">
        <f>IF(C67-Table_146345714194048566472[Ethiopia]&gt;0, C67-Table_146345714194048566472[Ethiopia], 0)</f>
        <v>25.976488016484311</v>
      </c>
      <c r="I67" s="29">
        <f>IF(C67-Table_146345714194048566472[Kenya]&gt;0, C67-Table_146345714194048566472[Kenya], 0)</f>
        <v>0</v>
      </c>
      <c r="J67" s="29">
        <f>IF(C67-Table_146345714194048566472[Rwanda]&gt;0, C67-Table_146345714194048566472[Rwanda], 0)</f>
        <v>0</v>
      </c>
      <c r="K67" s="29">
        <f>IF(C67-Table_146345714194048566472[Sudan]&gt;0, C67-Table_146345714194048566472[Sudan], 0)</f>
        <v>0</v>
      </c>
      <c r="L67" s="29">
        <f>IF(C67-Table_146345714194048566472[S. Sudan]&gt;0, C67-Table_146345714194048566472[S. Sudan], 0)</f>
        <v>0</v>
      </c>
      <c r="M67" s="29">
        <f>IF(C67-Table_146345714194048566472[Tanzania]&gt;0, C67-Table_146345714194048566472[Tanzania], 0)</f>
        <v>11.55830140508013</v>
      </c>
      <c r="N67" s="29">
        <f>IF(C67-Table_146345714194048566472[Uganda]&gt;0, C67-Table_146345714194048566472[Uganda], 0)</f>
        <v>38.013627714367111</v>
      </c>
      <c r="P67" s="21" t="s">
        <v>8</v>
      </c>
      <c r="Q67" s="97">
        <f t="shared" si="6"/>
        <v>-8.3243318772256106E-4</v>
      </c>
      <c r="R67" s="97">
        <f t="shared" si="5"/>
        <v>-8.3243318772256106E-4</v>
      </c>
      <c r="S67" s="97">
        <f t="shared" si="5"/>
        <v>0.44898127528023585</v>
      </c>
      <c r="T67" s="97">
        <f t="shared" si="5"/>
        <v>-8.3243318772256106E-4</v>
      </c>
      <c r="U67" s="97">
        <f t="shared" si="5"/>
        <v>0.50673286530138051</v>
      </c>
      <c r="V67" s="97">
        <f t="shared" si="5"/>
        <v>-8.3243318772256106E-4</v>
      </c>
      <c r="W67" s="97">
        <f t="shared" si="5"/>
        <v>-8.3243318772256106E-4</v>
      </c>
      <c r="X67" s="97">
        <f t="shared" si="5"/>
        <v>0.13905522008167293</v>
      </c>
      <c r="Y67" s="97">
        <f t="shared" si="5"/>
        <v>-8.3243318772256106E-4</v>
      </c>
      <c r="Z67" s="97">
        <f t="shared" si="5"/>
        <v>0.30265428091940755</v>
      </c>
      <c r="AA67" s="97">
        <f>$AE$59+(N68-$AE$57)*($AE$60-$AE$59)/($AE$58-$AE$57)</f>
        <v>0.67710952193370399</v>
      </c>
    </row>
    <row r="68" spans="1:31" ht="12.75" customHeight="1" x14ac:dyDescent="0.25">
      <c r="B68" s="21" t="s">
        <v>8</v>
      </c>
      <c r="C68" s="95">
        <f>Annual_sorted!P124</f>
        <v>-23.309830727864281</v>
      </c>
      <c r="D68" s="29">
        <f>IF(C68-Table_146345714194048566472[Burundi]&gt;0, C68-Table_146345714194048566472[Burundi], 0)</f>
        <v>0</v>
      </c>
      <c r="E68" s="29">
        <f>IF(C68-Table_146345714194048566472[DRC]&gt;0, C68-Table_146345714194048566472[DRC], 0)</f>
        <v>0</v>
      </c>
      <c r="F68" s="29">
        <f>IF(C68-Table_146345714194048566472[Egypt]&gt;0, C68-Table_146345714194048566472[Egypt], 0)</f>
        <v>31.779414820517871</v>
      </c>
      <c r="G68" s="29">
        <f>IF(C68-Table_146345714194048566472[Eritrea]&gt;0, C68-Table_146345714194048566472[Eritrea], 0)</f>
        <v>0</v>
      </c>
      <c r="H68" s="29">
        <f>IF(C68-Table_146345714194048566472[Ethiopia]&gt;0, C68-Table_146345714194048566472[Ethiopia], 0)</f>
        <v>35.859574453885678</v>
      </c>
      <c r="I68" s="29">
        <f>IF(C68-Table_146345714194048566472[Kenya]&gt;0, C68-Table_146345714194048566472[Kenya], 0)</f>
        <v>0</v>
      </c>
      <c r="J68" s="29">
        <f>IF(C68-Table_146345714194048566472[Rwanda]&gt;0, C68-Table_146345714194048566472[Rwanda], 0)</f>
        <v>0</v>
      </c>
      <c r="K68" s="29">
        <f>IF(C68-Table_146345714194048566472[Sudan]&gt;0, C68-Table_146345714194048566472[Sudan], 0)</f>
        <v>9.8830864374013672</v>
      </c>
      <c r="L68" s="29">
        <f>IF(C68-Table_146345714194048566472[S. Sudan]&gt;0, C68-Table_146345714194048566472[S. Sudan], 0)</f>
        <v>0</v>
      </c>
      <c r="M68" s="29">
        <f>IF(C68-Table_146345714194048566472[Tanzania]&gt;0, C68-Table_146345714194048566472[Tanzania], 0)</f>
        <v>21.441387842481497</v>
      </c>
      <c r="N68" s="29">
        <f>IF(C68-Table_146345714194048566472[Uganda]&gt;0, C68-Table_146345714194048566472[Uganda], 0)</f>
        <v>47.896714151768478</v>
      </c>
      <c r="P68" s="21" t="s">
        <v>9</v>
      </c>
      <c r="Q68" s="97">
        <f t="shared" si="6"/>
        <v>-8.3243318772256106E-4</v>
      </c>
      <c r="R68" s="97">
        <f t="shared" si="5"/>
        <v>-8.3243318772256106E-4</v>
      </c>
      <c r="S68" s="97">
        <f t="shared" si="5"/>
        <v>0.14549456117310577</v>
      </c>
      <c r="T68" s="97">
        <f t="shared" si="5"/>
        <v>-8.3243318772256106E-4</v>
      </c>
      <c r="U68" s="97">
        <f t="shared" si="5"/>
        <v>0.20324615119425049</v>
      </c>
      <c r="V68" s="97">
        <f t="shared" si="5"/>
        <v>-8.3243318772256106E-4</v>
      </c>
      <c r="W68" s="97">
        <f t="shared" si="5"/>
        <v>-8.3243318772256106E-4</v>
      </c>
      <c r="X68" s="97">
        <f t="shared" si="5"/>
        <v>-8.3243318772256106E-4</v>
      </c>
      <c r="Y68" s="97">
        <f t="shared" si="5"/>
        <v>-8.3243318772256106E-4</v>
      </c>
      <c r="Z68" s="97">
        <f t="shared" si="5"/>
        <v>-8.3243318772256106E-4</v>
      </c>
      <c r="AA68" s="97">
        <f t="shared" si="5"/>
        <v>0.37362280782657392</v>
      </c>
    </row>
    <row r="69" spans="1:31" ht="12.75" customHeight="1" thickBot="1" x14ac:dyDescent="0.3">
      <c r="B69" s="21" t="s">
        <v>9</v>
      </c>
      <c r="C69" s="95">
        <f>Annual_sorted!P125</f>
        <v>-44.751218570345777</v>
      </c>
      <c r="D69" s="29">
        <f>IF(C69-Table_146345714194048566472[Burundi]&gt;0, C69-Table_146345714194048566472[Burundi], 0)</f>
        <v>0</v>
      </c>
      <c r="E69" s="29">
        <f>IF(C69-Table_146345714194048566472[DRC]&gt;0, C69-Table_146345714194048566472[DRC], 0)</f>
        <v>0</v>
      </c>
      <c r="F69" s="29">
        <f>IF(C69-Table_146345714194048566472[Egypt]&gt;0, C69-Table_146345714194048566472[Egypt], 0)</f>
        <v>10.338026978036375</v>
      </c>
      <c r="G69" s="29">
        <f>IF(C69-Table_146345714194048566472[Eritrea]&gt;0, C69-Table_146345714194048566472[Eritrea], 0)</f>
        <v>0</v>
      </c>
      <c r="H69" s="29">
        <f>IF(C69-Table_146345714194048566472[Ethiopia]&gt;0, C69-Table_146345714194048566472[Ethiopia], 0)</f>
        <v>14.418186611404181</v>
      </c>
      <c r="I69" s="29">
        <f>IF(C69-Table_146345714194048566472[Kenya]&gt;0, C69-Table_146345714194048566472[Kenya], 0)</f>
        <v>0</v>
      </c>
      <c r="J69" s="29">
        <f>IF(C69-Table_146345714194048566472[Rwanda]&gt;0, C69-Table_146345714194048566472[Rwanda], 0)</f>
        <v>0</v>
      </c>
      <c r="K69" s="29">
        <f>IF(C69-Table_146345714194048566472[Sudan]&gt;0, C69-Table_146345714194048566472[Sudan], 0)</f>
        <v>0</v>
      </c>
      <c r="L69" s="29">
        <f>IF(C69-Table_146345714194048566472[S. Sudan]&gt;0, C69-Table_146345714194048566472[S. Sudan], 0)</f>
        <v>0</v>
      </c>
      <c r="M69" s="29">
        <f>IF(C69-Table_146345714194048566472[Tanzania]&gt;0, C69-Table_146345714194048566472[Tanzania], 0)</f>
        <v>0</v>
      </c>
      <c r="N69" s="29">
        <f>IF(C69-Table_146345714194048566472[Uganda]&gt;0, C69-Table_146345714194048566472[Uganda], 0)</f>
        <v>26.455326309286981</v>
      </c>
      <c r="P69" s="22" t="s">
        <v>10</v>
      </c>
      <c r="Q69" s="98">
        <f t="shared" si="6"/>
        <v>-8.3243318772256106E-4</v>
      </c>
      <c r="R69" s="98">
        <f t="shared" si="5"/>
        <v>-8.3243318772256106E-4</v>
      </c>
      <c r="S69" s="98">
        <f t="shared" si="5"/>
        <v>-8.3243318772256106E-4</v>
      </c>
      <c r="T69" s="98">
        <f t="shared" si="5"/>
        <v>-8.3243318772256106E-4</v>
      </c>
      <c r="U69" s="98">
        <f t="shared" si="5"/>
        <v>-8.3243318772256106E-4</v>
      </c>
      <c r="V69" s="98">
        <f t="shared" si="5"/>
        <v>-8.3243318772256106E-4</v>
      </c>
      <c r="W69" s="98">
        <f t="shared" si="5"/>
        <v>-8.3243318772256106E-4</v>
      </c>
      <c r="X69" s="98">
        <f t="shared" si="5"/>
        <v>-8.3243318772256106E-4</v>
      </c>
      <c r="Y69" s="98">
        <f t="shared" si="5"/>
        <v>-8.3243318772256106E-4</v>
      </c>
      <c r="Z69" s="98">
        <f t="shared" si="5"/>
        <v>-8.3243318772256106E-4</v>
      </c>
      <c r="AA69" s="98">
        <f t="shared" si="5"/>
        <v>-8.3243318772256106E-4</v>
      </c>
      <c r="AB69" s="186"/>
    </row>
    <row r="70" spans="1:31" ht="12.75" customHeight="1" thickBot="1" x14ac:dyDescent="0.3">
      <c r="B70" s="22" t="s">
        <v>10</v>
      </c>
      <c r="C70" s="96">
        <f>Annual_sorted!P126</f>
        <v>-71.206544879632759</v>
      </c>
      <c r="D70" s="32">
        <f>IF(C70-Table_146345714194048566472[Burundi]&gt;0, C70-Table_146345714194048566472[Burundi], 0)</f>
        <v>0</v>
      </c>
      <c r="E70" s="32">
        <f>IF(C70-Table_146345714194048566472[DRC]&gt;0, C70-Table_146345714194048566472[DRC], 0)</f>
        <v>0</v>
      </c>
      <c r="F70" s="32">
        <f>IF(C70-Table_146345714194048566472[Egypt]&gt;0, C70-Table_146345714194048566472[Egypt], 0)</f>
        <v>0</v>
      </c>
      <c r="G70" s="32">
        <f>IF(C70-Table_146345714194048566472[Eritrea]&gt;0, C70-Table_146345714194048566472[Eritrea], 0)</f>
        <v>0</v>
      </c>
      <c r="H70" s="32">
        <f>IF(C70-Table_146345714194048566472[Ethiopia]&gt;0, C70-Table_146345714194048566472[Ethiopia], 0)</f>
        <v>0</v>
      </c>
      <c r="I70" s="32">
        <f>IF(C70-Table_146345714194048566472[Kenya]&gt;0, C70-Table_146345714194048566472[Kenya], 0)</f>
        <v>0</v>
      </c>
      <c r="J70" s="32">
        <f>IF(C70-Table_146345714194048566472[Rwanda]&gt;0, C70-Table_146345714194048566472[Rwanda], 0)</f>
        <v>0</v>
      </c>
      <c r="K70" s="32">
        <f>IF(C70-Table_146345714194048566472[Sudan]&gt;0, C70-Table_146345714194048566472[Sudan], 0)</f>
        <v>0</v>
      </c>
      <c r="L70" s="32">
        <f>IF(C70-Table_146345714194048566472[S. Sudan]&gt;0, C70-Table_146345714194048566472[S. Sudan], 0)</f>
        <v>0</v>
      </c>
      <c r="M70" s="32">
        <f>IF(C70-Table_146345714194048566472[Tanzania]&gt;0, C70-Table_146345714194048566472[Tanzania], 0)</f>
        <v>0</v>
      </c>
      <c r="N70" s="32">
        <f>IF(C70-Table_146345714194048566472[Uganda]&gt;0, C70-Table_146345714194048566472[Uganda], 0)</f>
        <v>0</v>
      </c>
    </row>
    <row r="71" spans="1:31" ht="12.75" customHeight="1" x14ac:dyDescent="0.25"/>
    <row r="72" spans="1:31" ht="12.75" customHeight="1" x14ac:dyDescent="0.25"/>
    <row r="73" spans="1:31" ht="12.75" customHeight="1" x14ac:dyDescent="0.25"/>
    <row r="74" spans="1:31" ht="24" customHeight="1" x14ac:dyDescent="0.25">
      <c r="A74" s="252" t="s">
        <v>82</v>
      </c>
      <c r="B74" s="252"/>
      <c r="C74" s="252"/>
      <c r="D74" s="252"/>
      <c r="E74" s="252"/>
      <c r="F74" s="252"/>
    </row>
    <row r="75" spans="1:31" ht="12.75" customHeight="1" x14ac:dyDescent="0.25"/>
    <row r="76" spans="1:31" ht="12.75" customHeight="1" x14ac:dyDescent="0.25">
      <c r="B76" s="5"/>
      <c r="C76" s="5"/>
      <c r="D76" s="5"/>
      <c r="E76" s="5"/>
      <c r="F76" s="5"/>
      <c r="G76" s="5"/>
      <c r="H76" s="5"/>
      <c r="I76" s="5"/>
      <c r="J76" s="5"/>
      <c r="K76" s="5"/>
      <c r="L76" s="5"/>
      <c r="M76" s="5"/>
      <c r="N76" s="5"/>
      <c r="O76" s="5"/>
      <c r="P76" s="5"/>
      <c r="Q76" s="5"/>
      <c r="R76" s="5"/>
      <c r="S76" s="5"/>
      <c r="T76" s="5"/>
      <c r="U76" s="5"/>
      <c r="V76" s="5"/>
      <c r="W76" s="5"/>
      <c r="X76" s="5"/>
      <c r="Y76" s="5"/>
      <c r="Z76" s="5"/>
      <c r="AA76" s="5"/>
    </row>
    <row r="77" spans="1:31" ht="12.75" customHeight="1" thickBot="1" x14ac:dyDescent="0.3">
      <c r="B77" s="253" t="s">
        <v>83</v>
      </c>
      <c r="C77" s="253"/>
      <c r="D77" s="253"/>
      <c r="E77" s="253"/>
      <c r="F77" s="253"/>
      <c r="G77" s="253"/>
      <c r="H77" s="253"/>
      <c r="I77" s="253"/>
      <c r="J77" s="253"/>
      <c r="K77" s="253"/>
      <c r="L77" s="253"/>
      <c r="M77" s="253"/>
      <c r="N77" s="253"/>
      <c r="O77" s="5"/>
      <c r="P77" s="253" t="s">
        <v>84</v>
      </c>
      <c r="Q77" s="253"/>
      <c r="R77" s="253"/>
      <c r="S77" s="253"/>
      <c r="T77" s="253"/>
      <c r="U77" s="253"/>
      <c r="V77" s="253"/>
      <c r="W77" s="253"/>
      <c r="X77" s="253"/>
      <c r="Y77" s="253"/>
      <c r="Z77" s="253"/>
      <c r="AA77" s="253"/>
      <c r="AB77" s="10"/>
      <c r="AC77" s="3" t="s">
        <v>22</v>
      </c>
      <c r="AD77" s="13" t="s">
        <v>23</v>
      </c>
      <c r="AE77" s="74">
        <f t="array" ref="AE77">MIN(IF(D80:N90&gt;0,D80:N90))</f>
        <v>11.54681561198322</v>
      </c>
    </row>
    <row r="78" spans="1:31" ht="12.75" customHeight="1" thickBot="1" x14ac:dyDescent="0.3">
      <c r="B78" s="75" t="s">
        <v>13</v>
      </c>
      <c r="C78" s="66" t="s">
        <v>14</v>
      </c>
      <c r="D78" s="67" t="s">
        <v>1</v>
      </c>
      <c r="E78" s="67" t="s">
        <v>195</v>
      </c>
      <c r="F78" s="67" t="s">
        <v>2</v>
      </c>
      <c r="G78" s="67" t="s">
        <v>3</v>
      </c>
      <c r="H78" s="67" t="s">
        <v>4</v>
      </c>
      <c r="I78" s="67" t="s">
        <v>5</v>
      </c>
      <c r="J78" s="67" t="s">
        <v>6</v>
      </c>
      <c r="K78" s="67" t="s">
        <v>7</v>
      </c>
      <c r="L78" s="67" t="s">
        <v>295</v>
      </c>
      <c r="M78" s="67" t="s">
        <v>9</v>
      </c>
      <c r="N78" s="67" t="s">
        <v>10</v>
      </c>
      <c r="P78" s="76" t="s">
        <v>19</v>
      </c>
      <c r="Q78" s="77" t="s">
        <v>1</v>
      </c>
      <c r="R78" s="77" t="s">
        <v>195</v>
      </c>
      <c r="S78" s="77" t="s">
        <v>2</v>
      </c>
      <c r="T78" s="77" t="s">
        <v>3</v>
      </c>
      <c r="U78" s="77" t="s">
        <v>4</v>
      </c>
      <c r="V78" s="77" t="s">
        <v>5</v>
      </c>
      <c r="W78" s="77" t="s">
        <v>6</v>
      </c>
      <c r="X78" s="77" t="s">
        <v>7</v>
      </c>
      <c r="Y78" s="77" t="s">
        <v>295</v>
      </c>
      <c r="Z78" s="77" t="s">
        <v>9</v>
      </c>
      <c r="AA78" s="77" t="s">
        <v>10</v>
      </c>
      <c r="AB78" s="254" t="s">
        <v>26</v>
      </c>
      <c r="AC78" s="254"/>
      <c r="AD78" s="13" t="s">
        <v>24</v>
      </c>
      <c r="AE78" s="20">
        <f>MAX(D80:N90)</f>
        <v>1704.1445397280772</v>
      </c>
    </row>
    <row r="79" spans="1:31" ht="12.75" customHeight="1" x14ac:dyDescent="0.25">
      <c r="B79" s="93"/>
      <c r="C79" s="94" t="s">
        <v>261</v>
      </c>
      <c r="D79" s="95">
        <f>C80</f>
        <v>58.171465993671404</v>
      </c>
      <c r="E79" s="95">
        <f>C81</f>
        <v>15.255114133131642</v>
      </c>
      <c r="F79" s="95">
        <f>C82</f>
        <v>-2.9079330719568559</v>
      </c>
      <c r="G79" s="95">
        <f>C83</f>
        <v>33.774584065583674</v>
      </c>
      <c r="H79" s="95">
        <f>C84</f>
        <v>1075.1104190156716</v>
      </c>
      <c r="I79" s="95">
        <f>C85</f>
        <v>269.06588045104741</v>
      </c>
      <c r="J79" s="95">
        <f>C86</f>
        <v>104.63323069745867</v>
      </c>
      <c r="K79" s="95">
        <f>C87</f>
        <v>1158.9642134855285</v>
      </c>
      <c r="L79" s="95">
        <f>C88</f>
        <v>-545.18032624254874</v>
      </c>
      <c r="M79" s="95">
        <f>C89</f>
        <v>280.61269606303063</v>
      </c>
      <c r="N79" s="95">
        <f>C90</f>
        <v>365.80348530527328</v>
      </c>
      <c r="P79" s="21" t="s">
        <v>1</v>
      </c>
      <c r="Q79" s="97">
        <f>$AE$79+(D80-$AE$77)*($AE$80-$AE$79)/($AE$78-$AE$77)</f>
        <v>-5.8151272047793695E-3</v>
      </c>
      <c r="R79" s="97">
        <f t="shared" ref="R79:AA89" si="7">$AE$79+(E80-$AE$77)*($AE$80-$AE$79)/($AE$78-$AE$77)</f>
        <v>1.9514834485360871E-2</v>
      </c>
      <c r="S79" s="97">
        <f t="shared" si="7"/>
        <v>3.0234974244120742E-2</v>
      </c>
      <c r="T79" s="97">
        <f t="shared" si="7"/>
        <v>8.5843279633926236E-3</v>
      </c>
      <c r="U79" s="97">
        <f t="shared" si="7"/>
        <v>-5.8151272047793695E-3</v>
      </c>
      <c r="V79" s="97">
        <f t="shared" si="7"/>
        <v>-5.8151272047793695E-3</v>
      </c>
      <c r="W79" s="97">
        <f t="shared" si="7"/>
        <v>-5.8151272047793695E-3</v>
      </c>
      <c r="X79" s="97">
        <f t="shared" si="7"/>
        <v>-5.8151272047793695E-3</v>
      </c>
      <c r="Y79" s="97">
        <f t="shared" si="7"/>
        <v>0.35029337504359181</v>
      </c>
      <c r="Z79" s="97">
        <f t="shared" si="7"/>
        <v>-5.8151272047793695E-3</v>
      </c>
      <c r="AA79" s="97">
        <f t="shared" si="7"/>
        <v>-5.8151272047793695E-3</v>
      </c>
      <c r="AD79" s="3" t="s">
        <v>25</v>
      </c>
      <c r="AE79" s="2">
        <v>1E-3</v>
      </c>
    </row>
    <row r="80" spans="1:31" ht="12.75" customHeight="1" x14ac:dyDescent="0.25">
      <c r="B80" s="21" t="s">
        <v>1</v>
      </c>
      <c r="C80" s="95">
        <f>Annual_sorted!F116</f>
        <v>58.171465993671404</v>
      </c>
      <c r="D80" s="29">
        <f>IF(C80-Table_1463457813244553616977[Burundi]&gt;0, C80-Table_1463457813244553616977[Burundi], 0)</f>
        <v>0</v>
      </c>
      <c r="E80" s="29">
        <f>IF(C80-Table_1463457813244553616977[DRC]&gt;0, C80-Table_1463457813244553616977[DRC], 0)</f>
        <v>42.916351860539763</v>
      </c>
      <c r="F80" s="29">
        <f>IF(C80-Table_1463457813244553616977[Egypt]&gt;0, C80-Table_1463457813244553616977[Egypt], 0)</f>
        <v>61.079399065628259</v>
      </c>
      <c r="G80" s="29">
        <f>IF(C80-Table_1463457813244553616977[Eritrea]&gt;0, C80-Table_1463457813244553616977[Eritrea], 0)</f>
        <v>24.39688192808773</v>
      </c>
      <c r="H80" s="29">
        <f>IF(C80-Table_1463457813244553616977[Ethiopia]&gt;0, C80-Table_1463457813244553616977[Ethiopia], 0)</f>
        <v>0</v>
      </c>
      <c r="I80" s="29">
        <f>IF(C80-Table_1463457813244553616977[Kenya]&gt;0, C80-Table_1463457813244553616977[Kenya], 0)</f>
        <v>0</v>
      </c>
      <c r="J80" s="29">
        <f>IF(C80-Table_1463457813244553616977[Rwanda]&gt;0, C80-Table_1463457813244553616977[Rwanda], 0)</f>
        <v>0</v>
      </c>
      <c r="K80" s="29">
        <f>IF(C80-Table_1463457813244553616977[Sudan]&gt;0, C80-Table_1463457813244553616977[Sudan], 0)</f>
        <v>0</v>
      </c>
      <c r="L80" s="29">
        <f>IF(C80-Table_1463457813244553616977[S. Sudan]&gt;0, C80-Table_1463457813244553616977[S. Sudan], 0)</f>
        <v>603.35179223622015</v>
      </c>
      <c r="M80" s="29">
        <f>IF(C80-Table_1463457813244553616977[Tanzania]&gt;0, C80-Table_1463457813244553616977[Tanzania], 0)</f>
        <v>0</v>
      </c>
      <c r="N80" s="29">
        <f>IF(C80-Table_1463457813244553616977[Uganda]&gt;0, C80-Table_1463457813244553616977[Uganda], 0)</f>
        <v>0</v>
      </c>
      <c r="P80" s="21" t="s">
        <v>195</v>
      </c>
      <c r="Q80" s="97">
        <f t="shared" ref="Q80:Q89" si="8">$AE$79+(D81-$AE$77)*($AE$80-$AE$79)/($AE$78-$AE$77)</f>
        <v>-5.8151272047793695E-3</v>
      </c>
      <c r="R80" s="97">
        <f t="shared" si="7"/>
        <v>-5.8151272047793695E-3</v>
      </c>
      <c r="S80" s="97">
        <f t="shared" si="7"/>
        <v>4.9050125539805006E-3</v>
      </c>
      <c r="T80" s="97">
        <f t="shared" si="7"/>
        <v>-5.8151272047793695E-3</v>
      </c>
      <c r="U80" s="97">
        <f t="shared" si="7"/>
        <v>-5.8151272047793695E-3</v>
      </c>
      <c r="V80" s="97">
        <f t="shared" si="7"/>
        <v>-5.8151272047793695E-3</v>
      </c>
      <c r="W80" s="97">
        <f t="shared" si="7"/>
        <v>-5.8151272047793695E-3</v>
      </c>
      <c r="X80" s="97">
        <f t="shared" si="7"/>
        <v>-5.8151272047793695E-3</v>
      </c>
      <c r="Y80" s="97">
        <f t="shared" si="7"/>
        <v>0.32496341335345158</v>
      </c>
      <c r="Z80" s="97">
        <f t="shared" si="7"/>
        <v>-5.8151272047793695E-3</v>
      </c>
      <c r="AA80" s="97">
        <f t="shared" si="7"/>
        <v>-5.8151272047793695E-3</v>
      </c>
      <c r="AD80" s="3" t="s">
        <v>70</v>
      </c>
      <c r="AE80" s="2">
        <v>1</v>
      </c>
    </row>
    <row r="81" spans="2:31" ht="12.75" customHeight="1" x14ac:dyDescent="0.25">
      <c r="B81" s="21" t="s">
        <v>195</v>
      </c>
      <c r="C81" s="95">
        <f>Annual_sorted!F117</f>
        <v>15.255114133131642</v>
      </c>
      <c r="D81" s="29">
        <f>IF(C81-Table_1463457813244553616977[Burundi]&gt;0, C81-Table_1463457813244553616977[Burundi], 0)</f>
        <v>0</v>
      </c>
      <c r="E81" s="29">
        <f>IF(C81-Table_1463457813244553616977[DRC]&gt;0, C81-Table_1463457813244553616977[DRC], 0)</f>
        <v>0</v>
      </c>
      <c r="F81" s="29">
        <f>IF(C81-Table_1463457813244553616977[Egypt]&gt;0, C81-Table_1463457813244553616977[Egypt], 0)</f>
        <v>18.163047205088496</v>
      </c>
      <c r="G81" s="29">
        <f>IF(C81-Table_1463457813244553616977[Eritrea]&gt;0, C81-Table_1463457813244553616977[Eritrea], 0)</f>
        <v>0</v>
      </c>
      <c r="H81" s="29">
        <f>IF(C81-Table_1463457813244553616977[Ethiopia]&gt;0, C81-Table_1463457813244553616977[Ethiopia], 0)</f>
        <v>0</v>
      </c>
      <c r="I81" s="29">
        <f>IF(C81-Table_1463457813244553616977[Kenya]&gt;0, C81-Table_1463457813244553616977[Kenya], 0)</f>
        <v>0</v>
      </c>
      <c r="J81" s="29">
        <f>IF(C81-Table_1463457813244553616977[Rwanda]&gt;0, C81-Table_1463457813244553616977[Rwanda], 0)</f>
        <v>0</v>
      </c>
      <c r="K81" s="29">
        <f>IF(C81-Table_1463457813244553616977[Sudan]&gt;0, C81-Table_1463457813244553616977[Sudan], 0)</f>
        <v>0</v>
      </c>
      <c r="L81" s="29">
        <f>IF(C81-Table_1463457813244553616977[S. Sudan]&gt;0, C81-Table_1463457813244553616977[S. Sudan], 0)</f>
        <v>560.4354403756804</v>
      </c>
      <c r="M81" s="29">
        <f>IF(C81-Table_1463457813244553616977[Tanzania]&gt;0, C81-Table_1463457813244553616977[Tanzania], 0)</f>
        <v>0</v>
      </c>
      <c r="N81" s="29">
        <f>IF(C81-Table_1463457813244553616977[Uganda]&gt;0, C81-Table_1463457813244553616977[Uganda], 0)</f>
        <v>0</v>
      </c>
      <c r="P81" s="21" t="s">
        <v>2</v>
      </c>
      <c r="Q81" s="97">
        <f t="shared" si="8"/>
        <v>-5.8151272047793695E-3</v>
      </c>
      <c r="R81" s="97">
        <f t="shared" si="7"/>
        <v>-5.8151272047793695E-3</v>
      </c>
      <c r="S81" s="97">
        <f t="shared" si="7"/>
        <v>-5.8151272047793695E-3</v>
      </c>
      <c r="T81" s="97">
        <f t="shared" si="7"/>
        <v>-5.8151272047793695E-3</v>
      </c>
      <c r="U81" s="97">
        <f t="shared" si="7"/>
        <v>-5.8151272047793695E-3</v>
      </c>
      <c r="V81" s="97">
        <f t="shared" si="7"/>
        <v>-5.8151272047793695E-3</v>
      </c>
      <c r="W81" s="97">
        <f t="shared" si="7"/>
        <v>-5.8151272047793695E-3</v>
      </c>
      <c r="X81" s="97">
        <f t="shared" si="7"/>
        <v>-5.8151272047793695E-3</v>
      </c>
      <c r="Y81" s="97">
        <f t="shared" si="7"/>
        <v>0.31424327359469162</v>
      </c>
      <c r="Z81" s="97">
        <f t="shared" si="7"/>
        <v>-5.8151272047793695E-3</v>
      </c>
      <c r="AA81" s="97">
        <f t="shared" si="7"/>
        <v>-5.8151272047793695E-3</v>
      </c>
    </row>
    <row r="82" spans="2:31" ht="12.75" customHeight="1" x14ac:dyDescent="0.25">
      <c r="B82" s="21" t="s">
        <v>2</v>
      </c>
      <c r="C82" s="95">
        <f>Annual_sorted!F118</f>
        <v>-2.9079330719568559</v>
      </c>
      <c r="D82" s="29">
        <f>IF(C82-Table_1463457813244553616977[Burundi]&gt;0, C82-Table_1463457813244553616977[Burundi], 0)</f>
        <v>0</v>
      </c>
      <c r="E82" s="29">
        <f>IF(C82-Table_1463457813244553616977[DRC]&gt;0, C82-Table_1463457813244553616977[DRC], 0)</f>
        <v>0</v>
      </c>
      <c r="F82" s="29">
        <f>IF(C82-Table_1463457813244553616977[Egypt]&gt;0, C82-Table_1463457813244553616977[Egypt], 0)</f>
        <v>0</v>
      </c>
      <c r="G82" s="29">
        <f>IF(C82-Table_1463457813244553616977[Eritrea]&gt;0, C82-Table_1463457813244553616977[Eritrea], 0)</f>
        <v>0</v>
      </c>
      <c r="H82" s="29">
        <f>IF(C82-Table_1463457813244553616977[Ethiopia]&gt;0, C82-Table_1463457813244553616977[Ethiopia], 0)</f>
        <v>0</v>
      </c>
      <c r="I82" s="29">
        <f>IF(C82-Table_1463457813244553616977[Kenya]&gt;0, C82-Table_1463457813244553616977[Kenya], 0)</f>
        <v>0</v>
      </c>
      <c r="J82" s="29">
        <f>IF(C82-Table_1463457813244553616977[Rwanda]&gt;0, C82-Table_1463457813244553616977[Rwanda], 0)</f>
        <v>0</v>
      </c>
      <c r="K82" s="29">
        <f>IF(C82-Table_1463457813244553616977[Sudan]&gt;0, C82-Table_1463457813244553616977[Sudan], 0)</f>
        <v>0</v>
      </c>
      <c r="L82" s="29">
        <f>IF(C82-Table_1463457813244553616977[S. Sudan]&gt;0, C82-Table_1463457813244553616977[S. Sudan], 0)</f>
        <v>542.27239317059184</v>
      </c>
      <c r="M82" s="29">
        <f>IF(C82-Table_1463457813244553616977[Tanzania]&gt;0, C82-Table_1463457813244553616977[Tanzania], 0)</f>
        <v>0</v>
      </c>
      <c r="N82" s="29">
        <f>IF(C82-Table_1463457813244553616977[Uganda]&gt;0, C82-Table_1463457813244553616977[Uganda], 0)</f>
        <v>0</v>
      </c>
      <c r="P82" s="21" t="s">
        <v>3</v>
      </c>
      <c r="Q82" s="97">
        <f t="shared" si="8"/>
        <v>-5.8151272047793695E-3</v>
      </c>
      <c r="R82" s="97">
        <f t="shared" si="7"/>
        <v>5.11537931718888E-3</v>
      </c>
      <c r="S82" s="97">
        <f t="shared" si="7"/>
        <v>1.583551907594875E-2</v>
      </c>
      <c r="T82" s="97">
        <f t="shared" si="7"/>
        <v>-5.8151272047793695E-3</v>
      </c>
      <c r="U82" s="97">
        <f t="shared" si="7"/>
        <v>-5.8151272047793695E-3</v>
      </c>
      <c r="V82" s="97">
        <f t="shared" si="7"/>
        <v>-5.8151272047793695E-3</v>
      </c>
      <c r="W82" s="97">
        <f t="shared" si="7"/>
        <v>-5.8151272047793695E-3</v>
      </c>
      <c r="X82" s="97">
        <f t="shared" si="7"/>
        <v>-5.8151272047793695E-3</v>
      </c>
      <c r="Y82" s="97">
        <f t="shared" si="7"/>
        <v>0.33589391987541978</v>
      </c>
      <c r="Z82" s="97">
        <f t="shared" si="7"/>
        <v>-5.8151272047793695E-3</v>
      </c>
      <c r="AA82" s="97">
        <f t="shared" si="7"/>
        <v>-5.8151272047793695E-3</v>
      </c>
    </row>
    <row r="83" spans="2:31" ht="12.75" customHeight="1" x14ac:dyDescent="0.25">
      <c r="B83" s="21" t="s">
        <v>3</v>
      </c>
      <c r="C83" s="95">
        <f>Annual_sorted!F119</f>
        <v>33.774584065583674</v>
      </c>
      <c r="D83" s="29">
        <f>IF(C83-Table_1463457813244553616977[Burundi]&gt;0, C83-Table_1463457813244553616977[Burundi], 0)</f>
        <v>0</v>
      </c>
      <c r="E83" s="29">
        <f>IF(C83-Table_1463457813244553616977[DRC]&gt;0, C83-Table_1463457813244553616977[DRC], 0)</f>
        <v>18.519469932452033</v>
      </c>
      <c r="F83" s="29">
        <f>IF(C83-Table_1463457813244553616977[Egypt]&gt;0, C83-Table_1463457813244553616977[Egypt], 0)</f>
        <v>36.682517137540529</v>
      </c>
      <c r="G83" s="29">
        <f>IF(C83-Table_1463457813244553616977[Eritrea]&gt;0, C83-Table_1463457813244553616977[Eritrea], 0)</f>
        <v>0</v>
      </c>
      <c r="H83" s="29">
        <f>IF(C83-Table_1463457813244553616977[Ethiopia]&gt;0, C83-Table_1463457813244553616977[Ethiopia], 0)</f>
        <v>0</v>
      </c>
      <c r="I83" s="29">
        <f>IF(C83-Table_1463457813244553616977[Kenya]&gt;0, C83-Table_1463457813244553616977[Kenya], 0)</f>
        <v>0</v>
      </c>
      <c r="J83" s="29">
        <f>IF(C83-Table_1463457813244553616977[Rwanda]&gt;0, C83-Table_1463457813244553616977[Rwanda], 0)</f>
        <v>0</v>
      </c>
      <c r="K83" s="29">
        <f>IF(C83-Table_1463457813244553616977[Sudan]&gt;0, C83-Table_1463457813244553616977[Sudan], 0)</f>
        <v>0</v>
      </c>
      <c r="L83" s="29">
        <f>IF(C83-Table_1463457813244553616977[S. Sudan]&gt;0, C83-Table_1463457813244553616977[S. Sudan], 0)</f>
        <v>578.95491030813241</v>
      </c>
      <c r="M83" s="29">
        <f>IF(C83-Table_1463457813244553616977[Tanzania]&gt;0, C83-Table_1463457813244553616977[Tanzania], 0)</f>
        <v>0</v>
      </c>
      <c r="N83" s="29">
        <f>IF(C83-Table_1463457813244553616977[Uganda]&gt;0, C83-Table_1463457813244553616977[Uganda], 0)</f>
        <v>0</v>
      </c>
      <c r="P83" s="21" t="s">
        <v>4</v>
      </c>
      <c r="Q83" s="97">
        <f t="shared" si="8"/>
        <v>0.59439956031024233</v>
      </c>
      <c r="R83" s="97">
        <f t="shared" si="7"/>
        <v>0.61972952200038256</v>
      </c>
      <c r="S83" s="97">
        <f t="shared" si="7"/>
        <v>0.63044966175914252</v>
      </c>
      <c r="T83" s="97">
        <f t="shared" si="7"/>
        <v>0.60879901547841431</v>
      </c>
      <c r="U83" s="97">
        <f t="shared" si="7"/>
        <v>-5.8151272047793695E-3</v>
      </c>
      <c r="V83" s="97">
        <f t="shared" si="7"/>
        <v>0.46992608557900245</v>
      </c>
      <c r="W83" s="97">
        <f t="shared" si="7"/>
        <v>0.56697703558522383</v>
      </c>
      <c r="X83" s="97">
        <f t="shared" si="7"/>
        <v>-5.8151272047793695E-3</v>
      </c>
      <c r="Y83" s="97">
        <f t="shared" si="7"/>
        <v>0.95050806255861342</v>
      </c>
      <c r="Z83" s="97">
        <f t="shared" si="7"/>
        <v>0.46311095837422306</v>
      </c>
      <c r="AA83" s="97">
        <f t="shared" si="7"/>
        <v>0.41282990385050622</v>
      </c>
    </row>
    <row r="84" spans="2:31" ht="12.75" customHeight="1" x14ac:dyDescent="0.25">
      <c r="B84" s="21" t="s">
        <v>4</v>
      </c>
      <c r="C84" s="95">
        <f>Annual_sorted!F120</f>
        <v>1075.1104190156716</v>
      </c>
      <c r="D84" s="29">
        <f>IF(C84-Table_1463457813244553616977[Burundi]&gt;0, C84-Table_1463457813244553616977[Burundi], 0)</f>
        <v>1016.9389530220002</v>
      </c>
      <c r="E84" s="29">
        <f>IF(C84-Table_1463457813244553616977[DRC]&gt;0, C84-Table_1463457813244553616977[DRC], 0)</f>
        <v>1059.8553048825399</v>
      </c>
      <c r="F84" s="29">
        <f>IF(C84-Table_1463457813244553616977[Egypt]&gt;0, C84-Table_1463457813244553616977[Egypt], 0)</f>
        <v>1078.0183520876285</v>
      </c>
      <c r="G84" s="29">
        <f>IF(C84-Table_1463457813244553616977[Eritrea]&gt;0, C84-Table_1463457813244553616977[Eritrea], 0)</f>
        <v>1041.3358349500879</v>
      </c>
      <c r="H84" s="29">
        <f>IF(C84-Table_1463457813244553616977[Ethiopia]&gt;0, C84-Table_1463457813244553616977[Ethiopia], 0)</f>
        <v>0</v>
      </c>
      <c r="I84" s="29">
        <f>IF(C84-Table_1463457813244553616977[Kenya]&gt;0, C84-Table_1463457813244553616977[Kenya], 0)</f>
        <v>806.04453856462419</v>
      </c>
      <c r="J84" s="29">
        <f>IF(C84-Table_1463457813244553616977[Rwanda]&gt;0, C84-Table_1463457813244553616977[Rwanda], 0)</f>
        <v>970.47718831821294</v>
      </c>
      <c r="K84" s="29">
        <f>IF(C84-Table_1463457813244553616977[Sudan]&gt;0, C84-Table_1463457813244553616977[Sudan], 0)</f>
        <v>0</v>
      </c>
      <c r="L84" s="29">
        <f>IF(C84-Table_1463457813244553616977[S. Sudan]&gt;0, C84-Table_1463457813244553616977[S. Sudan], 0)</f>
        <v>1620.2907452582203</v>
      </c>
      <c r="M84" s="29">
        <f>IF(C84-Table_1463457813244553616977[Tanzania]&gt;0, C84-Table_1463457813244553616977[Tanzania], 0)</f>
        <v>794.49772295264097</v>
      </c>
      <c r="N84" s="29">
        <f>IF(C84-Table_1463457813244553616977[Uganda]&gt;0, C84-Table_1463457813244553616977[Uganda], 0)</f>
        <v>709.30693371039831</v>
      </c>
      <c r="P84" s="21" t="s">
        <v>5</v>
      </c>
      <c r="Q84" s="97">
        <f t="shared" si="8"/>
        <v>0.11865834752646043</v>
      </c>
      <c r="R84" s="97">
        <f t="shared" si="7"/>
        <v>0.14398830921660066</v>
      </c>
      <c r="S84" s="97">
        <f t="shared" si="7"/>
        <v>0.15470844897536054</v>
      </c>
      <c r="T84" s="97">
        <f t="shared" si="7"/>
        <v>0.13305780269463244</v>
      </c>
      <c r="U84" s="97">
        <f t="shared" si="7"/>
        <v>-5.8151272047793695E-3</v>
      </c>
      <c r="V84" s="97">
        <f t="shared" si="7"/>
        <v>-5.8151272047793695E-3</v>
      </c>
      <c r="W84" s="97">
        <f t="shared" si="7"/>
        <v>9.1235822801442032E-2</v>
      </c>
      <c r="X84" s="97">
        <f t="shared" si="7"/>
        <v>-5.8151272047793695E-3</v>
      </c>
      <c r="Y84" s="97">
        <f t="shared" si="7"/>
        <v>0.47476684977483152</v>
      </c>
      <c r="Z84" s="97">
        <f t="shared" si="7"/>
        <v>-5.8151272047793695E-3</v>
      </c>
      <c r="AA84" s="97">
        <f t="shared" si="7"/>
        <v>-5.8151272047793695E-3</v>
      </c>
    </row>
    <row r="85" spans="2:31" ht="12.75" customHeight="1" x14ac:dyDescent="0.25">
      <c r="B85" s="21" t="s">
        <v>5</v>
      </c>
      <c r="C85" s="95">
        <f>Annual_sorted!F121</f>
        <v>269.06588045104741</v>
      </c>
      <c r="D85" s="29">
        <f>IF(C85-Table_1463457813244553616977[Burundi]&gt;0, C85-Table_1463457813244553616977[Burundi], 0)</f>
        <v>210.894414457376</v>
      </c>
      <c r="E85" s="29">
        <f>IF(C85-Table_1463457813244553616977[DRC]&gt;0, C85-Table_1463457813244553616977[DRC], 0)</f>
        <v>253.81076631791575</v>
      </c>
      <c r="F85" s="29">
        <f>IF(C85-Table_1463457813244553616977[Egypt]&gt;0, C85-Table_1463457813244553616977[Egypt], 0)</f>
        <v>271.97381352300425</v>
      </c>
      <c r="G85" s="29">
        <f>IF(C85-Table_1463457813244553616977[Eritrea]&gt;0, C85-Table_1463457813244553616977[Eritrea], 0)</f>
        <v>235.29129638546374</v>
      </c>
      <c r="H85" s="29">
        <f>IF(C85-Table_1463457813244553616977[Ethiopia]&gt;0, C85-Table_1463457813244553616977[Ethiopia], 0)</f>
        <v>0</v>
      </c>
      <c r="I85" s="29">
        <f>IF(C85-Table_1463457813244553616977[Kenya]&gt;0, C85-Table_1463457813244553616977[Kenya], 0)</f>
        <v>0</v>
      </c>
      <c r="J85" s="29">
        <f>IF(C85-Table_1463457813244553616977[Rwanda]&gt;0, C85-Table_1463457813244553616977[Rwanda], 0)</f>
        <v>164.43264975358875</v>
      </c>
      <c r="K85" s="29">
        <f>IF(C85-Table_1463457813244553616977[Sudan]&gt;0, C85-Table_1463457813244553616977[Sudan], 0)</f>
        <v>0</v>
      </c>
      <c r="L85" s="29">
        <f>IF(C85-Table_1463457813244553616977[S. Sudan]&gt;0, C85-Table_1463457813244553616977[S. Sudan], 0)</f>
        <v>814.24620669359615</v>
      </c>
      <c r="M85" s="29">
        <f>IF(C85-Table_1463457813244553616977[Tanzania]&gt;0, C85-Table_1463457813244553616977[Tanzania], 0)</f>
        <v>0</v>
      </c>
      <c r="N85" s="29">
        <f>IF(C85-Table_1463457813244553616977[Uganda]&gt;0, C85-Table_1463457813244553616977[Uganda], 0)</f>
        <v>0</v>
      </c>
      <c r="P85" s="21" t="s">
        <v>6</v>
      </c>
      <c r="Q85" s="97">
        <f t="shared" si="8"/>
        <v>2.1607397520239043E-2</v>
      </c>
      <c r="R85" s="97">
        <f t="shared" si="7"/>
        <v>4.6937359210379288E-2</v>
      </c>
      <c r="S85" s="97">
        <f t="shared" si="7"/>
        <v>5.7657498969139159E-2</v>
      </c>
      <c r="T85" s="97">
        <f t="shared" si="7"/>
        <v>3.6006852688411035E-2</v>
      </c>
      <c r="U85" s="97">
        <f t="shared" si="7"/>
        <v>-5.8151272047793695E-3</v>
      </c>
      <c r="V85" s="97">
        <f t="shared" si="7"/>
        <v>-5.8151272047793695E-3</v>
      </c>
      <c r="W85" s="97">
        <f t="shared" si="7"/>
        <v>-5.8151272047793695E-3</v>
      </c>
      <c r="X85" s="97">
        <f t="shared" si="7"/>
        <v>-5.8151272047793695E-3</v>
      </c>
      <c r="Y85" s="97">
        <f t="shared" si="7"/>
        <v>0.37771589976861014</v>
      </c>
      <c r="Z85" s="97">
        <f t="shared" si="7"/>
        <v>-5.8151272047793695E-3</v>
      </c>
      <c r="AA85" s="97">
        <f t="shared" si="7"/>
        <v>-5.8151272047793695E-3</v>
      </c>
    </row>
    <row r="86" spans="2:31" ht="12.75" customHeight="1" x14ac:dyDescent="0.25">
      <c r="B86" s="21" t="s">
        <v>6</v>
      </c>
      <c r="C86" s="95">
        <f>Annual_sorted!F122</f>
        <v>104.63323069745867</v>
      </c>
      <c r="D86" s="29">
        <f>IF(C86-Table_1463457813244553616977[Burundi]&gt;0, C86-Table_1463457813244553616977[Burundi], 0)</f>
        <v>46.461764703787267</v>
      </c>
      <c r="E86" s="29">
        <f>IF(C86-Table_1463457813244553616977[DRC]&gt;0, C86-Table_1463457813244553616977[DRC], 0)</f>
        <v>89.37811656432703</v>
      </c>
      <c r="F86" s="29">
        <f>IF(C86-Table_1463457813244553616977[Egypt]&gt;0, C86-Table_1463457813244553616977[Egypt], 0)</f>
        <v>107.54116376941553</v>
      </c>
      <c r="G86" s="29">
        <f>IF(C86-Table_1463457813244553616977[Eritrea]&gt;0, C86-Table_1463457813244553616977[Eritrea], 0)</f>
        <v>70.85864663187499</v>
      </c>
      <c r="H86" s="29">
        <f>IF(C86-Table_1463457813244553616977[Ethiopia]&gt;0, C86-Table_1463457813244553616977[Ethiopia], 0)</f>
        <v>0</v>
      </c>
      <c r="I86" s="29">
        <f>IF(C86-Table_1463457813244553616977[Kenya]&gt;0, C86-Table_1463457813244553616977[Kenya], 0)</f>
        <v>0</v>
      </c>
      <c r="J86" s="29">
        <f>IF(C86-Table_1463457813244553616977[Rwanda]&gt;0, C86-Table_1463457813244553616977[Rwanda], 0)</f>
        <v>0</v>
      </c>
      <c r="K86" s="29">
        <f>IF(C86-Table_1463457813244553616977[Sudan]&gt;0, C86-Table_1463457813244553616977[Sudan], 0)</f>
        <v>0</v>
      </c>
      <c r="L86" s="29">
        <f>IF(C86-Table_1463457813244553616977[S. Sudan]&gt;0, C86-Table_1463457813244553616977[S. Sudan], 0)</f>
        <v>649.8135569400074</v>
      </c>
      <c r="M86" s="29">
        <f>IF(C86-Table_1463457813244553616977[Tanzania]&gt;0, C86-Table_1463457813244553616977[Tanzania], 0)</f>
        <v>0</v>
      </c>
      <c r="N86" s="29">
        <f>IF(C86-Table_1463457813244553616977[Uganda]&gt;0, C86-Table_1463457813244553616977[Uganda], 0)</f>
        <v>0</v>
      </c>
      <c r="P86" s="21" t="s">
        <v>7</v>
      </c>
      <c r="Q86" s="97">
        <f t="shared" si="8"/>
        <v>0.64389149775162868</v>
      </c>
      <c r="R86" s="97">
        <f t="shared" si="7"/>
        <v>0.66922145944176914</v>
      </c>
      <c r="S86" s="97">
        <f t="shared" si="7"/>
        <v>0.6799415992005291</v>
      </c>
      <c r="T86" s="97">
        <f t="shared" si="7"/>
        <v>0.65829095291980089</v>
      </c>
      <c r="U86" s="97">
        <f t="shared" si="7"/>
        <v>4.3676810236607223E-2</v>
      </c>
      <c r="V86" s="97">
        <f t="shared" si="7"/>
        <v>0.51941802302038909</v>
      </c>
      <c r="W86" s="97">
        <f t="shared" si="7"/>
        <v>0.61646897302661052</v>
      </c>
      <c r="X86" s="97">
        <f t="shared" si="7"/>
        <v>-5.8151272047793695E-3</v>
      </c>
      <c r="Y86" s="97">
        <f t="shared" si="7"/>
        <v>1</v>
      </c>
      <c r="Z86" s="97">
        <f t="shared" si="7"/>
        <v>0.51260289581560969</v>
      </c>
      <c r="AA86" s="97">
        <f t="shared" si="7"/>
        <v>0.46232184129189285</v>
      </c>
    </row>
    <row r="87" spans="2:31" ht="12.75" customHeight="1" x14ac:dyDescent="0.25">
      <c r="B87" s="21" t="s">
        <v>7</v>
      </c>
      <c r="C87" s="95">
        <f>Annual_sorted!F123</f>
        <v>1158.9642134855285</v>
      </c>
      <c r="D87" s="29">
        <f>IF(C87-Table_1463457813244553616977[Burundi]&gt;0, C87-Table_1463457813244553616977[Burundi], 0)</f>
        <v>1100.792747491857</v>
      </c>
      <c r="E87" s="29">
        <f>IF(C87-Table_1463457813244553616977[DRC]&gt;0, C87-Table_1463457813244553616977[DRC], 0)</f>
        <v>1143.7090993523968</v>
      </c>
      <c r="F87" s="29">
        <f>IF(C87-Table_1463457813244553616977[Egypt]&gt;0, C87-Table_1463457813244553616977[Egypt], 0)</f>
        <v>1161.8721465574854</v>
      </c>
      <c r="G87" s="29">
        <f>IF(C87-Table_1463457813244553616977[Eritrea]&gt;0, C87-Table_1463457813244553616977[Eritrea], 0)</f>
        <v>1125.1896294199448</v>
      </c>
      <c r="H87" s="29">
        <f>IF(C87-Table_1463457813244553616977[Ethiopia]&gt;0, C87-Table_1463457813244553616977[Ethiopia], 0)</f>
        <v>83.853794469856894</v>
      </c>
      <c r="I87" s="29">
        <f>IF(C87-Table_1463457813244553616977[Kenya]&gt;0, C87-Table_1463457813244553616977[Kenya], 0)</f>
        <v>889.89833303448108</v>
      </c>
      <c r="J87" s="29">
        <f>IF(C87-Table_1463457813244553616977[Rwanda]&gt;0, C87-Table_1463457813244553616977[Rwanda], 0)</f>
        <v>1054.3309827880698</v>
      </c>
      <c r="K87" s="29">
        <f>IF(C87-Table_1463457813244553616977[Sudan]&gt;0, C87-Table_1463457813244553616977[Sudan], 0)</f>
        <v>0</v>
      </c>
      <c r="L87" s="29">
        <f>IF(C87-Table_1463457813244553616977[S. Sudan]&gt;0, C87-Table_1463457813244553616977[S. Sudan], 0)</f>
        <v>1704.1445397280772</v>
      </c>
      <c r="M87" s="29">
        <f>IF(C87-Table_1463457813244553616977[Tanzania]&gt;0, C87-Table_1463457813244553616977[Tanzania], 0)</f>
        <v>878.35151742249786</v>
      </c>
      <c r="N87" s="29">
        <f>IF(C87-Table_1463457813244553616977[Uganda]&gt;0, C87-Table_1463457813244553616977[Uganda], 0)</f>
        <v>793.16072818025521</v>
      </c>
      <c r="P87" s="21" t="s">
        <v>8</v>
      </c>
      <c r="Q87" s="97">
        <f t="shared" si="8"/>
        <v>-5.8151272047793695E-3</v>
      </c>
      <c r="R87" s="97">
        <f t="shared" si="7"/>
        <v>-5.8151272047793695E-3</v>
      </c>
      <c r="S87" s="97">
        <f t="shared" si="7"/>
        <v>-5.8151272047793695E-3</v>
      </c>
      <c r="T87" s="97">
        <f t="shared" si="7"/>
        <v>-5.8151272047793695E-3</v>
      </c>
      <c r="U87" s="97">
        <f t="shared" si="7"/>
        <v>-5.8151272047793695E-3</v>
      </c>
      <c r="V87" s="97">
        <f t="shared" si="7"/>
        <v>-5.8151272047793695E-3</v>
      </c>
      <c r="W87" s="97">
        <f t="shared" si="7"/>
        <v>-5.8151272047793695E-3</v>
      </c>
      <c r="X87" s="97">
        <f t="shared" si="7"/>
        <v>-5.8151272047793695E-3</v>
      </c>
      <c r="Y87" s="97">
        <f t="shared" si="7"/>
        <v>-5.8151272047793695E-3</v>
      </c>
      <c r="Z87" s="97">
        <f t="shared" si="7"/>
        <v>-5.8151272047793695E-3</v>
      </c>
      <c r="AA87" s="97">
        <f t="shared" si="7"/>
        <v>-5.8151272047793695E-3</v>
      </c>
    </row>
    <row r="88" spans="2:31" ht="12.75" customHeight="1" x14ac:dyDescent="0.25">
      <c r="B88" s="21" t="s">
        <v>8</v>
      </c>
      <c r="C88" s="95">
        <f>Annual_sorted!F124</f>
        <v>-545.18032624254874</v>
      </c>
      <c r="D88" s="29">
        <f>IF(C88-Table_1463457813244553616977[Burundi]&gt;0, C88-Table_1463457813244553616977[Burundi], 0)</f>
        <v>0</v>
      </c>
      <c r="E88" s="29">
        <f>IF(C88-Table_1463457813244553616977[DRC]&gt;0, C88-Table_1463457813244553616977[DRC], 0)</f>
        <v>0</v>
      </c>
      <c r="F88" s="29">
        <f>IF(C88-Table_1463457813244553616977[Egypt]&gt;0, C88-Table_1463457813244553616977[Egypt], 0)</f>
        <v>0</v>
      </c>
      <c r="G88" s="29">
        <f>IF(C88-Table_1463457813244553616977[Eritrea]&gt;0, C88-Table_1463457813244553616977[Eritrea], 0)</f>
        <v>0</v>
      </c>
      <c r="H88" s="29">
        <f>IF(C88-Table_1463457813244553616977[Ethiopia]&gt;0, C88-Table_1463457813244553616977[Ethiopia], 0)</f>
        <v>0</v>
      </c>
      <c r="I88" s="29">
        <f>IF(C88-Table_1463457813244553616977[Kenya]&gt;0, C88-Table_1463457813244553616977[Kenya], 0)</f>
        <v>0</v>
      </c>
      <c r="J88" s="29">
        <f>IF(C88-Table_1463457813244553616977[Rwanda]&gt;0, C88-Table_1463457813244553616977[Rwanda], 0)</f>
        <v>0</v>
      </c>
      <c r="K88" s="29">
        <f>IF(C88-Table_1463457813244553616977[Sudan]&gt;0, C88-Table_1463457813244553616977[Sudan], 0)</f>
        <v>0</v>
      </c>
      <c r="L88" s="29">
        <f>IF(C88-Table_1463457813244553616977[S. Sudan]&gt;0, C88-Table_1463457813244553616977[S. Sudan], 0)</f>
        <v>0</v>
      </c>
      <c r="M88" s="29">
        <f>IF(C88-Table_1463457813244553616977[Tanzania]&gt;0, C88-Table_1463457813244553616977[Tanzania], 0)</f>
        <v>0</v>
      </c>
      <c r="N88" s="29">
        <f>IF(C88-Table_1463457813244553616977[Uganda]&gt;0, C88-Table_1463457813244553616977[Uganda], 0)</f>
        <v>0</v>
      </c>
      <c r="P88" s="21" t="s">
        <v>9</v>
      </c>
      <c r="Q88" s="97">
        <f t="shared" si="8"/>
        <v>0.12547347473123979</v>
      </c>
      <c r="R88" s="97">
        <f t="shared" si="7"/>
        <v>0.15080343642138003</v>
      </c>
      <c r="S88" s="97">
        <f t="shared" si="7"/>
        <v>0.16152357618013991</v>
      </c>
      <c r="T88" s="97">
        <f t="shared" si="7"/>
        <v>0.1398729298994118</v>
      </c>
      <c r="U88" s="97">
        <f t="shared" si="7"/>
        <v>-5.8151272047793695E-3</v>
      </c>
      <c r="V88" s="97">
        <f t="shared" si="7"/>
        <v>1E-3</v>
      </c>
      <c r="W88" s="97">
        <f t="shared" si="7"/>
        <v>9.8050950006221396E-2</v>
      </c>
      <c r="X88" s="97">
        <f t="shared" si="7"/>
        <v>-5.8151272047793695E-3</v>
      </c>
      <c r="Y88" s="97">
        <f t="shared" si="7"/>
        <v>0.48158197697961092</v>
      </c>
      <c r="Z88" s="97">
        <f t="shared" si="7"/>
        <v>-5.8151272047793695E-3</v>
      </c>
      <c r="AA88" s="97">
        <f t="shared" si="7"/>
        <v>-5.8151272047793695E-3</v>
      </c>
      <c r="AB88" s="186"/>
    </row>
    <row r="89" spans="2:31" ht="12.75" customHeight="1" thickBot="1" x14ac:dyDescent="0.3">
      <c r="B89" s="21" t="s">
        <v>9</v>
      </c>
      <c r="C89" s="95">
        <f>Annual_sorted!F125</f>
        <v>280.61269606303063</v>
      </c>
      <c r="D89" s="29">
        <f>IF(C89-Table_1463457813244553616977[Burundi]&gt;0, C89-Table_1463457813244553616977[Burundi], 0)</f>
        <v>222.44123006935922</v>
      </c>
      <c r="E89" s="29">
        <f>IF(C89-Table_1463457813244553616977[DRC]&gt;0, C89-Table_1463457813244553616977[DRC], 0)</f>
        <v>265.35758192989897</v>
      </c>
      <c r="F89" s="29">
        <f>IF(C89-Table_1463457813244553616977[Egypt]&gt;0, C89-Table_1463457813244553616977[Egypt], 0)</f>
        <v>283.52062913498747</v>
      </c>
      <c r="G89" s="29">
        <f>IF(C89-Table_1463457813244553616977[Eritrea]&gt;0, C89-Table_1463457813244553616977[Eritrea], 0)</f>
        <v>246.83811199744696</v>
      </c>
      <c r="H89" s="29">
        <f>IF(C89-Table_1463457813244553616977[Ethiopia]&gt;0, C89-Table_1463457813244553616977[Ethiopia], 0)</f>
        <v>0</v>
      </c>
      <c r="I89" s="29">
        <f>IF(C89-Table_1463457813244553616977[Kenya]&gt;0, C89-Table_1463457813244553616977[Kenya], 0)</f>
        <v>11.54681561198322</v>
      </c>
      <c r="J89" s="29">
        <f>IF(C89-Table_1463457813244553616977[Rwanda]&gt;0, C89-Table_1463457813244553616977[Rwanda], 0)</f>
        <v>175.97946536557197</v>
      </c>
      <c r="K89" s="29">
        <f>IF(C89-Table_1463457813244553616977[Sudan]&gt;0, C89-Table_1463457813244553616977[Sudan], 0)</f>
        <v>0</v>
      </c>
      <c r="L89" s="29">
        <f>IF(C89-Table_1463457813244553616977[S. Sudan]&gt;0, C89-Table_1463457813244553616977[S. Sudan], 0)</f>
        <v>825.79302230557937</v>
      </c>
      <c r="M89" s="29">
        <f>IF(C89-Table_1463457813244553616977[Tanzania]&gt;0, C89-Table_1463457813244553616977[Tanzania], 0)</f>
        <v>0</v>
      </c>
      <c r="N89" s="29">
        <f>IF(C89-Table_1463457813244553616977[Uganda]&gt;0, C89-Table_1463457813244553616977[Uganda], 0)</f>
        <v>0</v>
      </c>
      <c r="P89" s="22" t="s">
        <v>10</v>
      </c>
      <c r="Q89" s="98">
        <f t="shared" si="8"/>
        <v>0.17575452925495666</v>
      </c>
      <c r="R89" s="98">
        <f t="shared" si="7"/>
        <v>0.20108449094509689</v>
      </c>
      <c r="S89" s="98">
        <f t="shared" si="7"/>
        <v>0.2118046307038568</v>
      </c>
      <c r="T89" s="98">
        <f t="shared" si="7"/>
        <v>0.19015398442312867</v>
      </c>
      <c r="U89" s="98">
        <f t="shared" si="7"/>
        <v>-5.8151272047793695E-3</v>
      </c>
      <c r="V89" s="98">
        <f t="shared" si="7"/>
        <v>5.1281054523716875E-2</v>
      </c>
      <c r="W89" s="98">
        <f t="shared" si="7"/>
        <v>0.14833200452993828</v>
      </c>
      <c r="X89" s="98">
        <f t="shared" si="7"/>
        <v>-5.8151272047793695E-3</v>
      </c>
      <c r="Y89" s="98">
        <f t="shared" si="7"/>
        <v>0.53186303150332781</v>
      </c>
      <c r="Z89" s="98">
        <f t="shared" si="7"/>
        <v>4.4465927318937511E-2</v>
      </c>
      <c r="AA89" s="98">
        <f t="shared" si="7"/>
        <v>-5.8151272047793695E-3</v>
      </c>
    </row>
    <row r="90" spans="2:31" ht="12.75" customHeight="1" thickBot="1" x14ac:dyDescent="0.3">
      <c r="B90" s="22" t="s">
        <v>10</v>
      </c>
      <c r="C90" s="96">
        <f>Annual_sorted!F126</f>
        <v>365.80348530527328</v>
      </c>
      <c r="D90" s="32">
        <f>IF(C90-Table_1463457813244553616977[Burundi]&gt;0, C90-Table_1463457813244553616977[Burundi], 0)</f>
        <v>307.63201931160188</v>
      </c>
      <c r="E90" s="32">
        <f>IF(C90-Table_1463457813244553616977[DRC]&gt;0, C90-Table_1463457813244553616977[DRC], 0)</f>
        <v>350.54837117214163</v>
      </c>
      <c r="F90" s="32">
        <f>IF(C90-Table_1463457813244553616977[Egypt]&gt;0, C90-Table_1463457813244553616977[Egypt], 0)</f>
        <v>368.71141837723013</v>
      </c>
      <c r="G90" s="32">
        <f>IF(C90-Table_1463457813244553616977[Eritrea]&gt;0, C90-Table_1463457813244553616977[Eritrea], 0)</f>
        <v>332.02890123968962</v>
      </c>
      <c r="H90" s="32">
        <f>IF(C90-Table_1463457813244553616977[Ethiopia]&gt;0, C90-Table_1463457813244553616977[Ethiopia], 0)</f>
        <v>0</v>
      </c>
      <c r="I90" s="32">
        <f>IF(C90-Table_1463457813244553616977[Kenya]&gt;0, C90-Table_1463457813244553616977[Kenya], 0)</f>
        <v>96.737604854225879</v>
      </c>
      <c r="J90" s="32">
        <f>IF(C90-Table_1463457813244553616977[Rwanda]&gt;0, C90-Table_1463457813244553616977[Rwanda], 0)</f>
        <v>261.17025460781463</v>
      </c>
      <c r="K90" s="32">
        <f>IF(C90-Table_1463457813244553616977[Sudan]&gt;0, C90-Table_1463457813244553616977[Sudan], 0)</f>
        <v>0</v>
      </c>
      <c r="L90" s="32">
        <f>IF(C90-Table_1463457813244553616977[S. Sudan]&gt;0, C90-Table_1463457813244553616977[S. Sudan], 0)</f>
        <v>910.98381154782203</v>
      </c>
      <c r="M90" s="32">
        <f>IF(C90-Table_1463457813244553616977[Tanzania]&gt;0, C90-Table_1463457813244553616977[Tanzania], 0)</f>
        <v>85.190789242242658</v>
      </c>
      <c r="N90" s="32">
        <f>IF(C90-Table_1463457813244553616977[Uganda]&gt;0, C90-Table_1463457813244553616977[Uganda], 0)</f>
        <v>0</v>
      </c>
    </row>
    <row r="91" spans="2:31" ht="12.75" customHeight="1" x14ac:dyDescent="0.25"/>
    <row r="92" spans="2:31" ht="12.75" customHeight="1" x14ac:dyDescent="0.25"/>
    <row r="93" spans="2:31" ht="12.75" customHeight="1" x14ac:dyDescent="0.25">
      <c r="B93" s="5"/>
      <c r="C93" s="5"/>
      <c r="D93" s="5"/>
      <c r="E93" s="5"/>
      <c r="F93" s="5"/>
      <c r="G93" s="5"/>
      <c r="H93" s="5"/>
      <c r="I93" s="5"/>
      <c r="J93" s="5"/>
      <c r="K93" s="5"/>
      <c r="L93" s="5"/>
      <c r="M93" s="5"/>
      <c r="N93" s="5"/>
      <c r="O93" s="5"/>
      <c r="P93" s="5"/>
      <c r="Q93" s="5"/>
      <c r="R93" s="5"/>
      <c r="S93" s="5"/>
      <c r="T93" s="5"/>
      <c r="U93" s="5"/>
      <c r="V93" s="5"/>
      <c r="W93" s="5"/>
      <c r="X93" s="5"/>
      <c r="Y93" s="5"/>
      <c r="Z93" s="5"/>
      <c r="AA93" s="5"/>
    </row>
    <row r="94" spans="2:31" ht="12.75" customHeight="1" x14ac:dyDescent="0.25">
      <c r="B94" s="5"/>
      <c r="C94" s="5"/>
      <c r="D94" s="5"/>
      <c r="E94" s="5"/>
      <c r="F94" s="5"/>
      <c r="G94" s="5"/>
      <c r="H94" s="5"/>
      <c r="I94" s="5"/>
      <c r="J94" s="5"/>
      <c r="K94" s="5"/>
      <c r="L94" s="5"/>
      <c r="M94" s="5"/>
      <c r="N94" s="5"/>
      <c r="O94" s="5"/>
      <c r="P94" s="5"/>
      <c r="Q94" s="5"/>
      <c r="R94" s="5"/>
      <c r="S94" s="5"/>
      <c r="T94" s="5"/>
      <c r="U94" s="5"/>
      <c r="V94" s="5"/>
      <c r="W94" s="5"/>
      <c r="X94" s="5"/>
      <c r="Y94" s="5"/>
      <c r="Z94" s="5"/>
      <c r="AA94" s="5"/>
    </row>
    <row r="95" spans="2:31" ht="12.75" customHeight="1" thickBot="1" x14ac:dyDescent="0.3">
      <c r="B95" s="253" t="s">
        <v>85</v>
      </c>
      <c r="C95" s="253"/>
      <c r="D95" s="253"/>
      <c r="E95" s="253"/>
      <c r="F95" s="253"/>
      <c r="G95" s="253"/>
      <c r="H95" s="253"/>
      <c r="I95" s="253"/>
      <c r="J95" s="253"/>
      <c r="K95" s="253"/>
      <c r="L95" s="253"/>
      <c r="M95" s="253"/>
      <c r="N95" s="253"/>
      <c r="O95" s="5"/>
      <c r="P95" s="253" t="s">
        <v>87</v>
      </c>
      <c r="Q95" s="253"/>
      <c r="R95" s="253"/>
      <c r="S95" s="253"/>
      <c r="T95" s="253"/>
      <c r="U95" s="253"/>
      <c r="V95" s="253"/>
      <c r="W95" s="253"/>
      <c r="X95" s="253"/>
      <c r="Y95" s="253"/>
      <c r="Z95" s="253"/>
      <c r="AA95" s="253"/>
      <c r="AB95" s="10"/>
      <c r="AC95" s="3" t="s">
        <v>22</v>
      </c>
      <c r="AD95" s="13" t="s">
        <v>23</v>
      </c>
      <c r="AE95" s="74">
        <f t="array" ref="AE95">MIN(IF(D98:N108&gt;0,D98:N108))</f>
        <v>1.041549173851827</v>
      </c>
    </row>
    <row r="96" spans="2:31" ht="12.75" customHeight="1" thickBot="1" x14ac:dyDescent="0.3">
      <c r="B96" s="75" t="s">
        <v>13</v>
      </c>
      <c r="C96" s="66" t="s">
        <v>14</v>
      </c>
      <c r="D96" s="67" t="s">
        <v>1</v>
      </c>
      <c r="E96" s="67" t="s">
        <v>195</v>
      </c>
      <c r="F96" s="67" t="s">
        <v>2</v>
      </c>
      <c r="G96" s="67" t="s">
        <v>3</v>
      </c>
      <c r="H96" s="67" t="s">
        <v>4</v>
      </c>
      <c r="I96" s="67" t="s">
        <v>5</v>
      </c>
      <c r="J96" s="67" t="s">
        <v>6</v>
      </c>
      <c r="K96" s="67" t="s">
        <v>7</v>
      </c>
      <c r="L96" s="67" t="s">
        <v>295</v>
      </c>
      <c r="M96" s="67" t="s">
        <v>9</v>
      </c>
      <c r="N96" s="67" t="s">
        <v>10</v>
      </c>
      <c r="P96" s="76" t="s">
        <v>19</v>
      </c>
      <c r="Q96" s="77" t="s">
        <v>1</v>
      </c>
      <c r="R96" s="77" t="s">
        <v>195</v>
      </c>
      <c r="S96" s="77" t="s">
        <v>2</v>
      </c>
      <c r="T96" s="77" t="s">
        <v>3</v>
      </c>
      <c r="U96" s="77" t="s">
        <v>4</v>
      </c>
      <c r="V96" s="77" t="s">
        <v>5</v>
      </c>
      <c r="W96" s="77" t="s">
        <v>6</v>
      </c>
      <c r="X96" s="77" t="s">
        <v>7</v>
      </c>
      <c r="Y96" s="77" t="s">
        <v>295</v>
      </c>
      <c r="Z96" s="77" t="s">
        <v>9</v>
      </c>
      <c r="AA96" s="77" t="s">
        <v>10</v>
      </c>
      <c r="AB96" s="254" t="s">
        <v>26</v>
      </c>
      <c r="AC96" s="254"/>
      <c r="AD96" s="13" t="s">
        <v>24</v>
      </c>
      <c r="AE96" s="20">
        <f>MAX(D98:N108)</f>
        <v>932.42884802687604</v>
      </c>
    </row>
    <row r="97" spans="2:31" ht="12.75" customHeight="1" x14ac:dyDescent="0.25">
      <c r="B97" s="93"/>
      <c r="C97" s="94" t="s">
        <v>262</v>
      </c>
      <c r="D97" s="95">
        <f>C98</f>
        <v>-16.464224321359161</v>
      </c>
      <c r="E97" s="95">
        <f>C99</f>
        <v>-21.17168569175897</v>
      </c>
      <c r="F97" s="95">
        <f>C100</f>
        <v>324.0594723839535</v>
      </c>
      <c r="G97" s="95">
        <f>C101</f>
        <v>-10.267070984179492</v>
      </c>
      <c r="H97" s="95">
        <f>C102</f>
        <v>-404.0644578066229</v>
      </c>
      <c r="I97" s="95">
        <f>C103</f>
        <v>-73.137896406983401</v>
      </c>
      <c r="J97" s="95">
        <f>C104</f>
        <v>-20.130136517907143</v>
      </c>
      <c r="K97" s="95">
        <f>C105</f>
        <v>-30.702680304273713</v>
      </c>
      <c r="L97" s="95">
        <f>C106</f>
        <v>-608.36937564292248</v>
      </c>
      <c r="M97" s="95">
        <f>C107</f>
        <v>-145.86699390059232</v>
      </c>
      <c r="N97" s="95">
        <f>C108</f>
        <v>-293.22811265462934</v>
      </c>
      <c r="P97" s="21" t="s">
        <v>1</v>
      </c>
      <c r="Q97" s="97">
        <f>$AE$97+(D98-$AE$95)*($AE$98-$AE$97)/($AE$96-$AE$95)</f>
        <v>-1.1715891547944596E-4</v>
      </c>
      <c r="R97" s="97">
        <f t="shared" ref="R97:AA107" si="9">$AE$97+(E98-$AE$95)*($AE$98-$AE$97)/($AE$96-$AE$95)</f>
        <v>4.9320337402725825E-3</v>
      </c>
      <c r="S97" s="97">
        <f t="shared" si="9"/>
        <v>-1.1715891547944596E-4</v>
      </c>
      <c r="T97" s="97">
        <f t="shared" si="9"/>
        <v>-1.1715891547944596E-4</v>
      </c>
      <c r="U97" s="97">
        <f t="shared" si="9"/>
        <v>0.4156203476283819</v>
      </c>
      <c r="V97" s="97">
        <f t="shared" si="9"/>
        <v>6.0670655652381604E-2</v>
      </c>
      <c r="W97" s="97">
        <f t="shared" si="9"/>
        <v>3.8148748247931359E-3</v>
      </c>
      <c r="X97" s="97">
        <f t="shared" si="9"/>
        <v>1.5154916991555512E-2</v>
      </c>
      <c r="Y97" s="97">
        <f t="shared" si="9"/>
        <v>0.63475648269250295</v>
      </c>
      <c r="Z97" s="97">
        <f t="shared" si="9"/>
        <v>0.13867941579500914</v>
      </c>
      <c r="AA97" s="97">
        <f t="shared" si="9"/>
        <v>0.29673799981969184</v>
      </c>
      <c r="AD97" s="3" t="s">
        <v>25</v>
      </c>
      <c r="AE97" s="2">
        <v>1E-3</v>
      </c>
    </row>
    <row r="98" spans="2:31" ht="12.75" customHeight="1" x14ac:dyDescent="0.25">
      <c r="B98" s="21" t="s">
        <v>1</v>
      </c>
      <c r="C98" s="95">
        <f>Annual_sorted!G116</f>
        <v>-16.464224321359161</v>
      </c>
      <c r="D98" s="29">
        <f>IF(C98-Table_146345781116234452606876[Burundi]&gt;0, C98-Table_146345781116234452606876[Burundi], 0)</f>
        <v>0</v>
      </c>
      <c r="E98" s="29">
        <f>IF(C98-Table_146345781116234452606876[DRC]&gt;0, C98-Table_146345781116234452606876[DRC], 0)</f>
        <v>4.7074613703998089</v>
      </c>
      <c r="F98" s="29">
        <f>IF(C98-Table_146345781116234452606876[Egypt]&gt;0, C98-Table_146345781116234452606876[Egypt], 0)</f>
        <v>0</v>
      </c>
      <c r="G98" s="29">
        <f>IF(C98-Table_146345781116234452606876[Eritrea]&gt;0, C98-Table_146345781116234452606876[Eritrea], 0)</f>
        <v>0</v>
      </c>
      <c r="H98" s="29">
        <f>IF(C98-Table_146345781116234452606876[Ethiopia]&gt;0, C98-Table_146345781116234452606876[Ethiopia], 0)</f>
        <v>387.60023348526374</v>
      </c>
      <c r="I98" s="29">
        <f>IF(C98-Table_146345781116234452606876[Kenya]&gt;0, C98-Table_146345781116234452606876[Kenya], 0)</f>
        <v>56.67367208562424</v>
      </c>
      <c r="J98" s="29">
        <f>IF(C98-Table_146345781116234452606876[Rwanda]&gt;0, C98-Table_146345781116234452606876[Rwanda], 0)</f>
        <v>3.6659121965479819</v>
      </c>
      <c r="K98" s="29">
        <f>IF(C98-Table_146345781116234452606876[Sudan]&gt;0, C98-Table_146345781116234452606876[Sudan], 0)</f>
        <v>14.238455982914552</v>
      </c>
      <c r="L98" s="29">
        <f>IF(C98-Table_146345781116234452606876[S. Sudan]&gt;0, C98-Table_146345781116234452606876[S. Sudan], 0)</f>
        <v>591.90515132156327</v>
      </c>
      <c r="M98" s="29">
        <f>IF(C98-Table_146345781116234452606876[Tanzania]&gt;0, C98-Table_146345781116234452606876[Tanzania], 0)</f>
        <v>129.40276957923317</v>
      </c>
      <c r="N98" s="29">
        <f>IF(C98-Table_146345781116234452606876[Uganda]&gt;0, C98-Table_146345781116234452606876[Uganda], 0)</f>
        <v>276.76388833327019</v>
      </c>
      <c r="P98" s="21" t="s">
        <v>195</v>
      </c>
      <c r="Q98" s="97">
        <f t="shared" ref="Q98:Q107" si="10">$AE$97+(D99-$AE$95)*($AE$98-$AE$97)/($AE$96-$AE$95)</f>
        <v>-1.1715891547944596E-4</v>
      </c>
      <c r="R98" s="97">
        <f t="shared" si="9"/>
        <v>-1.1715891547944596E-4</v>
      </c>
      <c r="S98" s="97">
        <f t="shared" si="9"/>
        <v>-1.1715891547944596E-4</v>
      </c>
      <c r="T98" s="97">
        <f t="shared" si="9"/>
        <v>-1.1715891547944596E-4</v>
      </c>
      <c r="U98" s="97">
        <f t="shared" si="9"/>
        <v>0.41057115497262986</v>
      </c>
      <c r="V98" s="97">
        <f t="shared" si="9"/>
        <v>5.5621462996629581E-2</v>
      </c>
      <c r="W98" s="97">
        <f t="shared" si="9"/>
        <v>-1.1715891547944596E-4</v>
      </c>
      <c r="X98" s="97">
        <f t="shared" si="9"/>
        <v>1.0105724335803482E-2</v>
      </c>
      <c r="Y98" s="97">
        <f t="shared" si="9"/>
        <v>0.62970729003675097</v>
      </c>
      <c r="Z98" s="97">
        <f t="shared" si="9"/>
        <v>0.13363022313925713</v>
      </c>
      <c r="AA98" s="97">
        <f t="shared" si="9"/>
        <v>0.29168880716393986</v>
      </c>
      <c r="AD98" s="3" t="s">
        <v>70</v>
      </c>
      <c r="AE98" s="2">
        <v>1</v>
      </c>
    </row>
    <row r="99" spans="2:31" ht="12.75" customHeight="1" x14ac:dyDescent="0.25">
      <c r="B99" s="21" t="s">
        <v>195</v>
      </c>
      <c r="C99" s="95">
        <f>Annual_sorted!G117</f>
        <v>-21.17168569175897</v>
      </c>
      <c r="D99" s="29">
        <f>IF(C99-Table_146345781116234452606876[Burundi]&gt;0, C99-Table_146345781116234452606876[Burundi], 0)</f>
        <v>0</v>
      </c>
      <c r="E99" s="29">
        <f>IF(C99-Table_146345781116234452606876[DRC]&gt;0, C99-Table_146345781116234452606876[DRC], 0)</f>
        <v>0</v>
      </c>
      <c r="F99" s="29">
        <f>IF(C99-Table_146345781116234452606876[Egypt]&gt;0, C99-Table_146345781116234452606876[Egypt], 0)</f>
        <v>0</v>
      </c>
      <c r="G99" s="29">
        <f>IF(C99-Table_146345781116234452606876[Eritrea]&gt;0, C99-Table_146345781116234452606876[Eritrea], 0)</f>
        <v>0</v>
      </c>
      <c r="H99" s="29">
        <f>IF(C99-Table_146345781116234452606876[Ethiopia]&gt;0, C99-Table_146345781116234452606876[Ethiopia], 0)</f>
        <v>382.89277211486393</v>
      </c>
      <c r="I99" s="29">
        <f>IF(C99-Table_146345781116234452606876[Kenya]&gt;0, C99-Table_146345781116234452606876[Kenya], 0)</f>
        <v>51.966210715224435</v>
      </c>
      <c r="J99" s="29">
        <f>IF(C99-Table_146345781116234452606876[Rwanda]&gt;0, C99-Table_146345781116234452606876[Rwanda], 0)</f>
        <v>0</v>
      </c>
      <c r="K99" s="29">
        <f>IF(C99-Table_146345781116234452606876[Sudan]&gt;0, C99-Table_146345781116234452606876[Sudan], 0)</f>
        <v>9.5309946125147427</v>
      </c>
      <c r="L99" s="29">
        <f>IF(C99-Table_146345781116234452606876[S. Sudan]&gt;0, C99-Table_146345781116234452606876[S. Sudan], 0)</f>
        <v>587.19768995116351</v>
      </c>
      <c r="M99" s="29">
        <f>IF(C99-Table_146345781116234452606876[Tanzania]&gt;0, C99-Table_146345781116234452606876[Tanzania], 0)</f>
        <v>124.69530820883335</v>
      </c>
      <c r="N99" s="29">
        <f>IF(C99-Table_146345781116234452606876[Uganda]&gt;0, C99-Table_146345781116234452606876[Uganda], 0)</f>
        <v>272.05642696287038</v>
      </c>
      <c r="P99" s="21" t="s">
        <v>2</v>
      </c>
      <c r="Q99" s="97">
        <f t="shared" si="10"/>
        <v>0.36512635839201751</v>
      </c>
      <c r="R99" s="97">
        <f t="shared" si="9"/>
        <v>0.37017555104776956</v>
      </c>
      <c r="S99" s="97">
        <f t="shared" si="9"/>
        <v>-1.1715891547944596E-4</v>
      </c>
      <c r="T99" s="97">
        <f t="shared" si="9"/>
        <v>0.35847933175608798</v>
      </c>
      <c r="U99" s="97">
        <f t="shared" si="9"/>
        <v>0.78086386493587878</v>
      </c>
      <c r="V99" s="97">
        <f t="shared" si="9"/>
        <v>0.42591417295987855</v>
      </c>
      <c r="W99" s="97">
        <f t="shared" si="9"/>
        <v>0.36905839213229008</v>
      </c>
      <c r="X99" s="97">
        <f t="shared" si="9"/>
        <v>0.38039843429905246</v>
      </c>
      <c r="Y99" s="97">
        <f t="shared" si="9"/>
        <v>1</v>
      </c>
      <c r="Z99" s="97">
        <f t="shared" si="9"/>
        <v>0.50392293310250613</v>
      </c>
      <c r="AA99" s="97">
        <f t="shared" si="9"/>
        <v>0.66198151712718878</v>
      </c>
    </row>
    <row r="100" spans="2:31" ht="12.75" customHeight="1" x14ac:dyDescent="0.25">
      <c r="B100" s="21" t="s">
        <v>2</v>
      </c>
      <c r="C100" s="95">
        <f>Annual_sorted!G118</f>
        <v>324.0594723839535</v>
      </c>
      <c r="D100" s="29">
        <f>IF(C100-Table_146345781116234452606876[Burundi]&gt;0, C100-Table_146345781116234452606876[Burundi], 0)</f>
        <v>340.52369670531266</v>
      </c>
      <c r="E100" s="29">
        <f>IF(C100-Table_146345781116234452606876[DRC]&gt;0, C100-Table_146345781116234452606876[DRC], 0)</f>
        <v>345.23115807571247</v>
      </c>
      <c r="F100" s="29">
        <f>IF(C100-Table_146345781116234452606876[Egypt]&gt;0, C100-Table_146345781116234452606876[Egypt], 0)</f>
        <v>0</v>
      </c>
      <c r="G100" s="29">
        <f>IF(C100-Table_146345781116234452606876[Eritrea]&gt;0, C100-Table_146345781116234452606876[Eritrea], 0)</f>
        <v>334.326543368133</v>
      </c>
      <c r="H100" s="29">
        <f>IF(C100-Table_146345781116234452606876[Ethiopia]&gt;0, C100-Table_146345781116234452606876[Ethiopia], 0)</f>
        <v>728.1239301905764</v>
      </c>
      <c r="I100" s="29">
        <f>IF(C100-Table_146345781116234452606876[Kenya]&gt;0, C100-Table_146345781116234452606876[Kenya], 0)</f>
        <v>397.19736879093693</v>
      </c>
      <c r="J100" s="29">
        <f>IF(C100-Table_146345781116234452606876[Rwanda]&gt;0, C100-Table_146345781116234452606876[Rwanda], 0)</f>
        <v>344.18960890186065</v>
      </c>
      <c r="K100" s="29">
        <f>IF(C100-Table_146345781116234452606876[Sudan]&gt;0, C100-Table_146345781116234452606876[Sudan], 0)</f>
        <v>354.76215268822722</v>
      </c>
      <c r="L100" s="29">
        <f>IF(C100-Table_146345781116234452606876[S. Sudan]&gt;0, C100-Table_146345781116234452606876[S. Sudan], 0)</f>
        <v>932.42884802687604</v>
      </c>
      <c r="M100" s="29">
        <f>IF(C100-Table_146345781116234452606876[Tanzania]&gt;0, C100-Table_146345781116234452606876[Tanzania], 0)</f>
        <v>469.92646628454582</v>
      </c>
      <c r="N100" s="29">
        <f>IF(C100-Table_146345781116234452606876[Uganda]&gt;0, C100-Table_146345781116234452606876[Uganda], 0)</f>
        <v>617.28758503858285</v>
      </c>
      <c r="P100" s="21" t="s">
        <v>3</v>
      </c>
      <c r="Q100" s="97">
        <f t="shared" si="10"/>
        <v>6.5298677204500633E-3</v>
      </c>
      <c r="R100" s="97">
        <f t="shared" si="9"/>
        <v>1.1579060376202092E-2</v>
      </c>
      <c r="S100" s="97">
        <f t="shared" si="9"/>
        <v>-1.1715891547944596E-4</v>
      </c>
      <c r="T100" s="97">
        <f t="shared" si="9"/>
        <v>-1.1715891547944596E-4</v>
      </c>
      <c r="U100" s="97">
        <f t="shared" si="9"/>
        <v>0.42226737426431143</v>
      </c>
      <c r="V100" s="97">
        <f t="shared" si="9"/>
        <v>6.7317682288311115E-2</v>
      </c>
      <c r="W100" s="97">
        <f t="shared" si="9"/>
        <v>1.0461901460722647E-2</v>
      </c>
      <c r="X100" s="97">
        <f t="shared" si="9"/>
        <v>2.180194362748502E-2</v>
      </c>
      <c r="Y100" s="97">
        <f t="shared" si="9"/>
        <v>0.6414035093284326</v>
      </c>
      <c r="Z100" s="97">
        <f t="shared" si="9"/>
        <v>0.14532644243093867</v>
      </c>
      <c r="AA100" s="97">
        <f t="shared" si="9"/>
        <v>0.30338502645562138</v>
      </c>
    </row>
    <row r="101" spans="2:31" ht="12.75" customHeight="1" x14ac:dyDescent="0.25">
      <c r="B101" s="21" t="s">
        <v>3</v>
      </c>
      <c r="C101" s="95">
        <f>Annual_sorted!G119</f>
        <v>-10.267070984179492</v>
      </c>
      <c r="D101" s="29">
        <f>IF(C101-Table_146345781116234452606876[Burundi]&gt;0, C101-Table_146345781116234452606876[Burundi], 0)</f>
        <v>6.1971533371796692</v>
      </c>
      <c r="E101" s="29">
        <f>IF(C101-Table_146345781116234452606876[DRC]&gt;0, C101-Table_146345781116234452606876[DRC], 0)</f>
        <v>10.904614707579478</v>
      </c>
      <c r="F101" s="29">
        <f>IF(C101-Table_146345781116234452606876[Egypt]&gt;0, C101-Table_146345781116234452606876[Egypt], 0)</f>
        <v>0</v>
      </c>
      <c r="G101" s="29">
        <f>IF(C101-Table_146345781116234452606876[Eritrea]&gt;0, C101-Table_146345781116234452606876[Eritrea], 0)</f>
        <v>0</v>
      </c>
      <c r="H101" s="29">
        <f>IF(C101-Table_146345781116234452606876[Ethiopia]&gt;0, C101-Table_146345781116234452606876[Ethiopia], 0)</f>
        <v>393.7973868224434</v>
      </c>
      <c r="I101" s="29">
        <f>IF(C101-Table_146345781116234452606876[Kenya]&gt;0, C101-Table_146345781116234452606876[Kenya], 0)</f>
        <v>62.870825422803911</v>
      </c>
      <c r="J101" s="29">
        <f>IF(C101-Table_146345781116234452606876[Rwanda]&gt;0, C101-Table_146345781116234452606876[Rwanda], 0)</f>
        <v>9.8630655337276512</v>
      </c>
      <c r="K101" s="29">
        <f>IF(C101-Table_146345781116234452606876[Sudan]&gt;0, C101-Table_146345781116234452606876[Sudan], 0)</f>
        <v>20.435609320094223</v>
      </c>
      <c r="L101" s="29">
        <f>IF(C101-Table_146345781116234452606876[S. Sudan]&gt;0, C101-Table_146345781116234452606876[S. Sudan], 0)</f>
        <v>598.10230465874304</v>
      </c>
      <c r="M101" s="29">
        <f>IF(C101-Table_146345781116234452606876[Tanzania]&gt;0, C101-Table_146345781116234452606876[Tanzania], 0)</f>
        <v>135.59992291641282</v>
      </c>
      <c r="N101" s="29">
        <f>IF(C101-Table_146345781116234452606876[Uganda]&gt;0, C101-Table_146345781116234452606876[Uganda], 0)</f>
        <v>282.96104167044984</v>
      </c>
      <c r="P101" s="21" t="s">
        <v>4</v>
      </c>
      <c r="Q101" s="97">
        <f t="shared" si="10"/>
        <v>-1.1715891547944596E-4</v>
      </c>
      <c r="R101" s="97">
        <f t="shared" si="9"/>
        <v>-1.1715891547944596E-4</v>
      </c>
      <c r="S101" s="97">
        <f t="shared" si="9"/>
        <v>-1.1715891547944596E-4</v>
      </c>
      <c r="T101" s="97">
        <f t="shared" si="9"/>
        <v>-1.1715891547944596E-4</v>
      </c>
      <c r="U101" s="97">
        <f t="shared" si="9"/>
        <v>-1.1715891547944596E-4</v>
      </c>
      <c r="V101" s="97">
        <f t="shared" si="9"/>
        <v>-1.1715891547944596E-4</v>
      </c>
      <c r="W101" s="97">
        <f t="shared" si="9"/>
        <v>-1.1715891547944596E-4</v>
      </c>
      <c r="X101" s="97">
        <f t="shared" si="9"/>
        <v>-1.1715891547944596E-4</v>
      </c>
      <c r="Y101" s="97">
        <f t="shared" si="9"/>
        <v>0.21901897614864171</v>
      </c>
      <c r="Z101" s="97">
        <f t="shared" si="9"/>
        <v>-1.1715891547944596E-4</v>
      </c>
      <c r="AA101" s="97">
        <f t="shared" si="9"/>
        <v>-1.1715891547944596E-4</v>
      </c>
    </row>
    <row r="102" spans="2:31" ht="12.75" customHeight="1" x14ac:dyDescent="0.25">
      <c r="B102" s="21" t="s">
        <v>4</v>
      </c>
      <c r="C102" s="95">
        <f>Annual_sorted!G120</f>
        <v>-404.0644578066229</v>
      </c>
      <c r="D102" s="29">
        <f>IF(C102-Table_146345781116234452606876[Burundi]&gt;0, C102-Table_146345781116234452606876[Burundi], 0)</f>
        <v>0</v>
      </c>
      <c r="E102" s="29">
        <f>IF(C102-Table_146345781116234452606876[DRC]&gt;0, C102-Table_146345781116234452606876[DRC], 0)</f>
        <v>0</v>
      </c>
      <c r="F102" s="29">
        <f>IF(C102-Table_146345781116234452606876[Egypt]&gt;0, C102-Table_146345781116234452606876[Egypt], 0)</f>
        <v>0</v>
      </c>
      <c r="G102" s="29">
        <f>IF(C102-Table_146345781116234452606876[Eritrea]&gt;0, C102-Table_146345781116234452606876[Eritrea], 0)</f>
        <v>0</v>
      </c>
      <c r="H102" s="29">
        <f>IF(C102-Table_146345781116234452606876[Ethiopia]&gt;0, C102-Table_146345781116234452606876[Ethiopia], 0)</f>
        <v>0</v>
      </c>
      <c r="I102" s="29">
        <f>IF(C102-Table_146345781116234452606876[Kenya]&gt;0, C102-Table_146345781116234452606876[Kenya], 0)</f>
        <v>0</v>
      </c>
      <c r="J102" s="29">
        <f>IF(C102-Table_146345781116234452606876[Rwanda]&gt;0, C102-Table_146345781116234452606876[Rwanda], 0)</f>
        <v>0</v>
      </c>
      <c r="K102" s="29">
        <f>IF(C102-Table_146345781116234452606876[Sudan]&gt;0, C102-Table_146345781116234452606876[Sudan], 0)</f>
        <v>0</v>
      </c>
      <c r="L102" s="29">
        <f>IF(C102-Table_146345781116234452606876[S. Sudan]&gt;0, C102-Table_146345781116234452606876[S. Sudan], 0)</f>
        <v>204.30491783629958</v>
      </c>
      <c r="M102" s="29">
        <f>IF(C102-Table_146345781116234452606876[Tanzania]&gt;0, C102-Table_146345781116234452606876[Tanzania], 0)</f>
        <v>0</v>
      </c>
      <c r="N102" s="29">
        <f>IF(C102-Table_146345781116234452606876[Uganda]&gt;0, C102-Table_146345781116234452606876[Uganda], 0)</f>
        <v>0</v>
      </c>
      <c r="P102" s="21" t="s">
        <v>5</v>
      </c>
      <c r="Q102" s="97">
        <f t="shared" si="10"/>
        <v>-1.1715891547944596E-4</v>
      </c>
      <c r="R102" s="97">
        <f t="shared" si="9"/>
        <v>-1.1715891547944596E-4</v>
      </c>
      <c r="S102" s="97">
        <f t="shared" si="9"/>
        <v>-1.1715891547944596E-4</v>
      </c>
      <c r="T102" s="97">
        <f t="shared" si="9"/>
        <v>-1.1715891547944596E-4</v>
      </c>
      <c r="U102" s="97">
        <f t="shared" si="9"/>
        <v>0.35483253306052082</v>
      </c>
      <c r="V102" s="97">
        <f t="shared" si="9"/>
        <v>-1.1715891547944596E-4</v>
      </c>
      <c r="W102" s="97">
        <f t="shared" si="9"/>
        <v>-1.1715891547944596E-4</v>
      </c>
      <c r="X102" s="97">
        <f t="shared" si="9"/>
        <v>-1.1715891547944596E-4</v>
      </c>
      <c r="Y102" s="97">
        <f t="shared" si="9"/>
        <v>0.57396866812464198</v>
      </c>
      <c r="Z102" s="97">
        <f t="shared" si="9"/>
        <v>7.7891601227148097E-2</v>
      </c>
      <c r="AA102" s="97">
        <f t="shared" si="9"/>
        <v>0.23595018525183081</v>
      </c>
    </row>
    <row r="103" spans="2:31" ht="12.75" customHeight="1" x14ac:dyDescent="0.25">
      <c r="B103" s="21" t="s">
        <v>5</v>
      </c>
      <c r="C103" s="95">
        <f>Annual_sorted!G121</f>
        <v>-73.137896406983401</v>
      </c>
      <c r="D103" s="29">
        <f>IF(C103-Table_146345781116234452606876[Burundi]&gt;0, C103-Table_146345781116234452606876[Burundi], 0)</f>
        <v>0</v>
      </c>
      <c r="E103" s="29">
        <f>IF(C103-Table_146345781116234452606876[DRC]&gt;0, C103-Table_146345781116234452606876[DRC], 0)</f>
        <v>0</v>
      </c>
      <c r="F103" s="29">
        <f>IF(C103-Table_146345781116234452606876[Egypt]&gt;0, C103-Table_146345781116234452606876[Egypt], 0)</f>
        <v>0</v>
      </c>
      <c r="G103" s="29">
        <f>IF(C103-Table_146345781116234452606876[Eritrea]&gt;0, C103-Table_146345781116234452606876[Eritrea], 0)</f>
        <v>0</v>
      </c>
      <c r="H103" s="29">
        <f>IF(C103-Table_146345781116234452606876[Ethiopia]&gt;0, C103-Table_146345781116234452606876[Ethiopia], 0)</f>
        <v>330.92656139963947</v>
      </c>
      <c r="I103" s="29">
        <f>IF(C103-Table_146345781116234452606876[Kenya]&gt;0, C103-Table_146345781116234452606876[Kenya], 0)</f>
        <v>0</v>
      </c>
      <c r="J103" s="29">
        <f>IF(C103-Table_146345781116234452606876[Rwanda]&gt;0, C103-Table_146345781116234452606876[Rwanda], 0)</f>
        <v>0</v>
      </c>
      <c r="K103" s="29">
        <f>IF(C103-Table_146345781116234452606876[Sudan]&gt;0, C103-Table_146345781116234452606876[Sudan], 0)</f>
        <v>0</v>
      </c>
      <c r="L103" s="29">
        <f>IF(C103-Table_146345781116234452606876[S. Sudan]&gt;0, C103-Table_146345781116234452606876[S. Sudan], 0)</f>
        <v>535.2314792359391</v>
      </c>
      <c r="M103" s="29">
        <f>IF(C103-Table_146345781116234452606876[Tanzania]&gt;0, C103-Table_146345781116234452606876[Tanzania], 0)</f>
        <v>72.729097493608919</v>
      </c>
      <c r="N103" s="29">
        <f>IF(C103-Table_146345781116234452606876[Uganda]&gt;0, C103-Table_146345781116234452606876[Uganda], 0)</f>
        <v>220.09021624764594</v>
      </c>
      <c r="P103" s="21" t="s">
        <v>6</v>
      </c>
      <c r="Q103" s="97">
        <f t="shared" si="10"/>
        <v>-1.1715891547944596E-4</v>
      </c>
      <c r="R103" s="97">
        <f t="shared" si="9"/>
        <v>1E-3</v>
      </c>
      <c r="S103" s="97">
        <f t="shared" si="9"/>
        <v>-1.1715891547944596E-4</v>
      </c>
      <c r="T103" s="97">
        <f t="shared" si="9"/>
        <v>-1.1715891547944596E-4</v>
      </c>
      <c r="U103" s="97">
        <f t="shared" si="9"/>
        <v>0.41168831388810934</v>
      </c>
      <c r="V103" s="97">
        <f t="shared" si="9"/>
        <v>5.6738621912109023E-2</v>
      </c>
      <c r="W103" s="97">
        <f t="shared" si="9"/>
        <v>-1.1715891547944596E-4</v>
      </c>
      <c r="X103" s="97">
        <f t="shared" si="9"/>
        <v>1.1222883251282928E-2</v>
      </c>
      <c r="Y103" s="97">
        <f t="shared" si="9"/>
        <v>0.63082444895223044</v>
      </c>
      <c r="Z103" s="97">
        <f t="shared" si="9"/>
        <v>0.13474738205473658</v>
      </c>
      <c r="AA103" s="97">
        <f t="shared" si="9"/>
        <v>0.29280596607941928</v>
      </c>
    </row>
    <row r="104" spans="2:31" ht="12.75" customHeight="1" x14ac:dyDescent="0.25">
      <c r="B104" s="21" t="s">
        <v>6</v>
      </c>
      <c r="C104" s="95">
        <f>Annual_sorted!G122</f>
        <v>-20.130136517907143</v>
      </c>
      <c r="D104" s="29">
        <f>IF(C104-Table_146345781116234452606876[Burundi]&gt;0, C104-Table_146345781116234452606876[Burundi], 0)</f>
        <v>0</v>
      </c>
      <c r="E104" s="29">
        <f>IF(C104-Table_146345781116234452606876[DRC]&gt;0, C104-Table_146345781116234452606876[DRC], 0)</f>
        <v>1.041549173851827</v>
      </c>
      <c r="F104" s="29">
        <f>IF(C104-Table_146345781116234452606876[Egypt]&gt;0, C104-Table_146345781116234452606876[Egypt], 0)</f>
        <v>0</v>
      </c>
      <c r="G104" s="29">
        <f>IF(C104-Table_146345781116234452606876[Eritrea]&gt;0, C104-Table_146345781116234452606876[Eritrea], 0)</f>
        <v>0</v>
      </c>
      <c r="H104" s="29">
        <f>IF(C104-Table_146345781116234452606876[Ethiopia]&gt;0, C104-Table_146345781116234452606876[Ethiopia], 0)</f>
        <v>383.93432128871575</v>
      </c>
      <c r="I104" s="29">
        <f>IF(C104-Table_146345781116234452606876[Kenya]&gt;0, C104-Table_146345781116234452606876[Kenya], 0)</f>
        <v>53.007759889076254</v>
      </c>
      <c r="J104" s="29">
        <f>IF(C104-Table_146345781116234452606876[Rwanda]&gt;0, C104-Table_146345781116234452606876[Rwanda], 0)</f>
        <v>0</v>
      </c>
      <c r="K104" s="29">
        <f>IF(C104-Table_146345781116234452606876[Sudan]&gt;0, C104-Table_146345781116234452606876[Sudan], 0)</f>
        <v>10.57254378636657</v>
      </c>
      <c r="L104" s="29">
        <f>IF(C104-Table_146345781116234452606876[S. Sudan]&gt;0, C104-Table_146345781116234452606876[S. Sudan], 0)</f>
        <v>588.23923912501539</v>
      </c>
      <c r="M104" s="29">
        <f>IF(C104-Table_146345781116234452606876[Tanzania]&gt;0, C104-Table_146345781116234452606876[Tanzania], 0)</f>
        <v>125.73685738268517</v>
      </c>
      <c r="N104" s="29">
        <f>IF(C104-Table_146345781116234452606876[Uganda]&gt;0, C104-Table_146345781116234452606876[Uganda], 0)</f>
        <v>273.0979761367222</v>
      </c>
      <c r="P104" s="21" t="s">
        <v>7</v>
      </c>
      <c r="Q104" s="97">
        <f t="shared" si="10"/>
        <v>-1.1715891547944596E-4</v>
      </c>
      <c r="R104" s="97">
        <f t="shared" si="9"/>
        <v>-1.1715891547944596E-4</v>
      </c>
      <c r="S104" s="97">
        <f t="shared" si="9"/>
        <v>-1.1715891547944596E-4</v>
      </c>
      <c r="T104" s="97">
        <f t="shared" si="9"/>
        <v>-1.1715891547944596E-4</v>
      </c>
      <c r="U104" s="97">
        <f t="shared" si="9"/>
        <v>0.40034827172134696</v>
      </c>
      <c r="V104" s="97">
        <f t="shared" si="9"/>
        <v>4.5398579745346654E-2</v>
      </c>
      <c r="W104" s="97">
        <f t="shared" si="9"/>
        <v>-1.1715891547944596E-4</v>
      </c>
      <c r="X104" s="97">
        <f t="shared" si="9"/>
        <v>-1.1715891547944596E-4</v>
      </c>
      <c r="Y104" s="97">
        <f t="shared" si="9"/>
        <v>0.61948440678546801</v>
      </c>
      <c r="Z104" s="97">
        <f t="shared" si="9"/>
        <v>0.1234073398879742</v>
      </c>
      <c r="AA104" s="97">
        <f t="shared" si="9"/>
        <v>0.2814659239126569</v>
      </c>
    </row>
    <row r="105" spans="2:31" ht="12.75" customHeight="1" x14ac:dyDescent="0.25">
      <c r="B105" s="21" t="s">
        <v>7</v>
      </c>
      <c r="C105" s="95">
        <f>Annual_sorted!G123</f>
        <v>-30.702680304273713</v>
      </c>
      <c r="D105" s="29">
        <f>IF(C105-Table_146345781116234452606876[Burundi]&gt;0, C105-Table_146345781116234452606876[Burundi], 0)</f>
        <v>0</v>
      </c>
      <c r="E105" s="29">
        <f>IF(C105-Table_146345781116234452606876[DRC]&gt;0, C105-Table_146345781116234452606876[DRC], 0)</f>
        <v>0</v>
      </c>
      <c r="F105" s="29">
        <f>IF(C105-Table_146345781116234452606876[Egypt]&gt;0, C105-Table_146345781116234452606876[Egypt], 0)</f>
        <v>0</v>
      </c>
      <c r="G105" s="29">
        <f>IF(C105-Table_146345781116234452606876[Eritrea]&gt;0, C105-Table_146345781116234452606876[Eritrea], 0)</f>
        <v>0</v>
      </c>
      <c r="H105" s="29">
        <f>IF(C105-Table_146345781116234452606876[Ethiopia]&gt;0, C105-Table_146345781116234452606876[Ethiopia], 0)</f>
        <v>373.36177750234918</v>
      </c>
      <c r="I105" s="29">
        <f>IF(C105-Table_146345781116234452606876[Kenya]&gt;0, C105-Table_146345781116234452606876[Kenya], 0)</f>
        <v>42.435216102709688</v>
      </c>
      <c r="J105" s="29">
        <f>IF(C105-Table_146345781116234452606876[Rwanda]&gt;0, C105-Table_146345781116234452606876[Rwanda], 0)</f>
        <v>0</v>
      </c>
      <c r="K105" s="29">
        <f>IF(C105-Table_146345781116234452606876[Sudan]&gt;0, C105-Table_146345781116234452606876[Sudan], 0)</f>
        <v>0</v>
      </c>
      <c r="L105" s="29">
        <f>IF(C105-Table_146345781116234452606876[S. Sudan]&gt;0, C105-Table_146345781116234452606876[S. Sudan], 0)</f>
        <v>577.66669533864876</v>
      </c>
      <c r="M105" s="29">
        <f>IF(C105-Table_146345781116234452606876[Tanzania]&gt;0, C105-Table_146345781116234452606876[Tanzania], 0)</f>
        <v>115.16431359631861</v>
      </c>
      <c r="N105" s="29">
        <f>IF(C105-Table_146345781116234452606876[Uganda]&gt;0, C105-Table_146345781116234452606876[Uganda], 0)</f>
        <v>262.52543235035563</v>
      </c>
      <c r="P105" s="21" t="s">
        <v>8</v>
      </c>
      <c r="Q105" s="97">
        <f t="shared" si="10"/>
        <v>-1.1715891547944596E-4</v>
      </c>
      <c r="R105" s="97">
        <f t="shared" si="9"/>
        <v>-1.1715891547944596E-4</v>
      </c>
      <c r="S105" s="97">
        <f t="shared" si="9"/>
        <v>-1.1715891547944596E-4</v>
      </c>
      <c r="T105" s="97">
        <f t="shared" si="9"/>
        <v>-1.1715891547944596E-4</v>
      </c>
      <c r="U105" s="97">
        <f t="shared" si="9"/>
        <v>-1.1715891547944596E-4</v>
      </c>
      <c r="V105" s="97">
        <f t="shared" si="9"/>
        <v>-1.1715891547944596E-4</v>
      </c>
      <c r="W105" s="97">
        <f t="shared" si="9"/>
        <v>-1.1715891547944596E-4</v>
      </c>
      <c r="X105" s="97">
        <f t="shared" si="9"/>
        <v>-1.1715891547944596E-4</v>
      </c>
      <c r="Y105" s="97">
        <f t="shared" si="9"/>
        <v>-1.1715891547944596E-4</v>
      </c>
      <c r="Z105" s="97">
        <f t="shared" si="9"/>
        <v>-1.1715891547944596E-4</v>
      </c>
      <c r="AA105" s="97">
        <f t="shared" si="9"/>
        <v>-1.1715891547944596E-4</v>
      </c>
    </row>
    <row r="106" spans="2:31" ht="12.75" customHeight="1" x14ac:dyDescent="0.25">
      <c r="B106" s="21" t="s">
        <v>8</v>
      </c>
      <c r="C106" s="95">
        <f>Annual_sorted!G124</f>
        <v>-608.36937564292248</v>
      </c>
      <c r="D106" s="29">
        <f>IF(C106-Table_146345781116234452606876[Burundi]&gt;0, C106-Table_146345781116234452606876[Burundi], 0)</f>
        <v>0</v>
      </c>
      <c r="E106" s="29">
        <f>IF(C106-Table_146345781116234452606876[DRC]&gt;0, C106-Table_146345781116234452606876[DRC], 0)</f>
        <v>0</v>
      </c>
      <c r="F106" s="29">
        <f>IF(C106-Table_146345781116234452606876[Egypt]&gt;0, C106-Table_146345781116234452606876[Egypt], 0)</f>
        <v>0</v>
      </c>
      <c r="G106" s="29">
        <f>IF(C106-Table_146345781116234452606876[Eritrea]&gt;0, C106-Table_146345781116234452606876[Eritrea], 0)</f>
        <v>0</v>
      </c>
      <c r="H106" s="29">
        <f>IF(C106-Table_146345781116234452606876[Ethiopia]&gt;0, C106-Table_146345781116234452606876[Ethiopia], 0)</f>
        <v>0</v>
      </c>
      <c r="I106" s="29">
        <f>IF(C106-Table_146345781116234452606876[Kenya]&gt;0, C106-Table_146345781116234452606876[Kenya], 0)</f>
        <v>0</v>
      </c>
      <c r="J106" s="29">
        <f>IF(C106-Table_146345781116234452606876[Rwanda]&gt;0, C106-Table_146345781116234452606876[Rwanda], 0)</f>
        <v>0</v>
      </c>
      <c r="K106" s="29">
        <f>IF(C106-Table_146345781116234452606876[Sudan]&gt;0, C106-Table_146345781116234452606876[Sudan], 0)</f>
        <v>0</v>
      </c>
      <c r="L106" s="29">
        <f>IF(C106-Table_146345781116234452606876[S. Sudan]&gt;0, C106-Table_146345781116234452606876[S. Sudan], 0)</f>
        <v>0</v>
      </c>
      <c r="M106" s="29">
        <f>IF(C106-Table_146345781116234452606876[Tanzania]&gt;0, C106-Table_146345781116234452606876[Tanzania], 0)</f>
        <v>0</v>
      </c>
      <c r="N106" s="29">
        <f>IF(C106-Table_146345781116234452606876[Uganda]&gt;0, C106-Table_146345781116234452606876[Uganda], 0)</f>
        <v>0</v>
      </c>
      <c r="P106" s="21" t="s">
        <v>9</v>
      </c>
      <c r="Q106" s="97">
        <f t="shared" si="10"/>
        <v>-1.1715891547944596E-4</v>
      </c>
      <c r="R106" s="97">
        <f t="shared" si="9"/>
        <v>-1.1715891547944596E-4</v>
      </c>
      <c r="S106" s="97">
        <f t="shared" si="9"/>
        <v>-1.1715891547944596E-4</v>
      </c>
      <c r="T106" s="97">
        <f t="shared" si="9"/>
        <v>-1.1715891547944596E-4</v>
      </c>
      <c r="U106" s="97">
        <f t="shared" si="9"/>
        <v>0.27682377291789334</v>
      </c>
      <c r="V106" s="97">
        <f t="shared" si="9"/>
        <v>-1.1715891547944596E-4</v>
      </c>
      <c r="W106" s="97">
        <f t="shared" si="9"/>
        <v>-1.1715891547944596E-4</v>
      </c>
      <c r="X106" s="97">
        <f t="shared" si="9"/>
        <v>-1.1715891547944596E-4</v>
      </c>
      <c r="Y106" s="97">
        <f t="shared" si="9"/>
        <v>0.49595990798201445</v>
      </c>
      <c r="Z106" s="97">
        <f t="shared" si="9"/>
        <v>-1.1715891547944596E-4</v>
      </c>
      <c r="AA106" s="97">
        <f t="shared" si="9"/>
        <v>0.15794142510920328</v>
      </c>
    </row>
    <row r="107" spans="2:31" ht="12.75" customHeight="1" thickBot="1" x14ac:dyDescent="0.3">
      <c r="B107" s="21" t="s">
        <v>9</v>
      </c>
      <c r="C107" s="95">
        <f>Annual_sorted!G125</f>
        <v>-145.86699390059232</v>
      </c>
      <c r="D107" s="29">
        <f>IF(C107-Table_146345781116234452606876[Burundi]&gt;0, C107-Table_146345781116234452606876[Burundi], 0)</f>
        <v>0</v>
      </c>
      <c r="E107" s="29">
        <f>IF(C107-Table_146345781116234452606876[DRC]&gt;0, C107-Table_146345781116234452606876[DRC], 0)</f>
        <v>0</v>
      </c>
      <c r="F107" s="29">
        <f>IF(C107-Table_146345781116234452606876[Egypt]&gt;0, C107-Table_146345781116234452606876[Egypt], 0)</f>
        <v>0</v>
      </c>
      <c r="G107" s="29">
        <f>IF(C107-Table_146345781116234452606876[Eritrea]&gt;0, C107-Table_146345781116234452606876[Eritrea], 0)</f>
        <v>0</v>
      </c>
      <c r="H107" s="29">
        <f>IF(C107-Table_146345781116234452606876[Ethiopia]&gt;0, C107-Table_146345781116234452606876[Ethiopia], 0)</f>
        <v>258.19746390603058</v>
      </c>
      <c r="I107" s="29">
        <f>IF(C107-Table_146345781116234452606876[Kenya]&gt;0, C107-Table_146345781116234452606876[Kenya], 0)</f>
        <v>0</v>
      </c>
      <c r="J107" s="29">
        <f>IF(C107-Table_146345781116234452606876[Rwanda]&gt;0, C107-Table_146345781116234452606876[Rwanda], 0)</f>
        <v>0</v>
      </c>
      <c r="K107" s="29">
        <f>IF(C107-Table_146345781116234452606876[Sudan]&gt;0, C107-Table_146345781116234452606876[Sudan], 0)</f>
        <v>0</v>
      </c>
      <c r="L107" s="29">
        <f>IF(C107-Table_146345781116234452606876[S. Sudan]&gt;0, C107-Table_146345781116234452606876[S. Sudan], 0)</f>
        <v>462.50238174233016</v>
      </c>
      <c r="M107" s="29">
        <f>IF(C107-Table_146345781116234452606876[Tanzania]&gt;0, C107-Table_146345781116234452606876[Tanzania], 0)</f>
        <v>0</v>
      </c>
      <c r="N107" s="29">
        <f>IF(C107-Table_146345781116234452606876[Uganda]&gt;0, C107-Table_146345781116234452606876[Uganda], 0)</f>
        <v>147.36111875403702</v>
      </c>
      <c r="P107" s="22" t="s">
        <v>10</v>
      </c>
      <c r="Q107" s="98">
        <f t="shared" si="10"/>
        <v>-1.1715891547944596E-4</v>
      </c>
      <c r="R107" s="98">
        <f t="shared" si="9"/>
        <v>-1.1715891547944596E-4</v>
      </c>
      <c r="S107" s="98">
        <f t="shared" si="9"/>
        <v>-1.1715891547944596E-4</v>
      </c>
      <c r="T107" s="98">
        <f t="shared" si="9"/>
        <v>-1.1715891547944596E-4</v>
      </c>
      <c r="U107" s="98">
        <f t="shared" si="9"/>
        <v>0.11876518889321061</v>
      </c>
      <c r="V107" s="98">
        <f t="shared" si="9"/>
        <v>-1.1715891547944596E-4</v>
      </c>
      <c r="W107" s="98">
        <f t="shared" si="9"/>
        <v>-1.1715891547944596E-4</v>
      </c>
      <c r="X107" s="98">
        <f t="shared" si="9"/>
        <v>-1.1715891547944596E-4</v>
      </c>
      <c r="Y107" s="98">
        <f t="shared" si="9"/>
        <v>0.3379013239573318</v>
      </c>
      <c r="Z107" s="98">
        <f t="shared" si="9"/>
        <v>-1.1715891547944596E-4</v>
      </c>
      <c r="AA107" s="98">
        <f t="shared" si="9"/>
        <v>-1.1715891547944596E-4</v>
      </c>
      <c r="AB107" s="186"/>
    </row>
    <row r="108" spans="2:31" ht="12.75" customHeight="1" thickBot="1" x14ac:dyDescent="0.3">
      <c r="B108" s="22" t="s">
        <v>10</v>
      </c>
      <c r="C108" s="96">
        <f>Annual_sorted!G126</f>
        <v>-293.22811265462934</v>
      </c>
      <c r="D108" s="32">
        <f>IF(C108-Table_146345781116234452606876[Burundi]&gt;0, C108-Table_146345781116234452606876[Burundi], 0)</f>
        <v>0</v>
      </c>
      <c r="E108" s="32">
        <f>IF(C108-Table_146345781116234452606876[DRC]&gt;0, C108-Table_146345781116234452606876[DRC], 0)</f>
        <v>0</v>
      </c>
      <c r="F108" s="32">
        <f>IF(C108-Table_146345781116234452606876[Egypt]&gt;0, C108-Table_146345781116234452606876[Egypt], 0)</f>
        <v>0</v>
      </c>
      <c r="G108" s="32">
        <f>IF(C108-Table_146345781116234452606876[Eritrea]&gt;0, C108-Table_146345781116234452606876[Eritrea], 0)</f>
        <v>0</v>
      </c>
      <c r="H108" s="32">
        <f>IF(C108-Table_146345781116234452606876[Ethiopia]&gt;0, C108-Table_146345781116234452606876[Ethiopia], 0)</f>
        <v>110.83634515199356</v>
      </c>
      <c r="I108" s="32">
        <f>IF(C108-Table_146345781116234452606876[Kenya]&gt;0, C108-Table_146345781116234452606876[Kenya], 0)</f>
        <v>0</v>
      </c>
      <c r="J108" s="32">
        <f>IF(C108-Table_146345781116234452606876[Rwanda]&gt;0, C108-Table_146345781116234452606876[Rwanda], 0)</f>
        <v>0</v>
      </c>
      <c r="K108" s="32">
        <f>IF(C108-Table_146345781116234452606876[Sudan]&gt;0, C108-Table_146345781116234452606876[Sudan], 0)</f>
        <v>0</v>
      </c>
      <c r="L108" s="32">
        <f>IF(C108-Table_146345781116234452606876[S. Sudan]&gt;0, C108-Table_146345781116234452606876[S. Sudan], 0)</f>
        <v>315.14126298829314</v>
      </c>
      <c r="M108" s="32">
        <f>IF(C108-Table_146345781116234452606876[Tanzania]&gt;0, C108-Table_146345781116234452606876[Tanzania], 0)</f>
        <v>0</v>
      </c>
      <c r="N108" s="32">
        <f>IF(C108-Table_146345781116234452606876[Uganda]&gt;0, C108-Table_146345781116234452606876[Uganda], 0)</f>
        <v>0</v>
      </c>
      <c r="Y108" s="186"/>
    </row>
    <row r="109" spans="2:31" ht="12.75" customHeight="1" x14ac:dyDescent="0.25"/>
    <row r="110" spans="2:31" ht="12.75" customHeight="1" x14ac:dyDescent="0.25"/>
    <row r="111" spans="2:31" ht="12.75" customHeight="1" x14ac:dyDescent="0.25">
      <c r="B111" s="5"/>
      <c r="C111" s="5"/>
      <c r="D111" s="5"/>
      <c r="E111" s="5"/>
      <c r="F111" s="5"/>
      <c r="G111" s="5"/>
      <c r="H111" s="5"/>
      <c r="I111" s="5"/>
      <c r="J111" s="5"/>
      <c r="K111" s="5"/>
      <c r="L111" s="5"/>
      <c r="M111" s="5"/>
      <c r="N111" s="5"/>
    </row>
    <row r="112" spans="2:31" ht="12.75" customHeight="1" x14ac:dyDescent="0.25">
      <c r="B112" s="5"/>
      <c r="C112" s="5"/>
      <c r="D112" s="5"/>
      <c r="E112" s="5"/>
      <c r="F112" s="5"/>
      <c r="G112" s="5"/>
      <c r="H112" s="5"/>
      <c r="I112" s="5"/>
      <c r="J112" s="5"/>
      <c r="K112" s="5"/>
      <c r="L112" s="5"/>
      <c r="M112" s="5"/>
      <c r="N112" s="5"/>
      <c r="P112" s="5"/>
      <c r="Q112" s="5"/>
      <c r="R112" s="5"/>
      <c r="S112" s="5"/>
      <c r="T112" s="5"/>
      <c r="U112" s="5"/>
      <c r="V112" s="5"/>
      <c r="W112" s="5"/>
      <c r="X112" s="5"/>
      <c r="Y112" s="5"/>
      <c r="Z112" s="5"/>
      <c r="AA112" s="5"/>
    </row>
    <row r="113" spans="2:31" ht="12.75" customHeight="1" thickBot="1" x14ac:dyDescent="0.3">
      <c r="B113" s="253" t="s">
        <v>86</v>
      </c>
      <c r="C113" s="253"/>
      <c r="D113" s="253"/>
      <c r="E113" s="253"/>
      <c r="F113" s="253"/>
      <c r="G113" s="253"/>
      <c r="H113" s="253"/>
      <c r="I113" s="253"/>
      <c r="J113" s="253"/>
      <c r="K113" s="253"/>
      <c r="L113" s="253"/>
      <c r="M113" s="253"/>
      <c r="N113" s="253"/>
      <c r="P113" s="253" t="s">
        <v>88</v>
      </c>
      <c r="Q113" s="253"/>
      <c r="R113" s="253"/>
      <c r="S113" s="253"/>
      <c r="T113" s="253"/>
      <c r="U113" s="253"/>
      <c r="V113" s="253"/>
      <c r="W113" s="253"/>
      <c r="X113" s="253"/>
      <c r="Y113" s="253"/>
      <c r="Z113" s="253"/>
      <c r="AA113" s="253"/>
      <c r="AB113" s="10"/>
      <c r="AC113" s="3" t="s">
        <v>22</v>
      </c>
      <c r="AD113" s="13" t="s">
        <v>23</v>
      </c>
      <c r="AE113" s="74">
        <f t="array" ref="AE113">MIN(IF(D116:N126&gt;0,D116:N126))</f>
        <v>1.9366815083533702</v>
      </c>
    </row>
    <row r="114" spans="2:31" ht="12.75" customHeight="1" thickBot="1" x14ac:dyDescent="0.3">
      <c r="B114" s="75" t="s">
        <v>13</v>
      </c>
      <c r="C114" s="66" t="s">
        <v>14</v>
      </c>
      <c r="D114" s="67" t="s">
        <v>1</v>
      </c>
      <c r="E114" s="67" t="s">
        <v>195</v>
      </c>
      <c r="F114" s="67" t="s">
        <v>2</v>
      </c>
      <c r="G114" s="67" t="s">
        <v>3</v>
      </c>
      <c r="H114" s="67" t="s">
        <v>4</v>
      </c>
      <c r="I114" s="67" t="s">
        <v>5</v>
      </c>
      <c r="J114" s="67" t="s">
        <v>6</v>
      </c>
      <c r="K114" s="67" t="s">
        <v>7</v>
      </c>
      <c r="L114" s="67" t="s">
        <v>295</v>
      </c>
      <c r="M114" s="67" t="s">
        <v>9</v>
      </c>
      <c r="N114" s="67" t="s">
        <v>10</v>
      </c>
      <c r="P114" s="76" t="s">
        <v>19</v>
      </c>
      <c r="Q114" s="77" t="s">
        <v>1</v>
      </c>
      <c r="R114" s="77" t="s">
        <v>195</v>
      </c>
      <c r="S114" s="77" t="s">
        <v>2</v>
      </c>
      <c r="T114" s="77" t="s">
        <v>3</v>
      </c>
      <c r="U114" s="77" t="s">
        <v>4</v>
      </c>
      <c r="V114" s="77" t="s">
        <v>5</v>
      </c>
      <c r="W114" s="77" t="s">
        <v>6</v>
      </c>
      <c r="X114" s="77" t="s">
        <v>7</v>
      </c>
      <c r="Y114" s="77" t="s">
        <v>295</v>
      </c>
      <c r="Z114" s="77" t="s">
        <v>9</v>
      </c>
      <c r="AA114" s="77" t="s">
        <v>10</v>
      </c>
      <c r="AB114" s="254" t="s">
        <v>26</v>
      </c>
      <c r="AC114" s="254"/>
      <c r="AD114" s="13" t="s">
        <v>24</v>
      </c>
      <c r="AE114" s="20">
        <f>MAX(D116:N126)</f>
        <v>377.84895338114359</v>
      </c>
    </row>
    <row r="115" spans="2:31" ht="12.75" customHeight="1" x14ac:dyDescent="0.25">
      <c r="B115" s="93"/>
      <c r="C115" s="94" t="s">
        <v>263</v>
      </c>
      <c r="D115" s="95">
        <f>C116</f>
        <v>-3.8346984672760556</v>
      </c>
      <c r="E115" s="95">
        <f>C117</f>
        <v>3.9728660454237081</v>
      </c>
      <c r="F115" s="95">
        <f>C118</f>
        <v>327.32968091907202</v>
      </c>
      <c r="G115" s="95">
        <f>C119</f>
        <v>1.0274041755657497</v>
      </c>
      <c r="H115" s="95">
        <f>C120</f>
        <v>-50.519272462071541</v>
      </c>
      <c r="I115" s="95">
        <f>C121</f>
        <v>-20.162216946239166</v>
      </c>
      <c r="J115" s="95">
        <f>C122</f>
        <v>-0.90927733278762046</v>
      </c>
      <c r="K115" s="95">
        <f>C123</f>
        <v>299.65584925157799</v>
      </c>
      <c r="L115" s="95">
        <f>C124</f>
        <v>10.468507913800099</v>
      </c>
      <c r="M115" s="95">
        <f>C125</f>
        <v>-42.048037391484698</v>
      </c>
      <c r="N115" s="95">
        <f>C126</f>
        <v>-33.22689035835316</v>
      </c>
      <c r="P115" s="21" t="s">
        <v>1</v>
      </c>
      <c r="Q115" s="97">
        <f>$AE$115+(D116-$AE$113)*($AE$116-$AE$115)/($AE$114-$AE$113)</f>
        <v>-4.1467987921919719E-3</v>
      </c>
      <c r="R115" s="97">
        <f t="shared" ref="R115:AA125" si="11">$AE$115+(E116-$AE$113)*($AE$116-$AE$115)/($AE$114-$AE$113)</f>
        <v>-4.1467987921919719E-3</v>
      </c>
      <c r="S115" s="97">
        <f t="shared" si="11"/>
        <v>-4.1467987921919719E-3</v>
      </c>
      <c r="T115" s="97">
        <f t="shared" si="11"/>
        <v>-4.1467987921919719E-3</v>
      </c>
      <c r="U115" s="97">
        <f t="shared" si="11"/>
        <v>0.11991908814587289</v>
      </c>
      <c r="V115" s="97">
        <f t="shared" si="11"/>
        <v>3.9244152184805932E-2</v>
      </c>
      <c r="W115" s="97">
        <f t="shared" si="11"/>
        <v>-4.1467987921919719E-3</v>
      </c>
      <c r="X115" s="97">
        <f t="shared" si="11"/>
        <v>-4.1467987921919719E-3</v>
      </c>
      <c r="Y115" s="97">
        <f t="shared" si="11"/>
        <v>-4.1467987921919719E-3</v>
      </c>
      <c r="Z115" s="97">
        <f t="shared" si="11"/>
        <v>9.7406484890451422E-2</v>
      </c>
      <c r="AA115" s="97">
        <f t="shared" si="11"/>
        <v>7.3963978365736205E-2</v>
      </c>
      <c r="AD115" s="3" t="s">
        <v>25</v>
      </c>
      <c r="AE115" s="2">
        <v>1E-3</v>
      </c>
    </row>
    <row r="116" spans="2:31" ht="12.75" customHeight="1" x14ac:dyDescent="0.25">
      <c r="B116" s="21" t="s">
        <v>1</v>
      </c>
      <c r="C116" s="95">
        <f>Annual_sorted!H116:H126</f>
        <v>-3.8346984672760556</v>
      </c>
      <c r="D116" s="29">
        <f>IF(C116-Table_1463457811217224351596775[Burundi]&gt;0, C116-Table_1463457811217224351596775[Burundi], 0)</f>
        <v>0</v>
      </c>
      <c r="E116" s="29">
        <f>IF(C116-Table_1463457811217224351596775[DRC]&gt;0, C116-Table_1463457811217224351596775[DRC], 0)</f>
        <v>0</v>
      </c>
      <c r="F116" s="29">
        <f>IF(C116-Table_1463457811217224351596775[Egypt]&gt;0, C116-Table_1463457811217224351596775[Egypt], 0)</f>
        <v>0</v>
      </c>
      <c r="G116" s="29">
        <f>IF(C116-Table_1463457811217224351596775[Eritrea]&gt;0, C116-Table_1463457811217224351596775[Eritrea], 0)</f>
        <v>0</v>
      </c>
      <c r="H116" s="29">
        <f>IF(C116-Table_1463457811217224351596775[Ethiopia]&gt;0, C116-Table_1463457811217224351596775[Ethiopia], 0)</f>
        <v>46.684573994795485</v>
      </c>
      <c r="I116" s="29">
        <f>IF(C116-Table_1463457811217224351596775[Kenya]&gt;0, C116-Table_1463457811217224351596775[Kenya], 0)</f>
        <v>16.32751847896311</v>
      </c>
      <c r="J116" s="29">
        <f>IF(C116-Table_1463457811217224351596775[Rwanda]&gt;0, C116-Table_1463457811217224351596775[Rwanda], 0)</f>
        <v>0</v>
      </c>
      <c r="K116" s="29">
        <f>IF(C116-Table_1463457811217224351596775[Sudan]&gt;0, C116-Table_1463457811217224351596775[Sudan], 0)</f>
        <v>0</v>
      </c>
      <c r="L116" s="29">
        <f>IF(C116-Table_1463457811217224351596775[S. Sudan]&gt;0, C116-Table_1463457811217224351596775[S. Sudan], 0)</f>
        <v>0</v>
      </c>
      <c r="M116" s="29">
        <f>IF(C116-Table_1463457811217224351596775[Tanzania]&gt;0, C116-Table_1463457811217224351596775[Tanzania], 0)</f>
        <v>38.213338924208642</v>
      </c>
      <c r="N116" s="29">
        <f>IF(C116-Table_1463457811217224351596775[Uganda]&gt;0, C116-Table_1463457811217224351596775[Uganda], 0)</f>
        <v>29.392191891077104</v>
      </c>
      <c r="P116" s="21" t="s">
        <v>195</v>
      </c>
      <c r="Q116" s="97">
        <f t="shared" ref="Q116:Q125" si="12">$AE$115+(D117-$AE$113)*($AE$116-$AE$115)/($AE$114-$AE$113)</f>
        <v>1.6602076761481156E-2</v>
      </c>
      <c r="R116" s="97">
        <f t="shared" si="11"/>
        <v>-4.1467987921919719E-3</v>
      </c>
      <c r="S116" s="97">
        <f t="shared" si="11"/>
        <v>-4.1467987921919719E-3</v>
      </c>
      <c r="T116" s="97">
        <f t="shared" si="11"/>
        <v>3.6808690658657627E-3</v>
      </c>
      <c r="U116" s="97">
        <f t="shared" si="11"/>
        <v>0.14066796369954601</v>
      </c>
      <c r="V116" s="97">
        <f t="shared" si="11"/>
        <v>5.999302773847906E-2</v>
      </c>
      <c r="W116" s="97">
        <f t="shared" si="11"/>
        <v>8.8276678580577334E-3</v>
      </c>
      <c r="X116" s="97">
        <f t="shared" si="11"/>
        <v>-4.1467987921919719E-3</v>
      </c>
      <c r="Y116" s="97">
        <f t="shared" si="11"/>
        <v>-4.1467987921919719E-3</v>
      </c>
      <c r="Z116" s="97">
        <f t="shared" si="11"/>
        <v>0.11815536044412456</v>
      </c>
      <c r="AA116" s="97">
        <f t="shared" si="11"/>
        <v>9.471285391940934E-2</v>
      </c>
      <c r="AD116" s="3" t="s">
        <v>70</v>
      </c>
      <c r="AE116" s="2">
        <v>1</v>
      </c>
    </row>
    <row r="117" spans="2:31" ht="12.75" customHeight="1" x14ac:dyDescent="0.25">
      <c r="B117" s="21" t="s">
        <v>195</v>
      </c>
      <c r="C117" s="95">
        <f>Annual_sorted!H117:H127</f>
        <v>3.9728660454237081</v>
      </c>
      <c r="D117" s="29">
        <f>IF(C117-Table_1463457811217224351596775[Burundi]&gt;0, C117-Table_1463457811217224351596775[Burundi], 0)</f>
        <v>7.8075645126997637</v>
      </c>
      <c r="E117" s="29">
        <f>IF(C117-Table_1463457811217224351596775[DRC]&gt;0, C117-Table_1463457811217224351596775[DRC], 0)</f>
        <v>0</v>
      </c>
      <c r="F117" s="29">
        <f>IF(C117-Table_1463457811217224351596775[Egypt]&gt;0, C117-Table_1463457811217224351596775[Egypt], 0)</f>
        <v>0</v>
      </c>
      <c r="G117" s="29">
        <f>IF(C117-Table_1463457811217224351596775[Eritrea]&gt;0, C117-Table_1463457811217224351596775[Eritrea], 0)</f>
        <v>2.9454618698579584</v>
      </c>
      <c r="H117" s="29">
        <f>IF(C117-Table_1463457811217224351596775[Ethiopia]&gt;0, C117-Table_1463457811217224351596775[Ethiopia], 0)</f>
        <v>54.492138507495248</v>
      </c>
      <c r="I117" s="29">
        <f>IF(C117-Table_1463457811217224351596775[Kenya]&gt;0, C117-Table_1463457811217224351596775[Kenya], 0)</f>
        <v>24.135082991662873</v>
      </c>
      <c r="J117" s="29">
        <f>IF(C117-Table_1463457811217224351596775[Rwanda]&gt;0, C117-Table_1463457811217224351596775[Rwanda], 0)</f>
        <v>4.8821433782113282</v>
      </c>
      <c r="K117" s="29">
        <f>IF(C117-Table_1463457811217224351596775[Sudan]&gt;0, C117-Table_1463457811217224351596775[Sudan], 0)</f>
        <v>0</v>
      </c>
      <c r="L117" s="29">
        <f>IF(C117-Table_1463457811217224351596775[S. Sudan]&gt;0, C117-Table_1463457811217224351596775[S. Sudan], 0)</f>
        <v>0</v>
      </c>
      <c r="M117" s="29">
        <f>IF(C117-Table_1463457811217224351596775[Tanzania]&gt;0, C117-Table_1463457811217224351596775[Tanzania], 0)</f>
        <v>46.020903436908405</v>
      </c>
      <c r="N117" s="29">
        <f>IF(C117-Table_1463457811217224351596775[Uganda]&gt;0, C117-Table_1463457811217224351596775[Uganda], 0)</f>
        <v>37.199756403776867</v>
      </c>
      <c r="P117" s="21" t="s">
        <v>2</v>
      </c>
      <c r="Q117" s="97">
        <f t="shared" si="12"/>
        <v>0.87593411306193514</v>
      </c>
      <c r="R117" s="97">
        <f t="shared" si="11"/>
        <v>0.85518523750826203</v>
      </c>
      <c r="S117" s="97">
        <f t="shared" si="11"/>
        <v>-4.1467987921919719E-3</v>
      </c>
      <c r="T117" s="97">
        <f t="shared" si="11"/>
        <v>0.86301290536631947</v>
      </c>
      <c r="U117" s="97">
        <f t="shared" si="11"/>
        <v>1</v>
      </c>
      <c r="V117" s="97">
        <f t="shared" si="11"/>
        <v>0.91932506403893288</v>
      </c>
      <c r="W117" s="97">
        <f t="shared" si="11"/>
        <v>0.86815970415851162</v>
      </c>
      <c r="X117" s="97">
        <f t="shared" si="11"/>
        <v>6.9397376017780912E-2</v>
      </c>
      <c r="Y117" s="97">
        <f t="shared" si="11"/>
        <v>0.83792284223135538</v>
      </c>
      <c r="Z117" s="97">
        <f t="shared" si="11"/>
        <v>0.97748739674457852</v>
      </c>
      <c r="AA117" s="97">
        <f t="shared" si="11"/>
        <v>0.95404489021986327</v>
      </c>
    </row>
    <row r="118" spans="2:31" ht="12.75" customHeight="1" x14ac:dyDescent="0.25">
      <c r="B118" s="21" t="s">
        <v>2</v>
      </c>
      <c r="C118" s="95">
        <f>Annual_sorted!H118:H128</f>
        <v>327.32968091907202</v>
      </c>
      <c r="D118" s="29">
        <f>IF(C118-Table_1463457811217224351596775[Burundi]&gt;0, C118-Table_1463457811217224351596775[Burundi], 0)</f>
        <v>331.16437938634806</v>
      </c>
      <c r="E118" s="29">
        <f>IF(C118-Table_1463457811217224351596775[DRC]&gt;0, C118-Table_1463457811217224351596775[DRC], 0)</f>
        <v>323.35681487364832</v>
      </c>
      <c r="F118" s="29">
        <f>IF(C118-Table_1463457811217224351596775[Egypt]&gt;0, C118-Table_1463457811217224351596775[Egypt], 0)</f>
        <v>0</v>
      </c>
      <c r="G118" s="29">
        <f>IF(C118-Table_1463457811217224351596775[Eritrea]&gt;0, C118-Table_1463457811217224351596775[Eritrea], 0)</f>
        <v>326.30227674350624</v>
      </c>
      <c r="H118" s="29">
        <f>IF(C118-Table_1463457811217224351596775[Ethiopia]&gt;0, C118-Table_1463457811217224351596775[Ethiopia], 0)</f>
        <v>377.84895338114359</v>
      </c>
      <c r="I118" s="29">
        <f>IF(C118-Table_1463457811217224351596775[Kenya]&gt;0, C118-Table_1463457811217224351596775[Kenya], 0)</f>
        <v>347.49189786531116</v>
      </c>
      <c r="J118" s="29">
        <f>IF(C118-Table_1463457811217224351596775[Rwanda]&gt;0, C118-Table_1463457811217224351596775[Rwanda], 0)</f>
        <v>328.23895825185963</v>
      </c>
      <c r="K118" s="29">
        <f>IF(C118-Table_1463457811217224351596775[Sudan]&gt;0, C118-Table_1463457811217224351596775[Sudan], 0)</f>
        <v>27.673831667494028</v>
      </c>
      <c r="L118" s="29">
        <f>IF(C118-Table_1463457811217224351596775[S. Sudan]&gt;0, C118-Table_1463457811217224351596775[S. Sudan], 0)</f>
        <v>316.86117300527189</v>
      </c>
      <c r="M118" s="29">
        <f>IF(C118-Table_1463457811217224351596775[Tanzania]&gt;0, C118-Table_1463457811217224351596775[Tanzania], 0)</f>
        <v>369.3777183105567</v>
      </c>
      <c r="N118" s="29">
        <f>IF(C118-Table_1463457811217224351596775[Uganda]&gt;0, C118-Table_1463457811217224351596775[Uganda], 0)</f>
        <v>360.55657127742518</v>
      </c>
      <c r="P118" s="21" t="s">
        <v>3</v>
      </c>
      <c r="Q118" s="97">
        <f t="shared" si="12"/>
        <v>8.774408903423422E-3</v>
      </c>
      <c r="R118" s="97">
        <f t="shared" si="11"/>
        <v>-4.1467987921919719E-3</v>
      </c>
      <c r="S118" s="97">
        <f t="shared" si="11"/>
        <v>-4.1467987921919719E-3</v>
      </c>
      <c r="T118" s="97">
        <f t="shared" si="11"/>
        <v>-4.1467987921919719E-3</v>
      </c>
      <c r="U118" s="97">
        <f t="shared" si="11"/>
        <v>0.13284029584148829</v>
      </c>
      <c r="V118" s="97">
        <f t="shared" si="11"/>
        <v>5.2165359880421328E-2</v>
      </c>
      <c r="W118" s="97">
        <f t="shared" si="11"/>
        <v>1E-3</v>
      </c>
      <c r="X118" s="97">
        <f t="shared" si="11"/>
        <v>-4.1467987921919719E-3</v>
      </c>
      <c r="Y118" s="97">
        <f t="shared" si="11"/>
        <v>-4.1467987921919719E-3</v>
      </c>
      <c r="Z118" s="97">
        <f t="shared" si="11"/>
        <v>0.1103276925860668</v>
      </c>
      <c r="AA118" s="97">
        <f t="shared" si="11"/>
        <v>8.688518606135158E-2</v>
      </c>
    </row>
    <row r="119" spans="2:31" ht="12.75" customHeight="1" x14ac:dyDescent="0.25">
      <c r="B119" s="21" t="s">
        <v>3</v>
      </c>
      <c r="C119" s="95">
        <f>Annual_sorted!H119:H129</f>
        <v>1.0274041755657497</v>
      </c>
      <c r="D119" s="29">
        <f>IF(C119-Table_1463457811217224351596775[Burundi]&gt;0, C119-Table_1463457811217224351596775[Burundi], 0)</f>
        <v>4.8621026428418048</v>
      </c>
      <c r="E119" s="29">
        <f>IF(C119-Table_1463457811217224351596775[DRC]&gt;0, C119-Table_1463457811217224351596775[DRC], 0)</f>
        <v>0</v>
      </c>
      <c r="F119" s="29">
        <f>IF(C119-Table_1463457811217224351596775[Egypt]&gt;0, C119-Table_1463457811217224351596775[Egypt], 0)</f>
        <v>0</v>
      </c>
      <c r="G119" s="29">
        <f>IF(C119-Table_1463457811217224351596775[Eritrea]&gt;0, C119-Table_1463457811217224351596775[Eritrea], 0)</f>
        <v>0</v>
      </c>
      <c r="H119" s="29">
        <f>IF(C119-Table_1463457811217224351596775[Ethiopia]&gt;0, C119-Table_1463457811217224351596775[Ethiopia], 0)</f>
        <v>51.54667663763729</v>
      </c>
      <c r="I119" s="29">
        <f>IF(C119-Table_1463457811217224351596775[Kenya]&gt;0, C119-Table_1463457811217224351596775[Kenya], 0)</f>
        <v>21.189621121804915</v>
      </c>
      <c r="J119" s="29">
        <f>IF(C119-Table_1463457811217224351596775[Rwanda]&gt;0, C119-Table_1463457811217224351596775[Rwanda], 0)</f>
        <v>1.9366815083533702</v>
      </c>
      <c r="K119" s="29">
        <f>IF(C119-Table_1463457811217224351596775[Sudan]&gt;0, C119-Table_1463457811217224351596775[Sudan], 0)</f>
        <v>0</v>
      </c>
      <c r="L119" s="29">
        <f>IF(C119-Table_1463457811217224351596775[S. Sudan]&gt;0, C119-Table_1463457811217224351596775[S. Sudan], 0)</f>
        <v>0</v>
      </c>
      <c r="M119" s="29">
        <f>IF(C119-Table_1463457811217224351596775[Tanzania]&gt;0, C119-Table_1463457811217224351596775[Tanzania], 0)</f>
        <v>43.075441567050447</v>
      </c>
      <c r="N119" s="29">
        <f>IF(C119-Table_1463457811217224351596775[Uganda]&gt;0, C119-Table_1463457811217224351596775[Uganda], 0)</f>
        <v>34.254294533918909</v>
      </c>
      <c r="P119" s="21" t="s">
        <v>4</v>
      </c>
      <c r="Q119" s="97">
        <f t="shared" si="12"/>
        <v>-4.1467987921919719E-3</v>
      </c>
      <c r="R119" s="97">
        <f t="shared" si="11"/>
        <v>-4.1467987921919719E-3</v>
      </c>
      <c r="S119" s="97">
        <f t="shared" si="11"/>
        <v>-4.1467987921919719E-3</v>
      </c>
      <c r="T119" s="97">
        <f t="shared" si="11"/>
        <v>-4.1467987921919719E-3</v>
      </c>
      <c r="U119" s="97">
        <f t="shared" si="11"/>
        <v>-4.1467987921919719E-3</v>
      </c>
      <c r="V119" s="97">
        <f t="shared" si="11"/>
        <v>-4.1467987921919719E-3</v>
      </c>
      <c r="W119" s="97">
        <f t="shared" si="11"/>
        <v>-4.1467987921919719E-3</v>
      </c>
      <c r="X119" s="97">
        <f t="shared" si="11"/>
        <v>-4.1467987921919719E-3</v>
      </c>
      <c r="Y119" s="97">
        <f t="shared" si="11"/>
        <v>-4.1467987921919719E-3</v>
      </c>
      <c r="Z119" s="97">
        <f t="shared" si="11"/>
        <v>-4.1467987921919719E-3</v>
      </c>
      <c r="AA119" s="97">
        <f t="shared" si="11"/>
        <v>-4.1467987921919719E-3</v>
      </c>
    </row>
    <row r="120" spans="2:31" ht="12.75" customHeight="1" x14ac:dyDescent="0.25">
      <c r="B120" s="21" t="s">
        <v>4</v>
      </c>
      <c r="C120" s="95">
        <f>Annual_sorted!H120:H130</f>
        <v>-50.519272462071541</v>
      </c>
      <c r="D120" s="29">
        <f>IF(C120-Table_1463457811217224351596775[Burundi]&gt;0, C120-Table_1463457811217224351596775[Burundi], 0)</f>
        <v>0</v>
      </c>
      <c r="E120" s="29">
        <f>IF(C120-Table_1463457811217224351596775[DRC]&gt;0, C120-Table_1463457811217224351596775[DRC], 0)</f>
        <v>0</v>
      </c>
      <c r="F120" s="29">
        <f>IF(C120-Table_1463457811217224351596775[Egypt]&gt;0, C120-Table_1463457811217224351596775[Egypt], 0)</f>
        <v>0</v>
      </c>
      <c r="G120" s="29">
        <f>IF(C120-Table_1463457811217224351596775[Eritrea]&gt;0, C120-Table_1463457811217224351596775[Eritrea], 0)</f>
        <v>0</v>
      </c>
      <c r="H120" s="29">
        <f>IF(C120-Table_1463457811217224351596775[Ethiopia]&gt;0, C120-Table_1463457811217224351596775[Ethiopia], 0)</f>
        <v>0</v>
      </c>
      <c r="I120" s="29">
        <f>IF(C120-Table_1463457811217224351596775[Kenya]&gt;0, C120-Table_1463457811217224351596775[Kenya], 0)</f>
        <v>0</v>
      </c>
      <c r="J120" s="29">
        <f>IF(C120-Table_1463457811217224351596775[Rwanda]&gt;0, C120-Table_1463457811217224351596775[Rwanda], 0)</f>
        <v>0</v>
      </c>
      <c r="K120" s="29">
        <f>IF(C120-Table_1463457811217224351596775[Sudan]&gt;0, C120-Table_1463457811217224351596775[Sudan], 0)</f>
        <v>0</v>
      </c>
      <c r="L120" s="29">
        <f>IF(C120-Table_1463457811217224351596775[S. Sudan]&gt;0, C120-Table_1463457811217224351596775[S. Sudan], 0)</f>
        <v>0</v>
      </c>
      <c r="M120" s="29">
        <f>IF(C120-Table_1463457811217224351596775[Tanzania]&gt;0, C120-Table_1463457811217224351596775[Tanzania], 0)</f>
        <v>0</v>
      </c>
      <c r="N120" s="29">
        <f>IF(C120-Table_1463457811217224351596775[Uganda]&gt;0, C120-Table_1463457811217224351596775[Uganda], 0)</f>
        <v>0</v>
      </c>
      <c r="P120" s="21" t="s">
        <v>5</v>
      </c>
      <c r="Q120" s="97">
        <f t="shared" si="12"/>
        <v>-4.1467987921919719E-3</v>
      </c>
      <c r="R120" s="97">
        <f t="shared" si="11"/>
        <v>-4.1467987921919719E-3</v>
      </c>
      <c r="S120" s="97">
        <f t="shared" si="11"/>
        <v>-4.1467987921919719E-3</v>
      </c>
      <c r="T120" s="97">
        <f t="shared" si="11"/>
        <v>-4.1467987921919719E-3</v>
      </c>
      <c r="U120" s="97">
        <f t="shared" si="11"/>
        <v>7.6528137168874993E-2</v>
      </c>
      <c r="V120" s="97">
        <f t="shared" si="11"/>
        <v>-4.1467987921919719E-3</v>
      </c>
      <c r="W120" s="97">
        <f t="shared" si="11"/>
        <v>-4.1467987921919719E-3</v>
      </c>
      <c r="X120" s="97">
        <f t="shared" si="11"/>
        <v>-4.1467987921919719E-3</v>
      </c>
      <c r="Y120" s="97">
        <f t="shared" si="11"/>
        <v>-4.1467987921919719E-3</v>
      </c>
      <c r="Z120" s="97">
        <f t="shared" si="11"/>
        <v>5.4015533913453526E-2</v>
      </c>
      <c r="AA120" s="97">
        <f t="shared" si="11"/>
        <v>3.0573027388738301E-2</v>
      </c>
    </row>
    <row r="121" spans="2:31" ht="12.75" customHeight="1" x14ac:dyDescent="0.25">
      <c r="B121" s="21" t="s">
        <v>5</v>
      </c>
      <c r="C121" s="95">
        <f>Annual_sorted!H121:H131</f>
        <v>-20.162216946239166</v>
      </c>
      <c r="D121" s="29">
        <f>IF(C121-Table_1463457811217224351596775[Burundi]&gt;0, C121-Table_1463457811217224351596775[Burundi], 0)</f>
        <v>0</v>
      </c>
      <c r="E121" s="29">
        <f>IF(C121-Table_1463457811217224351596775[DRC]&gt;0, C121-Table_1463457811217224351596775[DRC], 0)</f>
        <v>0</v>
      </c>
      <c r="F121" s="29">
        <f>IF(C121-Table_1463457811217224351596775[Egypt]&gt;0, C121-Table_1463457811217224351596775[Egypt], 0)</f>
        <v>0</v>
      </c>
      <c r="G121" s="29">
        <f>IF(C121-Table_1463457811217224351596775[Eritrea]&gt;0, C121-Table_1463457811217224351596775[Eritrea], 0)</f>
        <v>0</v>
      </c>
      <c r="H121" s="29">
        <f>IF(C121-Table_1463457811217224351596775[Ethiopia]&gt;0, C121-Table_1463457811217224351596775[Ethiopia], 0)</f>
        <v>30.357055515832375</v>
      </c>
      <c r="I121" s="29">
        <f>IF(C121-Table_1463457811217224351596775[Kenya]&gt;0, C121-Table_1463457811217224351596775[Kenya], 0)</f>
        <v>0</v>
      </c>
      <c r="J121" s="29">
        <f>IF(C121-Table_1463457811217224351596775[Rwanda]&gt;0, C121-Table_1463457811217224351596775[Rwanda], 0)</f>
        <v>0</v>
      </c>
      <c r="K121" s="29">
        <f>IF(C121-Table_1463457811217224351596775[Sudan]&gt;0, C121-Table_1463457811217224351596775[Sudan], 0)</f>
        <v>0</v>
      </c>
      <c r="L121" s="29">
        <f>IF(C121-Table_1463457811217224351596775[S. Sudan]&gt;0, C121-Table_1463457811217224351596775[S. Sudan], 0)</f>
        <v>0</v>
      </c>
      <c r="M121" s="29">
        <f>IF(C121-Table_1463457811217224351596775[Tanzania]&gt;0, C121-Table_1463457811217224351596775[Tanzania], 0)</f>
        <v>21.885820445245532</v>
      </c>
      <c r="N121" s="29">
        <f>IF(C121-Table_1463457811217224351596775[Uganda]&gt;0, C121-Table_1463457811217224351596775[Uganda], 0)</f>
        <v>13.064673412113994</v>
      </c>
      <c r="P121" s="21" t="s">
        <v>6</v>
      </c>
      <c r="Q121" s="97">
        <f t="shared" si="12"/>
        <v>3.6276101112314514E-3</v>
      </c>
      <c r="R121" s="97">
        <f t="shared" si="11"/>
        <v>-4.1467987921919719E-3</v>
      </c>
      <c r="S121" s="97">
        <f t="shared" si="11"/>
        <v>-4.1467987921919719E-3</v>
      </c>
      <c r="T121" s="97">
        <f t="shared" si="11"/>
        <v>-4.1467987921919719E-3</v>
      </c>
      <c r="U121" s="97">
        <f t="shared" si="11"/>
        <v>0.12769349704929633</v>
      </c>
      <c r="V121" s="97">
        <f t="shared" si="11"/>
        <v>4.7018561088229355E-2</v>
      </c>
      <c r="W121" s="97">
        <f t="shared" si="11"/>
        <v>-4.1467987921919719E-3</v>
      </c>
      <c r="X121" s="97">
        <f t="shared" si="11"/>
        <v>-4.1467987921919719E-3</v>
      </c>
      <c r="Y121" s="97">
        <f t="shared" si="11"/>
        <v>-4.1467987921919719E-3</v>
      </c>
      <c r="Z121" s="97">
        <f t="shared" si="11"/>
        <v>0.10518089379387487</v>
      </c>
      <c r="AA121" s="97">
        <f t="shared" si="11"/>
        <v>8.1738387269159635E-2</v>
      </c>
    </row>
    <row r="122" spans="2:31" ht="12.75" customHeight="1" x14ac:dyDescent="0.25">
      <c r="B122" s="21" t="s">
        <v>6</v>
      </c>
      <c r="C122" s="95">
        <f>Annual_sorted!H122:H132</f>
        <v>-0.90927733278762046</v>
      </c>
      <c r="D122" s="29">
        <f>IF(C122-Table_1463457811217224351596775[Burundi]&gt;0, C122-Table_1463457811217224351596775[Burundi], 0)</f>
        <v>2.9254211344884351</v>
      </c>
      <c r="E122" s="29">
        <f>IF(C122-Table_1463457811217224351596775[DRC]&gt;0, C122-Table_1463457811217224351596775[DRC], 0)</f>
        <v>0</v>
      </c>
      <c r="F122" s="29">
        <f>IF(C122-Table_1463457811217224351596775[Egypt]&gt;0, C122-Table_1463457811217224351596775[Egypt], 0)</f>
        <v>0</v>
      </c>
      <c r="G122" s="29">
        <f>IF(C122-Table_1463457811217224351596775[Eritrea]&gt;0, C122-Table_1463457811217224351596775[Eritrea], 0)</f>
        <v>0</v>
      </c>
      <c r="H122" s="29">
        <f>IF(C122-Table_1463457811217224351596775[Ethiopia]&gt;0, C122-Table_1463457811217224351596775[Ethiopia], 0)</f>
        <v>49.609995129283924</v>
      </c>
      <c r="I122" s="29">
        <f>IF(C122-Table_1463457811217224351596775[Kenya]&gt;0, C122-Table_1463457811217224351596775[Kenya], 0)</f>
        <v>19.252939613451545</v>
      </c>
      <c r="J122" s="29">
        <f>IF(C122-Table_1463457811217224351596775[Rwanda]&gt;0, C122-Table_1463457811217224351596775[Rwanda], 0)</f>
        <v>0</v>
      </c>
      <c r="K122" s="29">
        <f>IF(C122-Table_1463457811217224351596775[Sudan]&gt;0, C122-Table_1463457811217224351596775[Sudan], 0)</f>
        <v>0</v>
      </c>
      <c r="L122" s="29">
        <f>IF(C122-Table_1463457811217224351596775[S. Sudan]&gt;0, C122-Table_1463457811217224351596775[S. Sudan], 0)</f>
        <v>0</v>
      </c>
      <c r="M122" s="29">
        <f>IF(C122-Table_1463457811217224351596775[Tanzania]&gt;0, C122-Table_1463457811217224351596775[Tanzania], 0)</f>
        <v>41.138760058697081</v>
      </c>
      <c r="N122" s="29">
        <f>IF(C122-Table_1463457811217224351596775[Uganda]&gt;0, C122-Table_1463457811217224351596775[Uganda], 0)</f>
        <v>32.317613025565542</v>
      </c>
      <c r="P122" s="21" t="s">
        <v>7</v>
      </c>
      <c r="Q122" s="97">
        <f t="shared" si="12"/>
        <v>0.80238993825196214</v>
      </c>
      <c r="R122" s="97">
        <f t="shared" si="11"/>
        <v>0.78164106269828904</v>
      </c>
      <c r="S122" s="97">
        <f t="shared" si="11"/>
        <v>-4.1467987921919719E-3</v>
      </c>
      <c r="T122" s="97">
        <f t="shared" si="11"/>
        <v>0.7894687305563467</v>
      </c>
      <c r="U122" s="97">
        <f t="shared" si="11"/>
        <v>0.92645582519002712</v>
      </c>
      <c r="V122" s="97">
        <f t="shared" si="11"/>
        <v>0.84578088922896</v>
      </c>
      <c r="W122" s="97">
        <f t="shared" si="11"/>
        <v>0.79461552934853874</v>
      </c>
      <c r="X122" s="97">
        <f t="shared" si="11"/>
        <v>-4.1467987921919719E-3</v>
      </c>
      <c r="Y122" s="97">
        <f>$AE$115+(L123-$AE$113)*($AE$116-$AE$115)/($AE$114-$AE$113)</f>
        <v>0.76437866742138261</v>
      </c>
      <c r="Z122" s="97">
        <f t="shared" si="11"/>
        <v>0.90394322193460552</v>
      </c>
      <c r="AA122" s="97">
        <f t="shared" si="11"/>
        <v>0.88050071540989039</v>
      </c>
    </row>
    <row r="123" spans="2:31" ht="12.75" customHeight="1" x14ac:dyDescent="0.25">
      <c r="B123" s="21" t="s">
        <v>7</v>
      </c>
      <c r="C123" s="95">
        <f>Annual_sorted!H123:H133</f>
        <v>299.65584925157799</v>
      </c>
      <c r="D123" s="29">
        <f>IF(C123-Table_1463457811217224351596775[Burundi]&gt;0, C123-Table_1463457811217224351596775[Burundi], 0)</f>
        <v>303.49054771885403</v>
      </c>
      <c r="E123" s="29">
        <f>IF(C123-Table_1463457811217224351596775[DRC]&gt;0, C123-Table_1463457811217224351596775[DRC], 0)</f>
        <v>295.68298320615429</v>
      </c>
      <c r="F123" s="29">
        <f>IF(C123-Table_1463457811217224351596775[Egypt]&gt;0, C123-Table_1463457811217224351596775[Egypt], 0)</f>
        <v>0</v>
      </c>
      <c r="G123" s="29">
        <f>IF(C123-Table_1463457811217224351596775[Eritrea]&gt;0, C123-Table_1463457811217224351596775[Eritrea], 0)</f>
        <v>298.62844507601221</v>
      </c>
      <c r="H123" s="29">
        <f>IF(C123-Table_1463457811217224351596775[Ethiopia]&gt;0, C123-Table_1463457811217224351596775[Ethiopia], 0)</f>
        <v>350.17512171364956</v>
      </c>
      <c r="I123" s="29">
        <f>IF(C123-Table_1463457811217224351596775[Kenya]&gt;0, C123-Table_1463457811217224351596775[Kenya], 0)</f>
        <v>319.81806619781713</v>
      </c>
      <c r="J123" s="29">
        <f>IF(C123-Table_1463457811217224351596775[Rwanda]&gt;0, C123-Table_1463457811217224351596775[Rwanda], 0)</f>
        <v>300.5651265843656</v>
      </c>
      <c r="K123" s="29">
        <f>IF(C123-Table_1463457811217224351596775[Sudan]&gt;0, C123-Table_1463457811217224351596775[Sudan], 0)</f>
        <v>0</v>
      </c>
      <c r="L123" s="29">
        <f>IF(C123-Table_1463457811217224351596775[S. Sudan]&gt;0, C123-Table_1463457811217224351596775[S. Sudan], 0)</f>
        <v>289.18734133777787</v>
      </c>
      <c r="M123" s="29">
        <f>IF(C123-Table_1463457811217224351596775[Tanzania]&gt;0, C123-Table_1463457811217224351596775[Tanzania], 0)</f>
        <v>341.70388664306267</v>
      </c>
      <c r="N123" s="29">
        <f>IF(C123-Table_1463457811217224351596775[Uganda]&gt;0, C123-Table_1463457811217224351596775[Uganda], 0)</f>
        <v>332.88273960993115</v>
      </c>
      <c r="P123" s="21" t="s">
        <v>8</v>
      </c>
      <c r="Q123" s="97">
        <f t="shared" si="12"/>
        <v>3.3864472038387577E-2</v>
      </c>
      <c r="R123" s="97">
        <f t="shared" si="11"/>
        <v>1.3115596484714446E-2</v>
      </c>
      <c r="S123" s="97">
        <f t="shared" si="11"/>
        <v>-4.1467987921919719E-3</v>
      </c>
      <c r="T123" s="97">
        <f t="shared" si="11"/>
        <v>2.0943264342772182E-2</v>
      </c>
      <c r="U123" s="97">
        <f t="shared" si="11"/>
        <v>0.15793035897645241</v>
      </c>
      <c r="V123" s="97">
        <f t="shared" si="11"/>
        <v>7.7255423015385488E-2</v>
      </c>
      <c r="W123" s="97">
        <f t="shared" si="11"/>
        <v>2.6090063134964155E-2</v>
      </c>
      <c r="X123" s="97">
        <f t="shared" si="11"/>
        <v>-4.1467987921919719E-3</v>
      </c>
      <c r="Y123" s="97">
        <f t="shared" si="11"/>
        <v>-4.1467987921919719E-3</v>
      </c>
      <c r="Z123" s="97">
        <f t="shared" si="11"/>
        <v>0.13541775572103096</v>
      </c>
      <c r="AA123" s="97">
        <f t="shared" si="11"/>
        <v>0.11197524919631573</v>
      </c>
    </row>
    <row r="124" spans="2:31" ht="12.75" customHeight="1" x14ac:dyDescent="0.25">
      <c r="B124" s="21" t="s">
        <v>8</v>
      </c>
      <c r="C124" s="95">
        <f>Annual_sorted!H124:H134</f>
        <v>10.468507913800099</v>
      </c>
      <c r="D124" s="29">
        <f>IF(C124-Table_1463457811217224351596775[Burundi]&gt;0, C124-Table_1463457811217224351596775[Burundi], 0)</f>
        <v>14.303206381076155</v>
      </c>
      <c r="E124" s="29">
        <f>IF(C124-Table_1463457811217224351596775[DRC]&gt;0, C124-Table_1463457811217224351596775[DRC], 0)</f>
        <v>6.4956418683763912</v>
      </c>
      <c r="F124" s="29">
        <f>IF(C124-Table_1463457811217224351596775[Egypt]&gt;0, C124-Table_1463457811217224351596775[Egypt], 0)</f>
        <v>0</v>
      </c>
      <c r="G124" s="29">
        <f>IF(C124-Table_1463457811217224351596775[Eritrea]&gt;0, C124-Table_1463457811217224351596775[Eritrea], 0)</f>
        <v>9.4411037382343501</v>
      </c>
      <c r="H124" s="29">
        <f>IF(C124-Table_1463457811217224351596775[Ethiopia]&gt;0, C124-Table_1463457811217224351596775[Ethiopia], 0)</f>
        <v>60.987780375871637</v>
      </c>
      <c r="I124" s="29">
        <f>IF(C124-Table_1463457811217224351596775[Kenya]&gt;0, C124-Table_1463457811217224351596775[Kenya], 0)</f>
        <v>30.630724860039265</v>
      </c>
      <c r="J124" s="29">
        <f>IF(C124-Table_1463457811217224351596775[Rwanda]&gt;0, C124-Table_1463457811217224351596775[Rwanda], 0)</f>
        <v>11.37778524658772</v>
      </c>
      <c r="K124" s="29">
        <f>IF(C124-Table_1463457811217224351596775[Sudan]&gt;0, C124-Table_1463457811217224351596775[Sudan], 0)</f>
        <v>0</v>
      </c>
      <c r="L124" s="29">
        <f>IF(C124-Table_1463457811217224351596775[S. Sudan]&gt;0, C124-Table_1463457811217224351596775[S. Sudan], 0)</f>
        <v>0</v>
      </c>
      <c r="M124" s="29">
        <f>IF(C124-Table_1463457811217224351596775[Tanzania]&gt;0, C124-Table_1463457811217224351596775[Tanzania], 0)</f>
        <v>52.516545305284794</v>
      </c>
      <c r="N124" s="29">
        <f>IF(C124-Table_1463457811217224351596775[Uganda]&gt;0, C124-Table_1463457811217224351596775[Uganda], 0)</f>
        <v>43.695398272153255</v>
      </c>
      <c r="P124" s="21" t="s">
        <v>9</v>
      </c>
      <c r="Q124" s="97">
        <f t="shared" si="12"/>
        <v>-4.1467987921919719E-3</v>
      </c>
      <c r="R124" s="97">
        <f t="shared" si="11"/>
        <v>-4.1467987921919719E-3</v>
      </c>
      <c r="S124" s="97">
        <f t="shared" si="11"/>
        <v>-4.1467987921919719E-3</v>
      </c>
      <c r="T124" s="97">
        <f t="shared" si="11"/>
        <v>-4.1467987921919719E-3</v>
      </c>
      <c r="U124" s="97">
        <f t="shared" si="11"/>
        <v>1.8365804463229496E-2</v>
      </c>
      <c r="V124" s="97">
        <f t="shared" si="11"/>
        <v>-4.1467987921919719E-3</v>
      </c>
      <c r="W124" s="97">
        <f t="shared" si="11"/>
        <v>-4.1467987921919719E-3</v>
      </c>
      <c r="X124" s="97">
        <f t="shared" si="11"/>
        <v>-4.1467987921919719E-3</v>
      </c>
      <c r="Y124" s="97">
        <f t="shared" si="11"/>
        <v>-4.1467987921919719E-3</v>
      </c>
      <c r="Z124" s="97">
        <f t="shared" si="11"/>
        <v>-4.1467987921919719E-3</v>
      </c>
      <c r="AA124" s="97">
        <f t="shared" si="11"/>
        <v>-4.1467987921919719E-3</v>
      </c>
    </row>
    <row r="125" spans="2:31" ht="12.75" customHeight="1" thickBot="1" x14ac:dyDescent="0.3">
      <c r="B125" s="21" t="s">
        <v>9</v>
      </c>
      <c r="C125" s="95">
        <f>Annual_sorted!H125:H135</f>
        <v>-42.048037391484698</v>
      </c>
      <c r="D125" s="29">
        <f>IF(C125-Table_1463457811217224351596775[Burundi]&gt;0, C125-Table_1463457811217224351596775[Burundi], 0)</f>
        <v>0</v>
      </c>
      <c r="E125" s="29">
        <f>IF(C125-Table_1463457811217224351596775[DRC]&gt;0, C125-Table_1463457811217224351596775[DRC], 0)</f>
        <v>0</v>
      </c>
      <c r="F125" s="29">
        <f>IF(C125-Table_1463457811217224351596775[Egypt]&gt;0, C125-Table_1463457811217224351596775[Egypt], 0)</f>
        <v>0</v>
      </c>
      <c r="G125" s="29">
        <f>IF(C125-Table_1463457811217224351596775[Eritrea]&gt;0, C125-Table_1463457811217224351596775[Eritrea], 0)</f>
        <v>0</v>
      </c>
      <c r="H125" s="29">
        <f>IF(C125-Table_1463457811217224351596775[Ethiopia]&gt;0, C125-Table_1463457811217224351596775[Ethiopia], 0)</f>
        <v>8.4712350705868431</v>
      </c>
      <c r="I125" s="29">
        <f>IF(C125-Table_1463457811217224351596775[Kenya]&gt;0, C125-Table_1463457811217224351596775[Kenya], 0)</f>
        <v>0</v>
      </c>
      <c r="J125" s="29">
        <f>IF(C125-Table_1463457811217224351596775[Rwanda]&gt;0, C125-Table_1463457811217224351596775[Rwanda], 0)</f>
        <v>0</v>
      </c>
      <c r="K125" s="29">
        <f>IF(C125-Table_1463457811217224351596775[Sudan]&gt;0, C125-Table_1463457811217224351596775[Sudan], 0)</f>
        <v>0</v>
      </c>
      <c r="L125" s="29">
        <f>IF(C125-Table_1463457811217224351596775[S. Sudan]&gt;0, C125-Table_1463457811217224351596775[S. Sudan], 0)</f>
        <v>0</v>
      </c>
      <c r="M125" s="29">
        <f>IF(C125-Table_1463457811217224351596775[Tanzania]&gt;0, C125-Table_1463457811217224351596775[Tanzania], 0)</f>
        <v>0</v>
      </c>
      <c r="N125" s="29">
        <f>IF(C125-Table_1463457811217224351596775[Uganda]&gt;0, C125-Table_1463457811217224351596775[Uganda], 0)</f>
        <v>0</v>
      </c>
      <c r="P125" s="22" t="s">
        <v>10</v>
      </c>
      <c r="Q125" s="98">
        <f t="shared" si="12"/>
        <v>-4.1467987921919719E-3</v>
      </c>
      <c r="R125" s="98">
        <f t="shared" si="11"/>
        <v>-4.1467987921919719E-3</v>
      </c>
      <c r="S125" s="98">
        <f t="shared" si="11"/>
        <v>-4.1467987921919719E-3</v>
      </c>
      <c r="T125" s="98">
        <f t="shared" si="11"/>
        <v>-4.1467987921919719E-3</v>
      </c>
      <c r="U125" s="98">
        <f t="shared" si="11"/>
        <v>4.180831098794472E-2</v>
      </c>
      <c r="V125" s="98">
        <f t="shared" si="11"/>
        <v>-4.1467987921919719E-3</v>
      </c>
      <c r="W125" s="98">
        <f t="shared" si="11"/>
        <v>-4.1467987921919719E-3</v>
      </c>
      <c r="X125" s="98">
        <f t="shared" si="11"/>
        <v>-4.1467987921919719E-3</v>
      </c>
      <c r="Y125" s="98">
        <f t="shared" si="11"/>
        <v>-4.1467987921919719E-3</v>
      </c>
      <c r="Z125" s="98">
        <f t="shared" si="11"/>
        <v>1.9295707732523253E-2</v>
      </c>
      <c r="AA125" s="98">
        <f t="shared" si="11"/>
        <v>-4.1467987921919719E-3</v>
      </c>
    </row>
    <row r="126" spans="2:31" ht="12.75" customHeight="1" thickBot="1" x14ac:dyDescent="0.3">
      <c r="B126" s="22" t="s">
        <v>10</v>
      </c>
      <c r="C126" s="96">
        <f>Annual_sorted!H126:H136</f>
        <v>-33.22689035835316</v>
      </c>
      <c r="D126" s="32">
        <f>IF(C126-Table_1463457811217224351596775[Burundi]&gt;0, C126-Table_1463457811217224351596775[Burundi], 0)</f>
        <v>0</v>
      </c>
      <c r="E126" s="32">
        <f>IF(C126-Table_1463457811217224351596775[DRC]&gt;0, C126-Table_1463457811217224351596775[DRC], 0)</f>
        <v>0</v>
      </c>
      <c r="F126" s="32">
        <f>IF(C126-Table_1463457811217224351596775[Egypt]&gt;0, C126-Table_1463457811217224351596775[Egypt], 0)</f>
        <v>0</v>
      </c>
      <c r="G126" s="32">
        <f>IF(C126-Table_1463457811217224351596775[Eritrea]&gt;0, C126-Table_1463457811217224351596775[Eritrea], 0)</f>
        <v>0</v>
      </c>
      <c r="H126" s="32">
        <f>IF(C126-Table_1463457811217224351596775[Ethiopia]&gt;0, C126-Table_1463457811217224351596775[Ethiopia], 0)</f>
        <v>17.292382103718381</v>
      </c>
      <c r="I126" s="32">
        <f>IF(C126-Table_1463457811217224351596775[Kenya]&gt;0, C126-Table_1463457811217224351596775[Kenya], 0)</f>
        <v>0</v>
      </c>
      <c r="J126" s="32">
        <f>IF(C126-Table_1463457811217224351596775[Rwanda]&gt;0, C126-Table_1463457811217224351596775[Rwanda], 0)</f>
        <v>0</v>
      </c>
      <c r="K126" s="32">
        <f>IF(C126-Table_1463457811217224351596775[Sudan]&gt;0, C126-Table_1463457811217224351596775[Sudan], 0)</f>
        <v>0</v>
      </c>
      <c r="L126" s="32">
        <f>IF(C126-Table_1463457811217224351596775[S. Sudan]&gt;0, C126-Table_1463457811217224351596775[S. Sudan], 0)</f>
        <v>0</v>
      </c>
      <c r="M126" s="32">
        <f>IF(C126-Table_1463457811217224351596775[Tanzania]&gt;0, C126-Table_1463457811217224351596775[Tanzania], 0)</f>
        <v>8.8211470331315383</v>
      </c>
      <c r="N126" s="32">
        <f>IF(C126-Table_1463457811217224351596775[Uganda]&gt;0, C126-Table_1463457811217224351596775[Uganda], 0)</f>
        <v>0</v>
      </c>
      <c r="Z126" s="186"/>
    </row>
    <row r="127" spans="2:31" ht="12.75" customHeight="1" x14ac:dyDescent="0.25"/>
    <row r="128" spans="2:31" ht="12.75" customHeight="1" x14ac:dyDescent="0.25"/>
    <row r="129" spans="2:31" ht="12.75" customHeight="1" x14ac:dyDescent="0.25">
      <c r="P129" s="5"/>
      <c r="Q129" s="5"/>
      <c r="R129" s="5"/>
      <c r="S129" s="5"/>
      <c r="T129" s="5"/>
      <c r="U129" s="5"/>
      <c r="V129" s="5"/>
      <c r="W129" s="5"/>
      <c r="X129" s="5"/>
      <c r="Y129" s="5"/>
      <c r="Z129" s="5"/>
      <c r="AA129" s="5"/>
    </row>
    <row r="130" spans="2:31" ht="12.75" customHeight="1" x14ac:dyDescent="0.25">
      <c r="B130" s="5"/>
      <c r="C130" s="5"/>
      <c r="D130" s="5"/>
      <c r="E130" s="5"/>
      <c r="F130" s="5"/>
      <c r="G130" s="5"/>
      <c r="H130" s="5"/>
      <c r="I130" s="5"/>
      <c r="J130" s="5"/>
      <c r="K130" s="5"/>
      <c r="L130" s="5"/>
      <c r="M130" s="5"/>
      <c r="N130" s="5"/>
      <c r="P130" s="5"/>
      <c r="Q130" s="5"/>
      <c r="R130" s="5"/>
      <c r="S130" s="5"/>
      <c r="T130" s="5"/>
      <c r="U130" s="5"/>
      <c r="V130" s="5"/>
      <c r="W130" s="5"/>
      <c r="X130" s="5"/>
      <c r="Y130" s="5"/>
      <c r="Z130" s="5"/>
      <c r="AA130" s="5"/>
    </row>
    <row r="131" spans="2:31" ht="12.75" customHeight="1" thickBot="1" x14ac:dyDescent="0.3">
      <c r="B131" s="253" t="s">
        <v>89</v>
      </c>
      <c r="C131" s="253"/>
      <c r="D131" s="253"/>
      <c r="E131" s="253"/>
      <c r="F131" s="253"/>
      <c r="G131" s="253"/>
      <c r="H131" s="253"/>
      <c r="I131" s="253"/>
      <c r="J131" s="253"/>
      <c r="K131" s="253"/>
      <c r="L131" s="253"/>
      <c r="M131" s="253"/>
      <c r="N131" s="253"/>
      <c r="P131" s="253" t="s">
        <v>90</v>
      </c>
      <c r="Q131" s="253"/>
      <c r="R131" s="253"/>
      <c r="S131" s="253"/>
      <c r="T131" s="253"/>
      <c r="U131" s="253"/>
      <c r="V131" s="253"/>
      <c r="W131" s="253"/>
      <c r="X131" s="253"/>
      <c r="Y131" s="253"/>
      <c r="Z131" s="253"/>
      <c r="AA131" s="253"/>
      <c r="AB131" s="10"/>
      <c r="AC131" s="3" t="s">
        <v>22</v>
      </c>
      <c r="AD131" s="13" t="s">
        <v>23</v>
      </c>
      <c r="AE131" s="74">
        <f t="array" ref="AE131">MIN(IF(D134:N144&gt;0,D134:N144))</f>
        <v>0.87457886551156427</v>
      </c>
    </row>
    <row r="132" spans="2:31" ht="12.75" customHeight="1" thickBot="1" x14ac:dyDescent="0.3">
      <c r="B132" s="75" t="s">
        <v>13</v>
      </c>
      <c r="C132" s="66" t="s">
        <v>14</v>
      </c>
      <c r="D132" s="67" t="s">
        <v>1</v>
      </c>
      <c r="E132" s="67" t="s">
        <v>195</v>
      </c>
      <c r="F132" s="67" t="s">
        <v>2</v>
      </c>
      <c r="G132" s="67" t="s">
        <v>3</v>
      </c>
      <c r="H132" s="67" t="s">
        <v>4</v>
      </c>
      <c r="I132" s="67" t="s">
        <v>5</v>
      </c>
      <c r="J132" s="67" t="s">
        <v>6</v>
      </c>
      <c r="K132" s="67" t="s">
        <v>7</v>
      </c>
      <c r="L132" s="67" t="s">
        <v>295</v>
      </c>
      <c r="M132" s="67" t="s">
        <v>9</v>
      </c>
      <c r="N132" s="67" t="s">
        <v>10</v>
      </c>
      <c r="P132" s="76" t="s">
        <v>19</v>
      </c>
      <c r="Q132" s="77" t="s">
        <v>1</v>
      </c>
      <c r="R132" s="77" t="s">
        <v>195</v>
      </c>
      <c r="S132" s="77" t="s">
        <v>2</v>
      </c>
      <c r="T132" s="77" t="s">
        <v>3</v>
      </c>
      <c r="U132" s="77" t="s">
        <v>4</v>
      </c>
      <c r="V132" s="77" t="s">
        <v>5</v>
      </c>
      <c r="W132" s="77" t="s">
        <v>6</v>
      </c>
      <c r="X132" s="77" t="s">
        <v>7</v>
      </c>
      <c r="Y132" s="77" t="s">
        <v>295</v>
      </c>
      <c r="Z132" s="77" t="s">
        <v>9</v>
      </c>
      <c r="AA132" s="77" t="s">
        <v>10</v>
      </c>
      <c r="AB132" s="254" t="s">
        <v>26</v>
      </c>
      <c r="AC132" s="254"/>
      <c r="AD132" s="13" t="s">
        <v>24</v>
      </c>
      <c r="AE132" s="20">
        <f>MAX(D134:N144)</f>
        <v>325.1565712774252</v>
      </c>
    </row>
    <row r="133" spans="2:31" ht="12.75" customHeight="1" x14ac:dyDescent="0.25">
      <c r="B133" s="93"/>
      <c r="C133" s="94" t="s">
        <v>264</v>
      </c>
      <c r="D133" s="95">
        <f>C134</f>
        <v>-3.8346984672760556</v>
      </c>
      <c r="E133" s="95">
        <f>C135</f>
        <v>3.9728660454237081</v>
      </c>
      <c r="F133" s="95">
        <f>C136</f>
        <v>270.82968091907202</v>
      </c>
      <c r="G133" s="95">
        <f>C137</f>
        <v>1.0274041755657497</v>
      </c>
      <c r="H133" s="95">
        <f>C138</f>
        <v>-50.519272462071541</v>
      </c>
      <c r="I133" s="95">
        <f>C139</f>
        <v>-20.162216946239166</v>
      </c>
      <c r="J133" s="95">
        <f>C140</f>
        <v>-4.7092773327876198</v>
      </c>
      <c r="K133" s="95">
        <f>C141</f>
        <v>265.85584925157798</v>
      </c>
      <c r="L133" s="95">
        <f>C142</f>
        <v>-13.031492086199901</v>
      </c>
      <c r="M133" s="95">
        <f>C143</f>
        <v>-42.048037391484698</v>
      </c>
      <c r="N133" s="95">
        <f>C144</f>
        <v>-54.326890358353161</v>
      </c>
      <c r="P133" s="21" t="s">
        <v>1</v>
      </c>
      <c r="Q133" s="97">
        <f>$AE$133+(D134-$AE$131)*($AE$134-$AE$133)/($AE$132-$AE$131)</f>
        <v>-1.6942732161835394E-3</v>
      </c>
      <c r="R133" s="97">
        <f t="shared" ref="R133:AA143" si="13">$AE$133+(E134-$AE$131)*($AE$134-$AE$133)/($AE$132-$AE$131)</f>
        <v>-1.6942732161835394E-3</v>
      </c>
      <c r="S133" s="97">
        <f t="shared" si="13"/>
        <v>-1.6942732161835394E-3</v>
      </c>
      <c r="T133" s="97">
        <f t="shared" si="13"/>
        <v>-1.6942732161835394E-3</v>
      </c>
      <c r="U133" s="97">
        <f t="shared" si="13"/>
        <v>0.14212465756662637</v>
      </c>
      <c r="V133" s="97">
        <f t="shared" si="13"/>
        <v>4.8605130827705331E-2</v>
      </c>
      <c r="W133" s="97">
        <f t="shared" si="13"/>
        <v>1E-3</v>
      </c>
      <c r="X133" s="97">
        <f t="shared" si="13"/>
        <v>-1.6942732161835394E-3</v>
      </c>
      <c r="Y133" s="97">
        <f t="shared" si="13"/>
        <v>2.6637848333244139E-2</v>
      </c>
      <c r="Z133" s="97">
        <f t="shared" si="13"/>
        <v>0.11602772948075665</v>
      </c>
      <c r="AA133" s="97">
        <f t="shared" si="13"/>
        <v>0.15385460362404915</v>
      </c>
      <c r="AD133" s="3" t="s">
        <v>25</v>
      </c>
      <c r="AE133" s="2">
        <v>1E-3</v>
      </c>
    </row>
    <row r="134" spans="2:31" ht="12.75" customHeight="1" x14ac:dyDescent="0.25">
      <c r="B134" s="21" t="s">
        <v>1</v>
      </c>
      <c r="C134" s="95">
        <f>Annual_sorted!I116</f>
        <v>-3.8346984672760556</v>
      </c>
      <c r="D134" s="29">
        <f>IF(C134-Table_14634578112918214250586674[Burundi]&gt;0, C134-Table_14634578112918214250586674[Burundi], 0)</f>
        <v>0</v>
      </c>
      <c r="E134" s="29">
        <f>IF(C134-Table_14634578112918214250586674[DRC]&gt;0, C134-Table_14634578112918214250586674[DRC], 0)</f>
        <v>0</v>
      </c>
      <c r="F134" s="29">
        <f>IF(C134-Table_14634578112918214250586674[Egypt]&gt;0, C134-Table_14634578112918214250586674[Egypt], 0)</f>
        <v>0</v>
      </c>
      <c r="G134" s="29">
        <f>IF(C134-Table_14634578112918214250586674[Eritrea]&gt;0, C134-Table_14634578112918214250586674[Eritrea], 0)</f>
        <v>0</v>
      </c>
      <c r="H134" s="29">
        <f>IF(C134-Table_14634578112918214250586674[Ethiopia]&gt;0, C134-Table_14634578112918214250586674[Ethiopia], 0)</f>
        <v>46.684573994795485</v>
      </c>
      <c r="I134" s="29">
        <f>IF(C134-Table_14634578112918214250586674[Kenya]&gt;0, C134-Table_14634578112918214250586674[Kenya], 0)</f>
        <v>16.32751847896311</v>
      </c>
      <c r="J134" s="29">
        <f>IF(C134-Table_14634578112918214250586674[Rwanda]&gt;0, C134-Table_14634578112918214250586674[Rwanda], 0)</f>
        <v>0.87457886551156427</v>
      </c>
      <c r="K134" s="29">
        <f>IF(C134-Table_14634578112918214250586674[Sudan]&gt;0, C134-Table_14634578112918214250586674[Sudan], 0)</f>
        <v>0</v>
      </c>
      <c r="L134" s="29">
        <f>IF(C134-Table_14634578112918214250586674[S. Sudan]&gt;0, C134-Table_14634578112918214250586674[S. Sudan], 0)</f>
        <v>9.1967936189238451</v>
      </c>
      <c r="M134" s="29">
        <f>IF(C134-Table_14634578112918214250586674[Tanzania]&gt;0, C134-Table_14634578112918214250586674[Tanzania], 0)</f>
        <v>38.213338924208642</v>
      </c>
      <c r="N134" s="29">
        <f>IF(C134-Table_14634578112918214250586674[Uganda]&gt;0, C134-Table_14634578112918214250586674[Uganda], 0)</f>
        <v>50.492191891077105</v>
      </c>
      <c r="P134" s="21" t="s">
        <v>195</v>
      </c>
      <c r="Q134" s="97">
        <f t="shared" ref="Q134:Q143" si="14">$AE$133+(D135-$AE$131)*($AE$134-$AE$133)/($AE$132-$AE$131)</f>
        <v>2.2358116773697728E-2</v>
      </c>
      <c r="R134" s="97">
        <f t="shared" si="13"/>
        <v>-1.6942732161835394E-3</v>
      </c>
      <c r="S134" s="97">
        <f t="shared" si="13"/>
        <v>-1.6942732161835394E-3</v>
      </c>
      <c r="T134" s="97">
        <f t="shared" si="13"/>
        <v>7.3796700703447479E-3</v>
      </c>
      <c r="U134" s="97">
        <f t="shared" si="13"/>
        <v>0.16617704755650761</v>
      </c>
      <c r="V134" s="97">
        <f t="shared" si="13"/>
        <v>7.2657520817586599E-2</v>
      </c>
      <c r="W134" s="97">
        <f t="shared" si="13"/>
        <v>2.5052389989881272E-2</v>
      </c>
      <c r="X134" s="97">
        <f t="shared" si="13"/>
        <v>-1.6942732161835394E-3</v>
      </c>
      <c r="Y134" s="97">
        <f t="shared" si="13"/>
        <v>5.0690238323125407E-2</v>
      </c>
      <c r="Z134" s="97">
        <f t="shared" si="13"/>
        <v>0.14008011947063789</v>
      </c>
      <c r="AA134" s="97">
        <f t="shared" si="13"/>
        <v>0.17790699361393042</v>
      </c>
      <c r="AD134" s="3" t="s">
        <v>70</v>
      </c>
      <c r="AE134" s="2">
        <v>1</v>
      </c>
    </row>
    <row r="135" spans="2:31" ht="12.75" customHeight="1" x14ac:dyDescent="0.25">
      <c r="B135" s="21" t="s">
        <v>195</v>
      </c>
      <c r="C135" s="95">
        <f>Annual_sorted!I117</f>
        <v>3.9728660454237081</v>
      </c>
      <c r="D135" s="29">
        <f>IF(C135-Table_14634578112918214250586674[Burundi]&gt;0, C135-Table_14634578112918214250586674[Burundi], 0)</f>
        <v>7.8075645126997637</v>
      </c>
      <c r="E135" s="29">
        <f>IF(C135-Table_14634578112918214250586674[DRC]&gt;0, C135-Table_14634578112918214250586674[DRC], 0)</f>
        <v>0</v>
      </c>
      <c r="F135" s="29">
        <f>IF(C135-Table_14634578112918214250586674[Egypt]&gt;0, C135-Table_14634578112918214250586674[Egypt], 0)</f>
        <v>0</v>
      </c>
      <c r="G135" s="29">
        <f>IF(C135-Table_14634578112918214250586674[Eritrea]&gt;0, C135-Table_14634578112918214250586674[Eritrea], 0)</f>
        <v>2.9454618698579584</v>
      </c>
      <c r="H135" s="29">
        <f>IF(C135-Table_14634578112918214250586674[Ethiopia]&gt;0, C135-Table_14634578112918214250586674[Ethiopia], 0)</f>
        <v>54.492138507495248</v>
      </c>
      <c r="I135" s="29">
        <f>IF(C135-Table_14634578112918214250586674[Kenya]&gt;0, C135-Table_14634578112918214250586674[Kenya], 0)</f>
        <v>24.135082991662873</v>
      </c>
      <c r="J135" s="29">
        <f>IF(C135-Table_14634578112918214250586674[Rwanda]&gt;0, C135-Table_14634578112918214250586674[Rwanda], 0)</f>
        <v>8.6821433782113289</v>
      </c>
      <c r="K135" s="29">
        <f>IF(C135-Table_14634578112918214250586674[Sudan]&gt;0, C135-Table_14634578112918214250586674[Sudan], 0)</f>
        <v>0</v>
      </c>
      <c r="L135" s="29">
        <f>IF(C135-Table_14634578112918214250586674[S. Sudan]&gt;0, C135-Table_14634578112918214250586674[S. Sudan], 0)</f>
        <v>17.004358131623608</v>
      </c>
      <c r="M135" s="29">
        <f>IF(C135-Table_14634578112918214250586674[Tanzania]&gt;0, C135-Table_14634578112918214250586674[Tanzania], 0)</f>
        <v>46.020903436908405</v>
      </c>
      <c r="N135" s="29">
        <f>IF(C135-Table_14634578112918214250586674[Uganda]&gt;0, C135-Table_14634578112918214250586674[Uganda], 0)</f>
        <v>58.299756403776868</v>
      </c>
      <c r="P135" s="21" t="s">
        <v>2</v>
      </c>
      <c r="Q135" s="97">
        <f t="shared" si="14"/>
        <v>0.84445112315976723</v>
      </c>
      <c r="R135" s="97">
        <f t="shared" si="13"/>
        <v>0.82039873316988599</v>
      </c>
      <c r="S135" s="97">
        <f t="shared" si="13"/>
        <v>-1.6942732161835394E-3</v>
      </c>
      <c r="T135" s="97">
        <f t="shared" si="13"/>
        <v>0.8294726764564142</v>
      </c>
      <c r="U135" s="97">
        <f t="shared" si="13"/>
        <v>0.98827005394257716</v>
      </c>
      <c r="V135" s="97">
        <f t="shared" si="13"/>
        <v>0.894750527203656</v>
      </c>
      <c r="W135" s="97">
        <f t="shared" si="13"/>
        <v>0.84714539637595077</v>
      </c>
      <c r="X135" s="97">
        <f t="shared" si="13"/>
        <v>1.3628371741279715E-2</v>
      </c>
      <c r="Y135" s="97">
        <f t="shared" si="13"/>
        <v>0.87278324470919488</v>
      </c>
      <c r="Z135" s="97">
        <f t="shared" si="13"/>
        <v>0.96217312585670745</v>
      </c>
      <c r="AA135" s="97">
        <f t="shared" si="13"/>
        <v>1</v>
      </c>
    </row>
    <row r="136" spans="2:31" ht="12.75" customHeight="1" x14ac:dyDescent="0.25">
      <c r="B136" s="21" t="s">
        <v>2</v>
      </c>
      <c r="C136" s="95">
        <f>Annual_sorted!I118</f>
        <v>270.82968091907202</v>
      </c>
      <c r="D136" s="29">
        <f>IF(C136-Table_14634578112918214250586674[Burundi]&gt;0, C136-Table_14634578112918214250586674[Burundi], 0)</f>
        <v>274.66437938634806</v>
      </c>
      <c r="E136" s="29">
        <f>IF(C136-Table_14634578112918214250586674[DRC]&gt;0, C136-Table_14634578112918214250586674[DRC], 0)</f>
        <v>266.85681487364832</v>
      </c>
      <c r="F136" s="29">
        <f>IF(C136-Table_14634578112918214250586674[Egypt]&gt;0, C136-Table_14634578112918214250586674[Egypt], 0)</f>
        <v>0</v>
      </c>
      <c r="G136" s="29">
        <f>IF(C136-Table_14634578112918214250586674[Eritrea]&gt;0, C136-Table_14634578112918214250586674[Eritrea], 0)</f>
        <v>269.80227674350624</v>
      </c>
      <c r="H136" s="29">
        <f>IF(C136-Table_14634578112918214250586674[Ethiopia]&gt;0, C136-Table_14634578112918214250586674[Ethiopia], 0)</f>
        <v>321.34895338114359</v>
      </c>
      <c r="I136" s="29">
        <f>IF(C136-Table_14634578112918214250586674[Kenya]&gt;0, C136-Table_14634578112918214250586674[Kenya], 0)</f>
        <v>290.99189786531116</v>
      </c>
      <c r="J136" s="29">
        <f>IF(C136-Table_14634578112918214250586674[Rwanda]&gt;0, C136-Table_14634578112918214250586674[Rwanda], 0)</f>
        <v>275.53895825185964</v>
      </c>
      <c r="K136" s="29">
        <f>IF(C136-Table_14634578112918214250586674[Sudan]&gt;0, C136-Table_14634578112918214250586674[Sudan], 0)</f>
        <v>4.9738316674940393</v>
      </c>
      <c r="L136" s="29">
        <f>IF(C136-Table_14634578112918214250586674[S. Sudan]&gt;0, C136-Table_14634578112918214250586674[S. Sudan], 0)</f>
        <v>283.86117300527189</v>
      </c>
      <c r="M136" s="29">
        <f>IF(C136-Table_14634578112918214250586674[Tanzania]&gt;0, C136-Table_14634578112918214250586674[Tanzania], 0)</f>
        <v>312.8777183105567</v>
      </c>
      <c r="N136" s="29">
        <f>IF(C136-Table_14634578112918214250586674[Uganda]&gt;0, C136-Table_14634578112918214250586674[Uganda], 0)</f>
        <v>325.1565712774252</v>
      </c>
      <c r="P136" s="21" t="s">
        <v>3</v>
      </c>
      <c r="Q136" s="97">
        <f t="shared" si="14"/>
        <v>1.3284173487169437E-2</v>
      </c>
      <c r="R136" s="97">
        <f t="shared" si="13"/>
        <v>-1.6942732161835394E-3</v>
      </c>
      <c r="S136" s="97">
        <f t="shared" si="13"/>
        <v>-1.6942732161835394E-3</v>
      </c>
      <c r="T136" s="97">
        <f t="shared" si="13"/>
        <v>-1.6942732161835394E-3</v>
      </c>
      <c r="U136" s="97">
        <f t="shared" si="13"/>
        <v>0.15710310426997934</v>
      </c>
      <c r="V136" s="97">
        <f t="shared" si="13"/>
        <v>6.3583577531058311E-2</v>
      </c>
      <c r="W136" s="97">
        <f t="shared" si="13"/>
        <v>1.5978446703352977E-2</v>
      </c>
      <c r="X136" s="97">
        <f t="shared" si="13"/>
        <v>-1.6942732161835394E-3</v>
      </c>
      <c r="Y136" s="97">
        <f t="shared" si="13"/>
        <v>4.1616295036597119E-2</v>
      </c>
      <c r="Z136" s="97">
        <f t="shared" si="13"/>
        <v>0.13100617618410962</v>
      </c>
      <c r="AA136" s="97">
        <f t="shared" si="13"/>
        <v>0.16883305032740215</v>
      </c>
    </row>
    <row r="137" spans="2:31" ht="12.75" customHeight="1" x14ac:dyDescent="0.25">
      <c r="B137" s="21" t="s">
        <v>3</v>
      </c>
      <c r="C137" s="95">
        <f>Annual_sorted!I119</f>
        <v>1.0274041755657497</v>
      </c>
      <c r="D137" s="29">
        <f>IF(C137-Table_14634578112918214250586674[Burundi]&gt;0, C137-Table_14634578112918214250586674[Burundi], 0)</f>
        <v>4.8621026428418048</v>
      </c>
      <c r="E137" s="29">
        <f>IF(C137-Table_14634578112918214250586674[DRC]&gt;0, C137-Table_14634578112918214250586674[DRC], 0)</f>
        <v>0</v>
      </c>
      <c r="F137" s="29">
        <f>IF(C137-Table_14634578112918214250586674[Egypt]&gt;0, C137-Table_14634578112918214250586674[Egypt], 0)</f>
        <v>0</v>
      </c>
      <c r="G137" s="29">
        <f>IF(C137-Table_14634578112918214250586674[Eritrea]&gt;0, C137-Table_14634578112918214250586674[Eritrea], 0)</f>
        <v>0</v>
      </c>
      <c r="H137" s="29">
        <f>IF(C137-Table_14634578112918214250586674[Ethiopia]&gt;0, C137-Table_14634578112918214250586674[Ethiopia], 0)</f>
        <v>51.54667663763729</v>
      </c>
      <c r="I137" s="29">
        <f>IF(C137-Table_14634578112918214250586674[Kenya]&gt;0, C137-Table_14634578112918214250586674[Kenya], 0)</f>
        <v>21.189621121804915</v>
      </c>
      <c r="J137" s="29">
        <f>IF(C137-Table_14634578112918214250586674[Rwanda]&gt;0, C137-Table_14634578112918214250586674[Rwanda], 0)</f>
        <v>5.7366815083533691</v>
      </c>
      <c r="K137" s="29">
        <f>IF(C137-Table_14634578112918214250586674[Sudan]&gt;0, C137-Table_14634578112918214250586674[Sudan], 0)</f>
        <v>0</v>
      </c>
      <c r="L137" s="29">
        <f>IF(C137-Table_14634578112918214250586674[S. Sudan]&gt;0, C137-Table_14634578112918214250586674[S. Sudan], 0)</f>
        <v>14.05889626176565</v>
      </c>
      <c r="M137" s="29">
        <f>IF(C137-Table_14634578112918214250586674[Tanzania]&gt;0, C137-Table_14634578112918214250586674[Tanzania], 0)</f>
        <v>43.075441567050447</v>
      </c>
      <c r="N137" s="29">
        <f>IF(C137-Table_14634578112918214250586674[Uganda]&gt;0, C137-Table_14634578112918214250586674[Uganda], 0)</f>
        <v>55.35429453391891</v>
      </c>
      <c r="P137" s="21" t="s">
        <v>4</v>
      </c>
      <c r="Q137" s="97">
        <f t="shared" si="14"/>
        <v>-1.6942732161835394E-3</v>
      </c>
      <c r="R137" s="97">
        <f t="shared" si="13"/>
        <v>-1.6942732161835394E-3</v>
      </c>
      <c r="S137" s="97">
        <f t="shared" si="13"/>
        <v>-1.6942732161835394E-3</v>
      </c>
      <c r="T137" s="97">
        <f t="shared" si="13"/>
        <v>-1.6942732161835394E-3</v>
      </c>
      <c r="U137" s="97">
        <f t="shared" si="13"/>
        <v>-1.6942732161835394E-3</v>
      </c>
      <c r="V137" s="97">
        <f t="shared" si="13"/>
        <v>-1.6942732161835394E-3</v>
      </c>
      <c r="W137" s="97">
        <f t="shared" si="13"/>
        <v>-1.6942732161835394E-3</v>
      </c>
      <c r="X137" s="97">
        <f t="shared" si="13"/>
        <v>-1.6942732161835394E-3</v>
      </c>
      <c r="Y137" s="97">
        <f t="shared" si="13"/>
        <v>-1.6942732161835394E-3</v>
      </c>
      <c r="Z137" s="97">
        <f t="shared" si="13"/>
        <v>-1.6942732161835394E-3</v>
      </c>
      <c r="AA137" s="97">
        <f t="shared" si="13"/>
        <v>1.0035672841239265E-2</v>
      </c>
    </row>
    <row r="138" spans="2:31" ht="12.75" customHeight="1" x14ac:dyDescent="0.25">
      <c r="B138" s="21" t="s">
        <v>4</v>
      </c>
      <c r="C138" s="95">
        <f>Annual_sorted!I120</f>
        <v>-50.519272462071541</v>
      </c>
      <c r="D138" s="29">
        <f>IF(C138-Table_14634578112918214250586674[Burundi]&gt;0, C138-Table_14634578112918214250586674[Burundi], 0)</f>
        <v>0</v>
      </c>
      <c r="E138" s="29">
        <f>IF(C138-Table_14634578112918214250586674[DRC]&gt;0, C138-Table_14634578112918214250586674[DRC], 0)</f>
        <v>0</v>
      </c>
      <c r="F138" s="29">
        <f>IF(C138-Table_14634578112918214250586674[Egypt]&gt;0, C138-Table_14634578112918214250586674[Egypt], 0)</f>
        <v>0</v>
      </c>
      <c r="G138" s="29">
        <f>IF(C138-Table_14634578112918214250586674[Eritrea]&gt;0, C138-Table_14634578112918214250586674[Eritrea], 0)</f>
        <v>0</v>
      </c>
      <c r="H138" s="29">
        <f>IF(C138-Table_14634578112918214250586674[Ethiopia]&gt;0, C138-Table_14634578112918214250586674[Ethiopia], 0)</f>
        <v>0</v>
      </c>
      <c r="I138" s="29">
        <f>IF(C138-Table_14634578112918214250586674[Kenya]&gt;0, C138-Table_14634578112918214250586674[Kenya], 0)</f>
        <v>0</v>
      </c>
      <c r="J138" s="29">
        <f>IF(C138-Table_14634578112918214250586674[Rwanda]&gt;0, C138-Table_14634578112918214250586674[Rwanda], 0)</f>
        <v>0</v>
      </c>
      <c r="K138" s="29">
        <f>IF(C138-Table_14634578112918214250586674[Sudan]&gt;0, C138-Table_14634578112918214250586674[Sudan], 0)</f>
        <v>0</v>
      </c>
      <c r="L138" s="29">
        <f>IF(C138-Table_14634578112918214250586674[S. Sudan]&gt;0, C138-Table_14634578112918214250586674[S. Sudan], 0)</f>
        <v>0</v>
      </c>
      <c r="M138" s="29">
        <f>IF(C138-Table_14634578112918214250586674[Tanzania]&gt;0, C138-Table_14634578112918214250586674[Tanzania], 0)</f>
        <v>0</v>
      </c>
      <c r="N138" s="29">
        <f>IF(C138-Table_14634578112918214250586674[Uganda]&gt;0, C138-Table_14634578112918214250586674[Uganda], 0)</f>
        <v>3.8076178962816201</v>
      </c>
      <c r="P138" s="21" t="s">
        <v>5</v>
      </c>
      <c r="Q138" s="97">
        <f t="shared" si="14"/>
        <v>-1.6942732161835394E-3</v>
      </c>
      <c r="R138" s="97">
        <f t="shared" si="13"/>
        <v>-1.6942732161835394E-3</v>
      </c>
      <c r="S138" s="97">
        <f t="shared" si="13"/>
        <v>-1.6942732161835394E-3</v>
      </c>
      <c r="T138" s="97">
        <f t="shared" si="13"/>
        <v>-1.6942732161835394E-3</v>
      </c>
      <c r="U138" s="97">
        <f t="shared" si="13"/>
        <v>9.1825253522737488E-2</v>
      </c>
      <c r="V138" s="97">
        <f t="shared" si="13"/>
        <v>-1.6942732161835394E-3</v>
      </c>
      <c r="W138" s="97">
        <f t="shared" si="13"/>
        <v>-1.6942732161835394E-3</v>
      </c>
      <c r="X138" s="97">
        <f t="shared" si="13"/>
        <v>-1.6942732161835394E-3</v>
      </c>
      <c r="Y138" s="97">
        <f t="shared" si="13"/>
        <v>-1.6942732161835394E-3</v>
      </c>
      <c r="Z138" s="97">
        <f t="shared" si="13"/>
        <v>6.5728325436867782E-2</v>
      </c>
      <c r="AA138" s="97">
        <f t="shared" si="13"/>
        <v>0.10355519958016031</v>
      </c>
    </row>
    <row r="139" spans="2:31" ht="12.75" customHeight="1" x14ac:dyDescent="0.25">
      <c r="B139" s="21" t="s">
        <v>5</v>
      </c>
      <c r="C139" s="95">
        <f>Annual_sorted!I121</f>
        <v>-20.162216946239166</v>
      </c>
      <c r="D139" s="29">
        <f>IF(C139-Table_14634578112918214250586674[Burundi]&gt;0, C139-Table_14634578112918214250586674[Burundi], 0)</f>
        <v>0</v>
      </c>
      <c r="E139" s="29">
        <f>IF(C139-Table_14634578112918214250586674[DRC]&gt;0, C139-Table_14634578112918214250586674[DRC], 0)</f>
        <v>0</v>
      </c>
      <c r="F139" s="29">
        <f>IF(C139-Table_14634578112918214250586674[Egypt]&gt;0, C139-Table_14634578112918214250586674[Egypt], 0)</f>
        <v>0</v>
      </c>
      <c r="G139" s="29">
        <f>IF(C139-Table_14634578112918214250586674[Eritrea]&gt;0, C139-Table_14634578112918214250586674[Eritrea], 0)</f>
        <v>0</v>
      </c>
      <c r="H139" s="29">
        <f>IF(C139-Table_14634578112918214250586674[Ethiopia]&gt;0, C139-Table_14634578112918214250586674[Ethiopia], 0)</f>
        <v>30.357055515832375</v>
      </c>
      <c r="I139" s="29">
        <f>IF(C139-Table_14634578112918214250586674[Kenya]&gt;0, C139-Table_14634578112918214250586674[Kenya], 0)</f>
        <v>0</v>
      </c>
      <c r="J139" s="29">
        <f>IF(C139-Table_14634578112918214250586674[Rwanda]&gt;0, C139-Table_14634578112918214250586674[Rwanda], 0)</f>
        <v>0</v>
      </c>
      <c r="K139" s="29">
        <f>IF(C139-Table_14634578112918214250586674[Sudan]&gt;0, C139-Table_14634578112918214250586674[Sudan], 0)</f>
        <v>0</v>
      </c>
      <c r="L139" s="29">
        <f>IF(C139-Table_14634578112918214250586674[S. Sudan]&gt;0, C139-Table_14634578112918214250586674[S. Sudan], 0)</f>
        <v>0</v>
      </c>
      <c r="M139" s="29">
        <f>IF(C139-Table_14634578112918214250586674[Tanzania]&gt;0, C139-Table_14634578112918214250586674[Tanzania], 0)</f>
        <v>21.885820445245532</v>
      </c>
      <c r="N139" s="29">
        <f>IF(C139-Table_14634578112918214250586674[Uganda]&gt;0, C139-Table_14634578112918214250586674[Uganda], 0)</f>
        <v>34.164673412113999</v>
      </c>
      <c r="P139" s="21" t="s">
        <v>6</v>
      </c>
      <c r="Q139" s="97">
        <f t="shared" si="14"/>
        <v>-1.6942732161835394E-3</v>
      </c>
      <c r="R139" s="97">
        <f t="shared" si="13"/>
        <v>-1.6942732161835394E-3</v>
      </c>
      <c r="S139" s="97">
        <f t="shared" si="13"/>
        <v>-1.6942732161835394E-3</v>
      </c>
      <c r="T139" s="97">
        <f t="shared" si="13"/>
        <v>-1.6942732161835394E-3</v>
      </c>
      <c r="U139" s="97">
        <f t="shared" si="13"/>
        <v>0.13943038435044283</v>
      </c>
      <c r="V139" s="97">
        <f t="shared" si="13"/>
        <v>4.5910857611521791E-2</v>
      </c>
      <c r="W139" s="97">
        <f t="shared" si="13"/>
        <v>-1.6942732161835394E-3</v>
      </c>
      <c r="X139" s="97">
        <f t="shared" si="13"/>
        <v>-1.6942732161835394E-3</v>
      </c>
      <c r="Y139" s="97">
        <f t="shared" si="13"/>
        <v>2.3943575117060602E-2</v>
      </c>
      <c r="Z139" s="97">
        <f t="shared" si="13"/>
        <v>0.11333345626457308</v>
      </c>
      <c r="AA139" s="97">
        <f t="shared" si="13"/>
        <v>0.15116033040786561</v>
      </c>
    </row>
    <row r="140" spans="2:31" ht="12.75" customHeight="1" x14ac:dyDescent="0.25">
      <c r="B140" s="21" t="s">
        <v>6</v>
      </c>
      <c r="C140" s="95">
        <f>Annual_sorted!I122</f>
        <v>-4.7092773327876198</v>
      </c>
      <c r="D140" s="29">
        <f>IF(C140-Table_14634578112918214250586674[Burundi]&gt;0, C140-Table_14634578112918214250586674[Burundi], 0)</f>
        <v>0</v>
      </c>
      <c r="E140" s="29">
        <f>IF(C140-Table_14634578112918214250586674[DRC]&gt;0, C140-Table_14634578112918214250586674[DRC], 0)</f>
        <v>0</v>
      </c>
      <c r="F140" s="29">
        <f>IF(C140-Table_14634578112918214250586674[Egypt]&gt;0, C140-Table_14634578112918214250586674[Egypt], 0)</f>
        <v>0</v>
      </c>
      <c r="G140" s="29">
        <f>IF(C140-Table_14634578112918214250586674[Eritrea]&gt;0, C140-Table_14634578112918214250586674[Eritrea], 0)</f>
        <v>0</v>
      </c>
      <c r="H140" s="29">
        <f>IF(C140-Table_14634578112918214250586674[Ethiopia]&gt;0, C140-Table_14634578112918214250586674[Ethiopia], 0)</f>
        <v>45.809995129283919</v>
      </c>
      <c r="I140" s="29">
        <f>IF(C140-Table_14634578112918214250586674[Kenya]&gt;0, C140-Table_14634578112918214250586674[Kenya], 0)</f>
        <v>15.452939613451546</v>
      </c>
      <c r="J140" s="29">
        <f>IF(C140-Table_14634578112918214250586674[Rwanda]&gt;0, C140-Table_14634578112918214250586674[Rwanda], 0)</f>
        <v>0</v>
      </c>
      <c r="K140" s="29">
        <f>IF(C140-Table_14634578112918214250586674[Sudan]&gt;0, C140-Table_14634578112918214250586674[Sudan], 0)</f>
        <v>0</v>
      </c>
      <c r="L140" s="29">
        <f>IF(C140-Table_14634578112918214250586674[S. Sudan]&gt;0, C140-Table_14634578112918214250586674[S. Sudan], 0)</f>
        <v>8.3222147534122808</v>
      </c>
      <c r="M140" s="29">
        <f>IF(C140-Table_14634578112918214250586674[Tanzania]&gt;0, C140-Table_14634578112918214250586674[Tanzania], 0)</f>
        <v>37.338760058697076</v>
      </c>
      <c r="N140" s="29">
        <f>IF(C140-Table_14634578112918214250586674[Uganda]&gt;0, C140-Table_14634578112918214250586674[Uganda], 0)</f>
        <v>49.617613025565539</v>
      </c>
      <c r="P140" s="21" t="s">
        <v>7</v>
      </c>
      <c r="Q140" s="97">
        <f t="shared" si="14"/>
        <v>0.82912847820230395</v>
      </c>
      <c r="R140" s="97">
        <f t="shared" si="13"/>
        <v>0.80507608821242271</v>
      </c>
      <c r="S140" s="97">
        <f t="shared" si="13"/>
        <v>-1.6942732161835394E-3</v>
      </c>
      <c r="T140" s="97">
        <f t="shared" si="13"/>
        <v>0.81415003149895093</v>
      </c>
      <c r="U140" s="97">
        <f t="shared" si="13"/>
        <v>0.97294740898511378</v>
      </c>
      <c r="V140" s="97">
        <f t="shared" si="13"/>
        <v>0.87942788224619273</v>
      </c>
      <c r="W140" s="97">
        <f t="shared" si="13"/>
        <v>0.83182275141848749</v>
      </c>
      <c r="X140" s="97">
        <f t="shared" si="13"/>
        <v>-1.6942732161835394E-3</v>
      </c>
      <c r="Y140" s="97">
        <f t="shared" si="13"/>
        <v>0.85746059975173161</v>
      </c>
      <c r="Z140" s="97">
        <f t="shared" si="13"/>
        <v>0.94685048089924406</v>
      </c>
      <c r="AA140" s="97">
        <f t="shared" si="13"/>
        <v>0.98467735504253673</v>
      </c>
    </row>
    <row r="141" spans="2:31" ht="12.75" customHeight="1" x14ac:dyDescent="0.25">
      <c r="B141" s="21" t="s">
        <v>7</v>
      </c>
      <c r="C141" s="95">
        <f>Annual_sorted!I123</f>
        <v>265.85584925157798</v>
      </c>
      <c r="D141" s="29">
        <f>IF(C141-Table_14634578112918214250586674[Burundi]&gt;0, C141-Table_14634578112918214250586674[Burundi], 0)</f>
        <v>269.69054771885402</v>
      </c>
      <c r="E141" s="29">
        <f>IF(C141-Table_14634578112918214250586674[DRC]&gt;0, C141-Table_14634578112918214250586674[DRC], 0)</f>
        <v>261.88298320615428</v>
      </c>
      <c r="F141" s="29">
        <f>IF(C141-Table_14634578112918214250586674[Egypt]&gt;0, C141-Table_14634578112918214250586674[Egypt], 0)</f>
        <v>0</v>
      </c>
      <c r="G141" s="29">
        <f>IF(C141-Table_14634578112918214250586674[Eritrea]&gt;0, C141-Table_14634578112918214250586674[Eritrea], 0)</f>
        <v>264.8284450760122</v>
      </c>
      <c r="H141" s="29">
        <f>IF(C141-Table_14634578112918214250586674[Ethiopia]&gt;0, C141-Table_14634578112918214250586674[Ethiopia], 0)</f>
        <v>316.37512171364949</v>
      </c>
      <c r="I141" s="29">
        <f>IF(C141-Table_14634578112918214250586674[Kenya]&gt;0, C141-Table_14634578112918214250586674[Kenya], 0)</f>
        <v>286.01806619781712</v>
      </c>
      <c r="J141" s="29">
        <f>IF(C141-Table_14634578112918214250586674[Rwanda]&gt;0, C141-Table_14634578112918214250586674[Rwanda], 0)</f>
        <v>270.5651265843656</v>
      </c>
      <c r="K141" s="29">
        <f>IF(C141-Table_14634578112918214250586674[Sudan]&gt;0, C141-Table_14634578112918214250586674[Sudan], 0)</f>
        <v>0</v>
      </c>
      <c r="L141" s="29">
        <f>IF(C141-Table_14634578112918214250586674[S. Sudan]&gt;0, C141-Table_14634578112918214250586674[S. Sudan], 0)</f>
        <v>278.88734133777785</v>
      </c>
      <c r="M141" s="29">
        <f>IF(C141-Table_14634578112918214250586674[Tanzania]&gt;0, C141-Table_14634578112918214250586674[Tanzania], 0)</f>
        <v>307.90388664306266</v>
      </c>
      <c r="N141" s="29">
        <f>IF(C141-Table_14634578112918214250586674[Uganda]&gt;0, C141-Table_14634578112918214250586674[Uganda], 0)</f>
        <v>320.18273960993116</v>
      </c>
      <c r="P141" s="21" t="s">
        <v>8</v>
      </c>
      <c r="Q141" s="97">
        <f t="shared" si="14"/>
        <v>-1.6942732161835394E-3</v>
      </c>
      <c r="R141" s="97">
        <f t="shared" si="13"/>
        <v>-1.6942732161835394E-3</v>
      </c>
      <c r="S141" s="97">
        <f t="shared" si="13"/>
        <v>-1.6942732161835394E-3</v>
      </c>
      <c r="T141" s="97">
        <f t="shared" si="13"/>
        <v>-1.6942732161835394E-3</v>
      </c>
      <c r="U141" s="97">
        <f t="shared" si="13"/>
        <v>0.11379253601719866</v>
      </c>
      <c r="V141" s="97">
        <f t="shared" si="13"/>
        <v>2.0273009278277649E-2</v>
      </c>
      <c r="W141" s="97">
        <f t="shared" si="13"/>
        <v>-1.6942732161835394E-3</v>
      </c>
      <c r="X141" s="97">
        <f t="shared" si="13"/>
        <v>-1.6942732161835394E-3</v>
      </c>
      <c r="Y141" s="97">
        <f t="shared" si="13"/>
        <v>-1.6942732161835394E-3</v>
      </c>
      <c r="Z141" s="97">
        <f t="shared" si="13"/>
        <v>8.7695607931328981E-2</v>
      </c>
      <c r="AA141" s="97">
        <f t="shared" si="13"/>
        <v>0.12552248207462149</v>
      </c>
    </row>
    <row r="142" spans="2:31" ht="12.75" customHeight="1" x14ac:dyDescent="0.25">
      <c r="B142" s="21" t="s">
        <v>8</v>
      </c>
      <c r="C142" s="95">
        <f>Annual_sorted!I124</f>
        <v>-13.031492086199901</v>
      </c>
      <c r="D142" s="29">
        <f>IF(C142-Table_14634578112918214250586674[Burundi]&gt;0, C142-Table_14634578112918214250586674[Burundi], 0)</f>
        <v>0</v>
      </c>
      <c r="E142" s="29">
        <f>IF(C142-Table_14634578112918214250586674[DRC]&gt;0, C142-Table_14634578112918214250586674[DRC], 0)</f>
        <v>0</v>
      </c>
      <c r="F142" s="29">
        <f>IF(C142-Table_14634578112918214250586674[Egypt]&gt;0, C142-Table_14634578112918214250586674[Egypt], 0)</f>
        <v>0</v>
      </c>
      <c r="G142" s="29">
        <f>IF(C142-Table_14634578112918214250586674[Eritrea]&gt;0, C142-Table_14634578112918214250586674[Eritrea], 0)</f>
        <v>0</v>
      </c>
      <c r="H142" s="29">
        <f>IF(C142-Table_14634578112918214250586674[Ethiopia]&gt;0, C142-Table_14634578112918214250586674[Ethiopia], 0)</f>
        <v>37.487780375871637</v>
      </c>
      <c r="I142" s="29">
        <f>IF(C142-Table_14634578112918214250586674[Kenya]&gt;0, C142-Table_14634578112918214250586674[Kenya], 0)</f>
        <v>7.1307248600392654</v>
      </c>
      <c r="J142" s="29">
        <f>IF(C142-Table_14634578112918214250586674[Rwanda]&gt;0, C142-Table_14634578112918214250586674[Rwanda], 0)</f>
        <v>0</v>
      </c>
      <c r="K142" s="29">
        <f>IF(C142-Table_14634578112918214250586674[Sudan]&gt;0, C142-Table_14634578112918214250586674[Sudan], 0)</f>
        <v>0</v>
      </c>
      <c r="L142" s="29">
        <f>IF(C142-Table_14634578112918214250586674[S. Sudan]&gt;0, C142-Table_14634578112918214250586674[S. Sudan], 0)</f>
        <v>0</v>
      </c>
      <c r="M142" s="29">
        <f>IF(C142-Table_14634578112918214250586674[Tanzania]&gt;0, C142-Table_14634578112918214250586674[Tanzania], 0)</f>
        <v>29.016545305284797</v>
      </c>
      <c r="N142" s="29">
        <f>IF(C142-Table_14634578112918214250586674[Uganda]&gt;0, C142-Table_14634578112918214250586674[Uganda], 0)</f>
        <v>41.295398272153264</v>
      </c>
      <c r="P142" s="21" t="s">
        <v>9</v>
      </c>
      <c r="Q142" s="97">
        <f t="shared" si="14"/>
        <v>-1.6942732161835394E-3</v>
      </c>
      <c r="R142" s="97">
        <f t="shared" si="13"/>
        <v>-1.6942732161835394E-3</v>
      </c>
      <c r="S142" s="97">
        <f t="shared" si="13"/>
        <v>-1.6942732161835394E-3</v>
      </c>
      <c r="T142" s="97">
        <f t="shared" si="13"/>
        <v>-1.6942732161835394E-3</v>
      </c>
      <c r="U142" s="97">
        <f t="shared" si="13"/>
        <v>2.440265486968617E-2</v>
      </c>
      <c r="V142" s="97">
        <f t="shared" si="13"/>
        <v>-1.6942732161835394E-3</v>
      </c>
      <c r="W142" s="97">
        <f t="shared" si="13"/>
        <v>-1.6942732161835394E-3</v>
      </c>
      <c r="X142" s="97">
        <f t="shared" si="13"/>
        <v>-1.6942732161835394E-3</v>
      </c>
      <c r="Y142" s="97">
        <f t="shared" si="13"/>
        <v>-1.6942732161835394E-3</v>
      </c>
      <c r="Z142" s="97">
        <f t="shared" si="13"/>
        <v>-1.6942732161835394E-3</v>
      </c>
      <c r="AA142" s="97">
        <f t="shared" si="13"/>
        <v>3.6132600927108974E-2</v>
      </c>
    </row>
    <row r="143" spans="2:31" ht="12.75" customHeight="1" thickBot="1" x14ac:dyDescent="0.3">
      <c r="B143" s="21" t="s">
        <v>9</v>
      </c>
      <c r="C143" s="95">
        <f>Annual_sorted!I125</f>
        <v>-42.048037391484698</v>
      </c>
      <c r="D143" s="29">
        <f>IF(C143-Table_14634578112918214250586674[Burundi]&gt;0, C143-Table_14634578112918214250586674[Burundi], 0)</f>
        <v>0</v>
      </c>
      <c r="E143" s="29">
        <f>IF(C143-Table_14634578112918214250586674[DRC]&gt;0, C143-Table_14634578112918214250586674[DRC], 0)</f>
        <v>0</v>
      </c>
      <c r="F143" s="29">
        <f>IF(C143-Table_14634578112918214250586674[Egypt]&gt;0, C143-Table_14634578112918214250586674[Egypt], 0)</f>
        <v>0</v>
      </c>
      <c r="G143" s="29">
        <f>IF(C143-Table_14634578112918214250586674[Eritrea]&gt;0, C143-Table_14634578112918214250586674[Eritrea], 0)</f>
        <v>0</v>
      </c>
      <c r="H143" s="29">
        <f>IF(C143-Table_14634578112918214250586674[Ethiopia]&gt;0, C143-Table_14634578112918214250586674[Ethiopia], 0)</f>
        <v>8.4712350705868431</v>
      </c>
      <c r="I143" s="29">
        <f>IF(C143-Table_14634578112918214250586674[Kenya]&gt;0, C143-Table_14634578112918214250586674[Kenya], 0)</f>
        <v>0</v>
      </c>
      <c r="J143" s="29">
        <f>IF(C143-Table_14634578112918214250586674[Rwanda]&gt;0, C143-Table_14634578112918214250586674[Rwanda], 0)</f>
        <v>0</v>
      </c>
      <c r="K143" s="29">
        <f>IF(C143-Table_14634578112918214250586674[Sudan]&gt;0, C143-Table_14634578112918214250586674[Sudan], 0)</f>
        <v>0</v>
      </c>
      <c r="L143" s="29">
        <f>IF(C143-Table_14634578112918214250586674[S. Sudan]&gt;0, C143-Table_14634578112918214250586674[S. Sudan], 0)</f>
        <v>0</v>
      </c>
      <c r="M143" s="29">
        <f>IF(C143-Table_14634578112918214250586674[Tanzania]&gt;0, C143-Table_14634578112918214250586674[Tanzania], 0)</f>
        <v>0</v>
      </c>
      <c r="N143" s="29">
        <f>IF(C143-Table_14634578112918214250586674[Uganda]&gt;0, C143-Table_14634578112918214250586674[Uganda], 0)</f>
        <v>12.278852966868463</v>
      </c>
      <c r="P143" s="22" t="s">
        <v>10</v>
      </c>
      <c r="Q143" s="98">
        <f t="shared" si="14"/>
        <v>-1.6942732161835394E-3</v>
      </c>
      <c r="R143" s="98">
        <f t="shared" si="13"/>
        <v>-1.6942732161835394E-3</v>
      </c>
      <c r="S143" s="98">
        <f t="shared" si="13"/>
        <v>-1.6942732161835394E-3</v>
      </c>
      <c r="T143" s="98">
        <f t="shared" si="13"/>
        <v>-1.6942732161835394E-3</v>
      </c>
      <c r="U143" s="98">
        <f t="shared" si="13"/>
        <v>-1.6942732161835394E-3</v>
      </c>
      <c r="V143" s="98">
        <f t="shared" si="13"/>
        <v>-1.6942732161835394E-3</v>
      </c>
      <c r="W143" s="98">
        <f t="shared" si="13"/>
        <v>-1.6942732161835394E-3</v>
      </c>
      <c r="X143" s="98">
        <f t="shared" si="13"/>
        <v>-1.6942732161835394E-3</v>
      </c>
      <c r="Y143" s="98">
        <f t="shared" si="13"/>
        <v>-1.6942732161835394E-3</v>
      </c>
      <c r="Z143" s="98">
        <f t="shared" si="13"/>
        <v>-1.6942732161835394E-3</v>
      </c>
      <c r="AA143" s="98">
        <f t="shared" si="13"/>
        <v>-1.6942732161835394E-3</v>
      </c>
      <c r="AB143" s="186">
        <f>SUM(Q133:AA143)</f>
        <v>18.777491132822707</v>
      </c>
    </row>
    <row r="144" spans="2:31" ht="12.75" customHeight="1" thickBot="1" x14ac:dyDescent="0.3">
      <c r="B144" s="22" t="s">
        <v>10</v>
      </c>
      <c r="C144" s="96">
        <f>Annual_sorted!I126</f>
        <v>-54.326890358353161</v>
      </c>
      <c r="D144" s="32">
        <f>IF(C144-Table_14634578112918214250586674[Burundi]&gt;0, C144-Table_14634578112918214250586674[Burundi], 0)</f>
        <v>0</v>
      </c>
      <c r="E144" s="32">
        <f>IF(C144-Table_14634578112918214250586674[DRC]&gt;0, C144-Table_14634578112918214250586674[DRC], 0)</f>
        <v>0</v>
      </c>
      <c r="F144" s="32">
        <f>IF(C144-Table_14634578112918214250586674[Egypt]&gt;0, C144-Table_14634578112918214250586674[Egypt], 0)</f>
        <v>0</v>
      </c>
      <c r="G144" s="32">
        <f>IF(C144-Table_14634578112918214250586674[Eritrea]&gt;0, C144-Table_14634578112918214250586674[Eritrea], 0)</f>
        <v>0</v>
      </c>
      <c r="H144" s="32">
        <f>IF(C144-Table_14634578112918214250586674[Ethiopia]&gt;0, C144-Table_14634578112918214250586674[Ethiopia], 0)</f>
        <v>0</v>
      </c>
      <c r="I144" s="32">
        <f>IF(C144-Table_14634578112918214250586674[Kenya]&gt;0, C144-Table_14634578112918214250586674[Kenya], 0)</f>
        <v>0</v>
      </c>
      <c r="J144" s="32">
        <f>IF(C144-Table_14634578112918214250586674[Rwanda]&gt;0, C144-Table_14634578112918214250586674[Rwanda], 0)</f>
        <v>0</v>
      </c>
      <c r="K144" s="32">
        <f>IF(C144-Table_14634578112918214250586674[Sudan]&gt;0, C144-Table_14634578112918214250586674[Sudan], 0)</f>
        <v>0</v>
      </c>
      <c r="L144" s="32">
        <f>IF(C144-Table_14634578112918214250586674[S. Sudan]&gt;0, C144-Table_14634578112918214250586674[S. Sudan], 0)</f>
        <v>0</v>
      </c>
      <c r="M144" s="32">
        <f>IF(C144-Table_14634578112918214250586674[Tanzania]&gt;0, C144-Table_14634578112918214250586674[Tanzania], 0)</f>
        <v>0</v>
      </c>
      <c r="N144" s="32">
        <f>IF(C144-Table_14634578112918214250586674[Uganda]&gt;0, C144-Table_14634578112918214250586674[Uganda], 0)</f>
        <v>0</v>
      </c>
    </row>
    <row r="145" ht="12.75" customHeight="1" x14ac:dyDescent="0.25"/>
    <row r="146" ht="12.75" customHeight="1" x14ac:dyDescent="0.25"/>
    <row r="147" ht="12.75" customHeight="1" x14ac:dyDescent="0.25"/>
    <row r="148" ht="12.75" customHeight="1" x14ac:dyDescent="0.25"/>
    <row r="149" ht="12.75" customHeight="1" x14ac:dyDescent="0.25"/>
    <row r="150" ht="12.75" customHeight="1" x14ac:dyDescent="0.25"/>
    <row r="151" ht="12.75" customHeight="1" x14ac:dyDescent="0.25"/>
    <row r="152" ht="12.75" customHeight="1" x14ac:dyDescent="0.25"/>
    <row r="153" ht="12.75" customHeight="1" x14ac:dyDescent="0.25"/>
    <row r="154" ht="12.75" customHeight="1" x14ac:dyDescent="0.25"/>
    <row r="155" ht="12.75" customHeight="1" x14ac:dyDescent="0.25"/>
    <row r="156" ht="12.75" customHeight="1" x14ac:dyDescent="0.25"/>
    <row r="157" ht="12.75" customHeight="1" x14ac:dyDescent="0.25"/>
    <row r="158" ht="12.75" customHeight="1" x14ac:dyDescent="0.25"/>
    <row r="159" ht="12.75" customHeight="1" x14ac:dyDescent="0.25"/>
    <row r="160" ht="12.75" customHeight="1" x14ac:dyDescent="0.25"/>
    <row r="161" ht="12.75" customHeight="1" x14ac:dyDescent="0.25"/>
    <row r="162" ht="12.75" customHeight="1" x14ac:dyDescent="0.25"/>
    <row r="163" ht="12.75" customHeight="1" x14ac:dyDescent="0.25"/>
    <row r="164" ht="12.75" customHeight="1" x14ac:dyDescent="0.25"/>
    <row r="165" ht="12.75" customHeight="1" x14ac:dyDescent="0.25"/>
    <row r="166" ht="12.75" customHeight="1" x14ac:dyDescent="0.25"/>
    <row r="167" ht="12.75" customHeight="1" x14ac:dyDescent="0.25"/>
    <row r="168" ht="12.75" customHeight="1" x14ac:dyDescent="0.25"/>
    <row r="169" ht="12.75" customHeight="1" x14ac:dyDescent="0.25"/>
    <row r="170" ht="12.75" customHeight="1" x14ac:dyDescent="0.25"/>
    <row r="171" ht="12.75" customHeight="1" x14ac:dyDescent="0.25"/>
    <row r="172" ht="12.75" customHeight="1" x14ac:dyDescent="0.25"/>
    <row r="173" ht="12.75" customHeight="1" x14ac:dyDescent="0.25"/>
    <row r="174" ht="12.75" customHeight="1" x14ac:dyDescent="0.25"/>
    <row r="175" ht="12.75" customHeight="1" x14ac:dyDescent="0.25"/>
    <row r="176" ht="12.75" customHeight="1" x14ac:dyDescent="0.25"/>
    <row r="177" ht="12.75" customHeight="1" x14ac:dyDescent="0.25"/>
    <row r="178" ht="12.75" customHeight="1" x14ac:dyDescent="0.25"/>
    <row r="179" ht="12.75" customHeight="1" x14ac:dyDescent="0.25"/>
    <row r="180" ht="12.75" customHeight="1" x14ac:dyDescent="0.25"/>
    <row r="181" ht="12.75" customHeight="1" x14ac:dyDescent="0.25"/>
    <row r="182" ht="12.75" customHeight="1" x14ac:dyDescent="0.25"/>
    <row r="183" ht="12.75" customHeight="1" x14ac:dyDescent="0.25"/>
    <row r="184" ht="12.75" customHeight="1" x14ac:dyDescent="0.25"/>
    <row r="185" ht="12.75" customHeight="1" x14ac:dyDescent="0.25"/>
    <row r="186" ht="12.75" customHeight="1" x14ac:dyDescent="0.25"/>
    <row r="187" ht="12.75" customHeight="1" x14ac:dyDescent="0.25"/>
    <row r="188" ht="12.75" customHeight="1" x14ac:dyDescent="0.25"/>
    <row r="189" ht="12.75" customHeight="1" x14ac:dyDescent="0.25"/>
    <row r="190" ht="12.75" customHeight="1" x14ac:dyDescent="0.25"/>
    <row r="191" ht="12.75" customHeight="1" x14ac:dyDescent="0.25"/>
    <row r="192" ht="12.75" customHeight="1" x14ac:dyDescent="0.25"/>
    <row r="193" ht="12.75" customHeight="1" x14ac:dyDescent="0.25"/>
    <row r="194" ht="12.75" customHeight="1" x14ac:dyDescent="0.25"/>
    <row r="195" ht="12.75" customHeight="1" x14ac:dyDescent="0.25"/>
    <row r="196" ht="12.75" customHeight="1" x14ac:dyDescent="0.25"/>
    <row r="197" ht="12.75" customHeight="1" x14ac:dyDescent="0.25"/>
    <row r="198" ht="12.75" customHeight="1" x14ac:dyDescent="0.25"/>
    <row r="199" ht="12.75" customHeight="1" x14ac:dyDescent="0.25"/>
    <row r="200" ht="12.75" customHeight="1" x14ac:dyDescent="0.25"/>
    <row r="201" ht="12.75" customHeight="1" x14ac:dyDescent="0.25"/>
    <row r="202" ht="12.75" customHeight="1" x14ac:dyDescent="0.25"/>
    <row r="203" ht="12.75" customHeight="1" x14ac:dyDescent="0.25"/>
    <row r="204" ht="12.75" customHeight="1" x14ac:dyDescent="0.25"/>
    <row r="205" ht="12.75" customHeight="1" x14ac:dyDescent="0.25"/>
    <row r="206" ht="12.75" customHeight="1" x14ac:dyDescent="0.25"/>
    <row r="207" ht="12.75" customHeight="1" x14ac:dyDescent="0.25"/>
    <row r="208" ht="12.75" customHeight="1" x14ac:dyDescent="0.25"/>
    <row r="209" ht="12.75" customHeight="1" x14ac:dyDescent="0.25"/>
    <row r="210" ht="12.75" customHeight="1" x14ac:dyDescent="0.25"/>
    <row r="211" ht="12.75" customHeight="1" x14ac:dyDescent="0.25"/>
    <row r="212" ht="12.75" customHeight="1" x14ac:dyDescent="0.25"/>
    <row r="213" ht="12.75" customHeight="1" x14ac:dyDescent="0.25"/>
    <row r="214" ht="12.75" customHeight="1" x14ac:dyDescent="0.25"/>
    <row r="215" ht="12.75" customHeight="1" x14ac:dyDescent="0.25"/>
    <row r="216" ht="12.75" customHeight="1" x14ac:dyDescent="0.25"/>
    <row r="217" ht="12.75" customHeight="1" x14ac:dyDescent="0.25"/>
    <row r="218" ht="12.75" customHeight="1" x14ac:dyDescent="0.25"/>
    <row r="219" ht="12.75" customHeight="1" x14ac:dyDescent="0.25"/>
    <row r="220" ht="12.75" customHeight="1" x14ac:dyDescent="0.25"/>
    <row r="221" ht="12.75" customHeight="1" x14ac:dyDescent="0.25"/>
    <row r="222" ht="12.75" customHeight="1" x14ac:dyDescent="0.25"/>
    <row r="223" ht="12.75" customHeight="1" x14ac:dyDescent="0.25"/>
    <row r="224" ht="12.75" customHeight="1" x14ac:dyDescent="0.25"/>
    <row r="225" ht="12.75" customHeight="1" x14ac:dyDescent="0.25"/>
    <row r="226" ht="12.75" customHeight="1" x14ac:dyDescent="0.25"/>
    <row r="227" ht="12.75" customHeight="1" x14ac:dyDescent="0.25"/>
    <row r="228" ht="12.75" customHeight="1" x14ac:dyDescent="0.25"/>
    <row r="229" ht="12.75" customHeight="1" x14ac:dyDescent="0.25"/>
    <row r="230" ht="12.75" customHeight="1" x14ac:dyDescent="0.25"/>
    <row r="231" ht="12.75" customHeight="1" x14ac:dyDescent="0.25"/>
    <row r="232" ht="12.75" customHeight="1" x14ac:dyDescent="0.25"/>
    <row r="233" ht="12.75" customHeight="1" x14ac:dyDescent="0.25"/>
    <row r="234" ht="12.75" customHeight="1" x14ac:dyDescent="0.25"/>
    <row r="235" ht="12.75" customHeight="1" x14ac:dyDescent="0.25"/>
    <row r="236" ht="12.75" customHeight="1" x14ac:dyDescent="0.25"/>
    <row r="237" ht="12.75" customHeight="1" x14ac:dyDescent="0.25"/>
    <row r="238" ht="12.75" customHeight="1" x14ac:dyDescent="0.25"/>
    <row r="239" ht="12.75" customHeight="1" x14ac:dyDescent="0.25"/>
    <row r="240" ht="12.75" customHeight="1" x14ac:dyDescent="0.25"/>
    <row r="241" ht="12.75" customHeight="1" x14ac:dyDescent="0.25"/>
    <row r="242" ht="12.75" customHeight="1" x14ac:dyDescent="0.25"/>
    <row r="243" ht="12.75" customHeight="1" x14ac:dyDescent="0.25"/>
    <row r="244" ht="12.75" customHeight="1" x14ac:dyDescent="0.25"/>
    <row r="245" ht="12.75" customHeight="1" x14ac:dyDescent="0.25"/>
    <row r="246" ht="12.75" customHeight="1" x14ac:dyDescent="0.25"/>
    <row r="247" ht="12.75" customHeight="1" x14ac:dyDescent="0.25"/>
    <row r="248" ht="12.75" customHeight="1" x14ac:dyDescent="0.25"/>
    <row r="249" ht="12.75" customHeight="1" x14ac:dyDescent="0.25"/>
    <row r="250" ht="12.75" customHeight="1" x14ac:dyDescent="0.25"/>
    <row r="251" ht="12.75" customHeight="1" x14ac:dyDescent="0.25"/>
    <row r="252" ht="12.75" customHeight="1" x14ac:dyDescent="0.25"/>
    <row r="253" ht="12.75" customHeight="1" x14ac:dyDescent="0.25"/>
    <row r="254" ht="12.75" customHeight="1" x14ac:dyDescent="0.25"/>
    <row r="255" ht="12.75" customHeight="1" x14ac:dyDescent="0.25"/>
    <row r="256" ht="12.75" customHeight="1" x14ac:dyDescent="0.25"/>
    <row r="257" ht="12.75" customHeight="1" x14ac:dyDescent="0.25"/>
    <row r="258" ht="12.75" customHeight="1" x14ac:dyDescent="0.25"/>
    <row r="259" ht="12.75" customHeight="1" x14ac:dyDescent="0.25"/>
    <row r="260" ht="12.75" customHeight="1" x14ac:dyDescent="0.25"/>
    <row r="261" ht="12.75" customHeight="1" x14ac:dyDescent="0.25"/>
    <row r="262" ht="12.75" customHeight="1" x14ac:dyDescent="0.25"/>
    <row r="263" ht="12.75" customHeight="1" x14ac:dyDescent="0.25"/>
    <row r="264" ht="12.75" customHeight="1" x14ac:dyDescent="0.25"/>
    <row r="265" ht="12.75" customHeight="1" x14ac:dyDescent="0.25"/>
    <row r="266" ht="12.75" customHeight="1" x14ac:dyDescent="0.25"/>
    <row r="267" ht="12.75" customHeight="1" x14ac:dyDescent="0.25"/>
    <row r="268" ht="12.75" customHeight="1" x14ac:dyDescent="0.25"/>
    <row r="269" ht="12.75" customHeight="1" x14ac:dyDescent="0.25"/>
    <row r="270" ht="12.75" customHeight="1" x14ac:dyDescent="0.25"/>
    <row r="271" ht="12.75" customHeight="1" x14ac:dyDescent="0.25"/>
    <row r="272" ht="12.75" customHeight="1" x14ac:dyDescent="0.25"/>
    <row r="273" ht="12.75" customHeight="1" x14ac:dyDescent="0.25"/>
    <row r="274" ht="12.75" customHeight="1" x14ac:dyDescent="0.25"/>
    <row r="275" ht="12.75" customHeight="1" x14ac:dyDescent="0.25"/>
    <row r="276" ht="12.75" customHeight="1" x14ac:dyDescent="0.25"/>
    <row r="277" ht="12.75" customHeight="1" x14ac:dyDescent="0.25"/>
    <row r="278" ht="12.75" customHeight="1" x14ac:dyDescent="0.25"/>
    <row r="279" ht="12.75" customHeight="1" x14ac:dyDescent="0.25"/>
    <row r="280" ht="12.75" customHeight="1" x14ac:dyDescent="0.25"/>
    <row r="281" ht="12.75" customHeight="1" x14ac:dyDescent="0.25"/>
    <row r="282" ht="12.75" customHeight="1" x14ac:dyDescent="0.25"/>
    <row r="283" ht="12.75" customHeight="1" x14ac:dyDescent="0.25"/>
    <row r="284" ht="12.75" customHeight="1" x14ac:dyDescent="0.25"/>
    <row r="285" ht="12.75" customHeight="1" x14ac:dyDescent="0.25"/>
    <row r="286" ht="12.75" customHeight="1" x14ac:dyDescent="0.25"/>
    <row r="287" ht="12.75" customHeight="1" x14ac:dyDescent="0.25"/>
    <row r="288" ht="12.75" customHeight="1" x14ac:dyDescent="0.25"/>
    <row r="289" ht="12.75" customHeight="1" x14ac:dyDescent="0.25"/>
    <row r="290" ht="12.75" customHeight="1" x14ac:dyDescent="0.25"/>
    <row r="291" ht="12.75" customHeight="1" x14ac:dyDescent="0.25"/>
    <row r="292" ht="12.75" customHeight="1" x14ac:dyDescent="0.25"/>
    <row r="293" ht="12.75" customHeight="1" x14ac:dyDescent="0.25"/>
    <row r="294" ht="12.75" customHeight="1" x14ac:dyDescent="0.25"/>
    <row r="295" ht="12.75" customHeight="1" x14ac:dyDescent="0.25"/>
    <row r="296" ht="12.75" customHeight="1" x14ac:dyDescent="0.25"/>
    <row r="297" ht="12.75" customHeight="1" x14ac:dyDescent="0.25"/>
    <row r="298" ht="12.75" customHeight="1" x14ac:dyDescent="0.25"/>
    <row r="299" ht="12.75" customHeight="1" x14ac:dyDescent="0.25"/>
    <row r="300" ht="12.75" customHeight="1" x14ac:dyDescent="0.25"/>
    <row r="301" ht="12.75" customHeight="1" x14ac:dyDescent="0.25"/>
    <row r="302" ht="12.75" customHeight="1" x14ac:dyDescent="0.25"/>
    <row r="303" ht="12.75" customHeight="1" x14ac:dyDescent="0.25"/>
    <row r="304" ht="12.75" customHeight="1" x14ac:dyDescent="0.25"/>
    <row r="305" ht="12.75" customHeight="1" x14ac:dyDescent="0.25"/>
    <row r="306" ht="12.75" customHeight="1" x14ac:dyDescent="0.25"/>
    <row r="307" ht="12.75" customHeight="1" x14ac:dyDescent="0.25"/>
    <row r="308" ht="12.75" customHeight="1" x14ac:dyDescent="0.25"/>
    <row r="309" ht="12.75" customHeight="1" x14ac:dyDescent="0.25"/>
    <row r="310" ht="12.75" customHeight="1" x14ac:dyDescent="0.25"/>
    <row r="311" ht="12.75" customHeight="1" x14ac:dyDescent="0.25"/>
    <row r="312" ht="12.75" customHeight="1" x14ac:dyDescent="0.25"/>
    <row r="313" ht="12.75" customHeight="1" x14ac:dyDescent="0.25"/>
    <row r="314" ht="12.75" customHeight="1" x14ac:dyDescent="0.25"/>
    <row r="315" ht="12.75" customHeight="1" x14ac:dyDescent="0.25"/>
    <row r="316" ht="12.75" customHeight="1" x14ac:dyDescent="0.25"/>
    <row r="317" ht="12.75" customHeight="1" x14ac:dyDescent="0.25"/>
    <row r="318" ht="12.75" customHeight="1" x14ac:dyDescent="0.25"/>
    <row r="319" ht="12.75" customHeight="1" x14ac:dyDescent="0.25"/>
    <row r="320" ht="12.75" customHeight="1" x14ac:dyDescent="0.25"/>
    <row r="321" ht="12.75" customHeight="1" x14ac:dyDescent="0.25"/>
    <row r="322" ht="12.75" customHeight="1" x14ac:dyDescent="0.25"/>
    <row r="323" ht="12.75" customHeight="1" x14ac:dyDescent="0.25"/>
    <row r="324" ht="12.75" customHeight="1" x14ac:dyDescent="0.25"/>
    <row r="325" ht="12.75" customHeight="1" x14ac:dyDescent="0.25"/>
    <row r="326" ht="12.75" customHeight="1" x14ac:dyDescent="0.25"/>
    <row r="327" ht="12.75" customHeight="1" x14ac:dyDescent="0.25"/>
    <row r="328" ht="12.75" customHeight="1" x14ac:dyDescent="0.25"/>
    <row r="329" ht="12.75" customHeight="1" x14ac:dyDescent="0.25"/>
    <row r="330" ht="12.75" customHeight="1" x14ac:dyDescent="0.25"/>
    <row r="331" ht="12.75" customHeight="1" x14ac:dyDescent="0.25"/>
    <row r="332" ht="12.75" customHeight="1" x14ac:dyDescent="0.25"/>
    <row r="333" ht="12.75" customHeight="1" x14ac:dyDescent="0.25"/>
    <row r="334" ht="12.75" customHeight="1" x14ac:dyDescent="0.25"/>
    <row r="335" ht="12.75" customHeight="1" x14ac:dyDescent="0.25"/>
    <row r="336" ht="12.75" customHeight="1" x14ac:dyDescent="0.25"/>
    <row r="337" ht="12.75" customHeight="1" x14ac:dyDescent="0.25"/>
    <row r="338" ht="12.75" customHeight="1" x14ac:dyDescent="0.25"/>
    <row r="339" ht="12.75" customHeight="1" x14ac:dyDescent="0.25"/>
    <row r="340" ht="12.75" customHeight="1" x14ac:dyDescent="0.25"/>
    <row r="341" ht="12.75" customHeight="1" x14ac:dyDescent="0.25"/>
    <row r="342" ht="12.75" customHeight="1" x14ac:dyDescent="0.25"/>
    <row r="343" ht="12.75" customHeight="1" x14ac:dyDescent="0.25"/>
    <row r="344" ht="12.75" customHeight="1" x14ac:dyDescent="0.25"/>
    <row r="345" ht="12.75" customHeight="1" x14ac:dyDescent="0.25"/>
    <row r="346" ht="12.75" customHeight="1" x14ac:dyDescent="0.25"/>
    <row r="347" ht="12.75" customHeight="1" x14ac:dyDescent="0.25"/>
    <row r="348" ht="12.75" customHeight="1" x14ac:dyDescent="0.25"/>
    <row r="349" ht="12.75" customHeight="1" x14ac:dyDescent="0.25"/>
    <row r="350" ht="12.75" customHeight="1" x14ac:dyDescent="0.25"/>
    <row r="351" ht="12.75" customHeight="1" x14ac:dyDescent="0.25"/>
    <row r="352" ht="12.75" customHeight="1" x14ac:dyDescent="0.25"/>
    <row r="353" ht="12.75" customHeight="1" x14ac:dyDescent="0.25"/>
    <row r="354" ht="12.75" customHeight="1" x14ac:dyDescent="0.25"/>
    <row r="355" ht="12.75" customHeight="1" x14ac:dyDescent="0.25"/>
    <row r="356" ht="12.75" customHeight="1" x14ac:dyDescent="0.25"/>
    <row r="357" ht="12.75" customHeight="1" x14ac:dyDescent="0.25"/>
    <row r="358" ht="12.75" customHeight="1" x14ac:dyDescent="0.25"/>
    <row r="359" ht="12.75" customHeight="1" x14ac:dyDescent="0.25"/>
    <row r="360" ht="12.75" customHeight="1" x14ac:dyDescent="0.25"/>
    <row r="361" ht="12.75" customHeight="1" x14ac:dyDescent="0.25"/>
    <row r="362" ht="12.75" customHeight="1" x14ac:dyDescent="0.25"/>
    <row r="363" ht="12.75" customHeight="1" x14ac:dyDescent="0.25"/>
    <row r="364" ht="12.75" customHeight="1" x14ac:dyDescent="0.25"/>
    <row r="365" ht="12.75" customHeight="1" x14ac:dyDescent="0.25"/>
    <row r="366" ht="12.75" customHeight="1" x14ac:dyDescent="0.25"/>
    <row r="367" ht="12.75" customHeight="1" x14ac:dyDescent="0.25"/>
    <row r="368" ht="12.75" customHeight="1" x14ac:dyDescent="0.25"/>
    <row r="369" ht="12.75" customHeight="1" x14ac:dyDescent="0.25"/>
    <row r="370" ht="12.75" customHeight="1" x14ac:dyDescent="0.25"/>
    <row r="371" ht="12.75" customHeight="1" x14ac:dyDescent="0.25"/>
    <row r="372" ht="12.75" customHeight="1" x14ac:dyDescent="0.25"/>
    <row r="373" ht="12.75" customHeight="1" x14ac:dyDescent="0.25"/>
    <row r="374" ht="12.75" customHeight="1" x14ac:dyDescent="0.25"/>
    <row r="375" ht="12.75" customHeight="1" x14ac:dyDescent="0.25"/>
    <row r="376" ht="12.75" customHeight="1" x14ac:dyDescent="0.25"/>
    <row r="377" ht="12.75" customHeight="1" x14ac:dyDescent="0.25"/>
    <row r="378" ht="12.75" customHeight="1" x14ac:dyDescent="0.25"/>
    <row r="379" ht="12.75" customHeight="1" x14ac:dyDescent="0.25"/>
    <row r="380" ht="12.75" customHeight="1" x14ac:dyDescent="0.25"/>
    <row r="381" ht="12.75" customHeight="1" x14ac:dyDescent="0.25"/>
    <row r="382" ht="12.75" customHeight="1" x14ac:dyDescent="0.25"/>
    <row r="383" ht="12.75" customHeight="1" x14ac:dyDescent="0.25"/>
    <row r="384" ht="12.75" customHeight="1" x14ac:dyDescent="0.25"/>
    <row r="385" ht="12.75" customHeight="1" x14ac:dyDescent="0.25"/>
    <row r="386" ht="12.75" customHeight="1" x14ac:dyDescent="0.25"/>
    <row r="387" ht="12.75" customHeight="1" x14ac:dyDescent="0.25"/>
    <row r="388" ht="12.75" customHeight="1" x14ac:dyDescent="0.25"/>
    <row r="389" ht="12.75" customHeight="1" x14ac:dyDescent="0.25"/>
    <row r="390" ht="12.75" customHeight="1" x14ac:dyDescent="0.25"/>
    <row r="391" ht="12.75" customHeight="1" x14ac:dyDescent="0.25"/>
    <row r="392" ht="12.75" customHeight="1" x14ac:dyDescent="0.25"/>
    <row r="393" ht="12.75" customHeight="1" x14ac:dyDescent="0.25"/>
    <row r="394" ht="12.75" customHeight="1" x14ac:dyDescent="0.25"/>
    <row r="395" ht="12.75" customHeight="1" x14ac:dyDescent="0.25"/>
    <row r="396" ht="12.75" customHeight="1" x14ac:dyDescent="0.25"/>
    <row r="397" ht="12.75" customHeight="1" x14ac:dyDescent="0.25"/>
    <row r="398" ht="12.75" customHeight="1" x14ac:dyDescent="0.25"/>
    <row r="399" ht="12.75" customHeight="1" x14ac:dyDescent="0.25"/>
    <row r="400" ht="12.75" customHeight="1" x14ac:dyDescent="0.25"/>
    <row r="401" ht="12.75" customHeight="1" x14ac:dyDescent="0.25"/>
    <row r="402" ht="12.75" customHeight="1" x14ac:dyDescent="0.25"/>
    <row r="403" ht="12.75" customHeight="1" x14ac:dyDescent="0.25"/>
    <row r="404" ht="12.75" customHeight="1" x14ac:dyDescent="0.25"/>
    <row r="405" ht="12.75" customHeight="1" x14ac:dyDescent="0.25"/>
    <row r="406" ht="12.75" customHeight="1" x14ac:dyDescent="0.25"/>
    <row r="407" ht="12.75" customHeight="1" x14ac:dyDescent="0.25"/>
    <row r="408" ht="12.75" customHeight="1" x14ac:dyDescent="0.25"/>
    <row r="409" ht="12.75" customHeight="1" x14ac:dyDescent="0.25"/>
    <row r="410" ht="12.75" customHeight="1" x14ac:dyDescent="0.25"/>
    <row r="411" ht="12.75" customHeight="1" x14ac:dyDescent="0.25"/>
    <row r="412" ht="12.75" customHeight="1" x14ac:dyDescent="0.25"/>
    <row r="413" ht="12.75" customHeight="1" x14ac:dyDescent="0.25"/>
    <row r="414" ht="12.75" customHeight="1" x14ac:dyDescent="0.25"/>
    <row r="415" ht="12.75" customHeight="1" x14ac:dyDescent="0.25"/>
    <row r="416" ht="12.75" customHeight="1" x14ac:dyDescent="0.25"/>
    <row r="417" ht="12.75" customHeight="1" x14ac:dyDescent="0.25"/>
    <row r="418" ht="12.75" customHeight="1" x14ac:dyDescent="0.25"/>
    <row r="419" ht="12.75" customHeight="1" x14ac:dyDescent="0.25"/>
    <row r="420" ht="12.75" customHeight="1" x14ac:dyDescent="0.25"/>
    <row r="421" ht="12.75" customHeight="1" x14ac:dyDescent="0.25"/>
    <row r="422" ht="12.75" customHeight="1" x14ac:dyDescent="0.25"/>
    <row r="423" ht="12.75" customHeight="1" x14ac:dyDescent="0.25"/>
    <row r="424" ht="12.75" customHeight="1" x14ac:dyDescent="0.25"/>
    <row r="425" ht="12.75" customHeight="1" x14ac:dyDescent="0.25"/>
    <row r="426" ht="12.75" customHeight="1" x14ac:dyDescent="0.25"/>
    <row r="427" ht="12.75" customHeight="1" x14ac:dyDescent="0.25"/>
    <row r="428" ht="12.75" customHeight="1" x14ac:dyDescent="0.25"/>
    <row r="429" ht="12.75" customHeight="1" x14ac:dyDescent="0.25"/>
    <row r="430" ht="12.75" customHeight="1" x14ac:dyDescent="0.25"/>
    <row r="431" ht="12.75" customHeight="1" x14ac:dyDescent="0.25"/>
    <row r="432" ht="12.75" customHeight="1" x14ac:dyDescent="0.25"/>
    <row r="433" ht="12.75" customHeight="1" x14ac:dyDescent="0.25"/>
    <row r="434" ht="12.75" customHeight="1" x14ac:dyDescent="0.25"/>
    <row r="435" ht="12.75" customHeight="1" x14ac:dyDescent="0.25"/>
    <row r="436" ht="12.75" customHeight="1" x14ac:dyDescent="0.25"/>
    <row r="437" ht="12.75" customHeight="1" x14ac:dyDescent="0.25"/>
    <row r="438" ht="12.75" customHeight="1" x14ac:dyDescent="0.25"/>
    <row r="439" ht="12.75" customHeight="1" x14ac:dyDescent="0.25"/>
    <row r="440" ht="12.75" customHeight="1" x14ac:dyDescent="0.25"/>
    <row r="441" ht="12.75" customHeight="1" x14ac:dyDescent="0.25"/>
    <row r="442" ht="12.75" customHeight="1" x14ac:dyDescent="0.25"/>
    <row r="443" ht="12.75" customHeight="1" x14ac:dyDescent="0.25"/>
    <row r="444" ht="12.75" customHeight="1" x14ac:dyDescent="0.25"/>
    <row r="445" ht="12.75" customHeight="1" x14ac:dyDescent="0.25"/>
    <row r="446" ht="12.75" customHeight="1" x14ac:dyDescent="0.25"/>
    <row r="447" ht="12.75" customHeight="1" x14ac:dyDescent="0.25"/>
    <row r="448" ht="12.75" customHeight="1" x14ac:dyDescent="0.25"/>
    <row r="449" ht="12.75" customHeight="1" x14ac:dyDescent="0.25"/>
    <row r="450" ht="12.75" customHeight="1" x14ac:dyDescent="0.25"/>
    <row r="451" ht="12.75" customHeight="1" x14ac:dyDescent="0.25"/>
    <row r="452" ht="12.75" customHeight="1" x14ac:dyDescent="0.25"/>
    <row r="453" ht="12.75" customHeight="1" x14ac:dyDescent="0.25"/>
    <row r="454" ht="12.75" customHeight="1" x14ac:dyDescent="0.25"/>
    <row r="455" ht="12.75" customHeight="1" x14ac:dyDescent="0.25"/>
    <row r="456" ht="12.75" customHeight="1" x14ac:dyDescent="0.25"/>
    <row r="457" ht="12.75" customHeight="1" x14ac:dyDescent="0.25"/>
    <row r="458" ht="12.75" customHeight="1" x14ac:dyDescent="0.25"/>
    <row r="459" ht="12.75" customHeight="1" x14ac:dyDescent="0.25"/>
    <row r="460" ht="12.75" customHeight="1" x14ac:dyDescent="0.25"/>
    <row r="461" ht="12.75" customHeight="1" x14ac:dyDescent="0.25"/>
    <row r="462" ht="12.75" customHeight="1" x14ac:dyDescent="0.25"/>
    <row r="463" ht="12.75" customHeight="1" x14ac:dyDescent="0.25"/>
    <row r="464" ht="12.75" customHeight="1" x14ac:dyDescent="0.25"/>
    <row r="465" ht="12.75" customHeight="1" x14ac:dyDescent="0.25"/>
    <row r="466" ht="12.75" customHeight="1" x14ac:dyDescent="0.25"/>
    <row r="467" ht="12.75" customHeight="1" x14ac:dyDescent="0.25"/>
    <row r="468" ht="12.75" customHeight="1" x14ac:dyDescent="0.25"/>
    <row r="469" ht="12.75" customHeight="1" x14ac:dyDescent="0.25"/>
    <row r="470" ht="12.75" customHeight="1" x14ac:dyDescent="0.25"/>
    <row r="471" ht="12.75" customHeight="1" x14ac:dyDescent="0.25"/>
    <row r="472" ht="12.75" customHeight="1" x14ac:dyDescent="0.25"/>
    <row r="473" ht="12.75" customHeight="1" x14ac:dyDescent="0.25"/>
    <row r="474" ht="12.75" customHeight="1" x14ac:dyDescent="0.25"/>
    <row r="475" ht="12.75" customHeight="1" x14ac:dyDescent="0.25"/>
    <row r="476" ht="12.75" customHeight="1" x14ac:dyDescent="0.25"/>
    <row r="477" ht="12.75" customHeight="1" x14ac:dyDescent="0.25"/>
    <row r="478" ht="12.75" customHeight="1" x14ac:dyDescent="0.25"/>
    <row r="479" ht="12.75" customHeight="1" x14ac:dyDescent="0.25"/>
    <row r="480" ht="12.75" customHeight="1" x14ac:dyDescent="0.25"/>
    <row r="481" ht="12.75" customHeight="1" x14ac:dyDescent="0.25"/>
    <row r="482" ht="12.75" customHeight="1" x14ac:dyDescent="0.25"/>
    <row r="483" ht="12.75" customHeight="1" x14ac:dyDescent="0.25"/>
    <row r="484" ht="12.75" customHeight="1" x14ac:dyDescent="0.25"/>
    <row r="485" ht="12.75" customHeight="1" x14ac:dyDescent="0.25"/>
    <row r="486" ht="12.75" customHeight="1" x14ac:dyDescent="0.25"/>
    <row r="487" ht="12.75" customHeight="1" x14ac:dyDescent="0.25"/>
    <row r="488" ht="12.75" customHeight="1" x14ac:dyDescent="0.25"/>
    <row r="489" ht="12.75" customHeight="1" x14ac:dyDescent="0.25"/>
    <row r="490" ht="12.75" customHeight="1" x14ac:dyDescent="0.25"/>
    <row r="491" ht="12.75" customHeight="1" x14ac:dyDescent="0.25"/>
    <row r="492" ht="12.75" customHeight="1" x14ac:dyDescent="0.25"/>
    <row r="493" ht="12.75" customHeight="1" x14ac:dyDescent="0.25"/>
    <row r="494" ht="12.75" customHeight="1" x14ac:dyDescent="0.25"/>
    <row r="495" ht="12.75" customHeight="1" x14ac:dyDescent="0.25"/>
    <row r="496" ht="12.75" customHeight="1" x14ac:dyDescent="0.25"/>
    <row r="497" ht="12.75" customHeight="1" x14ac:dyDescent="0.25"/>
    <row r="498" ht="12.75" customHeight="1" x14ac:dyDescent="0.25"/>
    <row r="499" ht="12.75" customHeight="1" x14ac:dyDescent="0.25"/>
    <row r="500" ht="12.75" customHeight="1" x14ac:dyDescent="0.25"/>
    <row r="501" ht="12.75" customHeight="1" x14ac:dyDescent="0.25"/>
    <row r="502" ht="12.75" customHeight="1" x14ac:dyDescent="0.25"/>
    <row r="503" ht="12.75" customHeight="1" x14ac:dyDescent="0.25"/>
    <row r="504" ht="12.75" customHeight="1" x14ac:dyDescent="0.25"/>
    <row r="505" ht="12.75" customHeight="1" x14ac:dyDescent="0.25"/>
    <row r="506" ht="12.75" customHeight="1" x14ac:dyDescent="0.25"/>
    <row r="507" ht="12.75" customHeight="1" x14ac:dyDescent="0.25"/>
    <row r="508" ht="12.75" customHeight="1" x14ac:dyDescent="0.25"/>
    <row r="509" ht="12.75" customHeight="1" x14ac:dyDescent="0.25"/>
    <row r="510" ht="12.75" customHeight="1" x14ac:dyDescent="0.25"/>
    <row r="511" ht="12.75" customHeight="1" x14ac:dyDescent="0.25"/>
    <row r="512" ht="12.75" customHeight="1" x14ac:dyDescent="0.25"/>
    <row r="513" ht="12.75" customHeight="1" x14ac:dyDescent="0.25"/>
    <row r="514" ht="12.75" customHeight="1" x14ac:dyDescent="0.25"/>
    <row r="515" ht="12.75" customHeight="1" x14ac:dyDescent="0.25"/>
    <row r="516" ht="12.75" customHeight="1" x14ac:dyDescent="0.25"/>
    <row r="517" ht="12.75" customHeight="1" x14ac:dyDescent="0.25"/>
    <row r="518" ht="12.75" customHeight="1" x14ac:dyDescent="0.25"/>
    <row r="519" ht="12.75" customHeight="1" x14ac:dyDescent="0.25"/>
    <row r="520" ht="12.75" customHeight="1" x14ac:dyDescent="0.25"/>
    <row r="521" ht="12.75" customHeight="1" x14ac:dyDescent="0.25"/>
    <row r="522" ht="12.75" customHeight="1" x14ac:dyDescent="0.25"/>
    <row r="523" ht="12.75" customHeight="1" x14ac:dyDescent="0.25"/>
    <row r="524" ht="12.75" customHeight="1" x14ac:dyDescent="0.25"/>
    <row r="525" ht="12.75" customHeight="1" x14ac:dyDescent="0.25"/>
    <row r="526" ht="12.75" customHeight="1" x14ac:dyDescent="0.25"/>
    <row r="527" ht="12.75" customHeight="1" x14ac:dyDescent="0.25"/>
    <row r="528" ht="12.75" customHeight="1" x14ac:dyDescent="0.25"/>
    <row r="529" ht="12.75" customHeight="1" x14ac:dyDescent="0.25"/>
    <row r="530" ht="12.75" customHeight="1" x14ac:dyDescent="0.25"/>
    <row r="531" ht="12.75" customHeight="1" x14ac:dyDescent="0.25"/>
    <row r="532" ht="12.75" customHeight="1" x14ac:dyDescent="0.25"/>
    <row r="533" ht="12.75" customHeight="1" x14ac:dyDescent="0.25"/>
    <row r="534" ht="12.75" customHeight="1" x14ac:dyDescent="0.25"/>
    <row r="535" ht="12.75" customHeight="1" x14ac:dyDescent="0.25"/>
    <row r="536" ht="12.75" customHeight="1" x14ac:dyDescent="0.25"/>
    <row r="537" ht="12.75" customHeight="1" x14ac:dyDescent="0.25"/>
    <row r="538" ht="12.75" customHeight="1" x14ac:dyDescent="0.25"/>
    <row r="539" ht="12.75" customHeight="1" x14ac:dyDescent="0.25"/>
    <row r="540" ht="12.75" customHeight="1" x14ac:dyDescent="0.25"/>
    <row r="541" ht="12.75" customHeight="1" x14ac:dyDescent="0.25"/>
    <row r="542" ht="12.75" customHeight="1" x14ac:dyDescent="0.25"/>
    <row r="543" ht="12.75" customHeight="1" x14ac:dyDescent="0.25"/>
    <row r="544" ht="12.75" customHeight="1" x14ac:dyDescent="0.25"/>
    <row r="545" ht="12.75" customHeight="1" x14ac:dyDescent="0.25"/>
    <row r="546" ht="12.75" customHeight="1" x14ac:dyDescent="0.25"/>
    <row r="547" ht="12.75" customHeight="1" x14ac:dyDescent="0.25"/>
    <row r="548" ht="12.75" customHeight="1" x14ac:dyDescent="0.25"/>
    <row r="549" ht="12.75" customHeight="1" x14ac:dyDescent="0.25"/>
    <row r="550" ht="12.75" customHeight="1" x14ac:dyDescent="0.25"/>
    <row r="551" ht="12.75" customHeight="1" x14ac:dyDescent="0.25"/>
    <row r="552" ht="12.75" customHeight="1" x14ac:dyDescent="0.25"/>
    <row r="553" ht="12.75" customHeight="1" x14ac:dyDescent="0.25"/>
    <row r="554" ht="12.75" customHeight="1" x14ac:dyDescent="0.25"/>
    <row r="555" ht="12.75" customHeight="1" x14ac:dyDescent="0.25"/>
    <row r="556" ht="12.75" customHeight="1" x14ac:dyDescent="0.25"/>
    <row r="557" ht="12.75" customHeight="1" x14ac:dyDescent="0.25"/>
    <row r="558" ht="12.75" customHeight="1" x14ac:dyDescent="0.25"/>
    <row r="559" ht="12.75" customHeight="1" x14ac:dyDescent="0.25"/>
    <row r="560" ht="12.75" customHeight="1" x14ac:dyDescent="0.25"/>
    <row r="561" ht="12.75" customHeight="1" x14ac:dyDescent="0.25"/>
    <row r="562" ht="12.75" customHeight="1" x14ac:dyDescent="0.25"/>
    <row r="563" ht="12.75" customHeight="1" x14ac:dyDescent="0.25"/>
    <row r="564" ht="12.75" customHeight="1" x14ac:dyDescent="0.25"/>
    <row r="565" ht="12.75" customHeight="1" x14ac:dyDescent="0.25"/>
    <row r="566" ht="12.75" customHeight="1" x14ac:dyDescent="0.25"/>
    <row r="567" ht="12.75" customHeight="1" x14ac:dyDescent="0.25"/>
    <row r="568" ht="12.75" customHeight="1" x14ac:dyDescent="0.25"/>
    <row r="569" ht="12.75" customHeight="1" x14ac:dyDescent="0.25"/>
    <row r="570" ht="12.75" customHeight="1" x14ac:dyDescent="0.25"/>
    <row r="571" ht="12.75" customHeight="1" x14ac:dyDescent="0.25"/>
    <row r="572" ht="12.75" customHeight="1" x14ac:dyDescent="0.25"/>
    <row r="573" ht="12.75" customHeight="1" x14ac:dyDescent="0.25"/>
    <row r="574" ht="12.75" customHeight="1" x14ac:dyDescent="0.25"/>
    <row r="575" ht="12.75" customHeight="1" x14ac:dyDescent="0.25"/>
    <row r="576" ht="12.75" customHeight="1" x14ac:dyDescent="0.25"/>
    <row r="577" ht="12.75" customHeight="1" x14ac:dyDescent="0.25"/>
    <row r="578" ht="12.75" customHeight="1" x14ac:dyDescent="0.25"/>
    <row r="579" ht="12.75" customHeight="1" x14ac:dyDescent="0.25"/>
    <row r="580" ht="12.75" customHeight="1" x14ac:dyDescent="0.25"/>
    <row r="581" ht="12.75" customHeight="1" x14ac:dyDescent="0.25"/>
    <row r="582" ht="12.75" customHeight="1" x14ac:dyDescent="0.25"/>
    <row r="583" ht="12.75" customHeight="1" x14ac:dyDescent="0.25"/>
    <row r="584" ht="12.75" customHeight="1" x14ac:dyDescent="0.25"/>
    <row r="585" ht="12.75" customHeight="1" x14ac:dyDescent="0.25"/>
    <row r="586" ht="12.75" customHeight="1" x14ac:dyDescent="0.25"/>
    <row r="587" ht="12.75" customHeight="1" x14ac:dyDescent="0.25"/>
    <row r="588" ht="12.75" customHeight="1" x14ac:dyDescent="0.25"/>
    <row r="589" ht="12.75" customHeight="1" x14ac:dyDescent="0.25"/>
    <row r="590" ht="12.75" customHeight="1" x14ac:dyDescent="0.25"/>
    <row r="591" ht="12.75" customHeight="1" x14ac:dyDescent="0.25"/>
    <row r="592" ht="12.75" customHeight="1" x14ac:dyDescent="0.25"/>
    <row r="593" ht="12.75" customHeight="1" x14ac:dyDescent="0.25"/>
    <row r="594" ht="12.75" customHeight="1" x14ac:dyDescent="0.25"/>
    <row r="595" ht="12.75" customHeight="1" x14ac:dyDescent="0.25"/>
    <row r="596" ht="12.75" customHeight="1" x14ac:dyDescent="0.25"/>
    <row r="597" ht="12.75" customHeight="1" x14ac:dyDescent="0.25"/>
    <row r="598" ht="12.75" customHeight="1" x14ac:dyDescent="0.25"/>
    <row r="599" ht="12.75" customHeight="1" x14ac:dyDescent="0.25"/>
    <row r="600" ht="12.75" customHeight="1" x14ac:dyDescent="0.25"/>
    <row r="601" ht="12.75" customHeight="1" x14ac:dyDescent="0.25"/>
    <row r="602" ht="12.75" customHeight="1" x14ac:dyDescent="0.25"/>
    <row r="603" ht="12.75" customHeight="1" x14ac:dyDescent="0.25"/>
    <row r="604" ht="12.75" customHeight="1" x14ac:dyDescent="0.25"/>
    <row r="605" ht="12.75" customHeight="1" x14ac:dyDescent="0.25"/>
    <row r="606" ht="12.75" customHeight="1" x14ac:dyDescent="0.25"/>
    <row r="607" ht="12.75" customHeight="1" x14ac:dyDescent="0.25"/>
    <row r="608" ht="12.75" customHeight="1" x14ac:dyDescent="0.25"/>
    <row r="609" ht="12.75" customHeight="1" x14ac:dyDescent="0.25"/>
    <row r="610" ht="12.75" customHeight="1" x14ac:dyDescent="0.25"/>
    <row r="611" ht="12.75" customHeight="1" x14ac:dyDescent="0.25"/>
    <row r="612" ht="12.75" customHeight="1" x14ac:dyDescent="0.25"/>
    <row r="613" ht="12.75" customHeight="1" x14ac:dyDescent="0.25"/>
    <row r="614" ht="12.75" customHeight="1" x14ac:dyDescent="0.25"/>
    <row r="615" ht="12.75" customHeight="1" x14ac:dyDescent="0.25"/>
    <row r="616" ht="12.75" customHeight="1" x14ac:dyDescent="0.25"/>
    <row r="617" ht="12.75" customHeight="1" x14ac:dyDescent="0.25"/>
    <row r="618" ht="12.75" customHeight="1" x14ac:dyDescent="0.25"/>
    <row r="619" ht="12.75" customHeight="1" x14ac:dyDescent="0.25"/>
    <row r="620" ht="12.75" customHeight="1" x14ac:dyDescent="0.25"/>
    <row r="621" ht="12.75" customHeight="1" x14ac:dyDescent="0.25"/>
    <row r="622" ht="12.75" customHeight="1" x14ac:dyDescent="0.25"/>
    <row r="623" ht="12.75" customHeight="1" x14ac:dyDescent="0.25"/>
    <row r="624" ht="12.75" customHeight="1" x14ac:dyDescent="0.25"/>
    <row r="625" ht="12.75" customHeight="1" x14ac:dyDescent="0.25"/>
    <row r="626" ht="12.75" customHeight="1" x14ac:dyDescent="0.25"/>
    <row r="627" ht="12.75" customHeight="1" x14ac:dyDescent="0.25"/>
    <row r="628" ht="12.75" customHeight="1" x14ac:dyDescent="0.25"/>
    <row r="629" ht="12.75" customHeight="1" x14ac:dyDescent="0.25"/>
    <row r="630" ht="12.75" customHeight="1" x14ac:dyDescent="0.25"/>
    <row r="631" ht="12.75" customHeight="1" x14ac:dyDescent="0.25"/>
    <row r="632" ht="12.75" customHeight="1" x14ac:dyDescent="0.25"/>
    <row r="633" ht="12.75" customHeight="1" x14ac:dyDescent="0.25"/>
    <row r="634" ht="12.75" customHeight="1" x14ac:dyDescent="0.25"/>
    <row r="635" ht="12.75" customHeight="1" x14ac:dyDescent="0.25"/>
    <row r="636" ht="12.75" customHeight="1" x14ac:dyDescent="0.25"/>
    <row r="637" ht="12.75" customHeight="1" x14ac:dyDescent="0.25"/>
    <row r="638" ht="12.75" customHeight="1" x14ac:dyDescent="0.25"/>
    <row r="639" ht="12.75" customHeight="1" x14ac:dyDescent="0.25"/>
    <row r="640" ht="12.75" customHeight="1" x14ac:dyDescent="0.25"/>
    <row r="641" ht="12.75" customHeight="1" x14ac:dyDescent="0.25"/>
    <row r="642" ht="12.75" customHeight="1" x14ac:dyDescent="0.25"/>
    <row r="643" ht="12.75" customHeight="1" x14ac:dyDescent="0.25"/>
    <row r="644" ht="12.75" customHeight="1" x14ac:dyDescent="0.25"/>
    <row r="645" ht="12.75" customHeight="1" x14ac:dyDescent="0.25"/>
    <row r="646" ht="12.75" customHeight="1" x14ac:dyDescent="0.25"/>
    <row r="647" ht="12.75" customHeight="1" x14ac:dyDescent="0.25"/>
    <row r="648" ht="12.75" customHeight="1" x14ac:dyDescent="0.25"/>
    <row r="649" ht="12.75" customHeight="1" x14ac:dyDescent="0.25"/>
    <row r="650" ht="12.75" customHeight="1" x14ac:dyDescent="0.25"/>
    <row r="651" ht="12.75" customHeight="1" x14ac:dyDescent="0.25"/>
    <row r="652" ht="12.75" customHeight="1" x14ac:dyDescent="0.25"/>
    <row r="653" ht="12.75" customHeight="1" x14ac:dyDescent="0.25"/>
    <row r="654" ht="12.75" customHeight="1" x14ac:dyDescent="0.25"/>
    <row r="655" ht="12.75" customHeight="1" x14ac:dyDescent="0.25"/>
    <row r="656" ht="12.75" customHeight="1" x14ac:dyDescent="0.25"/>
    <row r="657" ht="12.75" customHeight="1" x14ac:dyDescent="0.25"/>
    <row r="658" ht="12.75" customHeight="1" x14ac:dyDescent="0.25"/>
    <row r="659" ht="12.75" customHeight="1" x14ac:dyDescent="0.25"/>
    <row r="660" ht="12.75" customHeight="1" x14ac:dyDescent="0.25"/>
    <row r="661" ht="12.75" customHeight="1" x14ac:dyDescent="0.25"/>
    <row r="662" ht="12.75" customHeight="1" x14ac:dyDescent="0.25"/>
    <row r="663" ht="12.75" customHeight="1" x14ac:dyDescent="0.25"/>
    <row r="664" ht="12.75" customHeight="1" x14ac:dyDescent="0.25"/>
    <row r="665" ht="12.75" customHeight="1" x14ac:dyDescent="0.25"/>
    <row r="666" ht="12.75" customHeight="1" x14ac:dyDescent="0.25"/>
    <row r="667" ht="12.75" customHeight="1" x14ac:dyDescent="0.25"/>
    <row r="668" ht="12.75" customHeight="1" x14ac:dyDescent="0.25"/>
    <row r="669" ht="12.75" customHeight="1" x14ac:dyDescent="0.25"/>
    <row r="670" ht="12.75" customHeight="1" x14ac:dyDescent="0.25"/>
    <row r="671" ht="12.75" customHeight="1" x14ac:dyDescent="0.25"/>
    <row r="672" ht="12.75" customHeight="1" x14ac:dyDescent="0.25"/>
    <row r="673" ht="12.75" customHeight="1" x14ac:dyDescent="0.25"/>
    <row r="674" ht="12.75" customHeight="1" x14ac:dyDescent="0.25"/>
    <row r="675" ht="12.75" customHeight="1" x14ac:dyDescent="0.25"/>
    <row r="676" ht="12.75" customHeight="1" x14ac:dyDescent="0.25"/>
    <row r="677" ht="12.75" customHeight="1" x14ac:dyDescent="0.25"/>
    <row r="678" ht="12.75" customHeight="1" x14ac:dyDescent="0.25"/>
    <row r="679" ht="12.75" customHeight="1" x14ac:dyDescent="0.25"/>
    <row r="680" ht="12.75" customHeight="1" x14ac:dyDescent="0.25"/>
    <row r="681" ht="12.75" customHeight="1" x14ac:dyDescent="0.25"/>
    <row r="682" ht="12.75" customHeight="1" x14ac:dyDescent="0.25"/>
    <row r="683" ht="12.75" customHeight="1" x14ac:dyDescent="0.25"/>
    <row r="684" ht="12.75" customHeight="1" x14ac:dyDescent="0.25"/>
    <row r="685" ht="12.75" customHeight="1" x14ac:dyDescent="0.25"/>
    <row r="686" ht="12.75" customHeight="1" x14ac:dyDescent="0.25"/>
    <row r="687" ht="12.75" customHeight="1" x14ac:dyDescent="0.25"/>
    <row r="688" ht="12.75" customHeight="1" x14ac:dyDescent="0.25"/>
    <row r="689" ht="12.75" customHeight="1" x14ac:dyDescent="0.25"/>
    <row r="690" ht="12.75" customHeight="1" x14ac:dyDescent="0.25"/>
    <row r="691" ht="12.75" customHeight="1" x14ac:dyDescent="0.25"/>
    <row r="692" ht="12.75" customHeight="1" x14ac:dyDescent="0.25"/>
    <row r="693" ht="12.75" customHeight="1" x14ac:dyDescent="0.25"/>
    <row r="694" ht="12.75" customHeight="1" x14ac:dyDescent="0.25"/>
    <row r="695" ht="12.75" customHeight="1" x14ac:dyDescent="0.25"/>
    <row r="696" ht="12.75" customHeight="1" x14ac:dyDescent="0.25"/>
    <row r="697" ht="12.75" customHeight="1" x14ac:dyDescent="0.25"/>
    <row r="698" ht="12.75" customHeight="1" x14ac:dyDescent="0.25"/>
    <row r="699" ht="12.75" customHeight="1" x14ac:dyDescent="0.25"/>
    <row r="700" ht="12.75" customHeight="1" x14ac:dyDescent="0.25"/>
    <row r="701" ht="12.75" customHeight="1" x14ac:dyDescent="0.25"/>
    <row r="702" ht="12.75" customHeight="1" x14ac:dyDescent="0.25"/>
    <row r="703" ht="12.75" customHeight="1" x14ac:dyDescent="0.25"/>
    <row r="704" ht="12.75" customHeight="1" x14ac:dyDescent="0.25"/>
    <row r="705" ht="12.75" customHeight="1" x14ac:dyDescent="0.25"/>
    <row r="706" ht="12.75" customHeight="1" x14ac:dyDescent="0.25"/>
    <row r="707" ht="12.75" customHeight="1" x14ac:dyDescent="0.25"/>
    <row r="708" ht="12.75" customHeight="1" x14ac:dyDescent="0.25"/>
    <row r="709" ht="12.75" customHeight="1" x14ac:dyDescent="0.25"/>
    <row r="710" ht="12.75" customHeight="1" x14ac:dyDescent="0.25"/>
    <row r="711" ht="12.75" customHeight="1" x14ac:dyDescent="0.25"/>
    <row r="712" ht="12.75" customHeight="1" x14ac:dyDescent="0.25"/>
    <row r="713" ht="12.75" customHeight="1" x14ac:dyDescent="0.25"/>
    <row r="714" ht="12.75" customHeight="1" x14ac:dyDescent="0.25"/>
    <row r="715" ht="12.75" customHeight="1" x14ac:dyDescent="0.25"/>
    <row r="716" ht="12.75" customHeight="1" x14ac:dyDescent="0.25"/>
    <row r="717" ht="12.75" customHeight="1" x14ac:dyDescent="0.25"/>
    <row r="718" ht="12.75" customHeight="1" x14ac:dyDescent="0.25"/>
    <row r="719" ht="12.75" customHeight="1" x14ac:dyDescent="0.25"/>
    <row r="720" ht="12.75" customHeight="1" x14ac:dyDescent="0.25"/>
    <row r="721" ht="12.75" customHeight="1" x14ac:dyDescent="0.25"/>
    <row r="722" ht="12.75" customHeight="1" x14ac:dyDescent="0.25"/>
    <row r="723" ht="12.75" customHeight="1" x14ac:dyDescent="0.25"/>
    <row r="724" ht="12.75" customHeight="1" x14ac:dyDescent="0.25"/>
    <row r="725" ht="12.75" customHeight="1" x14ac:dyDescent="0.25"/>
    <row r="726" ht="12.75" customHeight="1" x14ac:dyDescent="0.25"/>
    <row r="727" ht="12.75" customHeight="1" x14ac:dyDescent="0.25"/>
    <row r="728" ht="12.75" customHeight="1" x14ac:dyDescent="0.25"/>
    <row r="729" ht="12.75" customHeight="1" x14ac:dyDescent="0.25"/>
    <row r="730" ht="12.75" customHeight="1" x14ac:dyDescent="0.25"/>
    <row r="731" ht="12.75" customHeight="1" x14ac:dyDescent="0.25"/>
    <row r="732" ht="12.75" customHeight="1" x14ac:dyDescent="0.25"/>
    <row r="733" ht="12.75" customHeight="1" x14ac:dyDescent="0.25"/>
    <row r="734" ht="12.75" customHeight="1" x14ac:dyDescent="0.25"/>
    <row r="735" ht="12.75" customHeight="1" x14ac:dyDescent="0.25"/>
    <row r="736" ht="12.75" customHeight="1" x14ac:dyDescent="0.25"/>
    <row r="737" ht="12.75" customHeight="1" x14ac:dyDescent="0.25"/>
    <row r="738" ht="12.75" customHeight="1" x14ac:dyDescent="0.25"/>
    <row r="739" ht="12.75" customHeight="1" x14ac:dyDescent="0.25"/>
    <row r="740" ht="12.75" customHeight="1" x14ac:dyDescent="0.25"/>
    <row r="741" ht="12.75" customHeight="1" x14ac:dyDescent="0.25"/>
    <row r="742" ht="12.75" customHeight="1" x14ac:dyDescent="0.25"/>
    <row r="743" ht="12.75" customHeight="1" x14ac:dyDescent="0.25"/>
    <row r="744" ht="12.75" customHeight="1" x14ac:dyDescent="0.25"/>
    <row r="745" ht="12.75" customHeight="1" x14ac:dyDescent="0.25"/>
    <row r="746" ht="12.75" customHeight="1" x14ac:dyDescent="0.25"/>
    <row r="747" ht="12.75" customHeight="1" x14ac:dyDescent="0.25"/>
    <row r="748" ht="12.75" customHeight="1" x14ac:dyDescent="0.25"/>
    <row r="749" ht="12.75" customHeight="1" x14ac:dyDescent="0.25"/>
    <row r="750" ht="12.75" customHeight="1" x14ac:dyDescent="0.25"/>
    <row r="751" ht="12.75" customHeight="1" x14ac:dyDescent="0.25"/>
    <row r="752" ht="12.75" customHeight="1" x14ac:dyDescent="0.25"/>
    <row r="753" ht="12.75" customHeight="1" x14ac:dyDescent="0.25"/>
    <row r="754" ht="12.75" customHeight="1" x14ac:dyDescent="0.25"/>
    <row r="755" ht="12.75" customHeight="1" x14ac:dyDescent="0.25"/>
    <row r="756" ht="12.75" customHeight="1" x14ac:dyDescent="0.25"/>
    <row r="757" ht="12.75" customHeight="1" x14ac:dyDescent="0.25"/>
    <row r="758" ht="12.75" customHeight="1" x14ac:dyDescent="0.25"/>
    <row r="759" ht="12.75" customHeight="1" x14ac:dyDescent="0.25"/>
    <row r="760" ht="12.75" customHeight="1" x14ac:dyDescent="0.25"/>
    <row r="761" ht="12.75" customHeight="1" x14ac:dyDescent="0.25"/>
    <row r="762" ht="12.75" customHeight="1" x14ac:dyDescent="0.25"/>
    <row r="763" ht="12.75" customHeight="1" x14ac:dyDescent="0.25"/>
    <row r="764" ht="12.75" customHeight="1" x14ac:dyDescent="0.25"/>
    <row r="765" ht="12.75" customHeight="1" x14ac:dyDescent="0.25"/>
    <row r="766" ht="12.75" customHeight="1" x14ac:dyDescent="0.25"/>
    <row r="767" ht="12.75" customHeight="1" x14ac:dyDescent="0.25"/>
    <row r="768" ht="12.75" customHeight="1" x14ac:dyDescent="0.25"/>
    <row r="769" ht="12.75" customHeight="1" x14ac:dyDescent="0.25"/>
    <row r="770" ht="12.75" customHeight="1" x14ac:dyDescent="0.25"/>
    <row r="771" ht="12.75" customHeight="1" x14ac:dyDescent="0.25"/>
    <row r="772" ht="12.75" customHeight="1" x14ac:dyDescent="0.25"/>
    <row r="773" ht="12.75" customHeight="1" x14ac:dyDescent="0.25"/>
    <row r="774" ht="12.75" customHeight="1" x14ac:dyDescent="0.25"/>
    <row r="775" ht="12.75" customHeight="1" x14ac:dyDescent="0.25"/>
    <row r="776" ht="12.75" customHeight="1" x14ac:dyDescent="0.25"/>
    <row r="777" ht="12.75" customHeight="1" x14ac:dyDescent="0.25"/>
    <row r="778" ht="12.75" customHeight="1" x14ac:dyDescent="0.25"/>
    <row r="779" ht="12.75" customHeight="1" x14ac:dyDescent="0.25"/>
    <row r="780" ht="12.75" customHeight="1" x14ac:dyDescent="0.25"/>
    <row r="781" ht="12.75" customHeight="1" x14ac:dyDescent="0.25"/>
    <row r="782" ht="12.75" customHeight="1" x14ac:dyDescent="0.25"/>
    <row r="783" ht="12.75" customHeight="1" x14ac:dyDescent="0.25"/>
    <row r="784" ht="12.75" customHeight="1" x14ac:dyDescent="0.25"/>
    <row r="785" ht="12.75" customHeight="1" x14ac:dyDescent="0.25"/>
    <row r="786" ht="12.75" customHeight="1" x14ac:dyDescent="0.25"/>
    <row r="787" ht="12.75" customHeight="1" x14ac:dyDescent="0.25"/>
    <row r="788" ht="12.75" customHeight="1" x14ac:dyDescent="0.25"/>
    <row r="789" ht="12.75" customHeight="1" x14ac:dyDescent="0.25"/>
    <row r="790" ht="12.75" customHeight="1" x14ac:dyDescent="0.25"/>
    <row r="791" ht="12.75" customHeight="1" x14ac:dyDescent="0.25"/>
    <row r="792" ht="12.75" customHeight="1" x14ac:dyDescent="0.25"/>
    <row r="793" ht="12.75" customHeight="1" x14ac:dyDescent="0.25"/>
    <row r="794" ht="12.75" customHeight="1" x14ac:dyDescent="0.25"/>
    <row r="795" ht="12.75" customHeight="1" x14ac:dyDescent="0.25"/>
    <row r="796" ht="12.75" customHeight="1" x14ac:dyDescent="0.25"/>
    <row r="797" ht="12.75" customHeight="1" x14ac:dyDescent="0.25"/>
    <row r="798" ht="12.75" customHeight="1" x14ac:dyDescent="0.25"/>
    <row r="799" ht="12.75" customHeight="1" x14ac:dyDescent="0.25"/>
    <row r="800" ht="12.75" customHeight="1" x14ac:dyDescent="0.25"/>
    <row r="801" ht="12.75" customHeight="1" x14ac:dyDescent="0.25"/>
    <row r="802" ht="12.75" customHeight="1" x14ac:dyDescent="0.25"/>
    <row r="803" ht="12.75" customHeight="1" x14ac:dyDescent="0.25"/>
    <row r="804" ht="12.75" customHeight="1" x14ac:dyDescent="0.25"/>
    <row r="805" ht="12.75" customHeight="1" x14ac:dyDescent="0.25"/>
    <row r="806" ht="12.75" customHeight="1" x14ac:dyDescent="0.25"/>
    <row r="807" ht="12.75" customHeight="1" x14ac:dyDescent="0.25"/>
    <row r="808" ht="12.75" customHeight="1" x14ac:dyDescent="0.25"/>
    <row r="809" ht="12.75" customHeight="1" x14ac:dyDescent="0.25"/>
    <row r="810" ht="12.75" customHeight="1" x14ac:dyDescent="0.25"/>
    <row r="811" ht="12.75" customHeight="1" x14ac:dyDescent="0.25"/>
    <row r="812" ht="12.75" customHeight="1" x14ac:dyDescent="0.25"/>
    <row r="813" ht="12.75" customHeight="1" x14ac:dyDescent="0.25"/>
    <row r="814" ht="12.75" customHeight="1" x14ac:dyDescent="0.25"/>
    <row r="815" ht="12.75" customHeight="1" x14ac:dyDescent="0.25"/>
    <row r="816" ht="12.75" customHeight="1" x14ac:dyDescent="0.25"/>
    <row r="817" ht="12.75" customHeight="1" x14ac:dyDescent="0.25"/>
    <row r="818" ht="12.75" customHeight="1" x14ac:dyDescent="0.25"/>
    <row r="819" ht="12.75" customHeight="1" x14ac:dyDescent="0.25"/>
    <row r="820" ht="12.75" customHeight="1" x14ac:dyDescent="0.25"/>
    <row r="821" ht="12.75" customHeight="1" x14ac:dyDescent="0.25"/>
    <row r="822" ht="12.75" customHeight="1" x14ac:dyDescent="0.25"/>
    <row r="823" ht="12.75" customHeight="1" x14ac:dyDescent="0.25"/>
    <row r="824" ht="12.75" customHeight="1" x14ac:dyDescent="0.25"/>
    <row r="825" ht="12.75" customHeight="1" x14ac:dyDescent="0.25"/>
    <row r="826" ht="12.75" customHeight="1" x14ac:dyDescent="0.25"/>
    <row r="827" ht="12.75" customHeight="1" x14ac:dyDescent="0.25"/>
    <row r="828" ht="12.75" customHeight="1" x14ac:dyDescent="0.25"/>
    <row r="829" ht="12.75" customHeight="1" x14ac:dyDescent="0.25"/>
    <row r="830" ht="12.75" customHeight="1" x14ac:dyDescent="0.25"/>
    <row r="831" ht="12.75" customHeight="1" x14ac:dyDescent="0.25"/>
    <row r="832" ht="12.75" customHeight="1" x14ac:dyDescent="0.25"/>
    <row r="833" ht="12.75" customHeight="1" x14ac:dyDescent="0.25"/>
    <row r="834" ht="12.75" customHeight="1" x14ac:dyDescent="0.25"/>
    <row r="835" ht="12.75" customHeight="1" x14ac:dyDescent="0.25"/>
    <row r="836" ht="12.75" customHeight="1" x14ac:dyDescent="0.25"/>
    <row r="837" ht="12.75" customHeight="1" x14ac:dyDescent="0.25"/>
    <row r="838" ht="12.75" customHeight="1" x14ac:dyDescent="0.25"/>
    <row r="839" ht="12.75" customHeight="1" x14ac:dyDescent="0.25"/>
    <row r="840" ht="12.75" customHeight="1" x14ac:dyDescent="0.25"/>
    <row r="841" ht="12.75" customHeight="1" x14ac:dyDescent="0.25"/>
    <row r="842" ht="12.75" customHeight="1" x14ac:dyDescent="0.25"/>
    <row r="843" ht="12.75" customHeight="1" x14ac:dyDescent="0.25"/>
    <row r="844" ht="12.75" customHeight="1" x14ac:dyDescent="0.25"/>
    <row r="845" ht="12.75" customHeight="1" x14ac:dyDescent="0.25"/>
    <row r="846" ht="12.75" customHeight="1" x14ac:dyDescent="0.25"/>
    <row r="847" ht="12.75" customHeight="1" x14ac:dyDescent="0.25"/>
    <row r="848" ht="12.75" customHeight="1" x14ac:dyDescent="0.25"/>
    <row r="849" ht="12.75" customHeight="1" x14ac:dyDescent="0.25"/>
    <row r="850" ht="12.75" customHeight="1" x14ac:dyDescent="0.25"/>
    <row r="851" ht="12.75" customHeight="1" x14ac:dyDescent="0.25"/>
    <row r="852" ht="12.75" customHeight="1" x14ac:dyDescent="0.25"/>
    <row r="853" ht="12.75" customHeight="1" x14ac:dyDescent="0.25"/>
    <row r="854" ht="12.75" customHeight="1" x14ac:dyDescent="0.25"/>
    <row r="855" ht="12.75" customHeight="1" x14ac:dyDescent="0.25"/>
    <row r="856" ht="12.75" customHeight="1" x14ac:dyDescent="0.25"/>
    <row r="857" ht="12.75" customHeight="1" x14ac:dyDescent="0.25"/>
    <row r="858" ht="12.75" customHeight="1" x14ac:dyDescent="0.25"/>
    <row r="859" ht="12.75" customHeight="1" x14ac:dyDescent="0.25"/>
    <row r="860" ht="12.75" customHeight="1" x14ac:dyDescent="0.25"/>
    <row r="861" ht="12.75" customHeight="1" x14ac:dyDescent="0.25"/>
    <row r="862" ht="12.75" customHeight="1" x14ac:dyDescent="0.25"/>
    <row r="863" ht="12.75" customHeight="1" x14ac:dyDescent="0.25"/>
    <row r="864" ht="12.75" customHeight="1" x14ac:dyDescent="0.25"/>
    <row r="865" ht="12.75" customHeight="1" x14ac:dyDescent="0.25"/>
    <row r="866" ht="12.75" customHeight="1" x14ac:dyDescent="0.25"/>
    <row r="867" ht="12.75" customHeight="1" x14ac:dyDescent="0.25"/>
    <row r="868" ht="12.75" customHeight="1" x14ac:dyDescent="0.25"/>
    <row r="869" ht="12.75" customHeight="1" x14ac:dyDescent="0.25"/>
    <row r="870" ht="12.75" customHeight="1" x14ac:dyDescent="0.25"/>
    <row r="871" ht="12.75" customHeight="1" x14ac:dyDescent="0.25"/>
    <row r="872" ht="12.75" customHeight="1" x14ac:dyDescent="0.25"/>
    <row r="873" ht="12.75" customHeight="1" x14ac:dyDescent="0.25"/>
    <row r="874" ht="12.75" customHeight="1" x14ac:dyDescent="0.25"/>
    <row r="875" ht="12.75" customHeight="1" x14ac:dyDescent="0.25"/>
    <row r="876" ht="12.75" customHeight="1" x14ac:dyDescent="0.25"/>
    <row r="877" ht="12.75" customHeight="1" x14ac:dyDescent="0.25"/>
    <row r="878" ht="12.75" customHeight="1" x14ac:dyDescent="0.25"/>
    <row r="879" ht="12.75" customHeight="1" x14ac:dyDescent="0.25"/>
    <row r="880" ht="12.75" customHeight="1" x14ac:dyDescent="0.25"/>
    <row r="881" ht="12.75" customHeight="1" x14ac:dyDescent="0.25"/>
    <row r="882" ht="12.75" customHeight="1" x14ac:dyDescent="0.25"/>
    <row r="883" ht="12.75" customHeight="1" x14ac:dyDescent="0.25"/>
    <row r="884" ht="12.75" customHeight="1" x14ac:dyDescent="0.25"/>
    <row r="885" ht="12.75" customHeight="1" x14ac:dyDescent="0.25"/>
    <row r="886" ht="12.75" customHeight="1" x14ac:dyDescent="0.25"/>
    <row r="887" ht="12.75" customHeight="1" x14ac:dyDescent="0.25"/>
    <row r="888" ht="12.75" customHeight="1" x14ac:dyDescent="0.25"/>
    <row r="889" ht="12.75" customHeight="1" x14ac:dyDescent="0.25"/>
    <row r="890" ht="12.75" customHeight="1" x14ac:dyDescent="0.25"/>
    <row r="891" ht="12.75" customHeight="1" x14ac:dyDescent="0.25"/>
    <row r="892" ht="12.75" customHeight="1" x14ac:dyDescent="0.25"/>
    <row r="893" ht="12.75" customHeight="1" x14ac:dyDescent="0.25"/>
    <row r="894" ht="12.75" customHeight="1" x14ac:dyDescent="0.25"/>
    <row r="895" ht="12.75" customHeight="1" x14ac:dyDescent="0.25"/>
    <row r="896" ht="12.75" customHeight="1" x14ac:dyDescent="0.25"/>
    <row r="897" ht="12.75" customHeight="1" x14ac:dyDescent="0.25"/>
    <row r="898" ht="12.75" customHeight="1" x14ac:dyDescent="0.25"/>
    <row r="899" ht="12.75" customHeight="1" x14ac:dyDescent="0.25"/>
    <row r="900" ht="12.75" customHeight="1" x14ac:dyDescent="0.25"/>
    <row r="901" ht="12.75" customHeight="1" x14ac:dyDescent="0.25"/>
    <row r="902" ht="12.75" customHeight="1" x14ac:dyDescent="0.25"/>
    <row r="903" ht="12.75" customHeight="1" x14ac:dyDescent="0.25"/>
    <row r="904" ht="12.75" customHeight="1" x14ac:dyDescent="0.25"/>
    <row r="905" ht="12.75" customHeight="1" x14ac:dyDescent="0.25"/>
    <row r="906" ht="12.75" customHeight="1" x14ac:dyDescent="0.25"/>
    <row r="907" ht="12.75" customHeight="1" x14ac:dyDescent="0.25"/>
    <row r="908" ht="12.75" customHeight="1" x14ac:dyDescent="0.25"/>
    <row r="909" ht="12.75" customHeight="1" x14ac:dyDescent="0.25"/>
    <row r="910" ht="12.75" customHeight="1" x14ac:dyDescent="0.25"/>
    <row r="911" ht="12.75" customHeight="1" x14ac:dyDescent="0.25"/>
    <row r="912" ht="12.75" customHeight="1" x14ac:dyDescent="0.25"/>
    <row r="913" ht="12.75" customHeight="1" x14ac:dyDescent="0.25"/>
    <row r="914" ht="12.75" customHeight="1" x14ac:dyDescent="0.25"/>
    <row r="915" ht="12.75" customHeight="1" x14ac:dyDescent="0.25"/>
    <row r="916" ht="12.75" customHeight="1" x14ac:dyDescent="0.25"/>
  </sheetData>
  <mergeCells count="26">
    <mergeCell ref="AB132:AC132"/>
    <mergeCell ref="AB96:AC96"/>
    <mergeCell ref="B113:N113"/>
    <mergeCell ref="P113:AA113"/>
    <mergeCell ref="AB114:AC114"/>
    <mergeCell ref="B131:N131"/>
    <mergeCell ref="P131:AA131"/>
    <mergeCell ref="B95:N95"/>
    <mergeCell ref="P95:AA95"/>
    <mergeCell ref="AB22:AC22"/>
    <mergeCell ref="B39:N39"/>
    <mergeCell ref="P39:AA39"/>
    <mergeCell ref="AB40:AC40"/>
    <mergeCell ref="B57:N57"/>
    <mergeCell ref="P57:AA57"/>
    <mergeCell ref="AB58:AC58"/>
    <mergeCell ref="A74:F74"/>
    <mergeCell ref="B77:N77"/>
    <mergeCell ref="P77:AA77"/>
    <mergeCell ref="AB78:AC78"/>
    <mergeCell ref="A1:F1"/>
    <mergeCell ref="B3:N3"/>
    <mergeCell ref="P3:AA3"/>
    <mergeCell ref="AB4:AC4"/>
    <mergeCell ref="B21:N21"/>
    <mergeCell ref="P21:AA21"/>
  </mergeCells>
  <conditionalFormatting sqref="Q5:AA15">
    <cfRule type="dataBar" priority="15">
      <dataBar>
        <cfvo type="min"/>
        <cfvo type="max"/>
        <color rgb="FFFFB628"/>
      </dataBar>
      <extLst>
        <ext xmlns:x14="http://schemas.microsoft.com/office/spreadsheetml/2009/9/main" uri="{B025F937-C7B1-47D3-B67F-A62EFF666E3E}">
          <x14:id>{600682D1-3321-4C1A-AA42-F565DA56BA1E}</x14:id>
        </ext>
      </extLst>
    </cfRule>
    <cfRule type="dataBar" priority="16">
      <dataBar>
        <cfvo type="min"/>
        <cfvo type="max"/>
        <color rgb="FFFF555A"/>
      </dataBar>
      <extLst>
        <ext xmlns:x14="http://schemas.microsoft.com/office/spreadsheetml/2009/9/main" uri="{B025F937-C7B1-47D3-B67F-A62EFF666E3E}">
          <x14:id>{C213D4D6-34B0-4FF9-93FC-F768D2F8AA2C}</x14:id>
        </ext>
      </extLst>
    </cfRule>
  </conditionalFormatting>
  <conditionalFormatting sqref="Q23:AA33">
    <cfRule type="dataBar" priority="13">
      <dataBar>
        <cfvo type="min"/>
        <cfvo type="max"/>
        <color rgb="FFFFB628"/>
      </dataBar>
      <extLst>
        <ext xmlns:x14="http://schemas.microsoft.com/office/spreadsheetml/2009/9/main" uri="{B025F937-C7B1-47D3-B67F-A62EFF666E3E}">
          <x14:id>{0B11C621-E2DB-43CA-9422-1219670DB0EE}</x14:id>
        </ext>
      </extLst>
    </cfRule>
    <cfRule type="dataBar" priority="14">
      <dataBar>
        <cfvo type="min"/>
        <cfvo type="max"/>
        <color rgb="FFFF555A"/>
      </dataBar>
      <extLst>
        <ext xmlns:x14="http://schemas.microsoft.com/office/spreadsheetml/2009/9/main" uri="{B025F937-C7B1-47D3-B67F-A62EFF666E3E}">
          <x14:id>{B3DACB4F-B9EB-44AB-AEA7-D6A863218532}</x14:id>
        </ext>
      </extLst>
    </cfRule>
  </conditionalFormatting>
  <conditionalFormatting sqref="Q41:AA51">
    <cfRule type="dataBar" priority="11">
      <dataBar>
        <cfvo type="min"/>
        <cfvo type="max"/>
        <color rgb="FFFFB628"/>
      </dataBar>
      <extLst>
        <ext xmlns:x14="http://schemas.microsoft.com/office/spreadsheetml/2009/9/main" uri="{B025F937-C7B1-47D3-B67F-A62EFF666E3E}">
          <x14:id>{F8D0F81B-5F9E-49C9-BAE6-3B27EDD70594}</x14:id>
        </ext>
      </extLst>
    </cfRule>
    <cfRule type="dataBar" priority="12">
      <dataBar>
        <cfvo type="min"/>
        <cfvo type="max"/>
        <color rgb="FFFF555A"/>
      </dataBar>
      <extLst>
        <ext xmlns:x14="http://schemas.microsoft.com/office/spreadsheetml/2009/9/main" uri="{B025F937-C7B1-47D3-B67F-A62EFF666E3E}">
          <x14:id>{182D8776-2619-4FE8-A946-5F0876A07F47}</x14:id>
        </ext>
      </extLst>
    </cfRule>
  </conditionalFormatting>
  <conditionalFormatting sqref="Q59:AA69">
    <cfRule type="dataBar" priority="9">
      <dataBar>
        <cfvo type="min"/>
        <cfvo type="max"/>
        <color rgb="FFFFB628"/>
      </dataBar>
      <extLst>
        <ext xmlns:x14="http://schemas.microsoft.com/office/spreadsheetml/2009/9/main" uri="{B025F937-C7B1-47D3-B67F-A62EFF666E3E}">
          <x14:id>{A46B37F5-7296-4E00-A1CD-777863B5E5A4}</x14:id>
        </ext>
      </extLst>
    </cfRule>
    <cfRule type="dataBar" priority="10">
      <dataBar>
        <cfvo type="min"/>
        <cfvo type="max"/>
        <color rgb="FFFF555A"/>
      </dataBar>
      <extLst>
        <ext xmlns:x14="http://schemas.microsoft.com/office/spreadsheetml/2009/9/main" uri="{B025F937-C7B1-47D3-B67F-A62EFF666E3E}">
          <x14:id>{69679C62-1808-41E7-8F58-F0E7A03F6F5C}</x14:id>
        </ext>
      </extLst>
    </cfRule>
  </conditionalFormatting>
  <conditionalFormatting sqref="Q79:AA89">
    <cfRule type="dataBar" priority="7">
      <dataBar>
        <cfvo type="min"/>
        <cfvo type="max"/>
        <color rgb="FFFFB628"/>
      </dataBar>
      <extLst>
        <ext xmlns:x14="http://schemas.microsoft.com/office/spreadsheetml/2009/9/main" uri="{B025F937-C7B1-47D3-B67F-A62EFF666E3E}">
          <x14:id>{E5A8052A-C304-41D9-89FF-760B43610497}</x14:id>
        </ext>
      </extLst>
    </cfRule>
    <cfRule type="dataBar" priority="8">
      <dataBar>
        <cfvo type="min"/>
        <cfvo type="max"/>
        <color rgb="FFFF555A"/>
      </dataBar>
      <extLst>
        <ext xmlns:x14="http://schemas.microsoft.com/office/spreadsheetml/2009/9/main" uri="{B025F937-C7B1-47D3-B67F-A62EFF666E3E}">
          <x14:id>{8AFA281B-D187-4D49-A3EC-E45D1EB32E11}</x14:id>
        </ext>
      </extLst>
    </cfRule>
  </conditionalFormatting>
  <conditionalFormatting sqref="Q97:AA107">
    <cfRule type="dataBar" priority="5">
      <dataBar>
        <cfvo type="min"/>
        <cfvo type="max"/>
        <color rgb="FFFFB628"/>
      </dataBar>
      <extLst>
        <ext xmlns:x14="http://schemas.microsoft.com/office/spreadsheetml/2009/9/main" uri="{B025F937-C7B1-47D3-B67F-A62EFF666E3E}">
          <x14:id>{86CF70F4-938D-4B48-B45A-214EA220BE1D}</x14:id>
        </ext>
      </extLst>
    </cfRule>
    <cfRule type="dataBar" priority="6">
      <dataBar>
        <cfvo type="min"/>
        <cfvo type="max"/>
        <color rgb="FFFF555A"/>
      </dataBar>
      <extLst>
        <ext xmlns:x14="http://schemas.microsoft.com/office/spreadsheetml/2009/9/main" uri="{B025F937-C7B1-47D3-B67F-A62EFF666E3E}">
          <x14:id>{0B7335CD-C89C-459E-BFE7-6C55E2764B02}</x14:id>
        </ext>
      </extLst>
    </cfRule>
  </conditionalFormatting>
  <conditionalFormatting sqref="Q115:AA125">
    <cfRule type="dataBar" priority="3">
      <dataBar>
        <cfvo type="min"/>
        <cfvo type="max"/>
        <color rgb="FFFFB628"/>
      </dataBar>
      <extLst>
        <ext xmlns:x14="http://schemas.microsoft.com/office/spreadsheetml/2009/9/main" uri="{B025F937-C7B1-47D3-B67F-A62EFF666E3E}">
          <x14:id>{82D58DE2-9C49-43EB-895E-D28311AF74C8}</x14:id>
        </ext>
      </extLst>
    </cfRule>
    <cfRule type="dataBar" priority="4">
      <dataBar>
        <cfvo type="min"/>
        <cfvo type="max"/>
        <color rgb="FFFF555A"/>
      </dataBar>
      <extLst>
        <ext xmlns:x14="http://schemas.microsoft.com/office/spreadsheetml/2009/9/main" uri="{B025F937-C7B1-47D3-B67F-A62EFF666E3E}">
          <x14:id>{B4B4702E-5277-48C1-94D6-2DD6C54084B6}</x14:id>
        </ext>
      </extLst>
    </cfRule>
  </conditionalFormatting>
  <conditionalFormatting sqref="Q133:AA143">
    <cfRule type="dataBar" priority="1">
      <dataBar>
        <cfvo type="min"/>
        <cfvo type="max"/>
        <color rgb="FFFFB628"/>
      </dataBar>
      <extLst>
        <ext xmlns:x14="http://schemas.microsoft.com/office/spreadsheetml/2009/9/main" uri="{B025F937-C7B1-47D3-B67F-A62EFF666E3E}">
          <x14:id>{265D46EF-C032-46D6-99A6-64F6C75DDB4B}</x14:id>
        </ext>
      </extLst>
    </cfRule>
    <cfRule type="dataBar" priority="2">
      <dataBar>
        <cfvo type="min"/>
        <cfvo type="max"/>
        <color rgb="FFFF555A"/>
      </dataBar>
      <extLst>
        <ext xmlns:x14="http://schemas.microsoft.com/office/spreadsheetml/2009/9/main" uri="{B025F937-C7B1-47D3-B67F-A62EFF666E3E}">
          <x14:id>{80F4198F-F7A7-429E-8390-209A621095F2}</x14:id>
        </ext>
      </extLst>
    </cfRule>
  </conditionalFormatting>
  <pageMargins left="0.7" right="0.7" top="0.75" bottom="0.75" header="0" footer="0"/>
  <pageSetup paperSize="9" orientation="portrait" r:id="rId1"/>
  <tableParts count="8">
    <tablePart r:id="rId2"/>
    <tablePart r:id="rId3"/>
    <tablePart r:id="rId4"/>
    <tablePart r:id="rId5"/>
    <tablePart r:id="rId6"/>
    <tablePart r:id="rId7"/>
    <tablePart r:id="rId8"/>
    <tablePart r:id="rId9"/>
  </tableParts>
  <extLst>
    <ext xmlns:x14="http://schemas.microsoft.com/office/spreadsheetml/2009/9/main" uri="{78C0D931-6437-407d-A8EE-F0AAD7539E65}">
      <x14:conditionalFormattings>
        <x14:conditionalFormatting xmlns:xm="http://schemas.microsoft.com/office/excel/2006/main">
          <x14:cfRule type="dataBar" id="{600682D1-3321-4C1A-AA42-F565DA56BA1E}">
            <x14:dataBar minLength="0" maxLength="100" gradient="0">
              <x14:cfvo type="autoMin"/>
              <x14:cfvo type="autoMax"/>
              <x14:negativeFillColor rgb="FFFF0000"/>
              <x14:axisColor rgb="FF000000"/>
            </x14:dataBar>
          </x14:cfRule>
          <x14:cfRule type="dataBar" id="{C213D4D6-34B0-4FF9-93FC-F768D2F8AA2C}">
            <x14:dataBar minLength="0" maxLength="100" border="1" negativeBarBorderColorSameAsPositive="0">
              <x14:cfvo type="autoMin"/>
              <x14:cfvo type="autoMax"/>
              <x14:borderColor rgb="FFFF555A"/>
              <x14:negativeFillColor rgb="FFFF0000"/>
              <x14:negativeBorderColor rgb="FFFF0000"/>
              <x14:axisColor rgb="FF000000"/>
            </x14:dataBar>
          </x14:cfRule>
          <xm:sqref>Q5:AA15</xm:sqref>
        </x14:conditionalFormatting>
        <x14:conditionalFormatting xmlns:xm="http://schemas.microsoft.com/office/excel/2006/main">
          <x14:cfRule type="dataBar" id="{0B11C621-E2DB-43CA-9422-1219670DB0EE}">
            <x14:dataBar minLength="0" maxLength="100" gradient="0">
              <x14:cfvo type="autoMin"/>
              <x14:cfvo type="autoMax"/>
              <x14:negativeFillColor rgb="FFFF0000"/>
              <x14:axisColor rgb="FF000000"/>
            </x14:dataBar>
          </x14:cfRule>
          <x14:cfRule type="dataBar" id="{B3DACB4F-B9EB-44AB-AEA7-D6A863218532}">
            <x14:dataBar minLength="0" maxLength="100" border="1" negativeBarBorderColorSameAsPositive="0">
              <x14:cfvo type="autoMin"/>
              <x14:cfvo type="autoMax"/>
              <x14:borderColor rgb="FFFF555A"/>
              <x14:negativeFillColor rgb="FFFF0000"/>
              <x14:negativeBorderColor rgb="FFFF0000"/>
              <x14:axisColor rgb="FF000000"/>
            </x14:dataBar>
          </x14:cfRule>
          <xm:sqref>Q23:AA33</xm:sqref>
        </x14:conditionalFormatting>
        <x14:conditionalFormatting xmlns:xm="http://schemas.microsoft.com/office/excel/2006/main">
          <x14:cfRule type="dataBar" id="{F8D0F81B-5F9E-49C9-BAE6-3B27EDD70594}">
            <x14:dataBar minLength="0" maxLength="100" gradient="0">
              <x14:cfvo type="autoMin"/>
              <x14:cfvo type="autoMax"/>
              <x14:negativeFillColor rgb="FFFF0000"/>
              <x14:axisColor rgb="FF000000"/>
            </x14:dataBar>
          </x14:cfRule>
          <x14:cfRule type="dataBar" id="{182D8776-2619-4FE8-A946-5F0876A07F47}">
            <x14:dataBar minLength="0" maxLength="100" border="1" negativeBarBorderColorSameAsPositive="0">
              <x14:cfvo type="autoMin"/>
              <x14:cfvo type="autoMax"/>
              <x14:borderColor rgb="FFFF555A"/>
              <x14:negativeFillColor rgb="FFFF0000"/>
              <x14:negativeBorderColor rgb="FFFF0000"/>
              <x14:axisColor rgb="FF000000"/>
            </x14:dataBar>
          </x14:cfRule>
          <xm:sqref>Q41:AA51</xm:sqref>
        </x14:conditionalFormatting>
        <x14:conditionalFormatting xmlns:xm="http://schemas.microsoft.com/office/excel/2006/main">
          <x14:cfRule type="dataBar" id="{A46B37F5-7296-4E00-A1CD-777863B5E5A4}">
            <x14:dataBar minLength="0" maxLength="100" gradient="0">
              <x14:cfvo type="autoMin"/>
              <x14:cfvo type="autoMax"/>
              <x14:negativeFillColor rgb="FFFF0000"/>
              <x14:axisColor rgb="FF000000"/>
            </x14:dataBar>
          </x14:cfRule>
          <x14:cfRule type="dataBar" id="{69679C62-1808-41E7-8F58-F0E7A03F6F5C}">
            <x14:dataBar minLength="0" maxLength="100" border="1" negativeBarBorderColorSameAsPositive="0">
              <x14:cfvo type="autoMin"/>
              <x14:cfvo type="autoMax"/>
              <x14:borderColor rgb="FFFF555A"/>
              <x14:negativeFillColor rgb="FFFF0000"/>
              <x14:negativeBorderColor rgb="FFFF0000"/>
              <x14:axisColor rgb="FF000000"/>
            </x14:dataBar>
          </x14:cfRule>
          <xm:sqref>Q59:AA69</xm:sqref>
        </x14:conditionalFormatting>
        <x14:conditionalFormatting xmlns:xm="http://schemas.microsoft.com/office/excel/2006/main">
          <x14:cfRule type="dataBar" id="{E5A8052A-C304-41D9-89FF-760B43610497}">
            <x14:dataBar minLength="0" maxLength="100" gradient="0">
              <x14:cfvo type="autoMin"/>
              <x14:cfvo type="autoMax"/>
              <x14:negativeFillColor rgb="FFFF0000"/>
              <x14:axisColor rgb="FF000000"/>
            </x14:dataBar>
          </x14:cfRule>
          <x14:cfRule type="dataBar" id="{8AFA281B-D187-4D49-A3EC-E45D1EB32E11}">
            <x14:dataBar minLength="0" maxLength="100" border="1" negativeBarBorderColorSameAsPositive="0">
              <x14:cfvo type="autoMin"/>
              <x14:cfvo type="autoMax"/>
              <x14:borderColor rgb="FFFF555A"/>
              <x14:negativeFillColor rgb="FFFF0000"/>
              <x14:negativeBorderColor rgb="FFFF0000"/>
              <x14:axisColor rgb="FF000000"/>
            </x14:dataBar>
          </x14:cfRule>
          <xm:sqref>Q79:AA89</xm:sqref>
        </x14:conditionalFormatting>
        <x14:conditionalFormatting xmlns:xm="http://schemas.microsoft.com/office/excel/2006/main">
          <x14:cfRule type="dataBar" id="{86CF70F4-938D-4B48-B45A-214EA220BE1D}">
            <x14:dataBar minLength="0" maxLength="100" gradient="0">
              <x14:cfvo type="autoMin"/>
              <x14:cfvo type="autoMax"/>
              <x14:negativeFillColor rgb="FFFF0000"/>
              <x14:axisColor rgb="FF000000"/>
            </x14:dataBar>
          </x14:cfRule>
          <x14:cfRule type="dataBar" id="{0B7335CD-C89C-459E-BFE7-6C55E2764B02}">
            <x14:dataBar minLength="0" maxLength="100" border="1" negativeBarBorderColorSameAsPositive="0">
              <x14:cfvo type="autoMin"/>
              <x14:cfvo type="autoMax"/>
              <x14:borderColor rgb="FFFF555A"/>
              <x14:negativeFillColor rgb="FFFF0000"/>
              <x14:negativeBorderColor rgb="FFFF0000"/>
              <x14:axisColor rgb="FF000000"/>
            </x14:dataBar>
          </x14:cfRule>
          <xm:sqref>Q97:AA107</xm:sqref>
        </x14:conditionalFormatting>
        <x14:conditionalFormatting xmlns:xm="http://schemas.microsoft.com/office/excel/2006/main">
          <x14:cfRule type="dataBar" id="{82D58DE2-9C49-43EB-895E-D28311AF74C8}">
            <x14:dataBar minLength="0" maxLength="100" gradient="0">
              <x14:cfvo type="autoMin"/>
              <x14:cfvo type="autoMax"/>
              <x14:negativeFillColor rgb="FFFF0000"/>
              <x14:axisColor rgb="FF000000"/>
            </x14:dataBar>
          </x14:cfRule>
          <x14:cfRule type="dataBar" id="{B4B4702E-5277-48C1-94D6-2DD6C54084B6}">
            <x14:dataBar minLength="0" maxLength="100" border="1" negativeBarBorderColorSameAsPositive="0">
              <x14:cfvo type="autoMin"/>
              <x14:cfvo type="autoMax"/>
              <x14:borderColor rgb="FFFF555A"/>
              <x14:negativeFillColor rgb="FFFF0000"/>
              <x14:negativeBorderColor rgb="FFFF0000"/>
              <x14:axisColor rgb="FF000000"/>
            </x14:dataBar>
          </x14:cfRule>
          <xm:sqref>Q115:AA125</xm:sqref>
        </x14:conditionalFormatting>
        <x14:conditionalFormatting xmlns:xm="http://schemas.microsoft.com/office/excel/2006/main">
          <x14:cfRule type="dataBar" id="{265D46EF-C032-46D6-99A6-64F6C75DDB4B}">
            <x14:dataBar minLength="0" maxLength="100" gradient="0">
              <x14:cfvo type="autoMin"/>
              <x14:cfvo type="autoMax"/>
              <x14:negativeFillColor rgb="FFFF0000"/>
              <x14:axisColor rgb="FF000000"/>
            </x14:dataBar>
          </x14:cfRule>
          <x14:cfRule type="dataBar" id="{80F4198F-F7A7-429E-8390-209A621095F2}">
            <x14:dataBar minLength="0" maxLength="100" border="1" negativeBarBorderColorSameAsPositive="0">
              <x14:cfvo type="autoMin"/>
              <x14:cfvo type="autoMax"/>
              <x14:borderColor rgb="FFFF555A"/>
              <x14:negativeFillColor rgb="FFFF0000"/>
              <x14:negativeBorderColor rgb="FFFF0000"/>
              <x14:axisColor rgb="FF000000"/>
            </x14:dataBar>
          </x14:cfRule>
          <xm:sqref>Q133:AA143</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C1B199-2DC7-4143-BF12-67DE361379ED}">
  <dimension ref="A1:AE916"/>
  <sheetViews>
    <sheetView showGridLines="0" zoomScale="65" zoomScaleNormal="40" workbookViewId="0">
      <selection activeCell="D22" sqref="D22:N22"/>
    </sheetView>
  </sheetViews>
  <sheetFormatPr defaultColWidth="12.6640625" defaultRowHeight="15" customHeight="1" x14ac:dyDescent="0.25"/>
  <cols>
    <col min="1" max="1" width="8.6640625" style="2" customWidth="1"/>
    <col min="2" max="2" width="12.6640625" style="2" customWidth="1"/>
    <col min="3" max="3" width="38.44140625" style="2" bestFit="1" customWidth="1"/>
    <col min="4" max="4" width="9.88671875" style="2" bestFit="1" customWidth="1"/>
    <col min="5" max="6" width="8.77734375" style="2" bestFit="1" customWidth="1"/>
    <col min="7" max="7" width="9" style="2" bestFit="1" customWidth="1"/>
    <col min="8" max="8" width="10.5546875" style="2" bestFit="1" customWidth="1"/>
    <col min="9" max="9" width="9" style="2" bestFit="1" customWidth="1"/>
    <col min="10" max="10" width="9.88671875" style="2" bestFit="1" customWidth="1"/>
    <col min="11" max="11" width="11.77734375" style="2" customWidth="1"/>
    <col min="12" max="12" width="11.21875" style="2" customWidth="1"/>
    <col min="13" max="13" width="11.21875" style="2" bestFit="1" customWidth="1"/>
    <col min="14" max="14" width="9.6640625" style="2" bestFit="1" customWidth="1"/>
    <col min="15" max="15" width="8.6640625" style="2" customWidth="1"/>
    <col min="16" max="16" width="14.6640625" style="2" bestFit="1" customWidth="1"/>
    <col min="17" max="17" width="10" style="2" bestFit="1" customWidth="1"/>
    <col min="18" max="18" width="8.6640625" style="2" customWidth="1"/>
    <col min="19" max="19" width="7.33203125" style="2" bestFit="1" customWidth="1"/>
    <col min="20" max="20" width="8.33203125" style="2" bestFit="1" customWidth="1"/>
    <col min="21" max="21" width="10" style="2" bestFit="1" customWidth="1"/>
    <col min="22" max="22" width="8" style="2" customWidth="1"/>
    <col min="23" max="23" width="9.6640625" style="2" bestFit="1" customWidth="1"/>
    <col min="24" max="24" width="10.5546875" style="2" bestFit="1" customWidth="1"/>
    <col min="25" max="25" width="11.21875" style="2" bestFit="1" customWidth="1"/>
    <col min="26" max="26" width="11.109375" style="2" bestFit="1" customWidth="1"/>
    <col min="27" max="27" width="9.5546875" style="2" bestFit="1" customWidth="1"/>
    <col min="28" max="16384" width="12.6640625" style="2"/>
  </cols>
  <sheetData>
    <row r="1" spans="1:31" ht="25.05" customHeight="1" x14ac:dyDescent="0.25">
      <c r="A1" s="252" t="s">
        <v>81</v>
      </c>
      <c r="B1" s="252"/>
      <c r="C1" s="252"/>
      <c r="D1" s="252"/>
      <c r="E1" s="252"/>
      <c r="F1" s="252"/>
    </row>
    <row r="2" spans="1:31" ht="15" customHeight="1" x14ac:dyDescent="0.25">
      <c r="B2" s="5"/>
      <c r="C2" s="5"/>
      <c r="D2" s="5"/>
      <c r="E2" s="5"/>
      <c r="F2" s="5"/>
      <c r="G2" s="5"/>
      <c r="H2" s="5"/>
      <c r="I2" s="5"/>
      <c r="J2" s="5"/>
      <c r="K2" s="5"/>
      <c r="L2" s="5"/>
      <c r="M2" s="5"/>
      <c r="N2" s="5"/>
      <c r="O2" s="5"/>
      <c r="P2" s="5"/>
      <c r="Q2" s="5"/>
      <c r="R2" s="5"/>
      <c r="S2" s="5"/>
      <c r="T2" s="5"/>
      <c r="U2" s="5"/>
      <c r="V2" s="5"/>
      <c r="W2" s="5"/>
      <c r="X2" s="5"/>
      <c r="Y2" s="5"/>
      <c r="Z2" s="5"/>
      <c r="AA2" s="5"/>
    </row>
    <row r="3" spans="1:31" ht="15" customHeight="1" thickBot="1" x14ac:dyDescent="0.3">
      <c r="B3" s="253" t="s">
        <v>71</v>
      </c>
      <c r="C3" s="253"/>
      <c r="D3" s="253"/>
      <c r="E3" s="253"/>
      <c r="F3" s="253"/>
      <c r="G3" s="253"/>
      <c r="H3" s="253"/>
      <c r="I3" s="253"/>
      <c r="J3" s="253"/>
      <c r="K3" s="253"/>
      <c r="L3" s="253"/>
      <c r="M3" s="253"/>
      <c r="N3" s="253"/>
      <c r="P3" s="253" t="s">
        <v>76</v>
      </c>
      <c r="Q3" s="253"/>
      <c r="R3" s="253"/>
      <c r="S3" s="253"/>
      <c r="T3" s="253"/>
      <c r="U3" s="253"/>
      <c r="V3" s="253"/>
      <c r="W3" s="253"/>
      <c r="X3" s="253"/>
      <c r="Y3" s="253"/>
      <c r="Z3" s="253"/>
      <c r="AA3" s="253"/>
      <c r="AB3" s="10"/>
      <c r="AC3" s="3" t="s">
        <v>22</v>
      </c>
      <c r="AD3" s="13" t="s">
        <v>23</v>
      </c>
      <c r="AE3" s="15">
        <f t="array" ref="AE3">MIN(IF(D6:N16&gt;0,D6:N16))</f>
        <v>2.6114186581703525</v>
      </c>
    </row>
    <row r="4" spans="1:31" ht="15" customHeight="1" thickBot="1" x14ac:dyDescent="0.3">
      <c r="B4" s="75" t="s">
        <v>13</v>
      </c>
      <c r="C4" s="66" t="s">
        <v>14</v>
      </c>
      <c r="D4" s="67" t="s">
        <v>1</v>
      </c>
      <c r="E4" s="67" t="s">
        <v>195</v>
      </c>
      <c r="F4" s="67" t="s">
        <v>2</v>
      </c>
      <c r="G4" s="67" t="s">
        <v>3</v>
      </c>
      <c r="H4" s="67" t="s">
        <v>4</v>
      </c>
      <c r="I4" s="67" t="s">
        <v>5</v>
      </c>
      <c r="J4" s="67" t="s">
        <v>6</v>
      </c>
      <c r="K4" s="67" t="s">
        <v>7</v>
      </c>
      <c r="L4" s="67" t="s">
        <v>295</v>
      </c>
      <c r="M4" s="67" t="s">
        <v>9</v>
      </c>
      <c r="N4" s="67" t="s">
        <v>10</v>
      </c>
      <c r="P4" s="76" t="s">
        <v>19</v>
      </c>
      <c r="Q4" s="77" t="s">
        <v>1</v>
      </c>
      <c r="R4" s="77" t="s">
        <v>195</v>
      </c>
      <c r="S4" s="77" t="s">
        <v>2</v>
      </c>
      <c r="T4" s="77" t="s">
        <v>3</v>
      </c>
      <c r="U4" s="77" t="s">
        <v>4</v>
      </c>
      <c r="V4" s="77" t="s">
        <v>5</v>
      </c>
      <c r="W4" s="77" t="s">
        <v>6</v>
      </c>
      <c r="X4" s="77" t="s">
        <v>7</v>
      </c>
      <c r="Y4" s="77" t="s">
        <v>295</v>
      </c>
      <c r="Z4" s="77" t="s">
        <v>9</v>
      </c>
      <c r="AA4" s="77" t="s">
        <v>10</v>
      </c>
      <c r="AB4" s="254" t="s">
        <v>26</v>
      </c>
      <c r="AC4" s="254"/>
      <c r="AD4" s="13" t="s">
        <v>24</v>
      </c>
      <c r="AE4" s="20">
        <f>MAX(D6:N16)</f>
        <v>607.19453805697879</v>
      </c>
    </row>
    <row r="5" spans="1:31" ht="15.6" customHeight="1" x14ac:dyDescent="0.25">
      <c r="B5" s="93"/>
      <c r="C5" s="94" t="s">
        <v>69</v>
      </c>
      <c r="D5" s="95">
        <f>C6</f>
        <v>-15.770937065005013</v>
      </c>
      <c r="E5" s="95">
        <f>C7</f>
        <v>-25.098976468404771</v>
      </c>
      <c r="F5" s="95">
        <f>C8</f>
        <v>-4.7327532886169461</v>
      </c>
      <c r="G5" s="95">
        <f>C9</f>
        <v>-13.15951840683466</v>
      </c>
      <c r="H5" s="95">
        <f>C10</f>
        <v>-449.94283173682004</v>
      </c>
      <c r="I5" s="95">
        <f>C11</f>
        <v>-63.426985255803672</v>
      </c>
      <c r="J5" s="95">
        <f>C12</f>
        <v>-22.227545617445564</v>
      </c>
      <c r="K5" s="95">
        <f>C13</f>
        <v>-367.47531008369918</v>
      </c>
      <c r="L5" s="95">
        <f>C14</f>
        <v>-611.92729134559568</v>
      </c>
      <c r="M5" s="95">
        <f>C15</f>
        <v>-120.95671170477816</v>
      </c>
      <c r="N5" s="95">
        <f>C16</f>
        <v>-269.18639624775244</v>
      </c>
      <c r="P5" s="21" t="s">
        <v>1</v>
      </c>
      <c r="Q5" s="97">
        <f t="shared" ref="Q5:AA15" si="0">$AE$5+(D6-$AE$3)*($AE$6-$AE$5)/($AE$4-$AE$3)</f>
        <v>-3.3150514061761347E-3</v>
      </c>
      <c r="R5" s="97">
        <f t="shared" si="0"/>
        <v>1.2098398068335816E-2</v>
      </c>
      <c r="S5" s="97">
        <f t="shared" si="0"/>
        <v>-3.3150514061761347E-3</v>
      </c>
      <c r="T5" s="97">
        <f t="shared" si="0"/>
        <v>-3.3150514061761347E-3</v>
      </c>
      <c r="U5" s="97">
        <f t="shared" si="0"/>
        <v>0.71410114640041789</v>
      </c>
      <c r="V5" s="97">
        <f t="shared" si="0"/>
        <v>7.5430766356564552E-2</v>
      </c>
      <c r="W5" s="97">
        <f t="shared" si="0"/>
        <v>7.3537081686894006E-3</v>
      </c>
      <c r="X5" s="97">
        <f t="shared" si="0"/>
        <v>0.57783360685450635</v>
      </c>
      <c r="Y5" s="97">
        <f t="shared" si="0"/>
        <v>0.98176074515018386</v>
      </c>
      <c r="Z5" s="97">
        <f t="shared" si="0"/>
        <v>0.17049163537268147</v>
      </c>
      <c r="AA5" s="97">
        <f t="shared" si="0"/>
        <v>0.4154231428975394</v>
      </c>
      <c r="AD5" s="3" t="s">
        <v>25</v>
      </c>
      <c r="AE5" s="2">
        <v>1E-3</v>
      </c>
    </row>
    <row r="6" spans="1:31" ht="15" customHeight="1" x14ac:dyDescent="0.25">
      <c r="B6" s="21" t="s">
        <v>1</v>
      </c>
      <c r="C6" s="95">
        <f>Annual_sorted!M85</f>
        <v>-15.770937065005013</v>
      </c>
      <c r="D6" s="29">
        <f>IF(C6-Table_1463109384654627078[Burundi]&gt;0, C6-Table_1463109384654627078[Burundi], 0)</f>
        <v>0</v>
      </c>
      <c r="E6" s="29">
        <f>IF(C6-Table_1463109384654627078[DRC]&gt;0, C6-Table_1463109384654627078[DRC], 0)</f>
        <v>9.3280394033997585</v>
      </c>
      <c r="F6" s="29">
        <f>IF(C6-Table_1463109384654627078[Egypt]&gt;0, C6-Table_1463109384654627078[Egypt], 0)</f>
        <v>0</v>
      </c>
      <c r="G6" s="29">
        <f>IF(C6-Table_1463109384654627078[Eritrea]&gt;0, C6-Table_1463109384654627078[Eritrea], 0)</f>
        <v>0</v>
      </c>
      <c r="H6" s="29">
        <f>IF(C6-Table_1463109384654627078[Ethiopia]&gt;0, C6-Table_1463109384654627078[Ethiopia], 0)</f>
        <v>434.17189467181504</v>
      </c>
      <c r="I6" s="29">
        <f>IF(C6-Table_1463109384654627078[Kenya]&gt;0, C6-Table_1463109384654627078[Kenya], 0)</f>
        <v>47.656048190798657</v>
      </c>
      <c r="J6" s="29">
        <f>IF(C6-Table_1463109384654627078[Rwanda]&gt;0, C6-Table_1463109384654627078[Rwanda], 0)</f>
        <v>6.4566085524405512</v>
      </c>
      <c r="K6" s="29">
        <f>IF(C6-Table_1463109384654627078[Sudan]&gt;0, C6-Table_1463109384654627078[Sudan], 0)</f>
        <v>351.70437301869418</v>
      </c>
      <c r="L6" s="29">
        <f>IF(C6-Table_1463109384654627078[S. Sudan]&gt;0, C6-Table_1463109384654627078[S. Sudan], 0)</f>
        <v>596.15635428059068</v>
      </c>
      <c r="M6" s="29">
        <f>IF(C6-Table_1463109384654627078[Tanzania]&gt;0, C6-Table_1463109384654627078[Tanzania], 0)</f>
        <v>105.18577463977314</v>
      </c>
      <c r="N6" s="29">
        <f>IF(C6-Table_1463109384654627078[Uganda]&gt;0, C6-Table_1463109384654627078[Uganda], 0)</f>
        <v>253.41545918274744</v>
      </c>
      <c r="P6" s="21" t="s">
        <v>195</v>
      </c>
      <c r="Q6" s="97">
        <f t="shared" si="0"/>
        <v>-3.3150514061761347E-3</v>
      </c>
      <c r="R6" s="97">
        <f t="shared" si="0"/>
        <v>-3.3150514061761347E-3</v>
      </c>
      <c r="S6" s="97">
        <f t="shared" si="0"/>
        <v>-3.3150514061761347E-3</v>
      </c>
      <c r="T6" s="97">
        <f t="shared" si="0"/>
        <v>-3.3150514061761347E-3</v>
      </c>
      <c r="U6" s="97">
        <f t="shared" si="0"/>
        <v>0.69868769692590593</v>
      </c>
      <c r="V6" s="97">
        <f t="shared" si="0"/>
        <v>6.0017316882052606E-2</v>
      </c>
      <c r="W6" s="97">
        <f t="shared" si="0"/>
        <v>-3.3150514061761347E-3</v>
      </c>
      <c r="X6" s="97">
        <f t="shared" si="0"/>
        <v>0.56242015737999429</v>
      </c>
      <c r="Y6" s="97">
        <f t="shared" si="0"/>
        <v>0.9663472956756719</v>
      </c>
      <c r="Z6" s="97">
        <f t="shared" si="0"/>
        <v>0.15507818589816955</v>
      </c>
      <c r="AA6" s="97">
        <f t="shared" si="0"/>
        <v>0.40000969342302739</v>
      </c>
      <c r="AD6" s="3" t="s">
        <v>70</v>
      </c>
      <c r="AE6" s="2">
        <v>1</v>
      </c>
    </row>
    <row r="7" spans="1:31" ht="15" customHeight="1" x14ac:dyDescent="0.25">
      <c r="B7" s="21" t="s">
        <v>195</v>
      </c>
      <c r="C7" s="95">
        <f>Annual_sorted!M86</f>
        <v>-25.098976468404771</v>
      </c>
      <c r="D7" s="29">
        <f>IF(C7-Table_1463109384654627078[Burundi]&gt;0, C7-Table_1463109384654627078[Burundi], 0)</f>
        <v>0</v>
      </c>
      <c r="E7" s="29">
        <f>IF(C7-Table_1463109384654627078[DRC]&gt;0, C7-Table_1463109384654627078[DRC], 0)</f>
        <v>0</v>
      </c>
      <c r="F7" s="29">
        <f>IF(C7-Table_1463109384654627078[Egypt]&gt;0, C7-Table_1463109384654627078[Egypt], 0)</f>
        <v>0</v>
      </c>
      <c r="G7" s="29">
        <f>IF(C7-Table_1463109384654627078[Eritrea]&gt;0, C7-Table_1463109384654627078[Eritrea], 0)</f>
        <v>0</v>
      </c>
      <c r="H7" s="29">
        <f>IF(C7-Table_1463109384654627078[Ethiopia]&gt;0, C7-Table_1463109384654627078[Ethiopia], 0)</f>
        <v>424.84385526841527</v>
      </c>
      <c r="I7" s="29">
        <f>IF(C7-Table_1463109384654627078[Kenya]&gt;0, C7-Table_1463109384654627078[Kenya], 0)</f>
        <v>38.3280087873989</v>
      </c>
      <c r="J7" s="29">
        <f>IF(C7-Table_1463109384654627078[Rwanda]&gt;0, C7-Table_1463109384654627078[Rwanda], 0)</f>
        <v>0</v>
      </c>
      <c r="K7" s="29">
        <f>IF(C7-Table_1463109384654627078[Sudan]&gt;0, C7-Table_1463109384654627078[Sudan], 0)</f>
        <v>342.37633361529441</v>
      </c>
      <c r="L7" s="29">
        <f>IF(C7-Table_1463109384654627078[S. Sudan]&gt;0, C7-Table_1463109384654627078[S. Sudan], 0)</f>
        <v>586.82831487719091</v>
      </c>
      <c r="M7" s="29">
        <f>IF(C7-Table_1463109384654627078[Tanzania]&gt;0, C7-Table_1463109384654627078[Tanzania], 0)</f>
        <v>95.857735236373387</v>
      </c>
      <c r="N7" s="29">
        <f>IF(C7-Table_1463109384654627078[Uganda]&gt;0, C7-Table_1463109384654627078[Uganda], 0)</f>
        <v>244.08741977934767</v>
      </c>
      <c r="P7" s="21" t="s">
        <v>2</v>
      </c>
      <c r="Q7" s="97">
        <f t="shared" si="0"/>
        <v>1.4924203443639993E-2</v>
      </c>
      <c r="R7" s="97">
        <f t="shared" si="0"/>
        <v>3.033765291815194E-2</v>
      </c>
      <c r="S7" s="97">
        <f t="shared" si="0"/>
        <v>-3.3150514061761347E-3</v>
      </c>
      <c r="T7" s="97">
        <f t="shared" si="0"/>
        <v>1.0609152037463859E-2</v>
      </c>
      <c r="U7" s="97">
        <f t="shared" si="0"/>
        <v>0.73234040125023403</v>
      </c>
      <c r="V7" s="97">
        <f t="shared" si="0"/>
        <v>9.3670021206380669E-2</v>
      </c>
      <c r="W7" s="97">
        <f t="shared" si="0"/>
        <v>2.5592963018505523E-2</v>
      </c>
      <c r="X7" s="97">
        <f t="shared" si="0"/>
        <v>0.59607286170432239</v>
      </c>
      <c r="Y7" s="97">
        <f t="shared" si="0"/>
        <v>0.99999999999999989</v>
      </c>
      <c r="Z7" s="97">
        <f t="shared" si="0"/>
        <v>0.18873089022249759</v>
      </c>
      <c r="AA7" s="97">
        <f t="shared" si="0"/>
        <v>0.43366239774735554</v>
      </c>
    </row>
    <row r="8" spans="1:31" ht="15" customHeight="1" x14ac:dyDescent="0.25">
      <c r="B8" s="21" t="s">
        <v>2</v>
      </c>
      <c r="C8" s="95">
        <f>Annual_sorted!M87</f>
        <v>-4.7327532886169461</v>
      </c>
      <c r="D8" s="29">
        <f>IF(C8-Table_1463109384654627078[Burundi]&gt;0, C8-Table_1463109384654627078[Burundi], 0)</f>
        <v>11.038183776388067</v>
      </c>
      <c r="E8" s="29">
        <f>IF(C8-Table_1463109384654627078[DRC]&gt;0, C8-Table_1463109384654627078[DRC], 0)</f>
        <v>20.366223179787823</v>
      </c>
      <c r="F8" s="29">
        <f>IF(C8-Table_1463109384654627078[Egypt]&gt;0, C8-Table_1463109384654627078[Egypt], 0)</f>
        <v>0</v>
      </c>
      <c r="G8" s="29">
        <f>IF(C8-Table_1463109384654627078[Eritrea]&gt;0, C8-Table_1463109384654627078[Eritrea], 0)</f>
        <v>8.4267651182177143</v>
      </c>
      <c r="H8" s="29">
        <f>IF(C8-Table_1463109384654627078[Ethiopia]&gt;0, C8-Table_1463109384654627078[Ethiopia], 0)</f>
        <v>445.21007844820309</v>
      </c>
      <c r="I8" s="29">
        <f>IF(C8-Table_1463109384654627078[Kenya]&gt;0, C8-Table_1463109384654627078[Kenya], 0)</f>
        <v>58.694231967186724</v>
      </c>
      <c r="J8" s="29">
        <f>IF(C8-Table_1463109384654627078[Rwanda]&gt;0, C8-Table_1463109384654627078[Rwanda], 0)</f>
        <v>17.494792328828616</v>
      </c>
      <c r="K8" s="29">
        <f>IF(C8-Table_1463109384654627078[Sudan]&gt;0, C8-Table_1463109384654627078[Sudan], 0)</f>
        <v>362.74255679508224</v>
      </c>
      <c r="L8" s="29">
        <f>IF(C8-Table_1463109384654627078[S. Sudan]&gt;0, C8-Table_1463109384654627078[S. Sudan], 0)</f>
        <v>607.19453805697879</v>
      </c>
      <c r="M8" s="29">
        <f>IF(C8-Table_1463109384654627078[Tanzania]&gt;0, C8-Table_1463109384654627078[Tanzania], 0)</f>
        <v>116.22395841616121</v>
      </c>
      <c r="N8" s="29">
        <f>IF(C8-Table_1463109384654627078[Uganda]&gt;0, C8-Table_1463109384654627078[Uganda], 0)</f>
        <v>264.45364295913549</v>
      </c>
      <c r="P8" s="21" t="s">
        <v>3</v>
      </c>
      <c r="Q8" s="97">
        <f t="shared" si="0"/>
        <v>1E-3</v>
      </c>
      <c r="R8" s="97">
        <f t="shared" si="0"/>
        <v>1.6413449474511951E-2</v>
      </c>
      <c r="S8" s="97">
        <f t="shared" si="0"/>
        <v>-3.3150514061761347E-3</v>
      </c>
      <c r="T8" s="97">
        <f t="shared" si="0"/>
        <v>-3.3150514061761347E-3</v>
      </c>
      <c r="U8" s="97">
        <f t="shared" si="0"/>
        <v>0.71841619780659405</v>
      </c>
      <c r="V8" s="97">
        <f t="shared" si="0"/>
        <v>7.9745817762740687E-2</v>
      </c>
      <c r="W8" s="97">
        <f t="shared" si="0"/>
        <v>1.1668759574865534E-2</v>
      </c>
      <c r="X8" s="97">
        <f t="shared" si="0"/>
        <v>0.58214865826068241</v>
      </c>
      <c r="Y8" s="97">
        <f t="shared" si="0"/>
        <v>0.98607579655636002</v>
      </c>
      <c r="Z8" s="97">
        <f t="shared" si="0"/>
        <v>0.17480668677885761</v>
      </c>
      <c r="AA8" s="97">
        <f t="shared" si="0"/>
        <v>0.41973819430371551</v>
      </c>
    </row>
    <row r="9" spans="1:31" ht="15" customHeight="1" x14ac:dyDescent="0.25">
      <c r="B9" s="21" t="s">
        <v>3</v>
      </c>
      <c r="C9" s="95">
        <f>Annual_sorted!M88</f>
        <v>-13.15951840683466</v>
      </c>
      <c r="D9" s="29">
        <f>IF(C9-Table_1463109384654627078[Burundi]&gt;0, C9-Table_1463109384654627078[Burundi], 0)</f>
        <v>2.6114186581703525</v>
      </c>
      <c r="E9" s="29">
        <f>IF(C9-Table_1463109384654627078[DRC]&gt;0, C9-Table_1463109384654627078[DRC], 0)</f>
        <v>11.939458061570111</v>
      </c>
      <c r="F9" s="29">
        <f>IF(C9-Table_1463109384654627078[Egypt]&gt;0, C9-Table_1463109384654627078[Egypt], 0)</f>
        <v>0</v>
      </c>
      <c r="G9" s="29">
        <f>IF(C9-Table_1463109384654627078[Eritrea]&gt;0, C9-Table_1463109384654627078[Eritrea], 0)</f>
        <v>0</v>
      </c>
      <c r="H9" s="29">
        <f>IF(C9-Table_1463109384654627078[Ethiopia]&gt;0, C9-Table_1463109384654627078[Ethiopia], 0)</f>
        <v>436.78331332998539</v>
      </c>
      <c r="I9" s="29">
        <f>IF(C9-Table_1463109384654627078[Kenya]&gt;0, C9-Table_1463109384654627078[Kenya], 0)</f>
        <v>50.267466848969008</v>
      </c>
      <c r="J9" s="29">
        <f>IF(C9-Table_1463109384654627078[Rwanda]&gt;0, C9-Table_1463109384654627078[Rwanda], 0)</f>
        <v>9.0680272106109037</v>
      </c>
      <c r="K9" s="29">
        <f>IF(C9-Table_1463109384654627078[Sudan]&gt;0, C9-Table_1463109384654627078[Sudan], 0)</f>
        <v>354.31579167686454</v>
      </c>
      <c r="L9" s="29">
        <f>IF(C9-Table_1463109384654627078[S. Sudan]&gt;0, C9-Table_1463109384654627078[S. Sudan], 0)</f>
        <v>598.76777293876103</v>
      </c>
      <c r="M9" s="29">
        <f>IF(C9-Table_1463109384654627078[Tanzania]&gt;0, C9-Table_1463109384654627078[Tanzania], 0)</f>
        <v>107.79719329794349</v>
      </c>
      <c r="N9" s="29">
        <f>IF(C9-Table_1463109384654627078[Uganda]&gt;0, C9-Table_1463109384654627078[Uganda], 0)</f>
        <v>256.02687784091779</v>
      </c>
      <c r="P9" s="21" t="s">
        <v>4</v>
      </c>
      <c r="Q9" s="97">
        <f t="shared" si="0"/>
        <v>-3.3150514061761347E-3</v>
      </c>
      <c r="R9" s="97">
        <f t="shared" si="0"/>
        <v>-3.3150514061761347E-3</v>
      </c>
      <c r="S9" s="97">
        <f t="shared" si="0"/>
        <v>-3.3150514061761347E-3</v>
      </c>
      <c r="T9" s="97">
        <f t="shared" si="0"/>
        <v>-3.3150514061761347E-3</v>
      </c>
      <c r="U9" s="97">
        <f t="shared" si="0"/>
        <v>-3.3150514061761347E-3</v>
      </c>
      <c r="V9" s="97">
        <f t="shared" si="0"/>
        <v>-3.3150514061761347E-3</v>
      </c>
      <c r="W9" s="97">
        <f t="shared" si="0"/>
        <v>-3.3150514061761347E-3</v>
      </c>
      <c r="X9" s="97">
        <f t="shared" si="0"/>
        <v>-3.3150514061761347E-3</v>
      </c>
      <c r="Y9" s="97">
        <f t="shared" si="0"/>
        <v>0.26434454734358975</v>
      </c>
      <c r="Z9" s="97">
        <f t="shared" si="0"/>
        <v>-3.3150514061761347E-3</v>
      </c>
      <c r="AA9" s="97">
        <f t="shared" si="0"/>
        <v>-3.3150514061761347E-3</v>
      </c>
    </row>
    <row r="10" spans="1:31" ht="15" customHeight="1" x14ac:dyDescent="0.25">
      <c r="B10" s="21" t="s">
        <v>4</v>
      </c>
      <c r="C10" s="95">
        <f>Annual_sorted!M89</f>
        <v>-449.94283173682004</v>
      </c>
      <c r="D10" s="29">
        <f>IF(C10-Table_1463109384654627078[Burundi]&gt;0, C10-Table_1463109384654627078[Burundi], 0)</f>
        <v>0</v>
      </c>
      <c r="E10" s="29">
        <f>IF(C10-Table_1463109384654627078[DRC]&gt;0, C10-Table_1463109384654627078[DRC], 0)</f>
        <v>0</v>
      </c>
      <c r="F10" s="29">
        <f>IF(C10-Table_1463109384654627078[Egypt]&gt;0, C10-Table_1463109384654627078[Egypt], 0)</f>
        <v>0</v>
      </c>
      <c r="G10" s="29">
        <f>IF(C10-Table_1463109384654627078[Eritrea]&gt;0, C10-Table_1463109384654627078[Eritrea], 0)</f>
        <v>0</v>
      </c>
      <c r="H10" s="29">
        <f>IF(C10-Table_1463109384654627078[Ethiopia]&gt;0, C10-Table_1463109384654627078[Ethiopia], 0)</f>
        <v>0</v>
      </c>
      <c r="I10" s="29">
        <f>IF(C10-Table_1463109384654627078[Kenya]&gt;0, C10-Table_1463109384654627078[Kenya], 0)</f>
        <v>0</v>
      </c>
      <c r="J10" s="29">
        <f>IF(C10-Table_1463109384654627078[Rwanda]&gt;0, C10-Table_1463109384654627078[Rwanda], 0)</f>
        <v>0</v>
      </c>
      <c r="K10" s="29">
        <f>IF(C10-Table_1463109384654627078[Sudan]&gt;0, C10-Table_1463109384654627078[Sudan], 0)</f>
        <v>0</v>
      </c>
      <c r="L10" s="29">
        <f>IF(C10-Table_1463109384654627078[S. Sudan]&gt;0, C10-Table_1463109384654627078[S. Sudan], 0)</f>
        <v>161.98445960877564</v>
      </c>
      <c r="M10" s="29">
        <f>IF(C10-Table_1463109384654627078[Tanzania]&gt;0, C10-Table_1463109384654627078[Tanzania], 0)</f>
        <v>0</v>
      </c>
      <c r="N10" s="29">
        <f>IF(C10-Table_1463109384654627078[Uganda]&gt;0, C10-Table_1463109384654627078[Uganda], 0)</f>
        <v>0</v>
      </c>
      <c r="P10" s="21" t="s">
        <v>5</v>
      </c>
      <c r="Q10" s="97">
        <f t="shared" si="0"/>
        <v>-3.3150514061761347E-3</v>
      </c>
      <c r="R10" s="97">
        <f t="shared" si="0"/>
        <v>-3.3150514061761347E-3</v>
      </c>
      <c r="S10" s="97">
        <f t="shared" si="0"/>
        <v>-3.3150514061761347E-3</v>
      </c>
      <c r="T10" s="97">
        <f t="shared" si="0"/>
        <v>-3.3150514061761347E-3</v>
      </c>
      <c r="U10" s="97">
        <f t="shared" si="0"/>
        <v>0.63535532863767719</v>
      </c>
      <c r="V10" s="97">
        <f t="shared" si="0"/>
        <v>-3.3150514061761347E-3</v>
      </c>
      <c r="W10" s="97">
        <f t="shared" si="0"/>
        <v>-3.3150514061761347E-3</v>
      </c>
      <c r="X10" s="97">
        <f t="shared" si="0"/>
        <v>0.4990877890917656</v>
      </c>
      <c r="Y10" s="97">
        <f t="shared" si="0"/>
        <v>0.90301492738744316</v>
      </c>
      <c r="Z10" s="97">
        <f t="shared" si="0"/>
        <v>9.17458176099408E-2</v>
      </c>
      <c r="AA10" s="97">
        <f t="shared" si="0"/>
        <v>0.33667732513479864</v>
      </c>
    </row>
    <row r="11" spans="1:31" ht="15" customHeight="1" x14ac:dyDescent="0.25">
      <c r="B11" s="21" t="s">
        <v>5</v>
      </c>
      <c r="C11" s="95">
        <f>Annual_sorted!M90</f>
        <v>-63.426985255803672</v>
      </c>
      <c r="D11" s="29">
        <f>IF(C11-Table_1463109384654627078[Burundi]&gt;0, C11-Table_1463109384654627078[Burundi], 0)</f>
        <v>0</v>
      </c>
      <c r="E11" s="29">
        <f>IF(C11-Table_1463109384654627078[DRC]&gt;0, C11-Table_1463109384654627078[DRC], 0)</f>
        <v>0</v>
      </c>
      <c r="F11" s="29">
        <f>IF(C11-Table_1463109384654627078[Egypt]&gt;0, C11-Table_1463109384654627078[Egypt], 0)</f>
        <v>0</v>
      </c>
      <c r="G11" s="29">
        <f>IF(C11-Table_1463109384654627078[Eritrea]&gt;0, C11-Table_1463109384654627078[Eritrea], 0)</f>
        <v>0</v>
      </c>
      <c r="H11" s="29">
        <f>IF(C11-Table_1463109384654627078[Ethiopia]&gt;0, C11-Table_1463109384654627078[Ethiopia], 0)</f>
        <v>386.51584648101635</v>
      </c>
      <c r="I11" s="29">
        <f>IF(C11-Table_1463109384654627078[Kenya]&gt;0, C11-Table_1463109384654627078[Kenya], 0)</f>
        <v>0</v>
      </c>
      <c r="J11" s="29">
        <f>IF(C11-Table_1463109384654627078[Rwanda]&gt;0, C11-Table_1463109384654627078[Rwanda], 0)</f>
        <v>0</v>
      </c>
      <c r="K11" s="29">
        <f>IF(C11-Table_1463109384654627078[Sudan]&gt;0, C11-Table_1463109384654627078[Sudan], 0)</f>
        <v>304.0483248278955</v>
      </c>
      <c r="L11" s="29">
        <f>IF(C11-Table_1463109384654627078[S. Sudan]&gt;0, C11-Table_1463109384654627078[S. Sudan], 0)</f>
        <v>548.50030608979205</v>
      </c>
      <c r="M11" s="29">
        <f>IF(C11-Table_1463109384654627078[Tanzania]&gt;0, C11-Table_1463109384654627078[Tanzania], 0)</f>
        <v>57.529726448974486</v>
      </c>
      <c r="N11" s="29">
        <f>IF(C11-Table_1463109384654627078[Uganda]&gt;0, C11-Table_1463109384654627078[Uganda], 0)</f>
        <v>205.75941099194876</v>
      </c>
      <c r="P11" s="21" t="s">
        <v>6</v>
      </c>
      <c r="Q11" s="97">
        <f t="shared" si="0"/>
        <v>-3.3150514061761347E-3</v>
      </c>
      <c r="R11" s="97">
        <f t="shared" si="0"/>
        <v>1.4296384934702792E-3</v>
      </c>
      <c r="S11" s="97">
        <f t="shared" si="0"/>
        <v>-3.3150514061761347E-3</v>
      </c>
      <c r="T11" s="97">
        <f t="shared" si="0"/>
        <v>-3.3150514061761347E-3</v>
      </c>
      <c r="U11" s="97">
        <f t="shared" si="0"/>
        <v>0.70343238682555242</v>
      </c>
      <c r="V11" s="97">
        <f t="shared" si="0"/>
        <v>6.4762006781699022E-2</v>
      </c>
      <c r="W11" s="97">
        <f t="shared" si="0"/>
        <v>-3.3150514061761347E-3</v>
      </c>
      <c r="X11" s="97">
        <f t="shared" si="0"/>
        <v>0.56716484727964067</v>
      </c>
      <c r="Y11" s="97">
        <f t="shared" si="0"/>
        <v>0.97109198557531828</v>
      </c>
      <c r="Z11" s="97">
        <f t="shared" si="0"/>
        <v>0.15982287579781596</v>
      </c>
      <c r="AA11" s="97">
        <f t="shared" si="0"/>
        <v>0.40475438332267383</v>
      </c>
    </row>
    <row r="12" spans="1:31" ht="15" customHeight="1" x14ac:dyDescent="0.25">
      <c r="B12" s="21" t="s">
        <v>6</v>
      </c>
      <c r="C12" s="95">
        <f>Annual_sorted!M91</f>
        <v>-22.227545617445564</v>
      </c>
      <c r="D12" s="29">
        <f>IF(C12-Table_1463109384654627078[Burundi]&gt;0, C12-Table_1463109384654627078[Burundi], 0)</f>
        <v>0</v>
      </c>
      <c r="E12" s="29">
        <f>IF(C12-Table_1463109384654627078[DRC]&gt;0, C12-Table_1463109384654627078[DRC], 0)</f>
        <v>2.8714308509592072</v>
      </c>
      <c r="F12" s="29">
        <f>IF(C12-Table_1463109384654627078[Egypt]&gt;0, C12-Table_1463109384654627078[Egypt], 0)</f>
        <v>0</v>
      </c>
      <c r="G12" s="29">
        <f>IF(C12-Table_1463109384654627078[Eritrea]&gt;0, C12-Table_1463109384654627078[Eritrea], 0)</f>
        <v>0</v>
      </c>
      <c r="H12" s="29">
        <f>IF(C12-Table_1463109384654627078[Ethiopia]&gt;0, C12-Table_1463109384654627078[Ethiopia], 0)</f>
        <v>427.71528611937447</v>
      </c>
      <c r="I12" s="29">
        <f>IF(C12-Table_1463109384654627078[Kenya]&gt;0, C12-Table_1463109384654627078[Kenya], 0)</f>
        <v>41.199439638358108</v>
      </c>
      <c r="J12" s="29">
        <f>IF(C12-Table_1463109384654627078[Rwanda]&gt;0, C12-Table_1463109384654627078[Rwanda], 0)</f>
        <v>0</v>
      </c>
      <c r="K12" s="29">
        <f>IF(C12-Table_1463109384654627078[Sudan]&gt;0, C12-Table_1463109384654627078[Sudan], 0)</f>
        <v>345.24776446625361</v>
      </c>
      <c r="L12" s="29">
        <f>IF(C12-Table_1463109384654627078[S. Sudan]&gt;0, C12-Table_1463109384654627078[S. Sudan], 0)</f>
        <v>589.69974572815011</v>
      </c>
      <c r="M12" s="29">
        <f>IF(C12-Table_1463109384654627078[Tanzania]&gt;0, C12-Table_1463109384654627078[Tanzania], 0)</f>
        <v>98.729166087332601</v>
      </c>
      <c r="N12" s="29">
        <f>IF(C12-Table_1463109384654627078[Uganda]&gt;0, C12-Table_1463109384654627078[Uganda], 0)</f>
        <v>246.95885063030687</v>
      </c>
      <c r="P12" s="21" t="s">
        <v>7</v>
      </c>
      <c r="Q12" s="97">
        <f t="shared" si="0"/>
        <v>-3.3150514061761347E-3</v>
      </c>
      <c r="R12" s="97">
        <f t="shared" si="0"/>
        <v>-3.3150514061761347E-3</v>
      </c>
      <c r="S12" s="97">
        <f t="shared" si="0"/>
        <v>-3.3150514061761347E-3</v>
      </c>
      <c r="T12" s="97">
        <f t="shared" si="0"/>
        <v>-3.3150514061761347E-3</v>
      </c>
      <c r="U12" s="97">
        <f t="shared" si="0"/>
        <v>0.13295248813973548</v>
      </c>
      <c r="V12" s="97">
        <f t="shared" si="0"/>
        <v>-3.3150514061761347E-3</v>
      </c>
      <c r="W12" s="97">
        <f t="shared" si="0"/>
        <v>-3.3150514061761347E-3</v>
      </c>
      <c r="X12" s="97">
        <f t="shared" si="0"/>
        <v>-3.3150514061761347E-3</v>
      </c>
      <c r="Y12" s="97">
        <f t="shared" si="0"/>
        <v>0.40061208688950134</v>
      </c>
      <c r="Z12" s="97">
        <f t="shared" si="0"/>
        <v>-3.3150514061761347E-3</v>
      </c>
      <c r="AA12" s="97">
        <f t="shared" si="0"/>
        <v>-3.3150514061761347E-3</v>
      </c>
    </row>
    <row r="13" spans="1:31" ht="15" customHeight="1" x14ac:dyDescent="0.25">
      <c r="B13" s="21" t="s">
        <v>7</v>
      </c>
      <c r="C13" s="95">
        <f>Annual_sorted!M92</f>
        <v>-367.47531008369918</v>
      </c>
      <c r="D13" s="29">
        <f>IF(C13-Table_1463109384654627078[Burundi]&gt;0, C13-Table_1463109384654627078[Burundi], 0)</f>
        <v>0</v>
      </c>
      <c r="E13" s="29">
        <f>IF(C13-Table_1463109384654627078[DRC]&gt;0, C13-Table_1463109384654627078[DRC], 0)</f>
        <v>0</v>
      </c>
      <c r="F13" s="29">
        <f>IF(C13-Table_1463109384654627078[Egypt]&gt;0, C13-Table_1463109384654627078[Egypt], 0)</f>
        <v>0</v>
      </c>
      <c r="G13" s="29">
        <f>IF(C13-Table_1463109384654627078[Eritrea]&gt;0, C13-Table_1463109384654627078[Eritrea], 0)</f>
        <v>0</v>
      </c>
      <c r="H13" s="29">
        <f>IF(C13-Table_1463109384654627078[Ethiopia]&gt;0, C13-Table_1463109384654627078[Ethiopia], 0)</f>
        <v>82.467521653120855</v>
      </c>
      <c r="I13" s="29">
        <f>IF(C13-Table_1463109384654627078[Kenya]&gt;0, C13-Table_1463109384654627078[Kenya], 0)</f>
        <v>0</v>
      </c>
      <c r="J13" s="29">
        <f>IF(C13-Table_1463109384654627078[Rwanda]&gt;0, C13-Table_1463109384654627078[Rwanda], 0)</f>
        <v>0</v>
      </c>
      <c r="K13" s="29">
        <f>IF(C13-Table_1463109384654627078[Sudan]&gt;0, C13-Table_1463109384654627078[Sudan], 0)</f>
        <v>0</v>
      </c>
      <c r="L13" s="29">
        <f>IF(C13-Table_1463109384654627078[S. Sudan]&gt;0, C13-Table_1463109384654627078[S. Sudan], 0)</f>
        <v>244.45198126189649</v>
      </c>
      <c r="M13" s="29">
        <f>IF(C13-Table_1463109384654627078[Tanzania]&gt;0, C13-Table_1463109384654627078[Tanzania], 0)</f>
        <v>0</v>
      </c>
      <c r="N13" s="29">
        <f>IF(C13-Table_1463109384654627078[Uganda]&gt;0, C13-Table_1463109384654627078[Uganda], 0)</f>
        <v>0</v>
      </c>
      <c r="P13" s="21" t="s">
        <v>8</v>
      </c>
      <c r="Q13" s="97">
        <f t="shared" si="0"/>
        <v>-3.3150514061761347E-3</v>
      </c>
      <c r="R13" s="97">
        <f t="shared" si="0"/>
        <v>-3.3150514061761347E-3</v>
      </c>
      <c r="S13" s="97">
        <f t="shared" si="0"/>
        <v>-3.3150514061761347E-3</v>
      </c>
      <c r="T13" s="97">
        <f t="shared" si="0"/>
        <v>-3.3150514061761347E-3</v>
      </c>
      <c r="U13" s="97">
        <f t="shared" si="0"/>
        <v>-3.3150514061761347E-3</v>
      </c>
      <c r="V13" s="97">
        <f t="shared" si="0"/>
        <v>-3.3150514061761347E-3</v>
      </c>
      <c r="W13" s="97">
        <f t="shared" si="0"/>
        <v>-3.3150514061761347E-3</v>
      </c>
      <c r="X13" s="97">
        <f t="shared" si="0"/>
        <v>-3.3150514061761347E-3</v>
      </c>
      <c r="Y13" s="97">
        <f t="shared" si="0"/>
        <v>-3.3150514061761347E-3</v>
      </c>
      <c r="Z13" s="97">
        <f t="shared" si="0"/>
        <v>-3.3150514061761347E-3</v>
      </c>
      <c r="AA13" s="97">
        <f t="shared" si="0"/>
        <v>-3.3150514061761347E-3</v>
      </c>
    </row>
    <row r="14" spans="1:31" ht="15" customHeight="1" x14ac:dyDescent="0.25">
      <c r="B14" s="21" t="s">
        <v>8</v>
      </c>
      <c r="C14" s="95">
        <f>Annual_sorted!M93</f>
        <v>-611.92729134559568</v>
      </c>
      <c r="D14" s="29">
        <f>IF(C14-Table_1463109384654627078[Burundi]&gt;0, C14-Table_1463109384654627078[Burundi], 0)</f>
        <v>0</v>
      </c>
      <c r="E14" s="29">
        <f>IF(C14-Table_1463109384654627078[DRC]&gt;0, C14-Table_1463109384654627078[DRC], 0)</f>
        <v>0</v>
      </c>
      <c r="F14" s="29">
        <f>IF(C14-Table_1463109384654627078[Egypt]&gt;0, C14-Table_1463109384654627078[Egypt], 0)</f>
        <v>0</v>
      </c>
      <c r="G14" s="29">
        <f>IF(C14-Table_1463109384654627078[Eritrea]&gt;0, C14-Table_1463109384654627078[Eritrea], 0)</f>
        <v>0</v>
      </c>
      <c r="H14" s="29">
        <f>IF(C14-Table_1463109384654627078[Ethiopia]&gt;0, C14-Table_1463109384654627078[Ethiopia], 0)</f>
        <v>0</v>
      </c>
      <c r="I14" s="29">
        <f>IF(C14-Table_1463109384654627078[Kenya]&gt;0, C14-Table_1463109384654627078[Kenya], 0)</f>
        <v>0</v>
      </c>
      <c r="J14" s="29">
        <f>IF(C14-Table_1463109384654627078[Rwanda]&gt;0, C14-Table_1463109384654627078[Rwanda], 0)</f>
        <v>0</v>
      </c>
      <c r="K14" s="29">
        <f>IF(C14-Table_1463109384654627078[Sudan]&gt;0, C14-Table_1463109384654627078[Sudan], 0)</f>
        <v>0</v>
      </c>
      <c r="L14" s="29">
        <f>IF(C14-Table_1463109384654627078[S. Sudan]&gt;0, C14-Table_1463109384654627078[S. Sudan], 0)</f>
        <v>0</v>
      </c>
      <c r="M14" s="29">
        <f>IF(C14-Table_1463109384654627078[Tanzania]&gt;0, C14-Table_1463109384654627078[Tanzania], 0)</f>
        <v>0</v>
      </c>
      <c r="N14" s="29">
        <f>IF(C14-Table_1463109384654627078[Uganda]&gt;0, C14-Table_1463109384654627078[Uganda], 0)</f>
        <v>0</v>
      </c>
      <c r="P14" s="21" t="s">
        <v>9</v>
      </c>
      <c r="Q14" s="97">
        <f t="shared" si="0"/>
        <v>-3.3150514061761347E-3</v>
      </c>
      <c r="R14" s="97">
        <f t="shared" si="0"/>
        <v>-3.3150514061761347E-3</v>
      </c>
      <c r="S14" s="97">
        <f t="shared" si="0"/>
        <v>-3.3150514061761347E-3</v>
      </c>
      <c r="T14" s="97">
        <f t="shared" si="0"/>
        <v>-3.3150514061761347E-3</v>
      </c>
      <c r="U14" s="97">
        <f t="shared" si="0"/>
        <v>0.54029445962156031</v>
      </c>
      <c r="V14" s="97">
        <f t="shared" si="0"/>
        <v>-3.3150514061761347E-3</v>
      </c>
      <c r="W14" s="97">
        <f t="shared" si="0"/>
        <v>-3.3150514061761347E-3</v>
      </c>
      <c r="X14" s="97">
        <f t="shared" si="0"/>
        <v>0.40402692007564861</v>
      </c>
      <c r="Y14" s="97">
        <f t="shared" si="0"/>
        <v>0.80795405837132617</v>
      </c>
      <c r="Z14" s="97">
        <f t="shared" si="0"/>
        <v>-3.3150514061761347E-3</v>
      </c>
      <c r="AA14" s="97">
        <f t="shared" si="0"/>
        <v>0.24161645611868177</v>
      </c>
    </row>
    <row r="15" spans="1:31" ht="15" customHeight="1" thickBot="1" x14ac:dyDescent="0.3">
      <c r="B15" s="21" t="s">
        <v>9</v>
      </c>
      <c r="C15" s="95">
        <f>Annual_sorted!M94</f>
        <v>-120.95671170477816</v>
      </c>
      <c r="D15" s="29">
        <f>IF(C15-Table_1463109384654627078[Burundi]&gt;0, C15-Table_1463109384654627078[Burundi], 0)</f>
        <v>0</v>
      </c>
      <c r="E15" s="29">
        <f>IF(C15-Table_1463109384654627078[DRC]&gt;0, C15-Table_1463109384654627078[DRC], 0)</f>
        <v>0</v>
      </c>
      <c r="F15" s="29">
        <f>IF(C15-Table_1463109384654627078[Egypt]&gt;0, C15-Table_1463109384654627078[Egypt], 0)</f>
        <v>0</v>
      </c>
      <c r="G15" s="29">
        <f>IF(C15-Table_1463109384654627078[Eritrea]&gt;0, C15-Table_1463109384654627078[Eritrea], 0)</f>
        <v>0</v>
      </c>
      <c r="H15" s="29">
        <f>IF(C15-Table_1463109384654627078[Ethiopia]&gt;0, C15-Table_1463109384654627078[Ethiopia], 0)</f>
        <v>328.98612003204187</v>
      </c>
      <c r="I15" s="29">
        <f>IF(C15-Table_1463109384654627078[Kenya]&gt;0, C15-Table_1463109384654627078[Kenya], 0)</f>
        <v>0</v>
      </c>
      <c r="J15" s="29">
        <f>IF(C15-Table_1463109384654627078[Rwanda]&gt;0, C15-Table_1463109384654627078[Rwanda], 0)</f>
        <v>0</v>
      </c>
      <c r="K15" s="29">
        <f>IF(C15-Table_1463109384654627078[Sudan]&gt;0, C15-Table_1463109384654627078[Sudan], 0)</f>
        <v>246.51859837892101</v>
      </c>
      <c r="L15" s="29">
        <f>IF(C15-Table_1463109384654627078[S. Sudan]&gt;0, C15-Table_1463109384654627078[S. Sudan], 0)</f>
        <v>490.9705796408175</v>
      </c>
      <c r="M15" s="29">
        <f>IF(C15-Table_1463109384654627078[Tanzania]&gt;0, C15-Table_1463109384654627078[Tanzania], 0)</f>
        <v>0</v>
      </c>
      <c r="N15" s="29">
        <f>IF(C15-Table_1463109384654627078[Uganda]&gt;0, C15-Table_1463109384654627078[Uganda], 0)</f>
        <v>148.22968454297427</v>
      </c>
      <c r="P15" s="22" t="s">
        <v>10</v>
      </c>
      <c r="Q15" s="98">
        <f t="shared" si="0"/>
        <v>-3.3150514061761347E-3</v>
      </c>
      <c r="R15" s="98">
        <f t="shared" si="0"/>
        <v>-3.3150514061761347E-3</v>
      </c>
      <c r="S15" s="98">
        <f t="shared" si="0"/>
        <v>-3.3150514061761347E-3</v>
      </c>
      <c r="T15" s="98">
        <f t="shared" si="0"/>
        <v>-3.3150514061761347E-3</v>
      </c>
      <c r="U15" s="98">
        <f t="shared" si="0"/>
        <v>0.29536295209670238</v>
      </c>
      <c r="V15" s="98">
        <f t="shared" si="0"/>
        <v>-3.3150514061761347E-3</v>
      </c>
      <c r="W15" s="98">
        <f t="shared" si="0"/>
        <v>-3.3150514061761347E-3</v>
      </c>
      <c r="X15" s="98">
        <f t="shared" si="0"/>
        <v>0.15909541255079077</v>
      </c>
      <c r="Y15" s="98">
        <f t="shared" si="0"/>
        <v>0.56302255084646824</v>
      </c>
      <c r="Z15" s="98">
        <f t="shared" si="0"/>
        <v>-3.3150514061761347E-3</v>
      </c>
      <c r="AA15" s="98">
        <f t="shared" si="0"/>
        <v>-3.3150514061761347E-3</v>
      </c>
    </row>
    <row r="16" spans="1:31" ht="15" customHeight="1" thickBot="1" x14ac:dyDescent="0.3">
      <c r="B16" s="22" t="s">
        <v>10</v>
      </c>
      <c r="C16" s="96">
        <f>Annual_sorted!M95</f>
        <v>-269.18639624775244</v>
      </c>
      <c r="D16" s="32">
        <f>IF(C16-Table_1463109384654627078[Burundi]&gt;0, C16-Table_1463109384654627078[Burundi], 0)</f>
        <v>0</v>
      </c>
      <c r="E16" s="32">
        <f>IF(C16-Table_1463109384654627078[DRC]&gt;0, C16-Table_1463109384654627078[DRC], 0)</f>
        <v>0</v>
      </c>
      <c r="F16" s="32">
        <f>IF(C16-Table_1463109384654627078[Egypt]&gt;0, C16-Table_1463109384654627078[Egypt], 0)</f>
        <v>0</v>
      </c>
      <c r="G16" s="32">
        <f>IF(C16-Table_1463109384654627078[Eritrea]&gt;0, C16-Table_1463109384654627078[Eritrea], 0)</f>
        <v>0</v>
      </c>
      <c r="H16" s="32">
        <f>IF(C16-Table_1463109384654627078[Ethiopia]&gt;0, C16-Table_1463109384654627078[Ethiopia], 0)</f>
        <v>180.7564354890676</v>
      </c>
      <c r="I16" s="32">
        <f>IF(C16-Table_1463109384654627078[Kenya]&gt;0, C16-Table_1463109384654627078[Kenya], 0)</f>
        <v>0</v>
      </c>
      <c r="J16" s="32">
        <f>IF(C16-Table_1463109384654627078[Rwanda]&gt;0, C16-Table_1463109384654627078[Rwanda], 0)</f>
        <v>0</v>
      </c>
      <c r="K16" s="32">
        <f>IF(C16-Table_1463109384654627078[Sudan]&gt;0, C16-Table_1463109384654627078[Sudan], 0)</f>
        <v>98.288913835946744</v>
      </c>
      <c r="L16" s="32">
        <f>IF(C16-Table_1463109384654627078[S. Sudan]&gt;0, C16-Table_1463109384654627078[S. Sudan], 0)</f>
        <v>342.74089509784324</v>
      </c>
      <c r="M16" s="32">
        <f>IF(C16-Table_1463109384654627078[Tanzania]&gt;0, C16-Table_1463109384654627078[Tanzania], 0)</f>
        <v>0</v>
      </c>
      <c r="N16" s="32">
        <f>IF(C16-Table_1463109384654627078[Uganda]&gt;0, C16-Table_1463109384654627078[Uganda], 0)</f>
        <v>0</v>
      </c>
      <c r="Q16" s="186">
        <f t="shared" ref="Q16:X16" si="1">SUM(Q5:Q15)</f>
        <v>-1.3911259211945221E-2</v>
      </c>
      <c r="R16" s="186">
        <f t="shared" si="1"/>
        <v>3.7073779111237055E-2</v>
      </c>
      <c r="S16" s="186">
        <f t="shared" si="1"/>
        <v>-3.6465565467937479E-2</v>
      </c>
      <c r="T16" s="186">
        <f t="shared" si="1"/>
        <v>-2.2541362024297486E-2</v>
      </c>
      <c r="U16" s="186">
        <f t="shared" si="1"/>
        <v>5.1643129548920284</v>
      </c>
      <c r="V16" s="186">
        <f t="shared" si="1"/>
        <v>0.35373562055238056</v>
      </c>
      <c r="W16" s="186">
        <f t="shared" si="1"/>
        <v>1.8095019512651384E-2</v>
      </c>
      <c r="X16" s="186">
        <f t="shared" si="1"/>
        <v>3.9379050989788231</v>
      </c>
      <c r="Y16" s="186">
        <f>SUM(Y5:Y15)</f>
        <v>7.8409089423896869</v>
      </c>
      <c r="Z16" s="186">
        <f t="shared" ref="Z16:AA16" si="2">SUM(Z5:Z15)</f>
        <v>0.9241008346490821</v>
      </c>
      <c r="AA16" s="186">
        <f t="shared" si="2"/>
        <v>2.6386213873230879</v>
      </c>
      <c r="AB16" s="186">
        <f>SUM(Q5:AA15)</f>
        <v>20.841835450704806</v>
      </c>
    </row>
    <row r="18" spans="2:31" ht="12.75" customHeight="1" x14ac:dyDescent="0.25">
      <c r="B18" s="5"/>
      <c r="C18" s="5"/>
      <c r="D18" s="5"/>
      <c r="E18" s="5"/>
      <c r="F18" s="5"/>
      <c r="G18" s="5"/>
      <c r="H18" s="5"/>
      <c r="I18" s="5"/>
      <c r="J18" s="5"/>
      <c r="K18" s="5"/>
      <c r="L18" s="5"/>
      <c r="M18" s="5"/>
      <c r="N18" s="5"/>
    </row>
    <row r="19" spans="2:31" ht="12.75" customHeight="1" x14ac:dyDescent="0.25">
      <c r="B19" s="5"/>
      <c r="C19" s="5"/>
      <c r="D19" s="5"/>
      <c r="E19" s="5"/>
      <c r="F19" s="5"/>
      <c r="G19" s="5"/>
      <c r="H19" s="5"/>
      <c r="I19" s="5"/>
      <c r="J19" s="5"/>
      <c r="K19" s="5"/>
      <c r="L19" s="5"/>
      <c r="M19" s="5"/>
      <c r="N19" s="44"/>
      <c r="O19" s="5"/>
      <c r="P19" s="5"/>
      <c r="Q19" s="5"/>
      <c r="R19" s="5"/>
      <c r="S19" s="5"/>
      <c r="T19" s="5"/>
      <c r="U19" s="5"/>
      <c r="V19" s="5"/>
      <c r="W19" s="5"/>
      <c r="X19" s="5"/>
      <c r="Y19" s="5"/>
      <c r="Z19" s="5"/>
      <c r="AA19" s="5"/>
    </row>
    <row r="20" spans="2:31" ht="12.75" customHeight="1" x14ac:dyDescent="0.25">
      <c r="B20" s="5"/>
      <c r="C20" s="5"/>
      <c r="D20" s="5"/>
      <c r="E20" s="5"/>
      <c r="F20" s="5"/>
      <c r="G20" s="5"/>
      <c r="H20" s="5"/>
      <c r="I20" s="5"/>
      <c r="J20" s="5"/>
      <c r="K20" s="5"/>
      <c r="L20" s="5"/>
      <c r="M20" s="5"/>
      <c r="N20" s="44"/>
      <c r="O20" s="5"/>
      <c r="P20" s="5"/>
      <c r="Q20" s="5"/>
      <c r="R20" s="5"/>
      <c r="S20" s="5"/>
      <c r="T20" s="5"/>
      <c r="U20" s="5"/>
      <c r="V20" s="5"/>
      <c r="W20" s="5"/>
      <c r="X20" s="5"/>
      <c r="Y20" s="5"/>
      <c r="Z20" s="5"/>
      <c r="AA20" s="5"/>
    </row>
    <row r="21" spans="2:31" ht="12.75" customHeight="1" thickBot="1" x14ac:dyDescent="0.3">
      <c r="B21" s="253" t="s">
        <v>102</v>
      </c>
      <c r="C21" s="253"/>
      <c r="D21" s="253"/>
      <c r="E21" s="253"/>
      <c r="F21" s="253"/>
      <c r="G21" s="253"/>
      <c r="H21" s="253"/>
      <c r="I21" s="253"/>
      <c r="J21" s="253"/>
      <c r="K21" s="253"/>
      <c r="L21" s="253"/>
      <c r="M21" s="253"/>
      <c r="N21" s="253"/>
      <c r="P21" s="253" t="s">
        <v>103</v>
      </c>
      <c r="Q21" s="253"/>
      <c r="R21" s="253"/>
      <c r="S21" s="253"/>
      <c r="T21" s="253"/>
      <c r="U21" s="253"/>
      <c r="V21" s="253"/>
      <c r="W21" s="253"/>
      <c r="X21" s="253"/>
      <c r="Y21" s="253"/>
      <c r="Z21" s="253"/>
      <c r="AA21" s="253"/>
      <c r="AB21" s="10"/>
      <c r="AC21" s="3" t="s">
        <v>22</v>
      </c>
      <c r="AD21" s="13" t="s">
        <v>23</v>
      </c>
      <c r="AE21" s="74">
        <f t="array" ref="AE21">MIN(IF(D24:N34&gt;0,D24:N34))</f>
        <v>0.58754911487047501</v>
      </c>
    </row>
    <row r="22" spans="2:31" ht="12.75" customHeight="1" thickBot="1" x14ac:dyDescent="0.3">
      <c r="B22" s="75" t="s">
        <v>13</v>
      </c>
      <c r="C22" s="66" t="s">
        <v>14</v>
      </c>
      <c r="D22" s="67" t="s">
        <v>1</v>
      </c>
      <c r="E22" s="67" t="s">
        <v>195</v>
      </c>
      <c r="F22" s="67" t="s">
        <v>2</v>
      </c>
      <c r="G22" s="67" t="s">
        <v>3</v>
      </c>
      <c r="H22" s="67" t="s">
        <v>4</v>
      </c>
      <c r="I22" s="67" t="s">
        <v>5</v>
      </c>
      <c r="J22" s="67" t="s">
        <v>6</v>
      </c>
      <c r="K22" s="67" t="s">
        <v>7</v>
      </c>
      <c r="L22" s="67" t="s">
        <v>295</v>
      </c>
      <c r="M22" s="67" t="s">
        <v>9</v>
      </c>
      <c r="N22" s="67" t="s">
        <v>10</v>
      </c>
      <c r="P22" s="76" t="s">
        <v>19</v>
      </c>
      <c r="Q22" s="77" t="s">
        <v>1</v>
      </c>
      <c r="R22" s="77" t="s">
        <v>195</v>
      </c>
      <c r="S22" s="77" t="s">
        <v>2</v>
      </c>
      <c r="T22" s="77" t="s">
        <v>3</v>
      </c>
      <c r="U22" s="77" t="s">
        <v>4</v>
      </c>
      <c r="V22" s="77" t="s">
        <v>5</v>
      </c>
      <c r="W22" s="77" t="s">
        <v>6</v>
      </c>
      <c r="X22" s="77" t="s">
        <v>7</v>
      </c>
      <c r="Y22" s="77" t="s">
        <v>295</v>
      </c>
      <c r="Z22" s="77" t="s">
        <v>9</v>
      </c>
      <c r="AA22" s="77" t="s">
        <v>10</v>
      </c>
      <c r="AB22" s="254" t="s">
        <v>26</v>
      </c>
      <c r="AC22" s="254"/>
      <c r="AD22" s="13" t="s">
        <v>24</v>
      </c>
      <c r="AE22" s="20">
        <f>MAX(D24:N34)</f>
        <v>745.21447288738534</v>
      </c>
    </row>
    <row r="23" spans="2:31" ht="13.2" x14ac:dyDescent="0.25">
      <c r="B23" s="93"/>
      <c r="C23" s="94" t="s">
        <v>258</v>
      </c>
      <c r="D23" s="95">
        <f>C24</f>
        <v>-12.07542454712468</v>
      </c>
      <c r="E23" s="95">
        <f>C25</f>
        <v>-26.285530323407777</v>
      </c>
      <c r="F23" s="95">
        <f>C26</f>
        <v>-60.68383966147325</v>
      </c>
      <c r="G23" s="95">
        <f>C27</f>
        <v>-11.487875432254205</v>
      </c>
      <c r="H23" s="95">
        <f>C28</f>
        <v>-351.35064592128862</v>
      </c>
      <c r="I23" s="95">
        <f>C29</f>
        <v>-55.787039314826089</v>
      </c>
      <c r="J23" s="95">
        <f>C30</f>
        <v>-18.987886877823058</v>
      </c>
      <c r="K23" s="95">
        <f>C31</f>
        <v>-450.26254169722858</v>
      </c>
      <c r="L23" s="95">
        <f>C32</f>
        <v>-756.70234831963955</v>
      </c>
      <c r="M23" s="95">
        <f>C33</f>
        <v>-116.78322573737898</v>
      </c>
      <c r="N23" s="95">
        <f>C34</f>
        <v>-280.27522995326422</v>
      </c>
      <c r="P23" s="21" t="s">
        <v>1</v>
      </c>
      <c r="Q23" s="97">
        <f>AE23+(D24-AE21)*(AE24-AE23)/(AE22-AE21)</f>
        <v>2.1173738550592269E-4</v>
      </c>
      <c r="R23" s="97">
        <f t="shared" ref="R23:AA33" si="3">$AE$23+(E24-$AE$21)*($AE$24-$AE$23)/($AE$22-$AE$21)</f>
        <v>1.9276177868783013E-2</v>
      </c>
      <c r="S23" s="97">
        <f t="shared" si="3"/>
        <v>6.5425343218095122E-2</v>
      </c>
      <c r="T23" s="97">
        <f t="shared" si="3"/>
        <v>2.1173738550592269E-4</v>
      </c>
      <c r="U23" s="97">
        <f t="shared" si="3"/>
        <v>0.45538725593328205</v>
      </c>
      <c r="V23" s="97">
        <f t="shared" si="3"/>
        <v>5.8855739850120457E-2</v>
      </c>
      <c r="W23" s="97">
        <f t="shared" si="3"/>
        <v>9.4855759319044143E-3</v>
      </c>
      <c r="X23" s="97">
        <f t="shared" si="3"/>
        <v>0.58808858692940869</v>
      </c>
      <c r="Y23" s="97">
        <f t="shared" si="3"/>
        <v>0.99921173738550584</v>
      </c>
      <c r="Z23" s="97">
        <f t="shared" si="3"/>
        <v>0.14068892139479716</v>
      </c>
      <c r="AA23" s="97">
        <f t="shared" si="3"/>
        <v>0.36003166471677595</v>
      </c>
      <c r="AD23" s="3" t="s">
        <v>25</v>
      </c>
      <c r="AE23" s="2">
        <v>1E-3</v>
      </c>
    </row>
    <row r="24" spans="2:31" ht="12.75" customHeight="1" x14ac:dyDescent="0.25">
      <c r="B24" s="21" t="s">
        <v>1</v>
      </c>
      <c r="C24" s="95">
        <f>Annual_sorted!N85</f>
        <v>-12.07542454712468</v>
      </c>
      <c r="D24" s="29">
        <f>IF(C24-Table_146341211394755637179[Burundi]&gt;0, C24-Table_146341211394755637179[Burundi], 0)</f>
        <v>0</v>
      </c>
      <c r="E24" s="29">
        <f>IF(C24-Table_146341211394755637179[DRC]&gt;0, C24-Table_146341211394755637179[DRC], 0)</f>
        <v>14.210105776283097</v>
      </c>
      <c r="F24" s="29">
        <f>IF(C24-Table_146341211394755637179[Egypt]&gt;0, C24-Table_146341211394755637179[Egypt], 0)</f>
        <v>48.608415114348574</v>
      </c>
      <c r="G24" s="29">
        <f>IF(C24-Table_146341211394755637179[Eritrea]&gt;0, C24-Table_146341211394755637179[Eritrea], 0)</f>
        <v>0</v>
      </c>
      <c r="H24" s="29">
        <f>IF(C24-Table_146341211394755637179[Ethiopia]&gt;0, C24-Table_146341211394755637179[Ethiopia], 0)</f>
        <v>339.27522137416395</v>
      </c>
      <c r="I24" s="29">
        <f>IF(C24-Table_146341211394755637179[Kenya]&gt;0, C24-Table_146341211394755637179[Kenya], 0)</f>
        <v>43.711614767701406</v>
      </c>
      <c r="J24" s="29">
        <f>IF(C24-Table_146341211394755637179[Rwanda]&gt;0, C24-Table_146341211394755637179[Rwanda], 0)</f>
        <v>6.9124623306983786</v>
      </c>
      <c r="K24" s="29">
        <f>IF(C24-Table_146341211394755637179[Sudan]&gt;0, C24-Table_146341211394755637179[Sudan], 0)</f>
        <v>438.18711715010392</v>
      </c>
      <c r="L24" s="29">
        <f>IF(C24-Table_146341211394755637179[S. Sudan]&gt;0, C24-Table_146341211394755637179[S. Sudan], 0)</f>
        <v>744.62692377251483</v>
      </c>
      <c r="M24" s="29">
        <f>IF(C24-Table_146341211394755637179[Tanzania]&gt;0, C24-Table_146341211394755637179[Tanzania], 0)</f>
        <v>104.7078011902543</v>
      </c>
      <c r="N24" s="29">
        <f>IF(C24-Table_146341211394755637179[Uganda]&gt;0, C24-Table_146341211394755637179[Uganda], 0)</f>
        <v>268.19980540613955</v>
      </c>
      <c r="P24" s="21" t="s">
        <v>195</v>
      </c>
      <c r="Q24" s="97">
        <f t="shared" ref="Q24:Q33" si="4">$AE$23+(D25-$AE$21)*($AE$24-$AE$23)/($AE$22-$AE$21)</f>
        <v>2.1173738550592269E-4</v>
      </c>
      <c r="R24" s="97">
        <f t="shared" si="3"/>
        <v>2.1173738550592269E-4</v>
      </c>
      <c r="S24" s="97">
        <f t="shared" si="3"/>
        <v>4.6360902734818021E-2</v>
      </c>
      <c r="T24" s="97">
        <f t="shared" si="3"/>
        <v>2.1173738550592269E-4</v>
      </c>
      <c r="U24" s="97">
        <f t="shared" si="3"/>
        <v>0.43632281545000495</v>
      </c>
      <c r="V24" s="97">
        <f t="shared" si="3"/>
        <v>3.9791299366843377E-2</v>
      </c>
      <c r="W24" s="97">
        <f t="shared" si="3"/>
        <v>2.1173738550592269E-4</v>
      </c>
      <c r="X24" s="97">
        <f t="shared" si="3"/>
        <v>0.56902414644613153</v>
      </c>
      <c r="Y24" s="97">
        <f t="shared" si="3"/>
        <v>0.98014729690222879</v>
      </c>
      <c r="Z24" s="97">
        <f t="shared" si="3"/>
        <v>0.12162448091152007</v>
      </c>
      <c r="AA24" s="97">
        <f t="shared" si="3"/>
        <v>0.34096722423349879</v>
      </c>
      <c r="AD24" s="3" t="s">
        <v>70</v>
      </c>
      <c r="AE24" s="2">
        <v>1</v>
      </c>
    </row>
    <row r="25" spans="2:31" ht="12.75" customHeight="1" x14ac:dyDescent="0.25">
      <c r="B25" s="21" t="s">
        <v>195</v>
      </c>
      <c r="C25" s="95">
        <f>Annual_sorted!N86</f>
        <v>-26.285530323407777</v>
      </c>
      <c r="D25" s="29">
        <f>IF(C25-Table_146341211394755637179[Burundi]&gt;0, C25-Table_146341211394755637179[Burundi], 0)</f>
        <v>0</v>
      </c>
      <c r="E25" s="29">
        <f>IF(C25-Table_146341211394755637179[DRC]&gt;0, C25-Table_146341211394755637179[DRC], 0)</f>
        <v>0</v>
      </c>
      <c r="F25" s="29">
        <f>IF(C25-Table_146341211394755637179[Egypt]&gt;0, C25-Table_146341211394755637179[Egypt], 0)</f>
        <v>34.398309338065474</v>
      </c>
      <c r="G25" s="29">
        <f>IF(C25-Table_146341211394755637179[Eritrea]&gt;0, C25-Table_146341211394755637179[Eritrea], 0)</f>
        <v>0</v>
      </c>
      <c r="H25" s="29">
        <f>IF(C25-Table_146341211394755637179[Ethiopia]&gt;0, C25-Table_146341211394755637179[Ethiopia], 0)</f>
        <v>325.06511559788083</v>
      </c>
      <c r="I25" s="29">
        <f>IF(C25-Table_146341211394755637179[Kenya]&gt;0, C25-Table_146341211394755637179[Kenya], 0)</f>
        <v>29.501508991418312</v>
      </c>
      <c r="J25" s="29">
        <f>IF(C25-Table_146341211394755637179[Rwanda]&gt;0, C25-Table_146341211394755637179[Rwanda], 0)</f>
        <v>0</v>
      </c>
      <c r="K25" s="29">
        <f>IF(C25-Table_146341211394755637179[Sudan]&gt;0, C25-Table_146341211394755637179[Sudan], 0)</f>
        <v>423.9770113738208</v>
      </c>
      <c r="L25" s="29">
        <f>IF(C25-Table_146341211394755637179[S. Sudan]&gt;0, C25-Table_146341211394755637179[S. Sudan], 0)</f>
        <v>730.41681799623177</v>
      </c>
      <c r="M25" s="29">
        <f>IF(C25-Table_146341211394755637179[Tanzania]&gt;0, C25-Table_146341211394755637179[Tanzania], 0)</f>
        <v>90.497695413971201</v>
      </c>
      <c r="N25" s="29">
        <f>IF(C25-Table_146341211394755637179[Uganda]&gt;0, C25-Table_146341211394755637179[Uganda], 0)</f>
        <v>253.98969962985643</v>
      </c>
      <c r="P25" s="21" t="s">
        <v>2</v>
      </c>
      <c r="Q25" s="97">
        <f t="shared" si="4"/>
        <v>2.1173738550592269E-4</v>
      </c>
      <c r="R25" s="97">
        <f t="shared" si="3"/>
        <v>2.1173738550592269E-4</v>
      </c>
      <c r="S25" s="97">
        <f t="shared" si="3"/>
        <v>2.1173738550592269E-4</v>
      </c>
      <c r="T25" s="97">
        <f t="shared" si="3"/>
        <v>2.1173738550592269E-4</v>
      </c>
      <c r="U25" s="97">
        <f t="shared" si="3"/>
        <v>0.39017365010069283</v>
      </c>
      <c r="V25" s="97">
        <f t="shared" si="3"/>
        <v>2.1173738550592269E-4</v>
      </c>
      <c r="W25" s="97">
        <f t="shared" si="3"/>
        <v>2.1173738550592269E-4</v>
      </c>
      <c r="X25" s="97">
        <f t="shared" si="3"/>
        <v>0.5228749810968194</v>
      </c>
      <c r="Y25" s="97">
        <f t="shared" si="3"/>
        <v>0.93399813155291678</v>
      </c>
      <c r="Z25" s="97">
        <f t="shared" si="3"/>
        <v>7.5475315562207962E-2</v>
      </c>
      <c r="AA25" s="97">
        <f t="shared" si="3"/>
        <v>0.29481805888418672</v>
      </c>
    </row>
    <row r="26" spans="2:31" ht="12.75" customHeight="1" x14ac:dyDescent="0.25">
      <c r="B26" s="21" t="s">
        <v>2</v>
      </c>
      <c r="C26" s="95">
        <f>Annual_sorted!N87</f>
        <v>-60.68383966147325</v>
      </c>
      <c r="D26" s="29">
        <f>IF(C26-Table_146341211394755637179[Burundi]&gt;0, C26-Table_146341211394755637179[Burundi], 0)</f>
        <v>0</v>
      </c>
      <c r="E26" s="29">
        <f>IF(C26-Table_146341211394755637179[DRC]&gt;0, C26-Table_146341211394755637179[DRC], 0)</f>
        <v>0</v>
      </c>
      <c r="F26" s="29">
        <f>IF(C26-Table_146341211394755637179[Egypt]&gt;0, C26-Table_146341211394755637179[Egypt], 0)</f>
        <v>0</v>
      </c>
      <c r="G26" s="29">
        <f>IF(C26-Table_146341211394755637179[Eritrea]&gt;0, C26-Table_146341211394755637179[Eritrea], 0)</f>
        <v>0</v>
      </c>
      <c r="H26" s="29">
        <f>IF(C26-Table_146341211394755637179[Ethiopia]&gt;0, C26-Table_146341211394755637179[Ethiopia], 0)</f>
        <v>290.66680625981536</v>
      </c>
      <c r="I26" s="29">
        <f>IF(C26-Table_146341211394755637179[Kenya]&gt;0, C26-Table_146341211394755637179[Kenya], 0)</f>
        <v>0</v>
      </c>
      <c r="J26" s="29">
        <f>IF(C26-Table_146341211394755637179[Rwanda]&gt;0, C26-Table_146341211394755637179[Rwanda], 0)</f>
        <v>0</v>
      </c>
      <c r="K26" s="29">
        <f>IF(C26-Table_146341211394755637179[Sudan]&gt;0, C26-Table_146341211394755637179[Sudan], 0)</f>
        <v>389.57870203575533</v>
      </c>
      <c r="L26" s="29">
        <f>IF(C26-Table_146341211394755637179[S. Sudan]&gt;0, C26-Table_146341211394755637179[S. Sudan], 0)</f>
        <v>696.0185086581663</v>
      </c>
      <c r="M26" s="29">
        <f>IF(C26-Table_146341211394755637179[Tanzania]&gt;0, C26-Table_146341211394755637179[Tanzania], 0)</f>
        <v>56.099386075905734</v>
      </c>
      <c r="N26" s="29">
        <f>IF(C26-Table_146341211394755637179[Uganda]&gt;0, C26-Table_146341211394755637179[Uganda], 0)</f>
        <v>219.59139029179096</v>
      </c>
      <c r="P26" s="21" t="s">
        <v>3</v>
      </c>
      <c r="Q26" s="97">
        <f t="shared" si="4"/>
        <v>1E-3</v>
      </c>
      <c r="R26" s="97">
        <f t="shared" si="3"/>
        <v>2.0064440483277091E-2</v>
      </c>
      <c r="S26" s="97">
        <f t="shared" si="3"/>
        <v>6.6213605832589187E-2</v>
      </c>
      <c r="T26" s="97">
        <f t="shared" si="3"/>
        <v>2.1173738550592269E-4</v>
      </c>
      <c r="U26" s="97">
        <f t="shared" si="3"/>
        <v>0.4561755185477761</v>
      </c>
      <c r="V26" s="97">
        <f t="shared" si="3"/>
        <v>5.9644002464614543E-2</v>
      </c>
      <c r="W26" s="97">
        <f t="shared" si="3"/>
        <v>1.0273838546398493E-2</v>
      </c>
      <c r="X26" s="97">
        <f t="shared" si="3"/>
        <v>0.58887684954390274</v>
      </c>
      <c r="Y26" s="97">
        <f>$AE$23+(L27-$AE$21)*($AE$24-$AE$23)/($AE$22-$AE$21)</f>
        <v>0.99999999999999989</v>
      </c>
      <c r="Z26" s="97">
        <f t="shared" si="3"/>
        <v>0.14147718400929124</v>
      </c>
      <c r="AA26" s="97">
        <f t="shared" si="3"/>
        <v>0.36081992733127</v>
      </c>
    </row>
    <row r="27" spans="2:31" ht="12.75" customHeight="1" x14ac:dyDescent="0.25">
      <c r="B27" s="21" t="s">
        <v>3</v>
      </c>
      <c r="C27" s="95">
        <f>Annual_sorted!N88</f>
        <v>-11.487875432254205</v>
      </c>
      <c r="D27" s="29">
        <f>IF(C27-Table_146341211394755637179[Burundi]&gt;0, C27-Table_146341211394755637179[Burundi], 0)</f>
        <v>0.58754911487047501</v>
      </c>
      <c r="E27" s="29">
        <f>IF(C27-Table_146341211394755637179[DRC]&gt;0, C27-Table_146341211394755637179[DRC], 0)</f>
        <v>14.797654891153572</v>
      </c>
      <c r="F27" s="29">
        <f>IF(C27-Table_146341211394755637179[Egypt]&gt;0, C27-Table_146341211394755637179[Egypt], 0)</f>
        <v>49.195964229219044</v>
      </c>
      <c r="G27" s="29">
        <f>IF(C27-Table_146341211394755637179[Eritrea]&gt;0, C27-Table_146341211394755637179[Eritrea], 0)</f>
        <v>0</v>
      </c>
      <c r="H27" s="29">
        <f>IF(C27-Table_146341211394755637179[Ethiopia]&gt;0, C27-Table_146341211394755637179[Ethiopia], 0)</f>
        <v>339.8627704890344</v>
      </c>
      <c r="I27" s="29">
        <f>IF(C27-Table_146341211394755637179[Kenya]&gt;0, C27-Table_146341211394755637179[Kenya], 0)</f>
        <v>44.299163882571882</v>
      </c>
      <c r="J27" s="29">
        <f>IF(C27-Table_146341211394755637179[Rwanda]&gt;0, C27-Table_146341211394755637179[Rwanda], 0)</f>
        <v>7.5000114455688536</v>
      </c>
      <c r="K27" s="29">
        <f>IF(C27-Table_146341211394755637179[Sudan]&gt;0, C27-Table_146341211394755637179[Sudan], 0)</f>
        <v>438.77466626497437</v>
      </c>
      <c r="L27" s="29">
        <f>IF(C27-Table_146341211394755637179[S. Sudan]&gt;0, C27-Table_146341211394755637179[S. Sudan], 0)</f>
        <v>745.21447288738534</v>
      </c>
      <c r="M27" s="29">
        <f>IF(C27-Table_146341211394755637179[Tanzania]&gt;0, C27-Table_146341211394755637179[Tanzania], 0)</f>
        <v>105.29535030512478</v>
      </c>
      <c r="N27" s="29">
        <f>IF(C27-Table_146341211394755637179[Uganda]&gt;0, C27-Table_146341211394755637179[Uganda], 0)</f>
        <v>268.78735452101</v>
      </c>
      <c r="P27" s="21" t="s">
        <v>4</v>
      </c>
      <c r="Q27" s="97">
        <f t="shared" si="4"/>
        <v>2.1173738550592269E-4</v>
      </c>
      <c r="R27" s="97">
        <f t="shared" si="3"/>
        <v>2.1173738550592269E-4</v>
      </c>
      <c r="S27" s="97">
        <f t="shared" si="3"/>
        <v>2.1173738550592269E-4</v>
      </c>
      <c r="T27" s="97">
        <f t="shared" si="3"/>
        <v>2.1173738550592269E-4</v>
      </c>
      <c r="U27" s="97">
        <f t="shared" si="3"/>
        <v>2.1173738550592269E-4</v>
      </c>
      <c r="V27" s="97">
        <f t="shared" si="3"/>
        <v>2.1173738550592269E-4</v>
      </c>
      <c r="W27" s="97">
        <f t="shared" si="3"/>
        <v>2.1173738550592269E-4</v>
      </c>
      <c r="X27" s="97">
        <f t="shared" si="3"/>
        <v>0.13291306838163253</v>
      </c>
      <c r="Y27" s="97">
        <f t="shared" si="3"/>
        <v>0.5440362188377299</v>
      </c>
      <c r="Z27" s="97">
        <f t="shared" si="3"/>
        <v>2.1173738550592269E-4</v>
      </c>
      <c r="AA27" s="97">
        <f t="shared" si="3"/>
        <v>2.1173738550592269E-4</v>
      </c>
    </row>
    <row r="28" spans="2:31" ht="12.75" customHeight="1" x14ac:dyDescent="0.25">
      <c r="B28" s="21" t="s">
        <v>4</v>
      </c>
      <c r="C28" s="95">
        <f>Annual_sorted!N89</f>
        <v>-351.35064592128862</v>
      </c>
      <c r="D28" s="29">
        <f>IF(C28-Table_146341211394755637179[Burundi]&gt;0, C28-Table_146341211394755637179[Burundi], 0)</f>
        <v>0</v>
      </c>
      <c r="E28" s="29">
        <f>IF(C28-Table_146341211394755637179[DRC]&gt;0, C28-Table_146341211394755637179[DRC], 0)</f>
        <v>0</v>
      </c>
      <c r="F28" s="29">
        <f>IF(C28-Table_146341211394755637179[Egypt]&gt;0, C28-Table_146341211394755637179[Egypt], 0)</f>
        <v>0</v>
      </c>
      <c r="G28" s="29">
        <f>IF(C28-Table_146341211394755637179[Eritrea]&gt;0, C28-Table_146341211394755637179[Eritrea], 0)</f>
        <v>0</v>
      </c>
      <c r="H28" s="29">
        <f>IF(C28-Table_146341211394755637179[Ethiopia]&gt;0, C28-Table_146341211394755637179[Ethiopia], 0)</f>
        <v>0</v>
      </c>
      <c r="I28" s="29">
        <f>IF(C28-Table_146341211394755637179[Kenya]&gt;0, C28-Table_146341211394755637179[Kenya], 0)</f>
        <v>0</v>
      </c>
      <c r="J28" s="29">
        <f>IF(C28-Table_146341211394755637179[Rwanda]&gt;0, C28-Table_146341211394755637179[Rwanda], 0)</f>
        <v>0</v>
      </c>
      <c r="K28" s="29">
        <f>IF(C28-Table_146341211394755637179[Sudan]&gt;0, C28-Table_146341211394755637179[Sudan], 0)</f>
        <v>98.911895775939968</v>
      </c>
      <c r="L28" s="29">
        <f>IF(C28-Table_146341211394755637179[S. Sudan]&gt;0, C28-Table_146341211394755637179[S. Sudan], 0)</f>
        <v>405.35170239835094</v>
      </c>
      <c r="M28" s="29">
        <f>IF(C28-Table_146341211394755637179[Tanzania]&gt;0, C28-Table_146341211394755637179[Tanzania], 0)</f>
        <v>0</v>
      </c>
      <c r="N28" s="29">
        <f>IF(C28-Table_146341211394755637179[Uganda]&gt;0, C28-Table_146341211394755637179[Uganda], 0)</f>
        <v>0</v>
      </c>
      <c r="P28" s="21" t="s">
        <v>5</v>
      </c>
      <c r="Q28" s="97">
        <f t="shared" si="4"/>
        <v>2.1173738550592269E-4</v>
      </c>
      <c r="R28" s="97">
        <f t="shared" si="3"/>
        <v>2.1173738550592269E-4</v>
      </c>
      <c r="S28" s="97">
        <f t="shared" si="3"/>
        <v>6.7813407534805699E-3</v>
      </c>
      <c r="T28" s="97">
        <f t="shared" si="3"/>
        <v>2.1173738550592269E-4</v>
      </c>
      <c r="U28" s="97">
        <f t="shared" si="3"/>
        <v>0.39674325346866757</v>
      </c>
      <c r="V28" s="97">
        <f t="shared" si="3"/>
        <v>2.1173738550592269E-4</v>
      </c>
      <c r="W28" s="97">
        <f t="shared" si="3"/>
        <v>2.1173738550592269E-4</v>
      </c>
      <c r="X28" s="97">
        <f t="shared" si="3"/>
        <v>0.52944458446479414</v>
      </c>
      <c r="Y28" s="97">
        <f t="shared" si="3"/>
        <v>0.94056773492089152</v>
      </c>
      <c r="Z28" s="97">
        <f t="shared" si="3"/>
        <v>8.204491893018262E-2</v>
      </c>
      <c r="AA28" s="97">
        <f t="shared" si="3"/>
        <v>0.3013876622521614</v>
      </c>
    </row>
    <row r="29" spans="2:31" ht="12.75" customHeight="1" x14ac:dyDescent="0.25">
      <c r="B29" s="21" t="s">
        <v>5</v>
      </c>
      <c r="C29" s="95">
        <f>Annual_sorted!N90</f>
        <v>-55.787039314826089</v>
      </c>
      <c r="D29" s="29">
        <f>IF(C29-Table_146341211394755637179[Burundi]&gt;0, C29-Table_146341211394755637179[Burundi], 0)</f>
        <v>0</v>
      </c>
      <c r="E29" s="29">
        <f>IF(C29-Table_146341211394755637179[DRC]&gt;0, C29-Table_146341211394755637179[DRC], 0)</f>
        <v>0</v>
      </c>
      <c r="F29" s="29">
        <f>IF(C29-Table_146341211394755637179[Egypt]&gt;0, C29-Table_146341211394755637179[Egypt], 0)</f>
        <v>4.8968003466471615</v>
      </c>
      <c r="G29" s="29">
        <f>IF(C29-Table_146341211394755637179[Eritrea]&gt;0, C29-Table_146341211394755637179[Eritrea], 0)</f>
        <v>0</v>
      </c>
      <c r="H29" s="29">
        <f>IF(C29-Table_146341211394755637179[Ethiopia]&gt;0, C29-Table_146341211394755637179[Ethiopia], 0)</f>
        <v>295.56360660646254</v>
      </c>
      <c r="I29" s="29">
        <f>IF(C29-Table_146341211394755637179[Kenya]&gt;0, C29-Table_146341211394755637179[Kenya], 0)</f>
        <v>0</v>
      </c>
      <c r="J29" s="29">
        <f>IF(C29-Table_146341211394755637179[Rwanda]&gt;0, C29-Table_146341211394755637179[Rwanda], 0)</f>
        <v>0</v>
      </c>
      <c r="K29" s="29">
        <f>IF(C29-Table_146341211394755637179[Sudan]&gt;0, C29-Table_146341211394755637179[Sudan], 0)</f>
        <v>394.47550238240251</v>
      </c>
      <c r="L29" s="29">
        <f>IF(C29-Table_146341211394755637179[S. Sudan]&gt;0, C29-Table_146341211394755637179[S. Sudan], 0)</f>
        <v>700.91530900481348</v>
      </c>
      <c r="M29" s="29">
        <f>IF(C29-Table_146341211394755637179[Tanzania]&gt;0, C29-Table_146341211394755637179[Tanzania], 0)</f>
        <v>60.996186422552896</v>
      </c>
      <c r="N29" s="29">
        <f>IF(C29-Table_146341211394755637179[Uganda]&gt;0, C29-Table_146341211394755637179[Uganda], 0)</f>
        <v>224.48819063843814</v>
      </c>
      <c r="P29" s="21" t="s">
        <v>6</v>
      </c>
      <c r="Q29" s="97">
        <f t="shared" si="4"/>
        <v>2.1173738550592269E-4</v>
      </c>
      <c r="R29" s="97">
        <f t="shared" si="3"/>
        <v>1.0002339322384517E-2</v>
      </c>
      <c r="S29" s="97">
        <f t="shared" si="3"/>
        <v>5.615150467169662E-2</v>
      </c>
      <c r="T29" s="97">
        <f t="shared" si="3"/>
        <v>2.1173738550592269E-4</v>
      </c>
      <c r="U29" s="97">
        <f t="shared" si="3"/>
        <v>0.44611341738688348</v>
      </c>
      <c r="V29" s="97">
        <f t="shared" si="3"/>
        <v>4.9581901303721976E-2</v>
      </c>
      <c r="W29" s="97">
        <f t="shared" si="3"/>
        <v>2.1173738550592269E-4</v>
      </c>
      <c r="X29" s="97">
        <f t="shared" si="3"/>
        <v>0.57881474838301017</v>
      </c>
      <c r="Y29" s="97">
        <f t="shared" si="3"/>
        <v>0.98993789883910743</v>
      </c>
      <c r="Z29" s="97">
        <f t="shared" si="3"/>
        <v>0.13141508284839867</v>
      </c>
      <c r="AA29" s="97">
        <f t="shared" si="3"/>
        <v>0.35075782617037748</v>
      </c>
    </row>
    <row r="30" spans="2:31" ht="12.75" customHeight="1" x14ac:dyDescent="0.25">
      <c r="B30" s="21" t="s">
        <v>6</v>
      </c>
      <c r="C30" s="95">
        <f>Annual_sorted!N91</f>
        <v>-18.987886877823058</v>
      </c>
      <c r="D30" s="29">
        <f>IF(C30-Table_146341211394755637179[Burundi]&gt;0, C30-Table_146341211394755637179[Burundi], 0)</f>
        <v>0</v>
      </c>
      <c r="E30" s="29">
        <f>IF(C30-Table_146341211394755637179[DRC]&gt;0, C30-Table_146341211394755637179[DRC], 0)</f>
        <v>7.2976434455847183</v>
      </c>
      <c r="F30" s="29">
        <f>IF(C30-Table_146341211394755637179[Egypt]&gt;0, C30-Table_146341211394755637179[Egypt], 0)</f>
        <v>41.695952783650192</v>
      </c>
      <c r="G30" s="29">
        <f>IF(C30-Table_146341211394755637179[Eritrea]&gt;0, C30-Table_146341211394755637179[Eritrea], 0)</f>
        <v>0</v>
      </c>
      <c r="H30" s="29">
        <f>IF(C30-Table_146341211394755637179[Ethiopia]&gt;0, C30-Table_146341211394755637179[Ethiopia], 0)</f>
        <v>332.36275904346553</v>
      </c>
      <c r="I30" s="29">
        <f>IF(C30-Table_146341211394755637179[Kenya]&gt;0, C30-Table_146341211394755637179[Kenya], 0)</f>
        <v>36.799152437003031</v>
      </c>
      <c r="J30" s="29">
        <f>IF(C30-Table_146341211394755637179[Rwanda]&gt;0, C30-Table_146341211394755637179[Rwanda], 0)</f>
        <v>0</v>
      </c>
      <c r="K30" s="29">
        <f>IF(C30-Table_146341211394755637179[Sudan]&gt;0, C30-Table_146341211394755637179[Sudan], 0)</f>
        <v>431.27465481940555</v>
      </c>
      <c r="L30" s="29">
        <f>IF(C30-Table_146341211394755637179[S. Sudan]&gt;0, C30-Table_146341211394755637179[S. Sudan], 0)</f>
        <v>737.71446144181652</v>
      </c>
      <c r="M30" s="29">
        <f>IF(C30-Table_146341211394755637179[Tanzania]&gt;0, C30-Table_146341211394755637179[Tanzania], 0)</f>
        <v>97.795338859555926</v>
      </c>
      <c r="N30" s="29">
        <f>IF(C30-Table_146341211394755637179[Uganda]&gt;0, C30-Table_146341211394755637179[Uganda], 0)</f>
        <v>261.28734307544119</v>
      </c>
      <c r="P30" s="21" t="s">
        <v>7</v>
      </c>
      <c r="Q30" s="97">
        <f t="shared" si="4"/>
        <v>2.1173738550592269E-4</v>
      </c>
      <c r="R30" s="97">
        <f t="shared" si="3"/>
        <v>2.1173738550592269E-4</v>
      </c>
      <c r="S30" s="97">
        <f t="shared" si="3"/>
        <v>2.1173738550592269E-4</v>
      </c>
      <c r="T30" s="97">
        <f t="shared" si="3"/>
        <v>2.1173738550592269E-4</v>
      </c>
      <c r="U30" s="97">
        <f t="shared" si="3"/>
        <v>2.1173738550592269E-4</v>
      </c>
      <c r="V30" s="97">
        <f t="shared" si="3"/>
        <v>2.1173738550592269E-4</v>
      </c>
      <c r="W30" s="97">
        <f t="shared" si="3"/>
        <v>2.1173738550592269E-4</v>
      </c>
      <c r="X30" s="97">
        <f t="shared" si="3"/>
        <v>2.1173738550592269E-4</v>
      </c>
      <c r="Y30" s="97">
        <f t="shared" si="3"/>
        <v>0.41133488784160332</v>
      </c>
      <c r="Z30" s="97">
        <f t="shared" si="3"/>
        <v>2.1173738550592269E-4</v>
      </c>
      <c r="AA30" s="97">
        <f t="shared" si="3"/>
        <v>2.1173738550592269E-4</v>
      </c>
    </row>
    <row r="31" spans="2:31" ht="12.75" customHeight="1" x14ac:dyDescent="0.25">
      <c r="B31" s="21" t="s">
        <v>7</v>
      </c>
      <c r="C31" s="95">
        <f>Annual_sorted!N92</f>
        <v>-450.26254169722858</v>
      </c>
      <c r="D31" s="29">
        <f>IF(C31-Table_146341211394755637179[Burundi]&gt;0, C31-Table_146341211394755637179[Burundi], 0)</f>
        <v>0</v>
      </c>
      <c r="E31" s="29">
        <f>IF(C31-Table_146341211394755637179[DRC]&gt;0, C31-Table_146341211394755637179[DRC], 0)</f>
        <v>0</v>
      </c>
      <c r="F31" s="29">
        <f>IF(C31-Table_146341211394755637179[Egypt]&gt;0, C31-Table_146341211394755637179[Egypt], 0)</f>
        <v>0</v>
      </c>
      <c r="G31" s="29">
        <f>IF(C31-Table_146341211394755637179[Eritrea]&gt;0, C31-Table_146341211394755637179[Eritrea], 0)</f>
        <v>0</v>
      </c>
      <c r="H31" s="29">
        <f>IF(C31-Table_146341211394755637179[Ethiopia]&gt;0, C31-Table_146341211394755637179[Ethiopia], 0)</f>
        <v>0</v>
      </c>
      <c r="I31" s="29">
        <f>IF(C31-Table_146341211394755637179[Kenya]&gt;0, C31-Table_146341211394755637179[Kenya], 0)</f>
        <v>0</v>
      </c>
      <c r="J31" s="29">
        <f>IF(C31-Table_146341211394755637179[Rwanda]&gt;0, C31-Table_146341211394755637179[Rwanda], 0)</f>
        <v>0</v>
      </c>
      <c r="K31" s="29">
        <f>IF(C31-Table_146341211394755637179[Sudan]&gt;0, C31-Table_146341211394755637179[Sudan], 0)</f>
        <v>0</v>
      </c>
      <c r="L31" s="29">
        <f>IF(C31-Table_146341211394755637179[S. Sudan]&gt;0, C31-Table_146341211394755637179[S. Sudan], 0)</f>
        <v>306.43980662241097</v>
      </c>
      <c r="M31" s="29">
        <f>IF(C31-Table_146341211394755637179[Tanzania]&gt;0, C31-Table_146341211394755637179[Tanzania], 0)</f>
        <v>0</v>
      </c>
      <c r="N31" s="29">
        <f>IF(C31-Table_146341211394755637179[Uganda]&gt;0, C31-Table_146341211394755637179[Uganda], 0)</f>
        <v>0</v>
      </c>
      <c r="P31" s="21" t="s">
        <v>8</v>
      </c>
      <c r="Q31" s="97">
        <f t="shared" si="4"/>
        <v>2.1173738550592269E-4</v>
      </c>
      <c r="R31" s="97">
        <f t="shared" si="3"/>
        <v>2.1173738550592269E-4</v>
      </c>
      <c r="S31" s="97">
        <f t="shared" si="3"/>
        <v>2.1173738550592269E-4</v>
      </c>
      <c r="T31" s="97">
        <f t="shared" si="3"/>
        <v>2.1173738550592269E-4</v>
      </c>
      <c r="U31" s="97">
        <f t="shared" si="3"/>
        <v>2.1173738550592269E-4</v>
      </c>
      <c r="V31" s="97">
        <f t="shared" si="3"/>
        <v>2.1173738550592269E-4</v>
      </c>
      <c r="W31" s="97">
        <f t="shared" si="3"/>
        <v>2.1173738550592269E-4</v>
      </c>
      <c r="X31" s="97">
        <f t="shared" si="3"/>
        <v>2.1173738550592269E-4</v>
      </c>
      <c r="Y31" s="97">
        <f t="shared" si="3"/>
        <v>2.1173738550592269E-4</v>
      </c>
      <c r="Z31" s="97">
        <f t="shared" si="3"/>
        <v>2.1173738550592269E-4</v>
      </c>
      <c r="AA31" s="97">
        <f t="shared" si="3"/>
        <v>2.1173738550592269E-4</v>
      </c>
    </row>
    <row r="32" spans="2:31" ht="12.75" customHeight="1" x14ac:dyDescent="0.25">
      <c r="B32" s="21" t="s">
        <v>8</v>
      </c>
      <c r="C32" s="95">
        <f>Annual_sorted!N93</f>
        <v>-756.70234831963955</v>
      </c>
      <c r="D32" s="29">
        <f>IF(C32-Table_146341211394755637179[Burundi]&gt;0, C32-Table_146341211394755637179[Burundi], 0)</f>
        <v>0</v>
      </c>
      <c r="E32" s="29">
        <f>IF(C32-Table_146341211394755637179[DRC]&gt;0, C32-Table_146341211394755637179[DRC], 0)</f>
        <v>0</v>
      </c>
      <c r="F32" s="29">
        <f>IF(C32-Table_146341211394755637179[Egypt]&gt;0, C32-Table_146341211394755637179[Egypt], 0)</f>
        <v>0</v>
      </c>
      <c r="G32" s="29">
        <f>IF(C32-Table_146341211394755637179[Eritrea]&gt;0, C32-Table_146341211394755637179[Eritrea], 0)</f>
        <v>0</v>
      </c>
      <c r="H32" s="29">
        <f>IF(C32-Table_146341211394755637179[Ethiopia]&gt;0, C32-Table_146341211394755637179[Ethiopia], 0)</f>
        <v>0</v>
      </c>
      <c r="I32" s="29">
        <f>IF(C32-Table_146341211394755637179[Kenya]&gt;0, C32-Table_146341211394755637179[Kenya], 0)</f>
        <v>0</v>
      </c>
      <c r="J32" s="29">
        <f>IF(C32-Table_146341211394755637179[Rwanda]&gt;0, C32-Table_146341211394755637179[Rwanda], 0)</f>
        <v>0</v>
      </c>
      <c r="K32" s="29">
        <f>IF(C32-Table_146341211394755637179[Sudan]&gt;0, C32-Table_146341211394755637179[Sudan], 0)</f>
        <v>0</v>
      </c>
      <c r="L32" s="29">
        <f>IF(C32-Table_146341211394755637179[S. Sudan]&gt;0, C32-Table_146341211394755637179[S. Sudan], 0)</f>
        <v>0</v>
      </c>
      <c r="M32" s="29">
        <f>IF(C32-Table_146341211394755637179[Tanzania]&gt;0, C32-Table_146341211394755637179[Tanzania], 0)</f>
        <v>0</v>
      </c>
      <c r="N32" s="29">
        <f>IF(C32-Table_146341211394755637179[Uganda]&gt;0, C32-Table_146341211394755637179[Uganda], 0)</f>
        <v>0</v>
      </c>
      <c r="P32" s="21" t="s">
        <v>9</v>
      </c>
      <c r="Q32" s="97">
        <f t="shared" si="4"/>
        <v>2.1173738550592269E-4</v>
      </c>
      <c r="R32" s="97">
        <f t="shared" si="3"/>
        <v>2.1173738550592269E-4</v>
      </c>
      <c r="S32" s="97">
        <f t="shared" si="3"/>
        <v>2.1173738550592269E-4</v>
      </c>
      <c r="T32" s="97">
        <f t="shared" si="3"/>
        <v>2.1173738550592269E-4</v>
      </c>
      <c r="U32" s="97">
        <f t="shared" si="3"/>
        <v>0.31491007192399073</v>
      </c>
      <c r="V32" s="97">
        <f t="shared" si="3"/>
        <v>2.1173738550592269E-4</v>
      </c>
      <c r="W32" s="97">
        <f t="shared" si="3"/>
        <v>2.1173738550592269E-4</v>
      </c>
      <c r="X32" s="97">
        <f t="shared" si="3"/>
        <v>0.44761140292011742</v>
      </c>
      <c r="Y32" s="97">
        <f t="shared" si="3"/>
        <v>0.85873455337621463</v>
      </c>
      <c r="Z32" s="97">
        <f t="shared" si="3"/>
        <v>2.1173738550592269E-4</v>
      </c>
      <c r="AA32" s="97">
        <f t="shared" si="3"/>
        <v>0.21955448070748462</v>
      </c>
    </row>
    <row r="33" spans="2:31" ht="12.75" customHeight="1" thickBot="1" x14ac:dyDescent="0.3">
      <c r="B33" s="21" t="s">
        <v>9</v>
      </c>
      <c r="C33" s="95">
        <f>Annual_sorted!N94</f>
        <v>-116.78322573737898</v>
      </c>
      <c r="D33" s="29">
        <f>IF(C33-Table_146341211394755637179[Burundi]&gt;0, C33-Table_146341211394755637179[Burundi], 0)</f>
        <v>0</v>
      </c>
      <c r="E33" s="29">
        <f>IF(C33-Table_146341211394755637179[DRC]&gt;0, C33-Table_146341211394755637179[DRC], 0)</f>
        <v>0</v>
      </c>
      <c r="F33" s="29">
        <f>IF(C33-Table_146341211394755637179[Egypt]&gt;0, C33-Table_146341211394755637179[Egypt], 0)</f>
        <v>0</v>
      </c>
      <c r="G33" s="29">
        <f>IF(C33-Table_146341211394755637179[Eritrea]&gt;0, C33-Table_146341211394755637179[Eritrea], 0)</f>
        <v>0</v>
      </c>
      <c r="H33" s="29">
        <f>IF(C33-Table_146341211394755637179[Ethiopia]&gt;0, C33-Table_146341211394755637179[Ethiopia], 0)</f>
        <v>234.56742018390963</v>
      </c>
      <c r="I33" s="29">
        <f>IF(C33-Table_146341211394755637179[Kenya]&gt;0, C33-Table_146341211394755637179[Kenya], 0)</f>
        <v>0</v>
      </c>
      <c r="J33" s="29">
        <f>IF(C33-Table_146341211394755637179[Rwanda]&gt;0, C33-Table_146341211394755637179[Rwanda], 0)</f>
        <v>0</v>
      </c>
      <c r="K33" s="29">
        <f>IF(C33-Table_146341211394755637179[Sudan]&gt;0, C33-Table_146341211394755637179[Sudan], 0)</f>
        <v>333.4793159598496</v>
      </c>
      <c r="L33" s="29">
        <f>IF(C33-Table_146341211394755637179[S. Sudan]&gt;0, C33-Table_146341211394755637179[S. Sudan], 0)</f>
        <v>639.91912258226057</v>
      </c>
      <c r="M33" s="29">
        <f>IF(C33-Table_146341211394755637179[Tanzania]&gt;0, C33-Table_146341211394755637179[Tanzania], 0)</f>
        <v>0</v>
      </c>
      <c r="N33" s="29">
        <f>IF(C33-Table_146341211394755637179[Uganda]&gt;0, C33-Table_146341211394755637179[Uganda], 0)</f>
        <v>163.49200421588523</v>
      </c>
      <c r="P33" s="22" t="s">
        <v>10</v>
      </c>
      <c r="Q33" s="98">
        <f t="shared" si="4"/>
        <v>2.1173738550592269E-4</v>
      </c>
      <c r="R33" s="98">
        <f t="shared" si="3"/>
        <v>2.1173738550592269E-4</v>
      </c>
      <c r="S33" s="98">
        <f t="shared" si="3"/>
        <v>2.1173738550592269E-4</v>
      </c>
      <c r="T33" s="98">
        <f t="shared" si="3"/>
        <v>2.1173738550592269E-4</v>
      </c>
      <c r="U33" s="98">
        <f t="shared" si="3"/>
        <v>9.5567328602012031E-2</v>
      </c>
      <c r="V33" s="98">
        <f t="shared" si="3"/>
        <v>2.1173738550592269E-4</v>
      </c>
      <c r="W33" s="98">
        <f t="shared" si="3"/>
        <v>2.1173738550592269E-4</v>
      </c>
      <c r="X33" s="98">
        <f t="shared" si="3"/>
        <v>0.22826865959813863</v>
      </c>
      <c r="Y33" s="98">
        <f t="shared" si="3"/>
        <v>0.63939181005423606</v>
      </c>
      <c r="Z33" s="98">
        <f t="shared" si="3"/>
        <v>2.1173738550592269E-4</v>
      </c>
      <c r="AA33" s="98">
        <f t="shared" si="3"/>
        <v>2.1173738550592269E-4</v>
      </c>
      <c r="AB33" s="186">
        <f>SUM(Q23:AA33)</f>
        <v>18.928616036631961</v>
      </c>
    </row>
    <row r="34" spans="2:31" ht="12.75" customHeight="1" thickBot="1" x14ac:dyDescent="0.3">
      <c r="B34" s="22" t="s">
        <v>10</v>
      </c>
      <c r="C34" s="96">
        <f>Annual_sorted!N95</f>
        <v>-280.27522995326422</v>
      </c>
      <c r="D34" s="32">
        <f>IF(C34-Table_146341211394755637179[Burundi]&gt;0, C34-Table_146341211394755637179[Burundi], 0)</f>
        <v>0</v>
      </c>
      <c r="E34" s="32">
        <f>IF(C34-Table_146341211394755637179[DRC]&gt;0, C34-Table_146341211394755637179[DRC], 0)</f>
        <v>0</v>
      </c>
      <c r="F34" s="32">
        <f>IF(C34-Table_146341211394755637179[Egypt]&gt;0, C34-Table_146341211394755637179[Egypt], 0)</f>
        <v>0</v>
      </c>
      <c r="G34" s="32">
        <f>IF(C34-Table_146341211394755637179[Eritrea]&gt;0, C34-Table_146341211394755637179[Eritrea], 0)</f>
        <v>0</v>
      </c>
      <c r="H34" s="32">
        <f>IF(C34-Table_146341211394755637179[Ethiopia]&gt;0, C34-Table_146341211394755637179[Ethiopia], 0)</f>
        <v>71.075415968024402</v>
      </c>
      <c r="I34" s="32">
        <f>IF(C34-Table_146341211394755637179[Kenya]&gt;0, C34-Table_146341211394755637179[Kenya], 0)</f>
        <v>0</v>
      </c>
      <c r="J34" s="32">
        <f>IF(C34-Table_146341211394755637179[Rwanda]&gt;0, C34-Table_146341211394755637179[Rwanda], 0)</f>
        <v>0</v>
      </c>
      <c r="K34" s="32">
        <f>IF(C34-Table_146341211394755637179[Sudan]&gt;0, C34-Table_146341211394755637179[Sudan], 0)</f>
        <v>169.98731174396437</v>
      </c>
      <c r="L34" s="32">
        <f>IF(C34-Table_146341211394755637179[S. Sudan]&gt;0, C34-Table_146341211394755637179[S. Sudan], 0)</f>
        <v>476.42711836637534</v>
      </c>
      <c r="M34" s="32">
        <f>IF(C34-Table_146341211394755637179[Tanzania]&gt;0, C34-Table_146341211394755637179[Tanzania], 0)</f>
        <v>0</v>
      </c>
      <c r="N34" s="32">
        <f>IF(C34-Table_146341211394755637179[Uganda]&gt;0, C34-Table_146341211394755637179[Uganda], 0)</f>
        <v>0</v>
      </c>
    </row>
    <row r="35" spans="2:31" ht="12.75" customHeight="1" x14ac:dyDescent="0.25">
      <c r="C35" s="19"/>
    </row>
    <row r="36" spans="2:31" ht="12.75" customHeight="1" x14ac:dyDescent="0.25"/>
    <row r="37" spans="2:31" ht="12.75" customHeight="1" x14ac:dyDescent="0.25">
      <c r="B37" s="5"/>
      <c r="C37" s="5"/>
      <c r="D37" s="5"/>
      <c r="E37" s="5"/>
      <c r="F37" s="5"/>
      <c r="G37" s="5"/>
      <c r="H37" s="5"/>
      <c r="I37" s="5"/>
      <c r="J37" s="5"/>
      <c r="K37" s="5"/>
      <c r="L37" s="5"/>
      <c r="M37" s="5"/>
      <c r="N37" s="5"/>
      <c r="O37" s="5"/>
      <c r="P37" s="5"/>
      <c r="Q37" s="5"/>
      <c r="R37" s="5"/>
      <c r="S37" s="5"/>
      <c r="T37" s="5"/>
      <c r="U37" s="5"/>
      <c r="V37" s="5"/>
      <c r="W37" s="5"/>
      <c r="X37" s="5"/>
      <c r="Y37" s="5"/>
      <c r="Z37" s="5"/>
      <c r="AA37" s="5"/>
    </row>
    <row r="38" spans="2:31" ht="12.75" customHeight="1" x14ac:dyDescent="0.25">
      <c r="B38" s="5"/>
      <c r="C38" s="5"/>
      <c r="D38" s="5"/>
      <c r="E38" s="5"/>
      <c r="F38" s="5"/>
      <c r="G38" s="5"/>
      <c r="H38" s="5"/>
      <c r="I38" s="5"/>
      <c r="J38" s="5"/>
      <c r="K38" s="5"/>
      <c r="L38" s="5"/>
      <c r="M38" s="5"/>
      <c r="N38" s="44"/>
      <c r="O38" s="5"/>
      <c r="P38" s="5"/>
      <c r="Q38" s="5"/>
      <c r="R38" s="5"/>
      <c r="S38" s="5"/>
      <c r="T38" s="5"/>
      <c r="U38" s="5"/>
      <c r="V38" s="5"/>
      <c r="W38" s="5"/>
      <c r="X38" s="5"/>
      <c r="Y38" s="5"/>
      <c r="Z38" s="5"/>
      <c r="AA38" s="5"/>
    </row>
    <row r="39" spans="2:31" ht="12.75" customHeight="1" thickBot="1" x14ac:dyDescent="0.3">
      <c r="B39" s="253" t="s">
        <v>77</v>
      </c>
      <c r="C39" s="253"/>
      <c r="D39" s="253"/>
      <c r="E39" s="253"/>
      <c r="F39" s="253"/>
      <c r="G39" s="253"/>
      <c r="H39" s="253"/>
      <c r="I39" s="253"/>
      <c r="J39" s="253"/>
      <c r="K39" s="253"/>
      <c r="L39" s="253"/>
      <c r="M39" s="253"/>
      <c r="N39" s="253"/>
      <c r="O39" s="5"/>
      <c r="P39" s="253" t="s">
        <v>78</v>
      </c>
      <c r="Q39" s="253"/>
      <c r="R39" s="253"/>
      <c r="S39" s="253"/>
      <c r="T39" s="253"/>
      <c r="U39" s="253"/>
      <c r="V39" s="253"/>
      <c r="W39" s="253"/>
      <c r="X39" s="253"/>
      <c r="Y39" s="253"/>
      <c r="Z39" s="253"/>
      <c r="AA39" s="253"/>
      <c r="AB39" s="10"/>
      <c r="AC39" s="3" t="s">
        <v>22</v>
      </c>
      <c r="AD39" s="13" t="s">
        <v>23</v>
      </c>
      <c r="AE39" s="74">
        <f t="array" ref="AE39">MIN(IF(D42:N52&gt;0,D42:N52))</f>
        <v>5.8745247948121637E-2</v>
      </c>
    </row>
    <row r="40" spans="2:31" ht="12.75" customHeight="1" thickBot="1" x14ac:dyDescent="0.3">
      <c r="B40" s="75" t="s">
        <v>13</v>
      </c>
      <c r="C40" s="66" t="s">
        <v>14</v>
      </c>
      <c r="D40" s="67" t="s">
        <v>1</v>
      </c>
      <c r="E40" s="67" t="s">
        <v>195</v>
      </c>
      <c r="F40" s="67" t="s">
        <v>2</v>
      </c>
      <c r="G40" s="67" t="s">
        <v>3</v>
      </c>
      <c r="H40" s="67" t="s">
        <v>4</v>
      </c>
      <c r="I40" s="67" t="s">
        <v>5</v>
      </c>
      <c r="J40" s="67" t="s">
        <v>6</v>
      </c>
      <c r="K40" s="67" t="s">
        <v>7</v>
      </c>
      <c r="L40" s="67" t="s">
        <v>295</v>
      </c>
      <c r="M40" s="67" t="s">
        <v>9</v>
      </c>
      <c r="N40" s="67" t="s">
        <v>10</v>
      </c>
      <c r="P40" s="76" t="s">
        <v>19</v>
      </c>
      <c r="Q40" s="77" t="s">
        <v>1</v>
      </c>
      <c r="R40" s="77" t="s">
        <v>195</v>
      </c>
      <c r="S40" s="77" t="s">
        <v>2</v>
      </c>
      <c r="T40" s="77" t="s">
        <v>3</v>
      </c>
      <c r="U40" s="77" t="s">
        <v>4</v>
      </c>
      <c r="V40" s="77" t="s">
        <v>5</v>
      </c>
      <c r="W40" s="77" t="s">
        <v>6</v>
      </c>
      <c r="X40" s="77" t="s">
        <v>7</v>
      </c>
      <c r="Y40" s="77" t="s">
        <v>295</v>
      </c>
      <c r="Z40" s="77" t="s">
        <v>9</v>
      </c>
      <c r="AA40" s="77" t="s">
        <v>10</v>
      </c>
      <c r="AB40" s="254" t="s">
        <v>26</v>
      </c>
      <c r="AC40" s="254"/>
      <c r="AD40" s="13" t="s">
        <v>24</v>
      </c>
      <c r="AE40" s="20">
        <f>MAX(D42:N52)</f>
        <v>100.03773579426255</v>
      </c>
    </row>
    <row r="41" spans="2:31" ht="12.75" customHeight="1" x14ac:dyDescent="0.25">
      <c r="B41" s="93"/>
      <c r="C41" s="94" t="s">
        <v>259</v>
      </c>
      <c r="D41" s="95">
        <f>C42</f>
        <v>-3.6144647917114132</v>
      </c>
      <c r="E41" s="95">
        <f>C43</f>
        <v>6.3230596570598444E-2</v>
      </c>
      <c r="F41" s="95">
        <f>C44</f>
        <v>1.4381230879792364</v>
      </c>
      <c r="G41" s="95">
        <f>C45</f>
        <v>-1.7017949724648487</v>
      </c>
      <c r="H41" s="95">
        <f>C46</f>
        <v>-98.59961270628331</v>
      </c>
      <c r="I41" s="95">
        <f>C47</f>
        <v>-9.2795312011481634</v>
      </c>
      <c r="J41" s="95">
        <f>C48</f>
        <v>-3.1469898103213847</v>
      </c>
      <c r="K41" s="95">
        <f>C49</f>
        <v>0.6217742393349236</v>
      </c>
      <c r="L41" s="95">
        <f>C50</f>
        <v>0.19243228647413393</v>
      </c>
      <c r="M41" s="95">
        <f>C51</f>
        <v>-19.725514328323221</v>
      </c>
      <c r="N41" s="95">
        <f>C52</f>
        <v>0.68051948728304523</v>
      </c>
      <c r="P41" s="21" t="s">
        <v>1</v>
      </c>
      <c r="Q41" s="97">
        <f>$AE$41+(D42-$AE$39)*($AE$42-$AE$41)/($AE$40-$AE$39)</f>
        <v>4.1301164995272187E-4</v>
      </c>
      <c r="R41" s="97">
        <f t="shared" ref="R41:AA51" si="5">$AE$41+(E42-$AE$39)*($AE$42-$AE$41)/($AE$40-$AE$39)</f>
        <v>4.1301164995272187E-4</v>
      </c>
      <c r="S41" s="97">
        <f t="shared" si="5"/>
        <v>4.1301164995272187E-4</v>
      </c>
      <c r="T41" s="97">
        <f t="shared" si="5"/>
        <v>4.1301164995272187E-4</v>
      </c>
      <c r="U41" s="97">
        <f t="shared" si="5"/>
        <v>0.94951404025756059</v>
      </c>
      <c r="V41" s="97">
        <f t="shared" si="5"/>
        <v>5.7018917671834833E-2</v>
      </c>
      <c r="W41" s="97">
        <f t="shared" si="5"/>
        <v>4.1301164995272187E-4</v>
      </c>
      <c r="X41" s="97">
        <f t="shared" si="5"/>
        <v>4.1301164995272187E-4</v>
      </c>
      <c r="Y41" s="97">
        <f t="shared" si="5"/>
        <v>4.1301164995272187E-4</v>
      </c>
      <c r="Z41" s="97">
        <f t="shared" si="5"/>
        <v>0.1613962182129291</v>
      </c>
      <c r="AA41" s="97">
        <f t="shared" si="5"/>
        <v>4.1301164995272187E-4</v>
      </c>
      <c r="AD41" s="3" t="s">
        <v>25</v>
      </c>
      <c r="AE41" s="2">
        <v>1E-3</v>
      </c>
    </row>
    <row r="42" spans="2:31" ht="12.75" customHeight="1" x14ac:dyDescent="0.25">
      <c r="B42" s="21" t="s">
        <v>1</v>
      </c>
      <c r="C42" s="95">
        <f>Annual_sorted!O85</f>
        <v>-3.6144647917114132</v>
      </c>
      <c r="D42" s="29">
        <f>IF(C42-Table_1463451520414957657381[Burundi]&gt;0, C42-Table_1463451520414957657381[Burundi], 0)</f>
        <v>0</v>
      </c>
      <c r="E42" s="29">
        <f>IF(C42-Table_1463451520414957657381[DRC]&gt;0, C42-Table_1463451520414957657381[DRC], 0)</f>
        <v>0</v>
      </c>
      <c r="F42" s="29">
        <f>IF(C42-Table_1463451520414957657381[Egypt]&gt;0, C42-Table_1463451520414957657381[Egypt], 0)</f>
        <v>0</v>
      </c>
      <c r="G42" s="29">
        <f>IF(C42-Table_1463451520414957657381[Eritrea]&gt;0, C42-Table_1463451520414957657381[Eritrea], 0)</f>
        <v>0</v>
      </c>
      <c r="H42" s="29">
        <f>IF(C42-Table_1463451520414957657381[Ethiopia]&gt;0, C42-Table_1463451520414957657381[Ethiopia], 0)</f>
        <v>94.985147914571897</v>
      </c>
      <c r="I42" s="29">
        <f>IF(C42-Table_1463451520414957657381[Kenya]&gt;0, C42-Table_1463451520414957657381[Kenya], 0)</f>
        <v>5.6650664094367507</v>
      </c>
      <c r="J42" s="29">
        <f>IF(C42-Table_1463451520414957657381[Rwanda]&gt;0, C42-Table_1463451520414957657381[Rwanda], 0)</f>
        <v>0</v>
      </c>
      <c r="K42" s="29">
        <f>IF(C42-Table_1463451520414957657381[Sudan]&gt;0, C42-Table_1463451520414957657381[Sudan], 0)</f>
        <v>0</v>
      </c>
      <c r="L42" s="29">
        <f>IF(C42-Table_1463451520414957657381[S. Sudan]&gt;0, C42-Table_1463451520414957657381[S. Sudan], 0)</f>
        <v>0</v>
      </c>
      <c r="M42" s="29">
        <f>IF(C42-Table_1463451520414957657381[Tanzania]&gt;0, C42-Table_1463451520414957657381[Tanzania], 0)</f>
        <v>16.111049536611809</v>
      </c>
      <c r="N42" s="29">
        <f>IF(C42-Table_1463451520414957657381[Uganda]&gt;0, C42-Table_1463451520414957657381[Uganda], 0)</f>
        <v>0</v>
      </c>
      <c r="P42" s="21" t="s">
        <v>195</v>
      </c>
      <c r="Q42" s="97">
        <f t="shared" ref="Q42:Q51" si="6">$AE$41+(D43-$AE$39)*($AE$42-$AE$41)/($AE$40-$AE$39)</f>
        <v>3.7160909111387606E-2</v>
      </c>
      <c r="R42" s="97">
        <f t="shared" si="5"/>
        <v>4.1301164995272187E-4</v>
      </c>
      <c r="S42" s="97">
        <f t="shared" si="5"/>
        <v>4.1301164995272187E-4</v>
      </c>
      <c r="T42" s="97">
        <f t="shared" si="5"/>
        <v>1.8049322377150914E-2</v>
      </c>
      <c r="U42" s="97">
        <f t="shared" si="5"/>
        <v>0.98626193771899551</v>
      </c>
      <c r="V42" s="97">
        <f t="shared" si="5"/>
        <v>9.3766815133269718E-2</v>
      </c>
      <c r="W42" s="97">
        <f t="shared" si="5"/>
        <v>3.2489852683864458E-2</v>
      </c>
      <c r="X42" s="97">
        <f t="shared" si="5"/>
        <v>4.1301164995272187E-4</v>
      </c>
      <c r="Y42" s="97">
        <f t="shared" si="5"/>
        <v>4.1301164995272187E-4</v>
      </c>
      <c r="Z42" s="97">
        <f t="shared" si="5"/>
        <v>0.19814411567436396</v>
      </c>
      <c r="AA42" s="97">
        <f t="shared" si="5"/>
        <v>4.1301164995272187E-4</v>
      </c>
      <c r="AD42" s="3" t="s">
        <v>70</v>
      </c>
      <c r="AE42" s="2">
        <v>1</v>
      </c>
    </row>
    <row r="43" spans="2:31" ht="12.75" customHeight="1" x14ac:dyDescent="0.25">
      <c r="B43" s="21" t="s">
        <v>195</v>
      </c>
      <c r="C43" s="95">
        <f>Annual_sorted!O86</f>
        <v>6.3230596570598444E-2</v>
      </c>
      <c r="D43" s="29">
        <f>IF(C43-Table_1463451520414957657381[Burundi]&gt;0, C43-Table_1463451520414957657381[Burundi], 0)</f>
        <v>3.6776953882820118</v>
      </c>
      <c r="E43" s="29">
        <f>IF(C43-Table_1463451520414957657381[DRC]&gt;0, C43-Table_1463451520414957657381[DRC], 0)</f>
        <v>0</v>
      </c>
      <c r="F43" s="29">
        <f>IF(C43-Table_1463451520414957657381[Egypt]&gt;0, C43-Table_1463451520414957657381[Egypt], 0)</f>
        <v>0</v>
      </c>
      <c r="G43" s="29">
        <f>IF(C43-Table_1463451520414957657381[Eritrea]&gt;0, C43-Table_1463451520414957657381[Eritrea], 0)</f>
        <v>1.7650255690354471</v>
      </c>
      <c r="H43" s="29">
        <f>IF(C43-Table_1463451520414957657381[Ethiopia]&gt;0, C43-Table_1463451520414957657381[Ethiopia], 0)</f>
        <v>98.662843302853915</v>
      </c>
      <c r="I43" s="29">
        <f>IF(C43-Table_1463451520414957657381[Kenya]&gt;0, C43-Table_1463451520414957657381[Kenya], 0)</f>
        <v>9.3427617977187616</v>
      </c>
      <c r="J43" s="29">
        <f>IF(C43-Table_1463451520414957657381[Rwanda]&gt;0, C43-Table_1463451520414957657381[Rwanda], 0)</f>
        <v>3.2102204068919833</v>
      </c>
      <c r="K43" s="29">
        <f>IF(C43-Table_1463451520414957657381[Sudan]&gt;0, C43-Table_1463451520414957657381[Sudan], 0)</f>
        <v>0</v>
      </c>
      <c r="L43" s="29">
        <f>IF(C43-Table_1463451520414957657381[S. Sudan]&gt;0, C43-Table_1463451520414957657381[S. Sudan], 0)</f>
        <v>0</v>
      </c>
      <c r="M43" s="29">
        <f>IF(C43-Table_1463451520414957657381[Tanzania]&gt;0, C43-Table_1463451520414957657381[Tanzania], 0)</f>
        <v>19.78874492489382</v>
      </c>
      <c r="N43" s="29">
        <f>IF(C43-Table_1463451520414957657381[Uganda]&gt;0, C43-Table_1463451520414957657381[Uganda], 0)</f>
        <v>0</v>
      </c>
      <c r="P43" s="21" t="s">
        <v>2</v>
      </c>
      <c r="Q43" s="97">
        <f t="shared" si="6"/>
        <v>5.089897139239212E-2</v>
      </c>
      <c r="R43" s="97">
        <f t="shared" si="5"/>
        <v>1.4151073930957242E-2</v>
      </c>
      <c r="S43" s="97">
        <f t="shared" si="5"/>
        <v>4.1301164995272187E-4</v>
      </c>
      <c r="T43" s="97">
        <f t="shared" si="5"/>
        <v>3.1787384658155435E-2</v>
      </c>
      <c r="U43" s="97">
        <f t="shared" si="5"/>
        <v>1</v>
      </c>
      <c r="V43" s="97">
        <f t="shared" si="5"/>
        <v>0.10750487741427422</v>
      </c>
      <c r="W43" s="97">
        <f t="shared" si="5"/>
        <v>4.6227914964868971E-2</v>
      </c>
      <c r="X43" s="97">
        <f t="shared" si="5"/>
        <v>8.5700503971871227E-3</v>
      </c>
      <c r="Y43" s="97">
        <f t="shared" si="5"/>
        <v>1.2860077817590399E-2</v>
      </c>
      <c r="Z43" s="97">
        <f t="shared" si="5"/>
        <v>0.21188217795536851</v>
      </c>
      <c r="AA43" s="97">
        <f t="shared" si="5"/>
        <v>7.9830620471398432E-3</v>
      </c>
    </row>
    <row r="44" spans="2:31" ht="12.75" customHeight="1" x14ac:dyDescent="0.25">
      <c r="B44" s="21" t="s">
        <v>2</v>
      </c>
      <c r="C44" s="95">
        <f>Annual_sorted!O87</f>
        <v>1.4381230879792364</v>
      </c>
      <c r="D44" s="29">
        <f>IF(C44-Table_1463451520414957657381[Burundi]&gt;0, C44-Table_1463451520414957657381[Burundi], 0)</f>
        <v>5.05258787969065</v>
      </c>
      <c r="E44" s="29">
        <f>IF(C44-Table_1463451520414957657381[DRC]&gt;0, C44-Table_1463451520414957657381[DRC], 0)</f>
        <v>1.374892491408638</v>
      </c>
      <c r="F44" s="29">
        <f>IF(C44-Table_1463451520414957657381[Egypt]&gt;0, C44-Table_1463451520414957657381[Egypt], 0)</f>
        <v>0</v>
      </c>
      <c r="G44" s="29">
        <f>IF(C44-Table_1463451520414957657381[Eritrea]&gt;0, C44-Table_1463451520414957657381[Eritrea], 0)</f>
        <v>3.1399180604440851</v>
      </c>
      <c r="H44" s="29">
        <f>IF(C44-Table_1463451520414957657381[Ethiopia]&gt;0, C44-Table_1463451520414957657381[Ethiopia], 0)</f>
        <v>100.03773579426255</v>
      </c>
      <c r="I44" s="29">
        <f>IF(C44-Table_1463451520414957657381[Kenya]&gt;0, C44-Table_1463451520414957657381[Kenya], 0)</f>
        <v>10.717654289127399</v>
      </c>
      <c r="J44" s="29">
        <f>IF(C44-Table_1463451520414957657381[Rwanda]&gt;0, C44-Table_1463451520414957657381[Rwanda], 0)</f>
        <v>4.5851128983006211</v>
      </c>
      <c r="K44" s="29">
        <f>IF(C44-Table_1463451520414957657381[Sudan]&gt;0, C44-Table_1463451520414957657381[Sudan], 0)</f>
        <v>0.81634884864431279</v>
      </c>
      <c r="L44" s="29">
        <f>IF(C44-Table_1463451520414957657381[S. Sudan]&gt;0, C44-Table_1463451520414957657381[S. Sudan], 0)</f>
        <v>1.2456908015051025</v>
      </c>
      <c r="M44" s="29">
        <f>IF(C44-Table_1463451520414957657381[Tanzania]&gt;0, C44-Table_1463451520414957657381[Tanzania], 0)</f>
        <v>21.163637416302457</v>
      </c>
      <c r="N44" s="29">
        <f>IF(C44-Table_1463451520414957657381[Uganda]&gt;0, C44-Table_1463451520414957657381[Uganda], 0)</f>
        <v>0.75760360069619115</v>
      </c>
      <c r="P44" s="21" t="s">
        <v>3</v>
      </c>
      <c r="Q44" s="97">
        <f t="shared" si="6"/>
        <v>1.952459838418941E-2</v>
      </c>
      <c r="R44" s="97">
        <f t="shared" si="5"/>
        <v>4.1301164995272187E-4</v>
      </c>
      <c r="S44" s="97">
        <f t="shared" si="5"/>
        <v>4.1301164995272187E-4</v>
      </c>
      <c r="T44" s="97">
        <f t="shared" si="5"/>
        <v>4.1301164995272187E-4</v>
      </c>
      <c r="U44" s="97">
        <f t="shared" si="5"/>
        <v>0.96862562699179733</v>
      </c>
      <c r="V44" s="97">
        <f t="shared" si="5"/>
        <v>7.6130504406071511E-2</v>
      </c>
      <c r="W44" s="97">
        <f t="shared" si="5"/>
        <v>1.4853541956666258E-2</v>
      </c>
      <c r="X44" s="97">
        <f t="shared" si="5"/>
        <v>4.1301164995272187E-4</v>
      </c>
      <c r="Y44" s="97">
        <f t="shared" si="5"/>
        <v>4.1301164995272187E-4</v>
      </c>
      <c r="Z44" s="97">
        <f t="shared" si="5"/>
        <v>0.18050780494716576</v>
      </c>
      <c r="AA44" s="97">
        <f t="shared" si="5"/>
        <v>4.1301164995272187E-4</v>
      </c>
    </row>
    <row r="45" spans="2:31" ht="12.75" customHeight="1" x14ac:dyDescent="0.25">
      <c r="B45" s="21" t="s">
        <v>3</v>
      </c>
      <c r="C45" s="95">
        <f>Annual_sorted!O88</f>
        <v>-1.7017949724648487</v>
      </c>
      <c r="D45" s="29">
        <f>IF(C45-Table_1463451520414957657381[Burundi]&gt;0, C45-Table_1463451520414957657381[Burundi], 0)</f>
        <v>1.9126698192465645</v>
      </c>
      <c r="E45" s="29">
        <f>IF(C45-Table_1463451520414957657381[DRC]&gt;0, C45-Table_1463451520414957657381[DRC], 0)</f>
        <v>0</v>
      </c>
      <c r="F45" s="29">
        <f>IF(C45-Table_1463451520414957657381[Egypt]&gt;0, C45-Table_1463451520414957657381[Egypt], 0)</f>
        <v>0</v>
      </c>
      <c r="G45" s="29">
        <f>IF(C45-Table_1463451520414957657381[Eritrea]&gt;0, C45-Table_1463451520414957657381[Eritrea], 0)</f>
        <v>0</v>
      </c>
      <c r="H45" s="29">
        <f>IF(C45-Table_1463451520414957657381[Ethiopia]&gt;0, C45-Table_1463451520414957657381[Ethiopia], 0)</f>
        <v>96.897817733818457</v>
      </c>
      <c r="I45" s="29">
        <f>IF(C45-Table_1463451520414957657381[Kenya]&gt;0, C45-Table_1463451520414957657381[Kenya], 0)</f>
        <v>7.5777362286833148</v>
      </c>
      <c r="J45" s="29">
        <f>IF(C45-Table_1463451520414957657381[Rwanda]&gt;0, C45-Table_1463451520414957657381[Rwanda], 0)</f>
        <v>1.445194837856536</v>
      </c>
      <c r="K45" s="29">
        <f>IF(C45-Table_1463451520414957657381[Sudan]&gt;0, C45-Table_1463451520414957657381[Sudan], 0)</f>
        <v>0</v>
      </c>
      <c r="L45" s="29">
        <f>IF(C45-Table_1463451520414957657381[S. Sudan]&gt;0, C45-Table_1463451520414957657381[S. Sudan], 0)</f>
        <v>0</v>
      </c>
      <c r="M45" s="29">
        <f>IF(C45-Table_1463451520414957657381[Tanzania]&gt;0, C45-Table_1463451520414957657381[Tanzania], 0)</f>
        <v>18.023719355858372</v>
      </c>
      <c r="N45" s="29">
        <f>IF(C45-Table_1463451520414957657381[Uganda]&gt;0, C45-Table_1463451520414957657381[Uganda], 0)</f>
        <v>0</v>
      </c>
      <c r="P45" s="21" t="s">
        <v>4</v>
      </c>
      <c r="Q45" s="97">
        <f t="shared" si="6"/>
        <v>4.1301164995272187E-4</v>
      </c>
      <c r="R45" s="97">
        <f t="shared" si="5"/>
        <v>4.1301164995272187E-4</v>
      </c>
      <c r="S45" s="97">
        <f t="shared" si="5"/>
        <v>4.1301164995272187E-4</v>
      </c>
      <c r="T45" s="97">
        <f t="shared" si="5"/>
        <v>4.1301164995272187E-4</v>
      </c>
      <c r="U45" s="97">
        <f t="shared" si="5"/>
        <v>4.1301164995272187E-4</v>
      </c>
      <c r="V45" s="97">
        <f t="shared" si="5"/>
        <v>4.1301164995272187E-4</v>
      </c>
      <c r="W45" s="97">
        <f t="shared" si="5"/>
        <v>4.1301164995272187E-4</v>
      </c>
      <c r="X45" s="97">
        <f t="shared" si="5"/>
        <v>4.1301164995272187E-4</v>
      </c>
      <c r="Y45" s="97">
        <f t="shared" si="5"/>
        <v>4.1301164995272187E-4</v>
      </c>
      <c r="Z45" s="97">
        <f t="shared" si="5"/>
        <v>4.1301164995272187E-4</v>
      </c>
      <c r="AA45" s="97">
        <f t="shared" si="5"/>
        <v>4.1301164995272187E-4</v>
      </c>
    </row>
    <row r="46" spans="2:31" ht="12.75" customHeight="1" x14ac:dyDescent="0.25">
      <c r="B46" s="21" t="s">
        <v>4</v>
      </c>
      <c r="C46" s="95">
        <f>Annual_sorted!O89</f>
        <v>-98.59961270628331</v>
      </c>
      <c r="D46" s="29">
        <f>IF(C46-Table_1463451520414957657381[Burundi]&gt;0, C46-Table_1463451520414957657381[Burundi], 0)</f>
        <v>0</v>
      </c>
      <c r="E46" s="29">
        <f>IF(C46-Table_1463451520414957657381[DRC]&gt;0, C46-Table_1463451520414957657381[DRC], 0)</f>
        <v>0</v>
      </c>
      <c r="F46" s="29">
        <f>IF(C46-Table_1463451520414957657381[Egypt]&gt;0, C46-Table_1463451520414957657381[Egypt], 0)</f>
        <v>0</v>
      </c>
      <c r="G46" s="29">
        <f>IF(C46-Table_1463451520414957657381[Eritrea]&gt;0, C46-Table_1463451520414957657381[Eritrea], 0)</f>
        <v>0</v>
      </c>
      <c r="H46" s="29">
        <f>IF(C46-Table_1463451520414957657381[Ethiopia]&gt;0, C46-Table_1463451520414957657381[Ethiopia], 0)</f>
        <v>0</v>
      </c>
      <c r="I46" s="29">
        <f>IF(C46-Table_1463451520414957657381[Kenya]&gt;0, C46-Table_1463451520414957657381[Kenya], 0)</f>
        <v>0</v>
      </c>
      <c r="J46" s="29">
        <f>IF(C46-Table_1463451520414957657381[Rwanda]&gt;0, C46-Table_1463451520414957657381[Rwanda], 0)</f>
        <v>0</v>
      </c>
      <c r="K46" s="29">
        <f>IF(C46-Table_1463451520414957657381[Sudan]&gt;0, C46-Table_1463451520414957657381[Sudan], 0)</f>
        <v>0</v>
      </c>
      <c r="L46" s="29">
        <f>IF(C46-Table_1463451520414957657381[S. Sudan]&gt;0, C46-Table_1463451520414957657381[S. Sudan], 0)</f>
        <v>0</v>
      </c>
      <c r="M46" s="29">
        <f>IF(C46-Table_1463451520414957657381[Tanzania]&gt;0, C46-Table_1463451520414957657381[Tanzania], 0)</f>
        <v>0</v>
      </c>
      <c r="N46" s="29">
        <f>IF(C46-Table_1463451520414957657381[Uganda]&gt;0, C46-Table_1463451520414957657381[Uganda], 0)</f>
        <v>0</v>
      </c>
      <c r="P46" s="21" t="s">
        <v>5</v>
      </c>
      <c r="Q46" s="97">
        <f t="shared" si="6"/>
        <v>4.1301164995272187E-4</v>
      </c>
      <c r="R46" s="97">
        <f t="shared" si="5"/>
        <v>4.1301164995272187E-4</v>
      </c>
      <c r="S46" s="97">
        <f t="shared" si="5"/>
        <v>4.1301164995272187E-4</v>
      </c>
      <c r="T46" s="97">
        <f t="shared" si="5"/>
        <v>4.1301164995272187E-4</v>
      </c>
      <c r="U46" s="97">
        <f t="shared" si="5"/>
        <v>0.89290813423567861</v>
      </c>
      <c r="V46" s="97">
        <f t="shared" si="5"/>
        <v>4.1301164995272187E-4</v>
      </c>
      <c r="W46" s="97">
        <f t="shared" si="5"/>
        <v>4.1301164995272187E-4</v>
      </c>
      <c r="X46" s="97">
        <f t="shared" si="5"/>
        <v>4.1301164995272187E-4</v>
      </c>
      <c r="Y46" s="97">
        <f t="shared" si="5"/>
        <v>4.1301164995272187E-4</v>
      </c>
      <c r="Z46" s="97">
        <f t="shared" si="5"/>
        <v>0.10479031219104699</v>
      </c>
      <c r="AA46" s="97">
        <f t="shared" si="5"/>
        <v>4.1301164995272187E-4</v>
      </c>
    </row>
    <row r="47" spans="2:31" ht="12.75" customHeight="1" x14ac:dyDescent="0.25">
      <c r="B47" s="21" t="s">
        <v>5</v>
      </c>
      <c r="C47" s="95">
        <f>Annual_sorted!O90</f>
        <v>-9.2795312011481634</v>
      </c>
      <c r="D47" s="29">
        <f>IF(C47-Table_1463451520414957657381[Burundi]&gt;0, C47-Table_1463451520414957657381[Burundi], 0)</f>
        <v>0</v>
      </c>
      <c r="E47" s="29">
        <f>IF(C47-Table_1463451520414957657381[DRC]&gt;0, C47-Table_1463451520414957657381[DRC], 0)</f>
        <v>0</v>
      </c>
      <c r="F47" s="29">
        <f>IF(C47-Table_1463451520414957657381[Egypt]&gt;0, C47-Table_1463451520414957657381[Egypt], 0)</f>
        <v>0</v>
      </c>
      <c r="G47" s="29">
        <f>IF(C47-Table_1463451520414957657381[Eritrea]&gt;0, C47-Table_1463451520414957657381[Eritrea], 0)</f>
        <v>0</v>
      </c>
      <c r="H47" s="29">
        <f>IF(C47-Table_1463451520414957657381[Ethiopia]&gt;0, C47-Table_1463451520414957657381[Ethiopia], 0)</f>
        <v>89.32008150513515</v>
      </c>
      <c r="I47" s="29">
        <f>IF(C47-Table_1463451520414957657381[Kenya]&gt;0, C47-Table_1463451520414957657381[Kenya], 0)</f>
        <v>0</v>
      </c>
      <c r="J47" s="29">
        <f>IF(C47-Table_1463451520414957657381[Rwanda]&gt;0, C47-Table_1463451520414957657381[Rwanda], 0)</f>
        <v>0</v>
      </c>
      <c r="K47" s="29">
        <f>IF(C47-Table_1463451520414957657381[Sudan]&gt;0, C47-Table_1463451520414957657381[Sudan], 0)</f>
        <v>0</v>
      </c>
      <c r="L47" s="29">
        <f>IF(C47-Table_1463451520414957657381[S. Sudan]&gt;0, C47-Table_1463451520414957657381[S. Sudan], 0)</f>
        <v>0</v>
      </c>
      <c r="M47" s="29">
        <f>IF(C47-Table_1463451520414957657381[Tanzania]&gt;0, C47-Table_1463451520414957657381[Tanzania], 0)</f>
        <v>10.445983127175058</v>
      </c>
      <c r="N47" s="29">
        <f>IF(C47-Table_1463451520414957657381[Uganda]&gt;0, C47-Table_1463451520414957657381[Uganda], 0)</f>
        <v>0</v>
      </c>
      <c r="P47" s="21" t="s">
        <v>6</v>
      </c>
      <c r="Q47" s="97">
        <f t="shared" si="6"/>
        <v>5.0840680774758744E-3</v>
      </c>
      <c r="R47" s="97">
        <f t="shared" si="5"/>
        <v>4.1301164995272187E-4</v>
      </c>
      <c r="S47" s="97">
        <f t="shared" si="5"/>
        <v>4.1301164995272187E-4</v>
      </c>
      <c r="T47" s="97">
        <f t="shared" si="5"/>
        <v>4.1301164995272187E-4</v>
      </c>
      <c r="U47" s="97">
        <f t="shared" si="5"/>
        <v>0.95418509668508378</v>
      </c>
      <c r="V47" s="97">
        <f t="shared" si="5"/>
        <v>6.1689974099357982E-2</v>
      </c>
      <c r="W47" s="97">
        <f t="shared" si="5"/>
        <v>4.1301164995272187E-4</v>
      </c>
      <c r="X47" s="97">
        <f t="shared" si="5"/>
        <v>4.1301164995272187E-4</v>
      </c>
      <c r="Y47" s="97">
        <f t="shared" si="5"/>
        <v>4.1301164995272187E-4</v>
      </c>
      <c r="Z47" s="97">
        <f t="shared" si="5"/>
        <v>0.16606727464045223</v>
      </c>
      <c r="AA47" s="97">
        <f t="shared" si="5"/>
        <v>4.1301164995272187E-4</v>
      </c>
    </row>
    <row r="48" spans="2:31" ht="12.75" customHeight="1" x14ac:dyDescent="0.25">
      <c r="B48" s="21" t="s">
        <v>6</v>
      </c>
      <c r="C48" s="95">
        <f>Annual_sorted!O91</f>
        <v>-3.1469898103213847</v>
      </c>
      <c r="D48" s="29">
        <f>IF(C48-Table_1463451520414957657381[Burundi]&gt;0, C48-Table_1463451520414957657381[Burundi], 0)</f>
        <v>0.46747498139002852</v>
      </c>
      <c r="E48" s="29">
        <f>IF(C48-Table_1463451520414957657381[DRC]&gt;0, C48-Table_1463451520414957657381[DRC], 0)</f>
        <v>0</v>
      </c>
      <c r="F48" s="29">
        <f>IF(C48-Table_1463451520414957657381[Egypt]&gt;0, C48-Table_1463451520414957657381[Egypt], 0)</f>
        <v>0</v>
      </c>
      <c r="G48" s="29">
        <f>IF(C48-Table_1463451520414957657381[Eritrea]&gt;0, C48-Table_1463451520414957657381[Eritrea], 0)</f>
        <v>0</v>
      </c>
      <c r="H48" s="29">
        <f>IF(C48-Table_1463451520414957657381[Ethiopia]&gt;0, C48-Table_1463451520414957657381[Ethiopia], 0)</f>
        <v>95.452622895961923</v>
      </c>
      <c r="I48" s="29">
        <f>IF(C48-Table_1463451520414957657381[Kenya]&gt;0, C48-Table_1463451520414957657381[Kenya], 0)</f>
        <v>6.1325413908267787</v>
      </c>
      <c r="J48" s="29">
        <f>IF(C48-Table_1463451520414957657381[Rwanda]&gt;0, C48-Table_1463451520414957657381[Rwanda], 0)</f>
        <v>0</v>
      </c>
      <c r="K48" s="29">
        <f>IF(C48-Table_1463451520414957657381[Sudan]&gt;0, C48-Table_1463451520414957657381[Sudan], 0)</f>
        <v>0</v>
      </c>
      <c r="L48" s="29">
        <f>IF(C48-Table_1463451520414957657381[S. Sudan]&gt;0, C48-Table_1463451520414957657381[S. Sudan], 0)</f>
        <v>0</v>
      </c>
      <c r="M48" s="29">
        <f>IF(C48-Table_1463451520414957657381[Tanzania]&gt;0, C48-Table_1463451520414957657381[Tanzania], 0)</f>
        <v>16.578524518001835</v>
      </c>
      <c r="N48" s="29">
        <f>IF(C48-Table_1463451520414957657381[Uganda]&gt;0, C48-Table_1463451520414957657381[Uganda], 0)</f>
        <v>0</v>
      </c>
      <c r="P48" s="21" t="s">
        <v>7</v>
      </c>
      <c r="Q48" s="97">
        <f t="shared" si="6"/>
        <v>4.2741932645157715E-2</v>
      </c>
      <c r="R48" s="97">
        <f t="shared" si="5"/>
        <v>5.9940351837228381E-3</v>
      </c>
      <c r="S48" s="97">
        <f t="shared" si="5"/>
        <v>4.1301164995272187E-4</v>
      </c>
      <c r="T48" s="97">
        <f t="shared" si="5"/>
        <v>2.3630345910921034E-2</v>
      </c>
      <c r="U48" s="97">
        <f t="shared" si="5"/>
        <v>0.99184296125276561</v>
      </c>
      <c r="V48" s="97">
        <f t="shared" si="5"/>
        <v>9.934783866703982E-2</v>
      </c>
      <c r="W48" s="97">
        <f t="shared" si="5"/>
        <v>3.8070876217634574E-2</v>
      </c>
      <c r="X48" s="97">
        <f t="shared" si="5"/>
        <v>4.1301164995272187E-4</v>
      </c>
      <c r="Y48" s="97">
        <f t="shared" si="5"/>
        <v>4.7030390703559997E-3</v>
      </c>
      <c r="Z48" s="97">
        <f t="shared" si="5"/>
        <v>0.20372513920813407</v>
      </c>
      <c r="AA48" s="97">
        <f t="shared" si="5"/>
        <v>4.1301164995272187E-4</v>
      </c>
    </row>
    <row r="49" spans="2:31" ht="12.75" customHeight="1" x14ac:dyDescent="0.25">
      <c r="B49" s="21" t="s">
        <v>7</v>
      </c>
      <c r="C49" s="95">
        <f>Annual_sorted!O92</f>
        <v>0.6217742393349236</v>
      </c>
      <c r="D49" s="29">
        <f>IF(C49-Table_1463451520414957657381[Burundi]&gt;0, C49-Table_1463451520414957657381[Burundi], 0)</f>
        <v>4.2362390310463365</v>
      </c>
      <c r="E49" s="29">
        <f>IF(C49-Table_1463451520414957657381[DRC]&gt;0, C49-Table_1463451520414957657381[DRC], 0)</f>
        <v>0.55854364276432511</v>
      </c>
      <c r="F49" s="29">
        <f>IF(C49-Table_1463451520414957657381[Egypt]&gt;0, C49-Table_1463451520414957657381[Egypt], 0)</f>
        <v>0</v>
      </c>
      <c r="G49" s="29">
        <f>IF(C49-Table_1463451520414957657381[Eritrea]&gt;0, C49-Table_1463451520414957657381[Eritrea], 0)</f>
        <v>2.3235692117997724</v>
      </c>
      <c r="H49" s="29">
        <f>IF(C49-Table_1463451520414957657381[Ethiopia]&gt;0, C49-Table_1463451520414957657381[Ethiopia], 0)</f>
        <v>99.221386945618235</v>
      </c>
      <c r="I49" s="29">
        <f>IF(C49-Table_1463451520414957657381[Kenya]&gt;0, C49-Table_1463451520414957657381[Kenya], 0)</f>
        <v>9.9013054404830871</v>
      </c>
      <c r="J49" s="29">
        <f>IF(C49-Table_1463451520414957657381[Rwanda]&gt;0, C49-Table_1463451520414957657381[Rwanda], 0)</f>
        <v>3.7687640496563084</v>
      </c>
      <c r="K49" s="29">
        <f>IF(C49-Table_1463451520414957657381[Sudan]&gt;0, C49-Table_1463451520414957657381[Sudan], 0)</f>
        <v>0</v>
      </c>
      <c r="L49" s="29">
        <f>IF(C49-Table_1463451520414957657381[S. Sudan]&gt;0, C49-Table_1463451520414957657381[S. Sudan], 0)</f>
        <v>0.42934195286078969</v>
      </c>
      <c r="M49" s="29">
        <f>IF(C49-Table_1463451520414957657381[Tanzania]&gt;0, C49-Table_1463451520414957657381[Tanzania], 0)</f>
        <v>20.347288567658143</v>
      </c>
      <c r="N49" s="29">
        <f>IF(C49-Table_1463451520414957657381[Uganda]&gt;0, C49-Table_1463451520414957657381[Uganda], 0)</f>
        <v>0</v>
      </c>
      <c r="P49" s="21" t="s">
        <v>8</v>
      </c>
      <c r="Q49" s="97">
        <f t="shared" si="6"/>
        <v>3.8451905224754439E-2</v>
      </c>
      <c r="R49" s="97">
        <f t="shared" si="5"/>
        <v>1.7040077633195616E-3</v>
      </c>
      <c r="S49" s="97">
        <f t="shared" si="5"/>
        <v>4.1301164995272187E-4</v>
      </c>
      <c r="T49" s="97">
        <f t="shared" si="5"/>
        <v>1.9340318490517754E-2</v>
      </c>
      <c r="U49" s="97">
        <f t="shared" si="5"/>
        <v>0.98755293383236231</v>
      </c>
      <c r="V49" s="97">
        <f t="shared" si="5"/>
        <v>9.505781124663655E-2</v>
      </c>
      <c r="W49" s="97">
        <f t="shared" si="5"/>
        <v>3.378084879723129E-2</v>
      </c>
      <c r="X49" s="97">
        <f t="shared" si="5"/>
        <v>4.1301164995272187E-4</v>
      </c>
      <c r="Y49" s="97">
        <f t="shared" si="5"/>
        <v>4.1301164995272187E-4</v>
      </c>
      <c r="Z49" s="97">
        <f t="shared" si="5"/>
        <v>0.19943511178773082</v>
      </c>
      <c r="AA49" s="97">
        <f t="shared" si="5"/>
        <v>4.1301164995272187E-4</v>
      </c>
    </row>
    <row r="50" spans="2:31" ht="12.75" customHeight="1" x14ac:dyDescent="0.25">
      <c r="B50" s="21" t="s">
        <v>8</v>
      </c>
      <c r="C50" s="95">
        <f>Annual_sorted!O93</f>
        <v>0.19243228647413393</v>
      </c>
      <c r="D50" s="29">
        <f>IF(C50-Table_1463451520414957657381[Burundi]&gt;0, C50-Table_1463451520414957657381[Burundi], 0)</f>
        <v>3.8068970781855471</v>
      </c>
      <c r="E50" s="29">
        <f>IF(C50-Table_1463451520414957657381[DRC]&gt;0, C50-Table_1463451520414957657381[DRC], 0)</f>
        <v>0.12920168990353548</v>
      </c>
      <c r="F50" s="29">
        <f>IF(C50-Table_1463451520414957657381[Egypt]&gt;0, C50-Table_1463451520414957657381[Egypt], 0)</f>
        <v>0</v>
      </c>
      <c r="G50" s="29">
        <f>IF(C50-Table_1463451520414957657381[Eritrea]&gt;0, C50-Table_1463451520414957657381[Eritrea], 0)</f>
        <v>1.8942272589389826</v>
      </c>
      <c r="H50" s="29">
        <f>IF(C50-Table_1463451520414957657381[Ethiopia]&gt;0, C50-Table_1463451520414957657381[Ethiopia], 0)</f>
        <v>98.79204499275744</v>
      </c>
      <c r="I50" s="29">
        <f>IF(C50-Table_1463451520414957657381[Kenya]&gt;0, C50-Table_1463451520414957657381[Kenya], 0)</f>
        <v>9.4719634876222969</v>
      </c>
      <c r="J50" s="29">
        <f>IF(C50-Table_1463451520414957657381[Rwanda]&gt;0, C50-Table_1463451520414957657381[Rwanda], 0)</f>
        <v>3.3394220967955186</v>
      </c>
      <c r="K50" s="29">
        <f>IF(C50-Table_1463451520414957657381[Sudan]&gt;0, C50-Table_1463451520414957657381[Sudan], 0)</f>
        <v>0</v>
      </c>
      <c r="L50" s="29">
        <f>IF(C50-Table_1463451520414957657381[S. Sudan]&gt;0, C50-Table_1463451520414957657381[S. Sudan], 0)</f>
        <v>0</v>
      </c>
      <c r="M50" s="29">
        <f>IF(C50-Table_1463451520414957657381[Tanzania]&gt;0, C50-Table_1463451520414957657381[Tanzania], 0)</f>
        <v>19.917946614797355</v>
      </c>
      <c r="N50" s="29">
        <f>IF(C50-Table_1463451520414957657381[Uganda]&gt;0, C50-Table_1463451520414957657381[Uganda], 0)</f>
        <v>0</v>
      </c>
      <c r="P50" s="21" t="s">
        <v>9</v>
      </c>
      <c r="Q50" s="97">
        <f t="shared" si="6"/>
        <v>4.1301164995272187E-4</v>
      </c>
      <c r="R50" s="97">
        <f t="shared" si="5"/>
        <v>4.1301164995272187E-4</v>
      </c>
      <c r="S50" s="97">
        <f t="shared" si="5"/>
        <v>4.1301164995272187E-4</v>
      </c>
      <c r="T50" s="97">
        <f t="shared" si="5"/>
        <v>4.1301164995272187E-4</v>
      </c>
      <c r="U50" s="97">
        <f t="shared" si="5"/>
        <v>0.78853083369458421</v>
      </c>
      <c r="V50" s="97">
        <f t="shared" si="5"/>
        <v>4.1301164995272187E-4</v>
      </c>
      <c r="W50" s="97">
        <f t="shared" si="5"/>
        <v>4.1301164995272187E-4</v>
      </c>
      <c r="X50" s="97">
        <f t="shared" si="5"/>
        <v>4.1301164995272187E-4</v>
      </c>
      <c r="Y50" s="97">
        <f t="shared" si="5"/>
        <v>4.1301164995272187E-4</v>
      </c>
      <c r="Z50" s="97">
        <f t="shared" si="5"/>
        <v>4.1301164995272187E-4</v>
      </c>
      <c r="AA50" s="97">
        <f t="shared" si="5"/>
        <v>4.1301164995272187E-4</v>
      </c>
    </row>
    <row r="51" spans="2:31" ht="12.75" customHeight="1" thickBot="1" x14ac:dyDescent="0.3">
      <c r="B51" s="21" t="s">
        <v>9</v>
      </c>
      <c r="C51" s="95">
        <f>Annual_sorted!O94</f>
        <v>-19.725514328323221</v>
      </c>
      <c r="D51" s="29">
        <f>IF(C51-Table_1463451520414957657381[Burundi]&gt;0, C51-Table_1463451520414957657381[Burundi], 0)</f>
        <v>0</v>
      </c>
      <c r="E51" s="29">
        <f>IF(C51-Table_1463451520414957657381[DRC]&gt;0, C51-Table_1463451520414957657381[DRC], 0)</f>
        <v>0</v>
      </c>
      <c r="F51" s="29">
        <f>IF(C51-Table_1463451520414957657381[Egypt]&gt;0, C51-Table_1463451520414957657381[Egypt], 0)</f>
        <v>0</v>
      </c>
      <c r="G51" s="29">
        <f>IF(C51-Table_1463451520414957657381[Eritrea]&gt;0, C51-Table_1463451520414957657381[Eritrea], 0)</f>
        <v>0</v>
      </c>
      <c r="H51" s="29">
        <f>IF(C51-Table_1463451520414957657381[Ethiopia]&gt;0, C51-Table_1463451520414957657381[Ethiopia], 0)</f>
        <v>78.874098377960081</v>
      </c>
      <c r="I51" s="29">
        <f>IF(C51-Table_1463451520414957657381[Kenya]&gt;0, C51-Table_1463451520414957657381[Kenya], 0)</f>
        <v>0</v>
      </c>
      <c r="J51" s="29">
        <f>IF(C51-Table_1463451520414957657381[Rwanda]&gt;0, C51-Table_1463451520414957657381[Rwanda], 0)</f>
        <v>0</v>
      </c>
      <c r="K51" s="29">
        <f>IF(C51-Table_1463451520414957657381[Sudan]&gt;0, C51-Table_1463451520414957657381[Sudan], 0)</f>
        <v>0</v>
      </c>
      <c r="L51" s="29">
        <f>IF(C51-Table_1463451520414957657381[S. Sudan]&gt;0, C51-Table_1463451520414957657381[S. Sudan], 0)</f>
        <v>0</v>
      </c>
      <c r="M51" s="29">
        <f>IF(C51-Table_1463451520414957657381[Tanzania]&gt;0, C51-Table_1463451520414957657381[Tanzania], 0)</f>
        <v>0</v>
      </c>
      <c r="N51" s="29">
        <f>IF(C51-Table_1463451520414957657381[Uganda]&gt;0, C51-Table_1463451520414957657381[Uganda], 0)</f>
        <v>0</v>
      </c>
      <c r="P51" s="22" t="s">
        <v>10</v>
      </c>
      <c r="Q51" s="98">
        <f t="shared" si="6"/>
        <v>4.3328920995204995E-2</v>
      </c>
      <c r="R51" s="98">
        <f t="shared" si="5"/>
        <v>6.5810235337701167E-3</v>
      </c>
      <c r="S51" s="98">
        <f t="shared" si="5"/>
        <v>4.1301164995272187E-4</v>
      </c>
      <c r="T51" s="98">
        <f t="shared" si="5"/>
        <v>2.421733426096831E-2</v>
      </c>
      <c r="U51" s="98">
        <f t="shared" si="5"/>
        <v>0.99242994960281294</v>
      </c>
      <c r="V51" s="98">
        <f t="shared" si="5"/>
        <v>9.9934827017087086E-2</v>
      </c>
      <c r="W51" s="98">
        <f t="shared" si="5"/>
        <v>3.8657864567681846E-2</v>
      </c>
      <c r="X51" s="98">
        <f t="shared" si="5"/>
        <v>1E-3</v>
      </c>
      <c r="Y51" s="98">
        <f t="shared" si="5"/>
        <v>5.2900274204032774E-3</v>
      </c>
      <c r="Z51" s="98">
        <f t="shared" si="5"/>
        <v>0.20431212755818137</v>
      </c>
      <c r="AA51" s="98">
        <f t="shared" si="5"/>
        <v>4.1301164995272187E-4</v>
      </c>
      <c r="AB51" s="186">
        <f>SUM(Q41:AA51)</f>
        <v>12.48695543888013</v>
      </c>
    </row>
    <row r="52" spans="2:31" ht="12.75" customHeight="1" thickBot="1" x14ac:dyDescent="0.3">
      <c r="B52" s="22" t="s">
        <v>10</v>
      </c>
      <c r="C52" s="96">
        <f>Annual_sorted!O95</f>
        <v>0.68051948728304523</v>
      </c>
      <c r="D52" s="32">
        <f>IF(C52-Table_1463451520414957657381[Burundi]&gt;0, C52-Table_1463451520414957657381[Burundi], 0)</f>
        <v>4.2949842789944581</v>
      </c>
      <c r="E52" s="32">
        <f>IF(C52-Table_1463451520414957657381[DRC]&gt;0, C52-Table_1463451520414957657381[DRC], 0)</f>
        <v>0.61728889071244675</v>
      </c>
      <c r="F52" s="32">
        <f>IF(C52-Table_1463451520414957657381[Egypt]&gt;0, C52-Table_1463451520414957657381[Egypt], 0)</f>
        <v>0</v>
      </c>
      <c r="G52" s="32">
        <f>IF(C52-Table_1463451520414957657381[Eritrea]&gt;0, C52-Table_1463451520414957657381[Eritrea], 0)</f>
        <v>2.382314459747894</v>
      </c>
      <c r="H52" s="32">
        <f>IF(C52-Table_1463451520414957657381[Ethiopia]&gt;0, C52-Table_1463451520414957657381[Ethiopia], 0)</f>
        <v>99.280132193566359</v>
      </c>
      <c r="I52" s="32">
        <f>IF(C52-Table_1463451520414957657381[Kenya]&gt;0, C52-Table_1463451520414957657381[Kenya], 0)</f>
        <v>9.9600506884312079</v>
      </c>
      <c r="J52" s="32">
        <f>IF(C52-Table_1463451520414957657381[Rwanda]&gt;0, C52-Table_1463451520414957657381[Rwanda], 0)</f>
        <v>3.82750929760443</v>
      </c>
      <c r="K52" s="32">
        <f>IF(C52-Table_1463451520414957657381[Sudan]&gt;0, C52-Table_1463451520414957657381[Sudan], 0)</f>
        <v>5.8745247948121637E-2</v>
      </c>
      <c r="L52" s="32">
        <f>IF(C52-Table_1463451520414957657381[S. Sudan]&gt;0, C52-Table_1463451520414957657381[S. Sudan], 0)</f>
        <v>0.48808720080891133</v>
      </c>
      <c r="M52" s="32">
        <f>IF(C52-Table_1463451520414957657381[Tanzania]&gt;0, C52-Table_1463451520414957657381[Tanzania], 0)</f>
        <v>20.406033815606268</v>
      </c>
      <c r="N52" s="32">
        <f>IF(C52-Table_1463451520414957657381[Uganda]&gt;0, C52-Table_1463451520414957657381[Uganda], 0)</f>
        <v>0</v>
      </c>
    </row>
    <row r="53" spans="2:31" ht="12.75" customHeight="1" x14ac:dyDescent="0.25"/>
    <row r="54" spans="2:31" ht="12.75" customHeight="1" x14ac:dyDescent="0.25"/>
    <row r="55" spans="2:31" ht="12.75" customHeight="1" x14ac:dyDescent="0.25"/>
    <row r="56" spans="2:31" ht="12.75" customHeight="1" x14ac:dyDescent="0.25">
      <c r="B56" s="5"/>
      <c r="C56" s="5"/>
      <c r="D56" s="5"/>
      <c r="E56" s="5"/>
      <c r="F56" s="5"/>
      <c r="G56" s="5"/>
      <c r="H56" s="5"/>
      <c r="I56" s="5"/>
      <c r="J56" s="5"/>
      <c r="K56" s="5"/>
      <c r="L56" s="5"/>
      <c r="M56" s="5"/>
      <c r="N56" s="44"/>
      <c r="O56" s="5"/>
      <c r="P56" s="5"/>
      <c r="Q56" s="5"/>
      <c r="R56" s="5"/>
      <c r="S56" s="5"/>
      <c r="T56" s="5"/>
      <c r="U56" s="5"/>
      <c r="V56" s="5"/>
      <c r="W56" s="5"/>
      <c r="X56" s="5"/>
      <c r="Y56" s="5"/>
      <c r="Z56" s="5"/>
      <c r="AA56" s="5"/>
    </row>
    <row r="57" spans="2:31" ht="12.75" customHeight="1" thickBot="1" x14ac:dyDescent="0.3">
      <c r="B57" s="253" t="s">
        <v>79</v>
      </c>
      <c r="C57" s="253"/>
      <c r="D57" s="253"/>
      <c r="E57" s="253"/>
      <c r="F57" s="253"/>
      <c r="G57" s="253"/>
      <c r="H57" s="253"/>
      <c r="I57" s="253"/>
      <c r="J57" s="253"/>
      <c r="K57" s="253"/>
      <c r="L57" s="253"/>
      <c r="M57" s="253"/>
      <c r="N57" s="253"/>
      <c r="O57" s="5"/>
      <c r="P57" s="253" t="s">
        <v>80</v>
      </c>
      <c r="Q57" s="253"/>
      <c r="R57" s="253"/>
      <c r="S57" s="253"/>
      <c r="T57" s="253"/>
      <c r="U57" s="253"/>
      <c r="V57" s="253"/>
      <c r="W57" s="253"/>
      <c r="X57" s="253"/>
      <c r="Y57" s="253"/>
      <c r="Z57" s="253"/>
      <c r="AA57" s="253"/>
      <c r="AB57" s="10"/>
      <c r="AC57" s="3" t="s">
        <v>22</v>
      </c>
      <c r="AD57" s="13" t="s">
        <v>23</v>
      </c>
      <c r="AE57" s="74">
        <f t="array" ref="AE57">MIN(IF(D60:N70&gt;0,D60:N70))</f>
        <v>0.6939661843937337</v>
      </c>
    </row>
    <row r="58" spans="2:31" ht="12.75" customHeight="1" thickBot="1" x14ac:dyDescent="0.3">
      <c r="B58" s="75" t="s">
        <v>13</v>
      </c>
      <c r="C58" s="66" t="s">
        <v>14</v>
      </c>
      <c r="D58" s="67" t="s">
        <v>1</v>
      </c>
      <c r="E58" s="67" t="s">
        <v>195</v>
      </c>
      <c r="F58" s="67" t="s">
        <v>2</v>
      </c>
      <c r="G58" s="67" t="s">
        <v>3</v>
      </c>
      <c r="H58" s="67" t="s">
        <v>4</v>
      </c>
      <c r="I58" s="67" t="s">
        <v>5</v>
      </c>
      <c r="J58" s="67" t="s">
        <v>6</v>
      </c>
      <c r="K58" s="67" t="s">
        <v>7</v>
      </c>
      <c r="L58" s="67" t="s">
        <v>295</v>
      </c>
      <c r="M58" s="67" t="s">
        <v>9</v>
      </c>
      <c r="N58" s="67" t="s">
        <v>10</v>
      </c>
      <c r="P58" s="128" t="s">
        <v>19</v>
      </c>
      <c r="Q58" s="123" t="s">
        <v>1</v>
      </c>
      <c r="R58" s="123" t="s">
        <v>195</v>
      </c>
      <c r="S58" s="123" t="s">
        <v>2</v>
      </c>
      <c r="T58" s="123" t="s">
        <v>3</v>
      </c>
      <c r="U58" s="123" t="s">
        <v>4</v>
      </c>
      <c r="V58" s="123" t="s">
        <v>5</v>
      </c>
      <c r="W58" s="123" t="s">
        <v>6</v>
      </c>
      <c r="X58" s="123" t="s">
        <v>7</v>
      </c>
      <c r="Y58" s="123" t="s">
        <v>295</v>
      </c>
      <c r="Z58" s="123" t="s">
        <v>9</v>
      </c>
      <c r="AA58" s="123" t="s">
        <v>10</v>
      </c>
      <c r="AB58" s="254" t="s">
        <v>26</v>
      </c>
      <c r="AC58" s="254"/>
      <c r="AD58" s="13" t="s">
        <v>24</v>
      </c>
      <c r="AE58" s="20">
        <f>MAX(D60:N70)</f>
        <v>98.662843302853915</v>
      </c>
    </row>
    <row r="59" spans="2:31" ht="12.75" customHeight="1" x14ac:dyDescent="0.25">
      <c r="B59" s="93"/>
      <c r="C59" s="94" t="s">
        <v>260</v>
      </c>
      <c r="D59" s="95">
        <f>C60</f>
        <v>-3.6144647917114132</v>
      </c>
      <c r="E59" s="95">
        <f>C61</f>
        <v>6.3230596570598444E-2</v>
      </c>
      <c r="F59" s="95">
        <f>C62</f>
        <v>-55.061876912020765</v>
      </c>
      <c r="G59" s="95">
        <f>C63</f>
        <v>-1.7017949724648487</v>
      </c>
      <c r="H59" s="95">
        <f>C64</f>
        <v>-98.59961270628331</v>
      </c>
      <c r="I59" s="95">
        <f>C65</f>
        <v>-9.2795312011481634</v>
      </c>
      <c r="J59" s="95">
        <f>C66</f>
        <v>-6.9469898103213845</v>
      </c>
      <c r="K59" s="95">
        <f>C67</f>
        <v>-33.178225760665072</v>
      </c>
      <c r="L59" s="95">
        <f>C68</f>
        <v>-23.307567713525867</v>
      </c>
      <c r="M59" s="95">
        <f>C69</f>
        <v>-19.725514328323221</v>
      </c>
      <c r="N59" s="95">
        <f>C70</f>
        <v>-20.419480512716955</v>
      </c>
      <c r="P59" s="21" t="s">
        <v>1</v>
      </c>
      <c r="Q59" s="97">
        <f>$AE$59+(D60-$AE$57)*($AE$60-$AE$59)/($AE$58-$AE$57)</f>
        <v>-6.076453651408722E-3</v>
      </c>
      <c r="R59" s="97">
        <f t="shared" ref="R59:AA69" si="7">$AE$59+(E60-$AE$57)*($AE$60-$AE$59)/($AE$58-$AE$57)</f>
        <v>-6.076453651408722E-3</v>
      </c>
      <c r="S59" s="97">
        <f t="shared" si="7"/>
        <v>0.51853877334606957</v>
      </c>
      <c r="T59" s="97">
        <f t="shared" si="7"/>
        <v>-6.076453651408722E-3</v>
      </c>
      <c r="U59" s="97">
        <f t="shared" si="7"/>
        <v>0.96249811367694593</v>
      </c>
      <c r="V59" s="97">
        <f t="shared" si="7"/>
        <v>5.1690885420817088E-2</v>
      </c>
      <c r="W59" s="97">
        <f t="shared" si="7"/>
        <v>2.7905690387721484E-2</v>
      </c>
      <c r="X59" s="97">
        <f t="shared" si="7"/>
        <v>0.29538864502756351</v>
      </c>
      <c r="Y59" s="97">
        <f t="shared" si="7"/>
        <v>0.19473640036450809</v>
      </c>
      <c r="Z59" s="97">
        <f t="shared" si="7"/>
        <v>0.15820978663706389</v>
      </c>
      <c r="AA59" s="97">
        <f t="shared" si="7"/>
        <v>0.16528624028847261</v>
      </c>
      <c r="AD59" s="3" t="s">
        <v>25</v>
      </c>
      <c r="AE59" s="2">
        <v>1E-3</v>
      </c>
    </row>
    <row r="60" spans="2:31" ht="12.75" customHeight="1" x14ac:dyDescent="0.25">
      <c r="B60" s="21" t="s">
        <v>1</v>
      </c>
      <c r="C60" s="95">
        <f>Annual_sorted!P85</f>
        <v>-3.6144647917114132</v>
      </c>
      <c r="D60" s="29">
        <f>IF(C60-Table_14634571419404856647280[Burundi]&gt;0, C60-Table_14634571419404856647280[Burundi], 0)</f>
        <v>0</v>
      </c>
      <c r="E60" s="29">
        <f>IF(C60-Table_14634571419404856647280[DRC]&gt;0, C60-Table_14634571419404856647280[DRC], 0)</f>
        <v>0</v>
      </c>
      <c r="F60" s="29">
        <f>IF(C60-Table_14634571419404856647280[Egypt]&gt;0, C60-Table_14634571419404856647280[Egypt], 0)</f>
        <v>51.447412120309352</v>
      </c>
      <c r="G60" s="29">
        <f>IF(C60-Table_14634571419404856647280[Eritrea]&gt;0, C60-Table_14634571419404856647280[Eritrea], 0)</f>
        <v>0</v>
      </c>
      <c r="H60" s="29">
        <f>IF(C60-Table_14634571419404856647280[Ethiopia]&gt;0, C60-Table_14634571419404856647280[Ethiopia], 0)</f>
        <v>94.985147914571897</v>
      </c>
      <c r="I60" s="29">
        <f>IF(C60-Table_14634571419404856647280[Kenya]&gt;0, C60-Table_14634571419404856647280[Kenya], 0)</f>
        <v>5.6650664094367507</v>
      </c>
      <c r="J60" s="29">
        <f>IF(C60-Table_14634571419404856647280[Rwanda]&gt;0, C60-Table_14634571419404856647280[Rwanda], 0)</f>
        <v>3.3325250186099713</v>
      </c>
      <c r="K60" s="29">
        <f>IF(C60-Table_14634571419404856647280[Sudan]&gt;0, C60-Table_14634571419404856647280[Sudan], 0)</f>
        <v>29.563760968953659</v>
      </c>
      <c r="L60" s="29">
        <f>IF(C60-Table_14634571419404856647280[S. Sudan]&gt;0, C60-Table_14634571419404856647280[S. Sudan], 0)</f>
        <v>19.693102921814454</v>
      </c>
      <c r="M60" s="29">
        <f>IF(C60-Table_14634571419404856647280[Tanzania]&gt;0, C60-Table_14634571419404856647280[Tanzania], 0)</f>
        <v>16.111049536611809</v>
      </c>
      <c r="N60" s="29">
        <f>IF(C60-Table_14634571419404856647280[Uganda]&gt;0, C60-Table_14634571419404856647280[Uganda], 0)</f>
        <v>16.805015721005542</v>
      </c>
      <c r="P60" s="21" t="s">
        <v>195</v>
      </c>
      <c r="Q60" s="97">
        <f t="shared" ref="Q60:Q69" si="8">$AE$59+(D61-$AE$57)*($AE$60-$AE$59)/($AE$58-$AE$57)</f>
        <v>3.1425432671645173E-2</v>
      </c>
      <c r="R60" s="97">
        <f t="shared" si="7"/>
        <v>-6.076453651408722E-3</v>
      </c>
      <c r="S60" s="97">
        <f t="shared" si="7"/>
        <v>0.55604065966912342</v>
      </c>
      <c r="T60" s="97">
        <f t="shared" si="7"/>
        <v>1.1921716740340742E-2</v>
      </c>
      <c r="U60" s="97">
        <f t="shared" si="7"/>
        <v>1</v>
      </c>
      <c r="V60" s="97">
        <f t="shared" si="7"/>
        <v>8.9192771743870969E-2</v>
      </c>
      <c r="W60" s="97">
        <f t="shared" si="7"/>
        <v>6.5407576710775378E-2</v>
      </c>
      <c r="X60" s="97">
        <f t="shared" si="7"/>
        <v>0.33289053135061741</v>
      </c>
      <c r="Y60" s="97">
        <f t="shared" si="7"/>
        <v>0.23223828668756197</v>
      </c>
      <c r="Z60" s="97">
        <f t="shared" si="7"/>
        <v>0.19571167296011779</v>
      </c>
      <c r="AA60" s="97">
        <f t="shared" si="7"/>
        <v>0.20278812661152648</v>
      </c>
      <c r="AD60" s="3" t="s">
        <v>70</v>
      </c>
      <c r="AE60" s="2">
        <v>1</v>
      </c>
    </row>
    <row r="61" spans="2:31" ht="12.75" customHeight="1" x14ac:dyDescent="0.25">
      <c r="B61" s="21" t="s">
        <v>195</v>
      </c>
      <c r="C61" s="95">
        <f>Annual_sorted!P86</f>
        <v>6.3230596570598444E-2</v>
      </c>
      <c r="D61" s="29">
        <f>IF(C61-Table_14634571419404856647280[Burundi]&gt;0, C61-Table_14634571419404856647280[Burundi], 0)</f>
        <v>3.6776953882820118</v>
      </c>
      <c r="E61" s="29">
        <f>IF(C61-Table_14634571419404856647280[DRC]&gt;0, C61-Table_14634571419404856647280[DRC], 0)</f>
        <v>0</v>
      </c>
      <c r="F61" s="29">
        <f>IF(C61-Table_14634571419404856647280[Egypt]&gt;0, C61-Table_14634571419404856647280[Egypt], 0)</f>
        <v>55.125107508591363</v>
      </c>
      <c r="G61" s="29">
        <f>IF(C61-Table_14634571419404856647280[Eritrea]&gt;0, C61-Table_14634571419404856647280[Eritrea], 0)</f>
        <v>1.7650255690354471</v>
      </c>
      <c r="H61" s="29">
        <f>IF(C61-Table_14634571419404856647280[Ethiopia]&gt;0, C61-Table_14634571419404856647280[Ethiopia], 0)</f>
        <v>98.662843302853915</v>
      </c>
      <c r="I61" s="29">
        <f>IF(C61-Table_14634571419404856647280[Kenya]&gt;0, C61-Table_14634571419404856647280[Kenya], 0)</f>
        <v>9.3427617977187616</v>
      </c>
      <c r="J61" s="29">
        <f>IF(C61-Table_14634571419404856647280[Rwanda]&gt;0, C61-Table_14634571419404856647280[Rwanda], 0)</f>
        <v>7.0102204068919827</v>
      </c>
      <c r="K61" s="29">
        <f>IF(C61-Table_14634571419404856647280[Sudan]&gt;0, C61-Table_14634571419404856647280[Sudan], 0)</f>
        <v>33.24145635723567</v>
      </c>
      <c r="L61" s="29">
        <f>IF(C61-Table_14634571419404856647280[S. Sudan]&gt;0, C61-Table_14634571419404856647280[S. Sudan], 0)</f>
        <v>23.370798310096465</v>
      </c>
      <c r="M61" s="29">
        <f>IF(C61-Table_14634571419404856647280[Tanzania]&gt;0, C61-Table_14634571419404856647280[Tanzania], 0)</f>
        <v>19.78874492489382</v>
      </c>
      <c r="N61" s="29">
        <f>IF(C61-Table_14634571419404856647280[Uganda]&gt;0, C61-Table_14634571419404856647280[Uganda], 0)</f>
        <v>20.482711109287553</v>
      </c>
      <c r="P61" s="21" t="s">
        <v>2</v>
      </c>
      <c r="Q61" s="97">
        <f t="shared" si="8"/>
        <v>-6.076453651408722E-3</v>
      </c>
      <c r="R61" s="97">
        <f t="shared" si="7"/>
        <v>-6.076453651408722E-3</v>
      </c>
      <c r="S61" s="97">
        <f t="shared" si="7"/>
        <v>-6.076453651408722E-3</v>
      </c>
      <c r="T61" s="97">
        <f t="shared" si="7"/>
        <v>-6.076453651408722E-3</v>
      </c>
      <c r="U61" s="97">
        <f t="shared" si="7"/>
        <v>0.43788288667946779</v>
      </c>
      <c r="V61" s="97">
        <f t="shared" si="7"/>
        <v>-6.076453651408722E-3</v>
      </c>
      <c r="W61" s="97">
        <f t="shared" si="7"/>
        <v>-6.076453651408722E-3</v>
      </c>
      <c r="X61" s="97">
        <f t="shared" si="7"/>
        <v>-6.076453651408722E-3</v>
      </c>
      <c r="Y61" s="97">
        <f t="shared" si="7"/>
        <v>-6.076453651408722E-3</v>
      </c>
      <c r="Z61" s="97">
        <f t="shared" si="7"/>
        <v>-6.076453651408722E-3</v>
      </c>
      <c r="AA61" s="97">
        <f t="shared" si="7"/>
        <v>-6.076453651408722E-3</v>
      </c>
    </row>
    <row r="62" spans="2:31" ht="12.75" customHeight="1" x14ac:dyDescent="0.25">
      <c r="B62" s="21" t="s">
        <v>2</v>
      </c>
      <c r="C62" s="95">
        <f>Annual_sorted!P87</f>
        <v>-55.061876912020765</v>
      </c>
      <c r="D62" s="29">
        <f>IF(C62-Table_14634571419404856647280[Burundi]&gt;0, C62-Table_14634571419404856647280[Burundi], 0)</f>
        <v>0</v>
      </c>
      <c r="E62" s="29">
        <f>IF(C62-Table_14634571419404856647280[DRC]&gt;0, C62-Table_14634571419404856647280[DRC], 0)</f>
        <v>0</v>
      </c>
      <c r="F62" s="29">
        <f>IF(C62-Table_14634571419404856647280[Egypt]&gt;0, C62-Table_14634571419404856647280[Egypt], 0)</f>
        <v>0</v>
      </c>
      <c r="G62" s="29">
        <f>IF(C62-Table_14634571419404856647280[Eritrea]&gt;0, C62-Table_14634571419404856647280[Eritrea], 0)</f>
        <v>0</v>
      </c>
      <c r="H62" s="29">
        <f>IF(C62-Table_14634571419404856647280[Ethiopia]&gt;0, C62-Table_14634571419404856647280[Ethiopia], 0)</f>
        <v>43.537735794262545</v>
      </c>
      <c r="I62" s="29">
        <f>IF(C62-Table_14634571419404856647280[Kenya]&gt;0, C62-Table_14634571419404856647280[Kenya], 0)</f>
        <v>0</v>
      </c>
      <c r="J62" s="29">
        <f>IF(C62-Table_14634571419404856647280[Rwanda]&gt;0, C62-Table_14634571419404856647280[Rwanda], 0)</f>
        <v>0</v>
      </c>
      <c r="K62" s="29">
        <f>IF(C62-Table_14634571419404856647280[Sudan]&gt;0, C62-Table_14634571419404856647280[Sudan], 0)</f>
        <v>0</v>
      </c>
      <c r="L62" s="29">
        <f>IF(C62-Table_14634571419404856647280[S. Sudan]&gt;0, C62-Table_14634571419404856647280[S. Sudan], 0)</f>
        <v>0</v>
      </c>
      <c r="M62" s="29">
        <f>IF(C62-Table_14634571419404856647280[Tanzania]&gt;0, C62-Table_14634571419404856647280[Tanzania], 0)</f>
        <v>0</v>
      </c>
      <c r="N62" s="29">
        <f>IF(C62-Table_14634571419404856647280[Uganda]&gt;0, C62-Table_14634571419404856647280[Uganda], 0)</f>
        <v>0</v>
      </c>
      <c r="P62" s="21" t="s">
        <v>3</v>
      </c>
      <c r="Q62" s="97">
        <f t="shared" si="8"/>
        <v>1.342726227989571E-2</v>
      </c>
      <c r="R62" s="97">
        <f t="shared" si="7"/>
        <v>-6.076453651408722E-3</v>
      </c>
      <c r="S62" s="97">
        <f t="shared" si="7"/>
        <v>0.53804248927737386</v>
      </c>
      <c r="T62" s="97">
        <f t="shared" si="7"/>
        <v>-6.076453651408722E-3</v>
      </c>
      <c r="U62" s="97">
        <f t="shared" si="7"/>
        <v>0.98200182960825044</v>
      </c>
      <c r="V62" s="97">
        <f t="shared" si="7"/>
        <v>7.1194601352121509E-2</v>
      </c>
      <c r="W62" s="97">
        <f t="shared" si="7"/>
        <v>4.7409406319025918E-2</v>
      </c>
      <c r="X62" s="97">
        <f t="shared" si="7"/>
        <v>0.31489236095886791</v>
      </c>
      <c r="Y62" s="97">
        <f t="shared" si="7"/>
        <v>0.21424011629581252</v>
      </c>
      <c r="Z62" s="97">
        <f t="shared" si="7"/>
        <v>0.17771350256836832</v>
      </c>
      <c r="AA62" s="97">
        <f t="shared" si="7"/>
        <v>0.18478995621977704</v>
      </c>
    </row>
    <row r="63" spans="2:31" ht="12.75" customHeight="1" x14ac:dyDescent="0.25">
      <c r="B63" s="21" t="s">
        <v>3</v>
      </c>
      <c r="C63" s="95">
        <f>Annual_sorted!P88</f>
        <v>-1.7017949724648487</v>
      </c>
      <c r="D63" s="29">
        <f>IF(C63-Table_14634571419404856647280[Burundi]&gt;0, C63-Table_14634571419404856647280[Burundi], 0)</f>
        <v>1.9126698192465645</v>
      </c>
      <c r="E63" s="29">
        <f>IF(C63-Table_14634571419404856647280[DRC]&gt;0, C63-Table_14634571419404856647280[DRC], 0)</f>
        <v>0</v>
      </c>
      <c r="F63" s="29">
        <f>IF(C63-Table_14634571419404856647280[Egypt]&gt;0, C63-Table_14634571419404856647280[Egypt], 0)</f>
        <v>53.360081939555918</v>
      </c>
      <c r="G63" s="29">
        <f>IF(C63-Table_14634571419404856647280[Eritrea]&gt;0, C63-Table_14634571419404856647280[Eritrea], 0)</f>
        <v>0</v>
      </c>
      <c r="H63" s="29">
        <f>IF(C63-Table_14634571419404856647280[Ethiopia]&gt;0, C63-Table_14634571419404856647280[Ethiopia], 0)</f>
        <v>96.897817733818457</v>
      </c>
      <c r="I63" s="29">
        <f>IF(C63-Table_14634571419404856647280[Kenya]&gt;0, C63-Table_14634571419404856647280[Kenya], 0)</f>
        <v>7.5777362286833148</v>
      </c>
      <c r="J63" s="29">
        <f>IF(C63-Table_14634571419404856647280[Rwanda]&gt;0, C63-Table_14634571419404856647280[Rwanda], 0)</f>
        <v>5.2451948378565358</v>
      </c>
      <c r="K63" s="29">
        <f>IF(C63-Table_14634571419404856647280[Sudan]&gt;0, C63-Table_14634571419404856647280[Sudan], 0)</f>
        <v>31.476430788200222</v>
      </c>
      <c r="L63" s="29">
        <f>IF(C63-Table_14634571419404856647280[S. Sudan]&gt;0, C63-Table_14634571419404856647280[S. Sudan], 0)</f>
        <v>21.605772741061017</v>
      </c>
      <c r="M63" s="29">
        <f>IF(C63-Table_14634571419404856647280[Tanzania]&gt;0, C63-Table_14634571419404856647280[Tanzania], 0)</f>
        <v>18.023719355858372</v>
      </c>
      <c r="N63" s="29">
        <f>IF(C63-Table_14634571419404856647280[Uganda]&gt;0, C63-Table_14634571419404856647280[Uganda], 0)</f>
        <v>18.717685540252106</v>
      </c>
      <c r="P63" s="21" t="s">
        <v>4</v>
      </c>
      <c r="Q63" s="97">
        <f t="shared" si="8"/>
        <v>-6.076453651408722E-3</v>
      </c>
      <c r="R63" s="97">
        <f t="shared" si="7"/>
        <v>-6.076453651408722E-3</v>
      </c>
      <c r="S63" s="97">
        <f t="shared" si="7"/>
        <v>-6.076453651408722E-3</v>
      </c>
      <c r="T63" s="97">
        <f t="shared" si="7"/>
        <v>-6.076453651408722E-3</v>
      </c>
      <c r="U63" s="97">
        <f t="shared" si="7"/>
        <v>-6.076453651408722E-3</v>
      </c>
      <c r="V63" s="97">
        <f t="shared" si="7"/>
        <v>-6.076453651408722E-3</v>
      </c>
      <c r="W63" s="97">
        <f t="shared" si="7"/>
        <v>-6.076453651408722E-3</v>
      </c>
      <c r="X63" s="97">
        <f t="shared" si="7"/>
        <v>-6.076453651408722E-3</v>
      </c>
      <c r="Y63" s="97">
        <f t="shared" si="7"/>
        <v>-6.076453651408722E-3</v>
      </c>
      <c r="Z63" s="97">
        <f t="shared" si="7"/>
        <v>-6.076453651408722E-3</v>
      </c>
      <c r="AA63" s="97">
        <f t="shared" si="7"/>
        <v>-6.076453651408722E-3</v>
      </c>
    </row>
    <row r="64" spans="2:31" ht="12.75" customHeight="1" x14ac:dyDescent="0.25">
      <c r="B64" s="21" t="s">
        <v>4</v>
      </c>
      <c r="C64" s="95">
        <f>Annual_sorted!P89</f>
        <v>-98.59961270628331</v>
      </c>
      <c r="D64" s="29">
        <f>IF(C64-Table_14634571419404856647280[Burundi]&gt;0, C64-Table_14634571419404856647280[Burundi], 0)</f>
        <v>0</v>
      </c>
      <c r="E64" s="29">
        <f>IF(C64-Table_14634571419404856647280[DRC]&gt;0, C64-Table_14634571419404856647280[DRC], 0)</f>
        <v>0</v>
      </c>
      <c r="F64" s="29">
        <f>IF(C64-Table_14634571419404856647280[Egypt]&gt;0, C64-Table_14634571419404856647280[Egypt], 0)</f>
        <v>0</v>
      </c>
      <c r="G64" s="29">
        <f>IF(C64-Table_14634571419404856647280[Eritrea]&gt;0, C64-Table_14634571419404856647280[Eritrea], 0)</f>
        <v>0</v>
      </c>
      <c r="H64" s="29">
        <f>IF(C64-Table_14634571419404856647280[Ethiopia]&gt;0, C64-Table_14634571419404856647280[Ethiopia], 0)</f>
        <v>0</v>
      </c>
      <c r="I64" s="29">
        <f>IF(C64-Table_14634571419404856647280[Kenya]&gt;0, C64-Table_14634571419404856647280[Kenya], 0)</f>
        <v>0</v>
      </c>
      <c r="J64" s="29">
        <f>IF(C64-Table_14634571419404856647280[Rwanda]&gt;0, C64-Table_14634571419404856647280[Rwanda], 0)</f>
        <v>0</v>
      </c>
      <c r="K64" s="29">
        <f>IF(C64-Table_14634571419404856647280[Sudan]&gt;0, C64-Table_14634571419404856647280[Sudan], 0)</f>
        <v>0</v>
      </c>
      <c r="L64" s="29">
        <f>IF(C64-Table_14634571419404856647280[S. Sudan]&gt;0, C64-Table_14634571419404856647280[S. Sudan], 0)</f>
        <v>0</v>
      </c>
      <c r="M64" s="29">
        <f>IF(C64-Table_14634571419404856647280[Tanzania]&gt;0, C64-Table_14634571419404856647280[Tanzania], 0)</f>
        <v>0</v>
      </c>
      <c r="N64" s="29">
        <f>IF(C64-Table_14634571419404856647280[Uganda]&gt;0, C64-Table_14634571419404856647280[Uganda], 0)</f>
        <v>0</v>
      </c>
      <c r="P64" s="21" t="s">
        <v>5</v>
      </c>
      <c r="Q64" s="97">
        <f t="shared" si="8"/>
        <v>-6.076453651408722E-3</v>
      </c>
      <c r="R64" s="97">
        <f t="shared" si="7"/>
        <v>-6.076453651408722E-3</v>
      </c>
      <c r="S64" s="97">
        <f t="shared" si="7"/>
        <v>0.46077143427384382</v>
      </c>
      <c r="T64" s="97">
        <f t="shared" si="7"/>
        <v>-6.076453651408722E-3</v>
      </c>
      <c r="U64" s="97">
        <f t="shared" si="7"/>
        <v>0.90473077460472029</v>
      </c>
      <c r="V64" s="97">
        <f t="shared" si="7"/>
        <v>-6.076453651408722E-3</v>
      </c>
      <c r="W64" s="97">
        <f t="shared" si="7"/>
        <v>-6.076453651408722E-3</v>
      </c>
      <c r="X64" s="97">
        <f t="shared" si="7"/>
        <v>0.2376213059553377</v>
      </c>
      <c r="Y64" s="97">
        <f t="shared" si="7"/>
        <v>0.13696906129228228</v>
      </c>
      <c r="Z64" s="97">
        <f t="shared" si="7"/>
        <v>0.10044244756483808</v>
      </c>
      <c r="AA64" s="97">
        <f t="shared" si="7"/>
        <v>0.10751890121624681</v>
      </c>
    </row>
    <row r="65" spans="1:31" ht="12.75" customHeight="1" x14ac:dyDescent="0.25">
      <c r="B65" s="21" t="s">
        <v>5</v>
      </c>
      <c r="C65" s="95">
        <f>Annual_sorted!P90</f>
        <v>-9.2795312011481634</v>
      </c>
      <c r="D65" s="29">
        <f>IF(C65-Table_14634571419404856647280[Burundi]&gt;0, C65-Table_14634571419404856647280[Burundi], 0)</f>
        <v>0</v>
      </c>
      <c r="E65" s="29">
        <f>IF(C65-Table_14634571419404856647280[DRC]&gt;0, C65-Table_14634571419404856647280[DRC], 0)</f>
        <v>0</v>
      </c>
      <c r="F65" s="29">
        <f>IF(C65-Table_14634571419404856647280[Egypt]&gt;0, C65-Table_14634571419404856647280[Egypt], 0)</f>
        <v>45.782345710872605</v>
      </c>
      <c r="G65" s="29">
        <f>IF(C65-Table_14634571419404856647280[Eritrea]&gt;0, C65-Table_14634571419404856647280[Eritrea], 0)</f>
        <v>0</v>
      </c>
      <c r="H65" s="29">
        <f>IF(C65-Table_14634571419404856647280[Ethiopia]&gt;0, C65-Table_14634571419404856647280[Ethiopia], 0)</f>
        <v>89.32008150513515</v>
      </c>
      <c r="I65" s="29">
        <f>IF(C65-Table_14634571419404856647280[Kenya]&gt;0, C65-Table_14634571419404856647280[Kenya], 0)</f>
        <v>0</v>
      </c>
      <c r="J65" s="29">
        <f>IF(C65-Table_14634571419404856647280[Rwanda]&gt;0, C65-Table_14634571419404856647280[Rwanda], 0)</f>
        <v>0</v>
      </c>
      <c r="K65" s="29">
        <f>IF(C65-Table_14634571419404856647280[Sudan]&gt;0, C65-Table_14634571419404856647280[Sudan], 0)</f>
        <v>23.898694559516908</v>
      </c>
      <c r="L65" s="29">
        <f>IF(C65-Table_14634571419404856647280[S. Sudan]&gt;0, C65-Table_14634571419404856647280[S. Sudan], 0)</f>
        <v>14.028036512377703</v>
      </c>
      <c r="M65" s="29">
        <f>IF(C65-Table_14634571419404856647280[Tanzania]&gt;0, C65-Table_14634571419404856647280[Tanzania], 0)</f>
        <v>10.445983127175058</v>
      </c>
      <c r="N65" s="29">
        <f>IF(C65-Table_14634571419404856647280[Uganda]&gt;0, C65-Table_14634571419404856647280[Uganda], 0)</f>
        <v>11.139949311568792</v>
      </c>
      <c r="P65" s="21" t="s">
        <v>6</v>
      </c>
      <c r="Q65" s="97">
        <f t="shared" si="8"/>
        <v>-6.076453651408722E-3</v>
      </c>
      <c r="R65" s="97">
        <f t="shared" si="7"/>
        <v>-6.076453651408722E-3</v>
      </c>
      <c r="S65" s="97">
        <f t="shared" si="7"/>
        <v>0.48455662930693938</v>
      </c>
      <c r="T65" s="97">
        <f t="shared" si="7"/>
        <v>-6.076453651408722E-3</v>
      </c>
      <c r="U65" s="97">
        <f t="shared" si="7"/>
        <v>0.92851596963781591</v>
      </c>
      <c r="V65" s="97">
        <f t="shared" si="7"/>
        <v>1.7708741381686877E-2</v>
      </c>
      <c r="W65" s="97">
        <f t="shared" si="7"/>
        <v>-6.076453651408722E-3</v>
      </c>
      <c r="X65" s="97">
        <f t="shared" si="7"/>
        <v>0.26140650098843332</v>
      </c>
      <c r="Y65" s="97">
        <f t="shared" si="7"/>
        <v>0.1607542563253779</v>
      </c>
      <c r="Z65" s="97">
        <f t="shared" si="7"/>
        <v>0.12422764259793369</v>
      </c>
      <c r="AA65" s="97">
        <f t="shared" si="7"/>
        <v>0.13130409624934242</v>
      </c>
    </row>
    <row r="66" spans="1:31" ht="12.75" customHeight="1" x14ac:dyDescent="0.25">
      <c r="B66" s="21" t="s">
        <v>6</v>
      </c>
      <c r="C66" s="95">
        <f>Annual_sorted!P91</f>
        <v>-6.9469898103213845</v>
      </c>
      <c r="D66" s="29">
        <f>IF(C66-Table_14634571419404856647280[Burundi]&gt;0, C66-Table_14634571419404856647280[Burundi], 0)</f>
        <v>0</v>
      </c>
      <c r="E66" s="29">
        <f>IF(C66-Table_14634571419404856647280[DRC]&gt;0, C66-Table_14634571419404856647280[DRC], 0)</f>
        <v>0</v>
      </c>
      <c r="F66" s="29">
        <f>IF(C66-Table_14634571419404856647280[Egypt]&gt;0, C66-Table_14634571419404856647280[Egypt], 0)</f>
        <v>48.114887101699381</v>
      </c>
      <c r="G66" s="29">
        <f>IF(C66-Table_14634571419404856647280[Eritrea]&gt;0, C66-Table_14634571419404856647280[Eritrea], 0)</f>
        <v>0</v>
      </c>
      <c r="H66" s="29">
        <f>IF(C66-Table_14634571419404856647280[Ethiopia]&gt;0, C66-Table_14634571419404856647280[Ethiopia], 0)</f>
        <v>91.652622895961926</v>
      </c>
      <c r="I66" s="29">
        <f>IF(C66-Table_14634571419404856647280[Kenya]&gt;0, C66-Table_14634571419404856647280[Kenya], 0)</f>
        <v>2.3325413908267789</v>
      </c>
      <c r="J66" s="29">
        <f>IF(C66-Table_14634571419404856647280[Rwanda]&gt;0, C66-Table_14634571419404856647280[Rwanda], 0)</f>
        <v>0</v>
      </c>
      <c r="K66" s="29">
        <f>IF(C66-Table_14634571419404856647280[Sudan]&gt;0, C66-Table_14634571419404856647280[Sudan], 0)</f>
        <v>26.231235950343688</v>
      </c>
      <c r="L66" s="29">
        <f>IF(C66-Table_14634571419404856647280[S. Sudan]&gt;0, C66-Table_14634571419404856647280[S. Sudan], 0)</f>
        <v>16.360577903204483</v>
      </c>
      <c r="M66" s="29">
        <f>IF(C66-Table_14634571419404856647280[Tanzania]&gt;0, C66-Table_14634571419404856647280[Tanzania], 0)</f>
        <v>12.778524518001838</v>
      </c>
      <c r="N66" s="29">
        <f>IF(C66-Table_14634571419404856647280[Uganda]&gt;0, C66-Table_14634571419404856647280[Uganda], 0)</f>
        <v>13.472490702395572</v>
      </c>
      <c r="P66" s="21" t="s">
        <v>7</v>
      </c>
      <c r="Q66" s="97">
        <f t="shared" si="8"/>
        <v>-6.076453651408722E-3</v>
      </c>
      <c r="R66" s="97">
        <f t="shared" si="7"/>
        <v>-6.076453651408722E-3</v>
      </c>
      <c r="S66" s="97">
        <f t="shared" si="7"/>
        <v>0.21707367466709729</v>
      </c>
      <c r="T66" s="97">
        <f t="shared" si="7"/>
        <v>-6.076453651408722E-3</v>
      </c>
      <c r="U66" s="97">
        <f t="shared" si="7"/>
        <v>0.66103301499797373</v>
      </c>
      <c r="V66" s="97">
        <f t="shared" si="7"/>
        <v>-6.076453651408722E-3</v>
      </c>
      <c r="W66" s="97">
        <f t="shared" si="7"/>
        <v>-6.076453651408722E-3</v>
      </c>
      <c r="X66" s="97">
        <f t="shared" si="7"/>
        <v>-6.076453651408722E-3</v>
      </c>
      <c r="Y66" s="97">
        <f t="shared" si="7"/>
        <v>-6.076453651408722E-3</v>
      </c>
      <c r="Z66" s="97">
        <f t="shared" si="7"/>
        <v>-6.076453651408722E-3</v>
      </c>
      <c r="AA66" s="97">
        <f t="shared" si="7"/>
        <v>-6.076453651408722E-3</v>
      </c>
    </row>
    <row r="67" spans="1:31" ht="12.75" customHeight="1" x14ac:dyDescent="0.25">
      <c r="B67" s="21" t="s">
        <v>7</v>
      </c>
      <c r="C67" s="95">
        <f>Annual_sorted!P92</f>
        <v>-33.178225760665072</v>
      </c>
      <c r="D67" s="29">
        <f>IF(C67-Table_14634571419404856647280[Burundi]&gt;0, C67-Table_14634571419404856647280[Burundi], 0)</f>
        <v>0</v>
      </c>
      <c r="E67" s="29">
        <f>IF(C67-Table_14634571419404856647280[DRC]&gt;0, C67-Table_14634571419404856647280[DRC], 0)</f>
        <v>0</v>
      </c>
      <c r="F67" s="29">
        <f>IF(C67-Table_14634571419404856647280[Egypt]&gt;0, C67-Table_14634571419404856647280[Egypt], 0)</f>
        <v>21.883651151355693</v>
      </c>
      <c r="G67" s="29">
        <f>IF(C67-Table_14634571419404856647280[Eritrea]&gt;0, C67-Table_14634571419404856647280[Eritrea], 0)</f>
        <v>0</v>
      </c>
      <c r="H67" s="29">
        <f>IF(C67-Table_14634571419404856647280[Ethiopia]&gt;0, C67-Table_14634571419404856647280[Ethiopia], 0)</f>
        <v>65.421386945618238</v>
      </c>
      <c r="I67" s="29">
        <f>IF(C67-Table_14634571419404856647280[Kenya]&gt;0, C67-Table_14634571419404856647280[Kenya], 0)</f>
        <v>0</v>
      </c>
      <c r="J67" s="29">
        <f>IF(C67-Table_14634571419404856647280[Rwanda]&gt;0, C67-Table_14634571419404856647280[Rwanda], 0)</f>
        <v>0</v>
      </c>
      <c r="K67" s="29">
        <f>IF(C67-Table_14634571419404856647280[Sudan]&gt;0, C67-Table_14634571419404856647280[Sudan], 0)</f>
        <v>0</v>
      </c>
      <c r="L67" s="29">
        <f>IF(C67-Table_14634571419404856647280[S. Sudan]&gt;0, C67-Table_14634571419404856647280[S. Sudan], 0)</f>
        <v>0</v>
      </c>
      <c r="M67" s="29">
        <f>IF(C67-Table_14634571419404856647280[Tanzania]&gt;0, C67-Table_14634571419404856647280[Tanzania], 0)</f>
        <v>0</v>
      </c>
      <c r="N67" s="29">
        <f>IF(C67-Table_14634571419404856647280[Uganda]&gt;0, C67-Table_14634571419404856647280[Uganda], 0)</f>
        <v>0</v>
      </c>
      <c r="P67" s="21" t="s">
        <v>8</v>
      </c>
      <c r="Q67" s="97">
        <f t="shared" si="8"/>
        <v>-6.076453651408722E-3</v>
      </c>
      <c r="R67" s="97">
        <f t="shared" si="7"/>
        <v>-6.076453651408722E-3</v>
      </c>
      <c r="S67" s="97">
        <f t="shared" si="7"/>
        <v>0.31772591933015271</v>
      </c>
      <c r="T67" s="97">
        <f t="shared" si="7"/>
        <v>-6.076453651408722E-3</v>
      </c>
      <c r="U67" s="97">
        <f t="shared" si="7"/>
        <v>0.76168525966102918</v>
      </c>
      <c r="V67" s="97">
        <f t="shared" si="7"/>
        <v>-6.076453651408722E-3</v>
      </c>
      <c r="W67" s="97">
        <f t="shared" si="7"/>
        <v>-6.076453651408722E-3</v>
      </c>
      <c r="X67" s="97">
        <f t="shared" si="7"/>
        <v>9.4575791011646704E-2</v>
      </c>
      <c r="Y67" s="97">
        <f t="shared" si="7"/>
        <v>-6.076453651408722E-3</v>
      </c>
      <c r="Z67" s="97">
        <f t="shared" si="7"/>
        <v>-6.076453651408722E-3</v>
      </c>
      <c r="AA67" s="97">
        <f>$AE$59+(N68-$AE$57)*($AE$60-$AE$59)/($AE$58-$AE$57)</f>
        <v>-6.076453651408722E-3</v>
      </c>
    </row>
    <row r="68" spans="1:31" ht="12.75" customHeight="1" x14ac:dyDescent="0.25">
      <c r="B68" s="21" t="s">
        <v>8</v>
      </c>
      <c r="C68" s="95">
        <f>Annual_sorted!P93</f>
        <v>-23.307567713525867</v>
      </c>
      <c r="D68" s="29">
        <f>IF(C68-Table_14634571419404856647280[Burundi]&gt;0, C68-Table_14634571419404856647280[Burundi], 0)</f>
        <v>0</v>
      </c>
      <c r="E68" s="29">
        <f>IF(C68-Table_14634571419404856647280[DRC]&gt;0, C68-Table_14634571419404856647280[DRC], 0)</f>
        <v>0</v>
      </c>
      <c r="F68" s="29">
        <f>IF(C68-Table_14634571419404856647280[Egypt]&gt;0, C68-Table_14634571419404856647280[Egypt], 0)</f>
        <v>31.754309198494898</v>
      </c>
      <c r="G68" s="29">
        <f>IF(C68-Table_14634571419404856647280[Eritrea]&gt;0, C68-Table_14634571419404856647280[Eritrea], 0)</f>
        <v>0</v>
      </c>
      <c r="H68" s="29">
        <f>IF(C68-Table_14634571419404856647280[Ethiopia]&gt;0, C68-Table_14634571419404856647280[Ethiopia], 0)</f>
        <v>75.29204499275744</v>
      </c>
      <c r="I68" s="29">
        <f>IF(C68-Table_14634571419404856647280[Kenya]&gt;0, C68-Table_14634571419404856647280[Kenya], 0)</f>
        <v>0</v>
      </c>
      <c r="J68" s="29">
        <f>IF(C68-Table_14634571419404856647280[Rwanda]&gt;0, C68-Table_14634571419404856647280[Rwanda], 0)</f>
        <v>0</v>
      </c>
      <c r="K68" s="29">
        <f>IF(C68-Table_14634571419404856647280[Sudan]&gt;0, C68-Table_14634571419404856647280[Sudan], 0)</f>
        <v>9.8706580471392051</v>
      </c>
      <c r="L68" s="29">
        <f>IF(C68-Table_14634571419404856647280[S. Sudan]&gt;0, C68-Table_14634571419404856647280[S. Sudan], 0)</f>
        <v>0</v>
      </c>
      <c r="M68" s="29">
        <f>IF(C68-Table_14634571419404856647280[Tanzania]&gt;0, C68-Table_14634571419404856647280[Tanzania], 0)</f>
        <v>0</v>
      </c>
      <c r="N68" s="29">
        <f>IF(C68-Table_14634571419404856647280[Uganda]&gt;0, C68-Table_14634571419404856647280[Uganda], 0)</f>
        <v>0</v>
      </c>
      <c r="P68" s="21" t="s">
        <v>9</v>
      </c>
      <c r="Q68" s="97">
        <f t="shared" si="8"/>
        <v>-6.076453651408722E-3</v>
      </c>
      <c r="R68" s="97">
        <f t="shared" si="7"/>
        <v>-6.076453651408722E-3</v>
      </c>
      <c r="S68" s="97">
        <f t="shared" si="7"/>
        <v>0.35425253305759685</v>
      </c>
      <c r="T68" s="97">
        <f t="shared" si="7"/>
        <v>-6.076453651408722E-3</v>
      </c>
      <c r="U68" s="97">
        <f t="shared" si="7"/>
        <v>0.79821187338847333</v>
      </c>
      <c r="V68" s="97">
        <f t="shared" si="7"/>
        <v>-6.076453651408722E-3</v>
      </c>
      <c r="W68" s="97">
        <f t="shared" si="7"/>
        <v>-6.076453651408722E-3</v>
      </c>
      <c r="X68" s="97">
        <f t="shared" si="7"/>
        <v>0.13110240473909091</v>
      </c>
      <c r="Y68" s="97">
        <f t="shared" si="7"/>
        <v>3.0450160076035487E-2</v>
      </c>
      <c r="Z68" s="97">
        <f t="shared" si="7"/>
        <v>-6.076453651408722E-3</v>
      </c>
      <c r="AA68" s="97">
        <f t="shared" si="7"/>
        <v>1E-3</v>
      </c>
    </row>
    <row r="69" spans="1:31" ht="12.75" customHeight="1" thickBot="1" x14ac:dyDescent="0.3">
      <c r="B69" s="21" t="s">
        <v>9</v>
      </c>
      <c r="C69" s="95">
        <f>Annual_sorted!P94</f>
        <v>-19.725514328323221</v>
      </c>
      <c r="D69" s="29">
        <f>IF(C69-Table_14634571419404856647280[Burundi]&gt;0, C69-Table_14634571419404856647280[Burundi], 0)</f>
        <v>0</v>
      </c>
      <c r="E69" s="29">
        <f>IF(C69-Table_14634571419404856647280[DRC]&gt;0, C69-Table_14634571419404856647280[DRC], 0)</f>
        <v>0</v>
      </c>
      <c r="F69" s="29">
        <f>IF(C69-Table_14634571419404856647280[Egypt]&gt;0, C69-Table_14634571419404856647280[Egypt], 0)</f>
        <v>35.336362583697543</v>
      </c>
      <c r="G69" s="29">
        <f>IF(C69-Table_14634571419404856647280[Eritrea]&gt;0, C69-Table_14634571419404856647280[Eritrea], 0)</f>
        <v>0</v>
      </c>
      <c r="H69" s="29">
        <f>IF(C69-Table_14634571419404856647280[Ethiopia]&gt;0, C69-Table_14634571419404856647280[Ethiopia], 0)</f>
        <v>78.874098377960081</v>
      </c>
      <c r="I69" s="29">
        <f>IF(C69-Table_14634571419404856647280[Kenya]&gt;0, C69-Table_14634571419404856647280[Kenya], 0)</f>
        <v>0</v>
      </c>
      <c r="J69" s="29">
        <f>IF(C69-Table_14634571419404856647280[Rwanda]&gt;0, C69-Table_14634571419404856647280[Rwanda], 0)</f>
        <v>0</v>
      </c>
      <c r="K69" s="29">
        <f>IF(C69-Table_14634571419404856647280[Sudan]&gt;0, C69-Table_14634571419404856647280[Sudan], 0)</f>
        <v>13.45271143234185</v>
      </c>
      <c r="L69" s="29">
        <f>IF(C69-Table_14634571419404856647280[S. Sudan]&gt;0, C69-Table_14634571419404856647280[S. Sudan], 0)</f>
        <v>3.582053385202645</v>
      </c>
      <c r="M69" s="29">
        <f>IF(C69-Table_14634571419404856647280[Tanzania]&gt;0, C69-Table_14634571419404856647280[Tanzania], 0)</f>
        <v>0</v>
      </c>
      <c r="N69" s="29">
        <f>IF(C69-Table_14634571419404856647280[Uganda]&gt;0, C69-Table_14634571419404856647280[Uganda], 0)</f>
        <v>0.6939661843937337</v>
      </c>
      <c r="P69" s="22" t="s">
        <v>10</v>
      </c>
      <c r="Q69" s="98">
        <f t="shared" si="8"/>
        <v>-6.076453651408722E-3</v>
      </c>
      <c r="R69" s="98">
        <f t="shared" si="7"/>
        <v>-6.076453651408722E-3</v>
      </c>
      <c r="S69" s="98">
        <f t="shared" si="7"/>
        <v>0.34717607940618816</v>
      </c>
      <c r="T69" s="98">
        <f t="shared" si="7"/>
        <v>-6.076453651408722E-3</v>
      </c>
      <c r="U69" s="98">
        <f t="shared" si="7"/>
        <v>0.79113541973706469</v>
      </c>
      <c r="V69" s="98">
        <f t="shared" si="7"/>
        <v>-6.076453651408722E-3</v>
      </c>
      <c r="W69" s="98">
        <f t="shared" si="7"/>
        <v>-6.076453651408722E-3</v>
      </c>
      <c r="X69" s="98">
        <f t="shared" si="7"/>
        <v>0.12402595108768219</v>
      </c>
      <c r="Y69" s="98">
        <f t="shared" si="7"/>
        <v>2.3373706424626762E-2</v>
      </c>
      <c r="Z69" s="98">
        <f t="shared" si="7"/>
        <v>-6.076453651408722E-3</v>
      </c>
      <c r="AA69" s="98">
        <f t="shared" si="7"/>
        <v>-6.076453651408722E-3</v>
      </c>
      <c r="AB69" s="186">
        <f>SUM(Q59:AA69)</f>
        <v>16.381769329840186</v>
      </c>
    </row>
    <row r="70" spans="1:31" ht="12.75" customHeight="1" thickBot="1" x14ac:dyDescent="0.3">
      <c r="B70" s="22" t="s">
        <v>10</v>
      </c>
      <c r="C70" s="96">
        <f>Annual_sorted!P95</f>
        <v>-20.419480512716955</v>
      </c>
      <c r="D70" s="32">
        <f>IF(C70-Table_14634571419404856647280[Burundi]&gt;0, C70-Table_14634571419404856647280[Burundi], 0)</f>
        <v>0</v>
      </c>
      <c r="E70" s="32">
        <f>IF(C70-Table_14634571419404856647280[DRC]&gt;0, C70-Table_14634571419404856647280[DRC], 0)</f>
        <v>0</v>
      </c>
      <c r="F70" s="32">
        <f>IF(C70-Table_14634571419404856647280[Egypt]&gt;0, C70-Table_14634571419404856647280[Egypt], 0)</f>
        <v>34.642396399303806</v>
      </c>
      <c r="G70" s="32">
        <f>IF(C70-Table_14634571419404856647280[Eritrea]&gt;0, C70-Table_14634571419404856647280[Eritrea], 0)</f>
        <v>0</v>
      </c>
      <c r="H70" s="32">
        <f>IF(C70-Table_14634571419404856647280[Ethiopia]&gt;0, C70-Table_14634571419404856647280[Ethiopia], 0)</f>
        <v>78.180132193566351</v>
      </c>
      <c r="I70" s="32">
        <f>IF(C70-Table_14634571419404856647280[Kenya]&gt;0, C70-Table_14634571419404856647280[Kenya], 0)</f>
        <v>0</v>
      </c>
      <c r="J70" s="32">
        <f>IF(C70-Table_14634571419404856647280[Rwanda]&gt;0, C70-Table_14634571419404856647280[Rwanda], 0)</f>
        <v>0</v>
      </c>
      <c r="K70" s="32">
        <f>IF(C70-Table_14634571419404856647280[Sudan]&gt;0, C70-Table_14634571419404856647280[Sudan], 0)</f>
        <v>12.758745247948116</v>
      </c>
      <c r="L70" s="32">
        <f>IF(C70-Table_14634571419404856647280[S. Sudan]&gt;0, C70-Table_14634571419404856647280[S. Sudan], 0)</f>
        <v>2.8880872008089113</v>
      </c>
      <c r="M70" s="32">
        <f>IF(C70-Table_14634571419404856647280[Tanzania]&gt;0, C70-Table_14634571419404856647280[Tanzania], 0)</f>
        <v>0</v>
      </c>
      <c r="N70" s="32">
        <f>IF(C70-Table_14634571419404856647280[Uganda]&gt;0, C70-Table_14634571419404856647280[Uganda], 0)</f>
        <v>0</v>
      </c>
    </row>
    <row r="71" spans="1:31" ht="12.75" customHeight="1" x14ac:dyDescent="0.25"/>
    <row r="72" spans="1:31" ht="12.75" customHeight="1" x14ac:dyDescent="0.25"/>
    <row r="73" spans="1:31" ht="12.75" customHeight="1" x14ac:dyDescent="0.25"/>
    <row r="74" spans="1:31" ht="24" customHeight="1" x14ac:dyDescent="0.25">
      <c r="A74" s="252" t="s">
        <v>82</v>
      </c>
      <c r="B74" s="252"/>
      <c r="C74" s="252"/>
      <c r="D74" s="252"/>
      <c r="E74" s="252"/>
      <c r="F74" s="252"/>
    </row>
    <row r="75" spans="1:31" ht="12.75" customHeight="1" x14ac:dyDescent="0.25"/>
    <row r="76" spans="1:31" ht="12.75" customHeight="1" x14ac:dyDescent="0.25">
      <c r="B76" s="5"/>
      <c r="C76" s="5"/>
      <c r="D76" s="5"/>
      <c r="E76" s="5"/>
      <c r="F76" s="5"/>
      <c r="G76" s="5"/>
      <c r="H76" s="5"/>
      <c r="I76" s="5"/>
      <c r="J76" s="5"/>
      <c r="K76" s="5"/>
      <c r="L76" s="5"/>
      <c r="M76" s="5"/>
      <c r="N76" s="5"/>
      <c r="O76" s="5"/>
      <c r="P76" s="5"/>
      <c r="Q76" s="5"/>
      <c r="R76" s="5"/>
      <c r="S76" s="5"/>
      <c r="T76" s="5"/>
      <c r="U76" s="5"/>
      <c r="V76" s="5"/>
      <c r="W76" s="5"/>
      <c r="X76" s="5"/>
      <c r="Y76" s="5"/>
      <c r="Z76" s="5"/>
      <c r="AA76" s="5"/>
    </row>
    <row r="77" spans="1:31" ht="12.75" customHeight="1" thickBot="1" x14ac:dyDescent="0.3">
      <c r="B77" s="253" t="s">
        <v>83</v>
      </c>
      <c r="C77" s="253"/>
      <c r="D77" s="253"/>
      <c r="E77" s="253"/>
      <c r="F77" s="253"/>
      <c r="G77" s="253"/>
      <c r="H77" s="253"/>
      <c r="I77" s="253"/>
      <c r="J77" s="253"/>
      <c r="K77" s="253"/>
      <c r="L77" s="253"/>
      <c r="M77" s="253"/>
      <c r="N77" s="253"/>
      <c r="O77" s="5"/>
      <c r="P77" s="253" t="s">
        <v>84</v>
      </c>
      <c r="Q77" s="253"/>
      <c r="R77" s="253"/>
      <c r="S77" s="253"/>
      <c r="T77" s="253"/>
      <c r="U77" s="253"/>
      <c r="V77" s="253"/>
      <c r="W77" s="253"/>
      <c r="X77" s="253"/>
      <c r="Y77" s="253"/>
      <c r="Z77" s="253"/>
      <c r="AA77" s="253"/>
      <c r="AB77" s="10"/>
      <c r="AC77" s="3" t="s">
        <v>22</v>
      </c>
      <c r="AD77" s="13" t="s">
        <v>23</v>
      </c>
      <c r="AE77" s="74">
        <f t="array" ref="AE77">MIN(IF(D80:N90&gt;0,D80:N90))</f>
        <v>16.73995406163553</v>
      </c>
    </row>
    <row r="78" spans="1:31" ht="12.75" customHeight="1" thickBot="1" x14ac:dyDescent="0.3">
      <c r="B78" s="75" t="s">
        <v>13</v>
      </c>
      <c r="C78" s="66" t="s">
        <v>14</v>
      </c>
      <c r="D78" s="67" t="s">
        <v>1</v>
      </c>
      <c r="E78" s="67" t="s">
        <v>195</v>
      </c>
      <c r="F78" s="67" t="s">
        <v>2</v>
      </c>
      <c r="G78" s="67" t="s">
        <v>3</v>
      </c>
      <c r="H78" s="67" t="s">
        <v>4</v>
      </c>
      <c r="I78" s="67" t="s">
        <v>5</v>
      </c>
      <c r="J78" s="67" t="s">
        <v>6</v>
      </c>
      <c r="K78" s="67" t="s">
        <v>7</v>
      </c>
      <c r="L78" s="67" t="s">
        <v>295</v>
      </c>
      <c r="M78" s="67" t="s">
        <v>9</v>
      </c>
      <c r="N78" s="67" t="s">
        <v>10</v>
      </c>
      <c r="P78" s="76" t="s">
        <v>19</v>
      </c>
      <c r="Q78" s="77" t="s">
        <v>1</v>
      </c>
      <c r="R78" s="77" t="s">
        <v>195</v>
      </c>
      <c r="S78" s="77" t="s">
        <v>2</v>
      </c>
      <c r="T78" s="77" t="s">
        <v>3</v>
      </c>
      <c r="U78" s="77" t="s">
        <v>4</v>
      </c>
      <c r="V78" s="77" t="s">
        <v>5</v>
      </c>
      <c r="W78" s="77" t="s">
        <v>6</v>
      </c>
      <c r="X78" s="77" t="s">
        <v>7</v>
      </c>
      <c r="Y78" s="77" t="s">
        <v>295</v>
      </c>
      <c r="Z78" s="77" t="s">
        <v>9</v>
      </c>
      <c r="AA78" s="77" t="s">
        <v>10</v>
      </c>
      <c r="AB78" s="254" t="s">
        <v>26</v>
      </c>
      <c r="AC78" s="254"/>
      <c r="AD78" s="13" t="s">
        <v>24</v>
      </c>
      <c r="AE78" s="20">
        <f>MAX(D80:N90)</f>
        <v>1659.687825036242</v>
      </c>
    </row>
    <row r="79" spans="1:31" ht="12.75" customHeight="1" x14ac:dyDescent="0.25">
      <c r="B79" s="93"/>
      <c r="C79" s="94" t="s">
        <v>261</v>
      </c>
      <c r="D79" s="95">
        <f>C80</f>
        <v>58.93708219995731</v>
      </c>
      <c r="E79" s="95">
        <f>C81</f>
        <v>15.796298370387731</v>
      </c>
      <c r="F79" s="95">
        <f>C82</f>
        <v>-5.8086009134345256</v>
      </c>
      <c r="G79" s="95">
        <f>C83</f>
        <v>32.536252432023261</v>
      </c>
      <c r="H79" s="95">
        <f>C84</f>
        <v>1037.8647500787788</v>
      </c>
      <c r="I79" s="95">
        <f>C85</f>
        <v>280.05683022752225</v>
      </c>
      <c r="J79" s="95">
        <f>C86</f>
        <v>103.50850234294671</v>
      </c>
      <c r="K79" s="95">
        <f>C87</f>
        <v>1121.225658718346</v>
      </c>
      <c r="L79" s="95">
        <f>C88</f>
        <v>-538.46216631789605</v>
      </c>
      <c r="M79" s="95">
        <f>C89</f>
        <v>308.22044901155067</v>
      </c>
      <c r="N79" s="95">
        <f>C90</f>
        <v>406.70298897928944</v>
      </c>
      <c r="P79" s="21" t="s">
        <v>1</v>
      </c>
      <c r="Q79" s="97">
        <f>$AE$79+(D80-$AE$77)*($AE$80-$AE$79)/($AE$78-$AE$77)</f>
        <v>-9.1787855859684596E-3</v>
      </c>
      <c r="R79" s="97">
        <f t="shared" ref="R79:AA89" si="9">$AE$79+(E80-$AE$77)*($AE$80-$AE$79)/($AE$78-$AE$77)</f>
        <v>1.7053113677015598E-2</v>
      </c>
      <c r="S79" s="97">
        <f t="shared" si="9"/>
        <v>3.0190045630757438E-2</v>
      </c>
      <c r="T79" s="97">
        <f t="shared" si="9"/>
        <v>6.8743280910471384E-3</v>
      </c>
      <c r="U79" s="97">
        <f t="shared" si="9"/>
        <v>-9.1787855859684596E-3</v>
      </c>
      <c r="V79" s="97">
        <f t="shared" si="9"/>
        <v>-9.1787855859684596E-3</v>
      </c>
      <c r="W79" s="97">
        <f t="shared" si="9"/>
        <v>-9.1787855859684596E-3</v>
      </c>
      <c r="X79" s="97">
        <f t="shared" si="9"/>
        <v>-9.1787855859684596E-3</v>
      </c>
      <c r="Y79" s="97">
        <f t="shared" si="9"/>
        <v>0.35407184446312068</v>
      </c>
      <c r="Z79" s="97">
        <f t="shared" si="9"/>
        <v>-9.1787855859684596E-3</v>
      </c>
      <c r="AA79" s="97">
        <f t="shared" si="9"/>
        <v>-9.1787855859684596E-3</v>
      </c>
      <c r="AD79" s="3" t="s">
        <v>25</v>
      </c>
      <c r="AE79" s="2">
        <v>1E-3</v>
      </c>
    </row>
    <row r="80" spans="1:31" ht="12.75" customHeight="1" x14ac:dyDescent="0.25">
      <c r="B80" s="21" t="s">
        <v>1</v>
      </c>
      <c r="C80" s="95">
        <f>Annual_sorted!F85</f>
        <v>58.93708219995731</v>
      </c>
      <c r="D80" s="29">
        <f>IF(C80-Table_146345781324455361697785[Burundi]&gt;0, C80-Table_146345781324455361697785[Burundi], 0)</f>
        <v>0</v>
      </c>
      <c r="E80" s="29">
        <f>IF(C80-Table_146345781324455361697785[DRC]&gt;0, C80-Table_146345781324455361697785[DRC], 0)</f>
        <v>43.140783829569578</v>
      </c>
      <c r="F80" s="29">
        <f>IF(C80-Table_146345781324455361697785[Egypt]&gt;0, C80-Table_146345781324455361697785[Egypt], 0)</f>
        <v>64.745683113391834</v>
      </c>
      <c r="G80" s="29">
        <f>IF(C80-Table_146345781324455361697785[Eritrea]&gt;0, C80-Table_146345781324455361697785[Eritrea], 0)</f>
        <v>26.400829767934049</v>
      </c>
      <c r="H80" s="29">
        <f>IF(C80-Table_146345781324455361697785[Ethiopia]&gt;0, C80-Table_146345781324455361697785[Ethiopia], 0)</f>
        <v>0</v>
      </c>
      <c r="I80" s="29">
        <f>IF(C80-Table_146345781324455361697785[Kenya]&gt;0, C80-Table_146345781324455361697785[Kenya], 0)</f>
        <v>0</v>
      </c>
      <c r="J80" s="29">
        <f>IF(C80-Table_146345781324455361697785[Rwanda]&gt;0, C80-Table_146345781324455361697785[Rwanda], 0)</f>
        <v>0</v>
      </c>
      <c r="K80" s="29">
        <f>IF(C80-Table_146345781324455361697785[Sudan]&gt;0, C80-Table_146345781324455361697785[Sudan], 0)</f>
        <v>0</v>
      </c>
      <c r="L80" s="29">
        <f>IF(C80-Table_146345781324455361697785[S. Sudan]&gt;0, C80-Table_146345781324455361697785[S. Sudan], 0)</f>
        <v>597.39924851785338</v>
      </c>
      <c r="M80" s="29">
        <f>IF(C80-Table_146345781324455361697785[Tanzania]&gt;0, C80-Table_146345781324455361697785[Tanzania], 0)</f>
        <v>0</v>
      </c>
      <c r="N80" s="29">
        <f>IF(C80-Table_146345781324455361697785[Uganda]&gt;0, C80-Table_146345781324455361697785[Uganda], 0)</f>
        <v>0</v>
      </c>
      <c r="P80" s="21" t="s">
        <v>195</v>
      </c>
      <c r="Q80" s="97">
        <f t="shared" ref="Q80:Q89" si="10">$AE$79+(D81-$AE$77)*($AE$80-$AE$79)/($AE$78-$AE$77)</f>
        <v>-9.1787855859684596E-3</v>
      </c>
      <c r="R80" s="97">
        <f t="shared" si="9"/>
        <v>-9.1787855859684596E-3</v>
      </c>
      <c r="S80" s="97">
        <f t="shared" si="9"/>
        <v>3.9581463677733795E-3</v>
      </c>
      <c r="T80" s="97">
        <f t="shared" si="9"/>
        <v>-9.1787855859684596E-3</v>
      </c>
      <c r="U80" s="97">
        <f t="shared" si="9"/>
        <v>-9.1787855859684596E-3</v>
      </c>
      <c r="V80" s="97">
        <f t="shared" si="9"/>
        <v>-9.1787855859684596E-3</v>
      </c>
      <c r="W80" s="97">
        <f t="shared" si="9"/>
        <v>-9.1787855859684596E-3</v>
      </c>
      <c r="X80" s="97">
        <f t="shared" si="9"/>
        <v>-9.1787855859684596E-3</v>
      </c>
      <c r="Y80" s="97">
        <f t="shared" si="9"/>
        <v>0.3278399452001366</v>
      </c>
      <c r="Z80" s="97">
        <f t="shared" si="9"/>
        <v>-9.1787855859684596E-3</v>
      </c>
      <c r="AA80" s="97">
        <f t="shared" si="9"/>
        <v>-9.1787855859684596E-3</v>
      </c>
      <c r="AD80" s="3" t="s">
        <v>70</v>
      </c>
      <c r="AE80" s="2">
        <v>1</v>
      </c>
    </row>
    <row r="81" spans="2:31" ht="12.75" customHeight="1" x14ac:dyDescent="0.25">
      <c r="B81" s="21" t="s">
        <v>195</v>
      </c>
      <c r="C81" s="95">
        <f>Annual_sorted!F86</f>
        <v>15.796298370387731</v>
      </c>
      <c r="D81" s="29">
        <f>IF(C81-Table_146345781324455361697785[Burundi]&gt;0, C81-Table_146345781324455361697785[Burundi], 0)</f>
        <v>0</v>
      </c>
      <c r="E81" s="29">
        <f>IF(C81-Table_146345781324455361697785[DRC]&gt;0, C81-Table_146345781324455361697785[DRC], 0)</f>
        <v>0</v>
      </c>
      <c r="F81" s="29">
        <f>IF(C81-Table_146345781324455361697785[Egypt]&gt;0, C81-Table_146345781324455361697785[Egypt], 0)</f>
        <v>21.604899283822256</v>
      </c>
      <c r="G81" s="29">
        <f>IF(C81-Table_146345781324455361697785[Eritrea]&gt;0, C81-Table_146345781324455361697785[Eritrea], 0)</f>
        <v>0</v>
      </c>
      <c r="H81" s="29">
        <f>IF(C81-Table_146345781324455361697785[Ethiopia]&gt;0, C81-Table_146345781324455361697785[Ethiopia], 0)</f>
        <v>0</v>
      </c>
      <c r="I81" s="29">
        <f>IF(C81-Table_146345781324455361697785[Kenya]&gt;0, C81-Table_146345781324455361697785[Kenya], 0)</f>
        <v>0</v>
      </c>
      <c r="J81" s="29">
        <f>IF(C81-Table_146345781324455361697785[Rwanda]&gt;0, C81-Table_146345781324455361697785[Rwanda], 0)</f>
        <v>0</v>
      </c>
      <c r="K81" s="29">
        <f>IF(C81-Table_146345781324455361697785[Sudan]&gt;0, C81-Table_146345781324455361697785[Sudan], 0)</f>
        <v>0</v>
      </c>
      <c r="L81" s="29">
        <f>IF(C81-Table_146345781324455361697785[S. Sudan]&gt;0, C81-Table_146345781324455361697785[S. Sudan], 0)</f>
        <v>554.25846468828377</v>
      </c>
      <c r="M81" s="29">
        <f>IF(C81-Table_146345781324455361697785[Tanzania]&gt;0, C81-Table_146345781324455361697785[Tanzania], 0)</f>
        <v>0</v>
      </c>
      <c r="N81" s="29">
        <f>IF(C81-Table_146345781324455361697785[Uganda]&gt;0, C81-Table_146345781324455361697785[Uganda], 0)</f>
        <v>0</v>
      </c>
      <c r="P81" s="21" t="s">
        <v>2</v>
      </c>
      <c r="Q81" s="97">
        <f t="shared" si="10"/>
        <v>-9.1787855859684596E-3</v>
      </c>
      <c r="R81" s="97">
        <f t="shared" si="9"/>
        <v>-9.1787855859684596E-3</v>
      </c>
      <c r="S81" s="97">
        <f t="shared" si="9"/>
        <v>-9.1787855859684596E-3</v>
      </c>
      <c r="T81" s="97">
        <f t="shared" si="9"/>
        <v>-9.1787855859684596E-3</v>
      </c>
      <c r="U81" s="97">
        <f t="shared" si="9"/>
        <v>-9.1787855859684596E-3</v>
      </c>
      <c r="V81" s="97">
        <f t="shared" si="9"/>
        <v>-9.1787855859684596E-3</v>
      </c>
      <c r="W81" s="97">
        <f t="shared" si="9"/>
        <v>-9.1787855859684596E-3</v>
      </c>
      <c r="X81" s="97">
        <f t="shared" si="9"/>
        <v>-9.1787855859684596E-3</v>
      </c>
      <c r="Y81" s="97">
        <f t="shared" si="9"/>
        <v>0.31470301324639482</v>
      </c>
      <c r="Z81" s="97">
        <f t="shared" si="9"/>
        <v>-9.1787855859684596E-3</v>
      </c>
      <c r="AA81" s="97">
        <f t="shared" si="9"/>
        <v>-9.1787855859684596E-3</v>
      </c>
    </row>
    <row r="82" spans="2:31" ht="12.75" customHeight="1" x14ac:dyDescent="0.25">
      <c r="B82" s="21" t="s">
        <v>2</v>
      </c>
      <c r="C82" s="95">
        <f>Annual_sorted!F87</f>
        <v>-5.8086009134345256</v>
      </c>
      <c r="D82" s="29">
        <f>IF(C82-Table_146345781324455361697785[Burundi]&gt;0, C82-Table_146345781324455361697785[Burundi], 0)</f>
        <v>0</v>
      </c>
      <c r="E82" s="29">
        <f>IF(C82-Table_146345781324455361697785[DRC]&gt;0, C82-Table_146345781324455361697785[DRC], 0)</f>
        <v>0</v>
      </c>
      <c r="F82" s="29">
        <f>IF(C82-Table_146345781324455361697785[Egypt]&gt;0, C82-Table_146345781324455361697785[Egypt], 0)</f>
        <v>0</v>
      </c>
      <c r="G82" s="29">
        <f>IF(C82-Table_146345781324455361697785[Eritrea]&gt;0, C82-Table_146345781324455361697785[Eritrea], 0)</f>
        <v>0</v>
      </c>
      <c r="H82" s="29">
        <f>IF(C82-Table_146345781324455361697785[Ethiopia]&gt;0, C82-Table_146345781324455361697785[Ethiopia], 0)</f>
        <v>0</v>
      </c>
      <c r="I82" s="29">
        <f>IF(C82-Table_146345781324455361697785[Kenya]&gt;0, C82-Table_146345781324455361697785[Kenya], 0)</f>
        <v>0</v>
      </c>
      <c r="J82" s="29">
        <f>IF(C82-Table_146345781324455361697785[Rwanda]&gt;0, C82-Table_146345781324455361697785[Rwanda], 0)</f>
        <v>0</v>
      </c>
      <c r="K82" s="29">
        <f>IF(C82-Table_146345781324455361697785[Sudan]&gt;0, C82-Table_146345781324455361697785[Sudan], 0)</f>
        <v>0</v>
      </c>
      <c r="L82" s="29">
        <f>IF(C82-Table_146345781324455361697785[S. Sudan]&gt;0, C82-Table_146345781324455361697785[S. Sudan], 0)</f>
        <v>532.65356540446157</v>
      </c>
      <c r="M82" s="29">
        <f>IF(C82-Table_146345781324455361697785[Tanzania]&gt;0, C82-Table_146345781324455361697785[Tanzania], 0)</f>
        <v>0</v>
      </c>
      <c r="N82" s="29">
        <f>IF(C82-Table_146345781324455361697785[Uganda]&gt;0, C82-Table_146345781324455361697785[Uganda], 0)</f>
        <v>0</v>
      </c>
      <c r="P82" s="21" t="s">
        <v>3</v>
      </c>
      <c r="Q82" s="97">
        <f t="shared" si="10"/>
        <v>-9.1787855859684596E-3</v>
      </c>
      <c r="R82" s="97">
        <f t="shared" si="9"/>
        <v>1E-3</v>
      </c>
      <c r="S82" s="97">
        <f t="shared" si="9"/>
        <v>1.4136931953741841E-2</v>
      </c>
      <c r="T82" s="97">
        <f t="shared" si="9"/>
        <v>-9.1787855859684596E-3</v>
      </c>
      <c r="U82" s="97">
        <f t="shared" si="9"/>
        <v>-9.1787855859684596E-3</v>
      </c>
      <c r="V82" s="97">
        <f t="shared" si="9"/>
        <v>-9.1787855859684596E-3</v>
      </c>
      <c r="W82" s="97">
        <f t="shared" si="9"/>
        <v>-9.1787855859684596E-3</v>
      </c>
      <c r="X82" s="97">
        <f t="shared" si="9"/>
        <v>-9.1787855859684596E-3</v>
      </c>
      <c r="Y82" s="97">
        <f t="shared" si="9"/>
        <v>0.33801873078610511</v>
      </c>
      <c r="Z82" s="97">
        <f t="shared" si="9"/>
        <v>-9.1787855859684596E-3</v>
      </c>
      <c r="AA82" s="97">
        <f t="shared" si="9"/>
        <v>-9.1787855859684596E-3</v>
      </c>
    </row>
    <row r="83" spans="2:31" ht="12.75" customHeight="1" x14ac:dyDescent="0.25">
      <c r="B83" s="21" t="s">
        <v>3</v>
      </c>
      <c r="C83" s="95">
        <f>Annual_sorted!F88</f>
        <v>32.536252432023261</v>
      </c>
      <c r="D83" s="29">
        <f>IF(C83-Table_146345781324455361697785[Burundi]&gt;0, C83-Table_146345781324455361697785[Burundi], 0)</f>
        <v>0</v>
      </c>
      <c r="E83" s="29">
        <f>IF(C83-Table_146345781324455361697785[DRC]&gt;0, C83-Table_146345781324455361697785[DRC], 0)</f>
        <v>16.73995406163553</v>
      </c>
      <c r="F83" s="29">
        <f>IF(C83-Table_146345781324455361697785[Egypt]&gt;0, C83-Table_146345781324455361697785[Egypt], 0)</f>
        <v>38.344853345457786</v>
      </c>
      <c r="G83" s="29">
        <f>IF(C83-Table_146345781324455361697785[Eritrea]&gt;0, C83-Table_146345781324455361697785[Eritrea], 0)</f>
        <v>0</v>
      </c>
      <c r="H83" s="29">
        <f>IF(C83-Table_146345781324455361697785[Ethiopia]&gt;0, C83-Table_146345781324455361697785[Ethiopia], 0)</f>
        <v>0</v>
      </c>
      <c r="I83" s="29">
        <f>IF(C83-Table_146345781324455361697785[Kenya]&gt;0, C83-Table_146345781324455361697785[Kenya], 0)</f>
        <v>0</v>
      </c>
      <c r="J83" s="29">
        <f>IF(C83-Table_146345781324455361697785[Rwanda]&gt;0, C83-Table_146345781324455361697785[Rwanda], 0)</f>
        <v>0</v>
      </c>
      <c r="K83" s="29">
        <f>IF(C83-Table_146345781324455361697785[Sudan]&gt;0, C83-Table_146345781324455361697785[Sudan], 0)</f>
        <v>0</v>
      </c>
      <c r="L83" s="29">
        <f>IF(C83-Table_146345781324455361697785[S. Sudan]&gt;0, C83-Table_146345781324455361697785[S. Sudan], 0)</f>
        <v>570.99841874991932</v>
      </c>
      <c r="M83" s="29">
        <f>IF(C83-Table_146345781324455361697785[Tanzania]&gt;0, C83-Table_146345781324455361697785[Tanzania], 0)</f>
        <v>0</v>
      </c>
      <c r="N83" s="29">
        <f>IF(C83-Table_146345781324455361697785[Uganda]&gt;0, C83-Table_146345781324455361697785[Uganda], 0)</f>
        <v>0</v>
      </c>
      <c r="P83" s="21" t="s">
        <v>4</v>
      </c>
      <c r="Q83" s="97">
        <f t="shared" si="10"/>
        <v>0.58606148800275926</v>
      </c>
      <c r="R83" s="97">
        <f t="shared" si="9"/>
        <v>0.61229338726574345</v>
      </c>
      <c r="S83" s="97">
        <f t="shared" si="9"/>
        <v>0.62543031921948522</v>
      </c>
      <c r="T83" s="97">
        <f t="shared" si="9"/>
        <v>0.60211460167977493</v>
      </c>
      <c r="U83" s="97">
        <f t="shared" si="9"/>
        <v>-9.1787855859684596E-3</v>
      </c>
      <c r="V83" s="97">
        <f t="shared" si="9"/>
        <v>0.45160887865216626</v>
      </c>
      <c r="W83" s="97">
        <f t="shared" si="9"/>
        <v>0.55895968549916997</v>
      </c>
      <c r="X83" s="97">
        <f t="shared" si="9"/>
        <v>-9.1787855859684596E-3</v>
      </c>
      <c r="Y83" s="97">
        <f t="shared" si="9"/>
        <v>0.94931211805184845</v>
      </c>
      <c r="Z83" s="97">
        <f t="shared" si="9"/>
        <v>0.43448389516224312</v>
      </c>
      <c r="AA83" s="97">
        <f t="shared" si="9"/>
        <v>0.37460125423011853</v>
      </c>
    </row>
    <row r="84" spans="2:31" ht="12.75" customHeight="1" x14ac:dyDescent="0.25">
      <c r="B84" s="21" t="s">
        <v>4</v>
      </c>
      <c r="C84" s="95">
        <f>Annual_sorted!F89</f>
        <v>1037.8647500787788</v>
      </c>
      <c r="D84" s="29">
        <f>IF(C84-Table_146345781324455361697785[Burundi]&gt;0, C84-Table_146345781324455361697785[Burundi], 0)</f>
        <v>978.92766787882147</v>
      </c>
      <c r="E84" s="29">
        <f>IF(C84-Table_146345781324455361697785[DRC]&gt;0, C84-Table_146345781324455361697785[DRC], 0)</f>
        <v>1022.0684517083911</v>
      </c>
      <c r="F84" s="29">
        <f>IF(C84-Table_146345781324455361697785[Egypt]&gt;0, C84-Table_146345781324455361697785[Egypt], 0)</f>
        <v>1043.6733509922133</v>
      </c>
      <c r="G84" s="29">
        <f>IF(C84-Table_146345781324455361697785[Eritrea]&gt;0, C84-Table_146345781324455361697785[Eritrea], 0)</f>
        <v>1005.3284976467555</v>
      </c>
      <c r="H84" s="29">
        <f>IF(C84-Table_146345781324455361697785[Ethiopia]&gt;0, C84-Table_146345781324455361697785[Ethiopia], 0)</f>
        <v>0</v>
      </c>
      <c r="I84" s="29">
        <f>IF(C84-Table_146345781324455361697785[Kenya]&gt;0, C84-Table_146345781324455361697785[Kenya], 0)</f>
        <v>757.80791985125654</v>
      </c>
      <c r="J84" s="29">
        <f>IF(C84-Table_146345781324455361697785[Rwanda]&gt;0, C84-Table_146345781324455361697785[Rwanda], 0)</f>
        <v>934.35624773583208</v>
      </c>
      <c r="K84" s="29">
        <f>IF(C84-Table_146345781324455361697785[Sudan]&gt;0, C84-Table_146345781324455361697785[Sudan], 0)</f>
        <v>0</v>
      </c>
      <c r="L84" s="29">
        <f>IF(C84-Table_146345781324455361697785[S. Sudan]&gt;0, C84-Table_146345781324455361697785[S. Sudan], 0)</f>
        <v>1576.3269163966747</v>
      </c>
      <c r="M84" s="29">
        <f>IF(C84-Table_146345781324455361697785[Tanzania]&gt;0, C84-Table_146345781324455361697785[Tanzania], 0)</f>
        <v>729.64430106722807</v>
      </c>
      <c r="N84" s="29">
        <f>IF(C84-Table_146345781324455361697785[Uganda]&gt;0, C84-Table_146345781324455361697785[Uganda], 0)</f>
        <v>631.16176109948935</v>
      </c>
      <c r="P84" s="21" t="s">
        <v>5</v>
      </c>
      <c r="Q84" s="97">
        <f t="shared" si="10"/>
        <v>0.12527382376462462</v>
      </c>
      <c r="R84" s="97">
        <f t="shared" si="9"/>
        <v>0.15150572302760867</v>
      </c>
      <c r="S84" s="97">
        <f t="shared" si="9"/>
        <v>0.16464265498135053</v>
      </c>
      <c r="T84" s="97">
        <f t="shared" si="9"/>
        <v>0.14132693744164021</v>
      </c>
      <c r="U84" s="97">
        <f t="shared" si="9"/>
        <v>-9.1787855859684596E-3</v>
      </c>
      <c r="V84" s="97">
        <f t="shared" si="9"/>
        <v>-9.1787855859684596E-3</v>
      </c>
      <c r="W84" s="97">
        <f t="shared" si="9"/>
        <v>9.8172021261035261E-2</v>
      </c>
      <c r="X84" s="97">
        <f t="shared" si="9"/>
        <v>-9.1787855859684596E-3</v>
      </c>
      <c r="Y84" s="97">
        <f t="shared" si="9"/>
        <v>0.48852445381371379</v>
      </c>
      <c r="Z84" s="97">
        <f t="shared" si="9"/>
        <v>-9.1787855859684596E-3</v>
      </c>
      <c r="AA84" s="97">
        <f t="shared" si="9"/>
        <v>-9.1787855859684596E-3</v>
      </c>
    </row>
    <row r="85" spans="2:31" ht="12.75" customHeight="1" x14ac:dyDescent="0.25">
      <c r="B85" s="21" t="s">
        <v>5</v>
      </c>
      <c r="C85" s="95">
        <f>Annual_sorted!F90</f>
        <v>280.05683022752225</v>
      </c>
      <c r="D85" s="29">
        <f>IF(C85-Table_146345781324455361697785[Burundi]&gt;0, C85-Table_146345781324455361697785[Burundi], 0)</f>
        <v>221.11974802756495</v>
      </c>
      <c r="E85" s="29">
        <f>IF(C85-Table_146345781324455361697785[DRC]&gt;0, C85-Table_146345781324455361697785[DRC], 0)</f>
        <v>264.26053185713454</v>
      </c>
      <c r="F85" s="29">
        <f>IF(C85-Table_146345781324455361697785[Egypt]&gt;0, C85-Table_146345781324455361697785[Egypt], 0)</f>
        <v>285.86543114095679</v>
      </c>
      <c r="G85" s="29">
        <f>IF(C85-Table_146345781324455361697785[Eritrea]&gt;0, C85-Table_146345781324455361697785[Eritrea], 0)</f>
        <v>247.52057779549898</v>
      </c>
      <c r="H85" s="29">
        <f>IF(C85-Table_146345781324455361697785[Ethiopia]&gt;0, C85-Table_146345781324455361697785[Ethiopia], 0)</f>
        <v>0</v>
      </c>
      <c r="I85" s="29">
        <f>IF(C85-Table_146345781324455361697785[Kenya]&gt;0, C85-Table_146345781324455361697785[Kenya], 0)</f>
        <v>0</v>
      </c>
      <c r="J85" s="29">
        <f>IF(C85-Table_146345781324455361697785[Rwanda]&gt;0, C85-Table_146345781324455361697785[Rwanda], 0)</f>
        <v>176.54832788457554</v>
      </c>
      <c r="K85" s="29">
        <f>IF(C85-Table_146345781324455361697785[Sudan]&gt;0, C85-Table_146345781324455361697785[Sudan], 0)</f>
        <v>0</v>
      </c>
      <c r="L85" s="29">
        <f>IF(C85-Table_146345781324455361697785[S. Sudan]&gt;0, C85-Table_146345781324455361697785[S. Sudan], 0)</f>
        <v>818.5189965454183</v>
      </c>
      <c r="M85" s="29">
        <f>IF(C85-Table_146345781324455361697785[Tanzania]&gt;0, C85-Table_146345781324455361697785[Tanzania], 0)</f>
        <v>0</v>
      </c>
      <c r="N85" s="29">
        <f>IF(C85-Table_146345781324455361697785[Uganda]&gt;0, C85-Table_146345781324455361697785[Uganda], 0)</f>
        <v>0</v>
      </c>
      <c r="P85" s="21" t="s">
        <v>6</v>
      </c>
      <c r="Q85" s="97">
        <f t="shared" si="10"/>
        <v>1.792301691762091E-2</v>
      </c>
      <c r="R85" s="97">
        <f t="shared" si="9"/>
        <v>4.4154916180604971E-2</v>
      </c>
      <c r="S85" s="97">
        <f t="shared" si="9"/>
        <v>5.7291848134346818E-2</v>
      </c>
      <c r="T85" s="97">
        <f t="shared" si="9"/>
        <v>3.3976130594636507E-2</v>
      </c>
      <c r="U85" s="97">
        <f t="shared" si="9"/>
        <v>-9.1787855859684596E-3</v>
      </c>
      <c r="V85" s="97">
        <f t="shared" si="9"/>
        <v>-9.1787855859684596E-3</v>
      </c>
      <c r="W85" s="97">
        <f t="shared" si="9"/>
        <v>-9.1787855859684596E-3</v>
      </c>
      <c r="X85" s="97">
        <f t="shared" si="9"/>
        <v>-9.1787855859684596E-3</v>
      </c>
      <c r="Y85" s="97">
        <f t="shared" si="9"/>
        <v>0.38117364696671008</v>
      </c>
      <c r="Z85" s="97">
        <f t="shared" si="9"/>
        <v>-9.1787855859684596E-3</v>
      </c>
      <c r="AA85" s="97">
        <f t="shared" si="9"/>
        <v>-9.1787855859684596E-3</v>
      </c>
    </row>
    <row r="86" spans="2:31" ht="12.75" customHeight="1" x14ac:dyDescent="0.25">
      <c r="B86" s="21" t="s">
        <v>6</v>
      </c>
      <c r="C86" s="95">
        <f>Annual_sorted!F91</f>
        <v>103.50850234294671</v>
      </c>
      <c r="D86" s="29">
        <f>IF(C86-Table_146345781324455361697785[Burundi]&gt;0, C86-Table_146345781324455361697785[Burundi], 0)</f>
        <v>44.571420142989403</v>
      </c>
      <c r="E86" s="29">
        <f>IF(C86-Table_146345781324455361697785[DRC]&gt;0, C86-Table_146345781324455361697785[DRC], 0)</f>
        <v>87.712203972558981</v>
      </c>
      <c r="F86" s="29">
        <f>IF(C86-Table_146345781324455361697785[Egypt]&gt;0, C86-Table_146345781324455361697785[Egypt], 0)</f>
        <v>109.31710325638124</v>
      </c>
      <c r="G86" s="29">
        <f>IF(C86-Table_146345781324455361697785[Eritrea]&gt;0, C86-Table_146345781324455361697785[Eritrea], 0)</f>
        <v>70.972249910923452</v>
      </c>
      <c r="H86" s="29">
        <f>IF(C86-Table_146345781324455361697785[Ethiopia]&gt;0, C86-Table_146345781324455361697785[Ethiopia], 0)</f>
        <v>0</v>
      </c>
      <c r="I86" s="29">
        <f>IF(C86-Table_146345781324455361697785[Kenya]&gt;0, C86-Table_146345781324455361697785[Kenya], 0)</f>
        <v>0</v>
      </c>
      <c r="J86" s="29">
        <f>IF(C86-Table_146345781324455361697785[Rwanda]&gt;0, C86-Table_146345781324455361697785[Rwanda], 0)</f>
        <v>0</v>
      </c>
      <c r="K86" s="29">
        <f>IF(C86-Table_146345781324455361697785[Sudan]&gt;0, C86-Table_146345781324455361697785[Sudan], 0)</f>
        <v>0</v>
      </c>
      <c r="L86" s="29">
        <f>IF(C86-Table_146345781324455361697785[S. Sudan]&gt;0, C86-Table_146345781324455361697785[S. Sudan], 0)</f>
        <v>641.97066866084276</v>
      </c>
      <c r="M86" s="29">
        <f>IF(C86-Table_146345781324455361697785[Tanzania]&gt;0, C86-Table_146345781324455361697785[Tanzania], 0)</f>
        <v>0</v>
      </c>
      <c r="N86" s="29">
        <f>IF(C86-Table_146345781324455361697785[Uganda]&gt;0, C86-Table_146345781324455361697785[Uganda], 0)</f>
        <v>0</v>
      </c>
      <c r="P86" s="21" t="s">
        <v>7</v>
      </c>
      <c r="Q86" s="97">
        <f t="shared" si="10"/>
        <v>0.6367493699509108</v>
      </c>
      <c r="R86" s="97">
        <f t="shared" si="9"/>
        <v>0.662981269213895</v>
      </c>
      <c r="S86" s="97">
        <f t="shared" si="9"/>
        <v>0.67611820116763677</v>
      </c>
      <c r="T86" s="97">
        <f t="shared" si="9"/>
        <v>0.65280248362792648</v>
      </c>
      <c r="U86" s="97">
        <f t="shared" si="9"/>
        <v>4.1509096362183029E-2</v>
      </c>
      <c r="V86" s="97">
        <f t="shared" si="9"/>
        <v>0.5022967606003178</v>
      </c>
      <c r="W86" s="97">
        <f t="shared" si="9"/>
        <v>0.60964756744732151</v>
      </c>
      <c r="X86" s="97">
        <f t="shared" si="9"/>
        <v>-9.1787855859684596E-3</v>
      </c>
      <c r="Y86" s="97">
        <f t="shared" si="9"/>
        <v>1</v>
      </c>
      <c r="Z86" s="97">
        <f t="shared" si="9"/>
        <v>0.48517177711039466</v>
      </c>
      <c r="AA86" s="97">
        <f t="shared" si="9"/>
        <v>0.42528913617826997</v>
      </c>
    </row>
    <row r="87" spans="2:31" ht="12.75" customHeight="1" x14ac:dyDescent="0.25">
      <c r="B87" s="21" t="s">
        <v>7</v>
      </c>
      <c r="C87" s="95">
        <f>Annual_sorted!F92</f>
        <v>1121.225658718346</v>
      </c>
      <c r="D87" s="29">
        <f>IF(C87-Table_146345781324455361697785[Burundi]&gt;0, C87-Table_146345781324455361697785[Burundi], 0)</f>
        <v>1062.2885765183887</v>
      </c>
      <c r="E87" s="29">
        <f>IF(C87-Table_146345781324455361697785[DRC]&gt;0, C87-Table_146345781324455361697785[DRC], 0)</f>
        <v>1105.4293603479582</v>
      </c>
      <c r="F87" s="29">
        <f>IF(C87-Table_146345781324455361697785[Egypt]&gt;0, C87-Table_146345781324455361697785[Egypt], 0)</f>
        <v>1127.0342596317805</v>
      </c>
      <c r="G87" s="29">
        <f>IF(C87-Table_146345781324455361697785[Eritrea]&gt;0, C87-Table_146345781324455361697785[Eritrea], 0)</f>
        <v>1088.6894062863228</v>
      </c>
      <c r="H87" s="29">
        <f>IF(C87-Table_146345781324455361697785[Ethiopia]&gt;0, C87-Table_146345781324455361697785[Ethiopia], 0)</f>
        <v>83.360908639567242</v>
      </c>
      <c r="I87" s="29">
        <f>IF(C87-Table_146345781324455361697785[Kenya]&gt;0, C87-Table_146345781324455361697785[Kenya], 0)</f>
        <v>841.16882849082378</v>
      </c>
      <c r="J87" s="29">
        <f>IF(C87-Table_146345781324455361697785[Rwanda]&gt;0, C87-Table_146345781324455361697785[Rwanda], 0)</f>
        <v>1017.7171563753993</v>
      </c>
      <c r="K87" s="29">
        <f>IF(C87-Table_146345781324455361697785[Sudan]&gt;0, C87-Table_146345781324455361697785[Sudan], 0)</f>
        <v>0</v>
      </c>
      <c r="L87" s="29">
        <f>IF(C87-Table_146345781324455361697785[S. Sudan]&gt;0, C87-Table_146345781324455361697785[S. Sudan], 0)</f>
        <v>1659.687825036242</v>
      </c>
      <c r="M87" s="29">
        <f>IF(C87-Table_146345781324455361697785[Tanzania]&gt;0, C87-Table_146345781324455361697785[Tanzania], 0)</f>
        <v>813.00520970679531</v>
      </c>
      <c r="N87" s="29">
        <f>IF(C87-Table_146345781324455361697785[Uganda]&gt;0, C87-Table_146345781324455361697785[Uganda], 0)</f>
        <v>714.5226697390566</v>
      </c>
      <c r="P87" s="21" t="s">
        <v>8</v>
      </c>
      <c r="Q87" s="97">
        <f t="shared" si="10"/>
        <v>-9.1787855859684596E-3</v>
      </c>
      <c r="R87" s="97">
        <f t="shared" si="9"/>
        <v>-9.1787855859684596E-3</v>
      </c>
      <c r="S87" s="97">
        <f t="shared" si="9"/>
        <v>-9.1787855859684596E-3</v>
      </c>
      <c r="T87" s="97">
        <f t="shared" si="9"/>
        <v>-9.1787855859684596E-3</v>
      </c>
      <c r="U87" s="97">
        <f t="shared" si="9"/>
        <v>-9.1787855859684596E-3</v>
      </c>
      <c r="V87" s="97">
        <f t="shared" si="9"/>
        <v>-9.1787855859684596E-3</v>
      </c>
      <c r="W87" s="97">
        <f t="shared" si="9"/>
        <v>-9.1787855859684596E-3</v>
      </c>
      <c r="X87" s="97">
        <f t="shared" si="9"/>
        <v>-9.1787855859684596E-3</v>
      </c>
      <c r="Y87" s="97">
        <f t="shared" si="9"/>
        <v>-9.1787855859684596E-3</v>
      </c>
      <c r="Z87" s="97">
        <f t="shared" si="9"/>
        <v>-9.1787855859684596E-3</v>
      </c>
      <c r="AA87" s="97">
        <f t="shared" si="9"/>
        <v>-9.1787855859684596E-3</v>
      </c>
    </row>
    <row r="88" spans="2:31" ht="12.75" customHeight="1" x14ac:dyDescent="0.25">
      <c r="B88" s="21" t="s">
        <v>8</v>
      </c>
      <c r="C88" s="95">
        <f>Annual_sorted!F93</f>
        <v>-538.46216631789605</v>
      </c>
      <c r="D88" s="29">
        <f>IF(C88-Table_146345781324455361697785[Burundi]&gt;0, C88-Table_146345781324455361697785[Burundi], 0)</f>
        <v>0</v>
      </c>
      <c r="E88" s="29">
        <f>IF(C88-Table_146345781324455361697785[DRC]&gt;0, C88-Table_146345781324455361697785[DRC], 0)</f>
        <v>0</v>
      </c>
      <c r="F88" s="29">
        <f>IF(C88-Table_146345781324455361697785[Egypt]&gt;0, C88-Table_146345781324455361697785[Egypt], 0)</f>
        <v>0</v>
      </c>
      <c r="G88" s="29">
        <f>IF(C88-Table_146345781324455361697785[Eritrea]&gt;0, C88-Table_146345781324455361697785[Eritrea], 0)</f>
        <v>0</v>
      </c>
      <c r="H88" s="29">
        <f>IF(C88-Table_146345781324455361697785[Ethiopia]&gt;0, C88-Table_146345781324455361697785[Ethiopia], 0)</f>
        <v>0</v>
      </c>
      <c r="I88" s="29">
        <f>IF(C88-Table_146345781324455361697785[Kenya]&gt;0, C88-Table_146345781324455361697785[Kenya], 0)</f>
        <v>0</v>
      </c>
      <c r="J88" s="29">
        <f>IF(C88-Table_146345781324455361697785[Rwanda]&gt;0, C88-Table_146345781324455361697785[Rwanda], 0)</f>
        <v>0</v>
      </c>
      <c r="K88" s="29">
        <f>IF(C88-Table_146345781324455361697785[Sudan]&gt;0, C88-Table_146345781324455361697785[Sudan], 0)</f>
        <v>0</v>
      </c>
      <c r="L88" s="29">
        <f>IF(C88-Table_146345781324455361697785[S. Sudan]&gt;0, C88-Table_146345781324455361697785[S. Sudan], 0)</f>
        <v>0</v>
      </c>
      <c r="M88" s="29">
        <f>IF(C88-Table_146345781324455361697785[Tanzania]&gt;0, C88-Table_146345781324455361697785[Tanzania], 0)</f>
        <v>0</v>
      </c>
      <c r="N88" s="29">
        <f>IF(C88-Table_146345781324455361697785[Uganda]&gt;0, C88-Table_146345781324455361697785[Uganda], 0)</f>
        <v>0</v>
      </c>
      <c r="P88" s="21" t="s">
        <v>9</v>
      </c>
      <c r="Q88" s="97">
        <f t="shared" si="10"/>
        <v>0.1423988072545477</v>
      </c>
      <c r="R88" s="97">
        <f t="shared" si="9"/>
        <v>0.16863070651753179</v>
      </c>
      <c r="S88" s="97">
        <f t="shared" si="9"/>
        <v>0.18176763847127358</v>
      </c>
      <c r="T88" s="97">
        <f t="shared" si="9"/>
        <v>0.15845192093156329</v>
      </c>
      <c r="U88" s="97">
        <f t="shared" si="9"/>
        <v>-9.1787855859684596E-3</v>
      </c>
      <c r="V88" s="97">
        <f t="shared" si="9"/>
        <v>7.9461979039546042E-3</v>
      </c>
      <c r="W88" s="97">
        <f t="shared" si="9"/>
        <v>0.11529700475095832</v>
      </c>
      <c r="X88" s="97">
        <f t="shared" si="9"/>
        <v>-9.1787855859684596E-3</v>
      </c>
      <c r="Y88" s="97">
        <f t="shared" si="9"/>
        <v>0.50564943730363676</v>
      </c>
      <c r="Z88" s="97">
        <f t="shared" si="9"/>
        <v>-9.1787855859684596E-3</v>
      </c>
      <c r="AA88" s="97">
        <f t="shared" si="9"/>
        <v>-9.1787855859684596E-3</v>
      </c>
      <c r="AB88" s="186">
        <f>SUM(Q79:AA89)</f>
        <v>16.423608481386204</v>
      </c>
    </row>
    <row r="89" spans="2:31" ht="12.75" customHeight="1" thickBot="1" x14ac:dyDescent="0.3">
      <c r="B89" s="21" t="s">
        <v>9</v>
      </c>
      <c r="C89" s="95">
        <f>Annual_sorted!F94</f>
        <v>308.22044901155067</v>
      </c>
      <c r="D89" s="29">
        <f>IF(C89-Table_146345781324455361697785[Burundi]&gt;0, C89-Table_146345781324455361697785[Burundi], 0)</f>
        <v>249.28336681159337</v>
      </c>
      <c r="E89" s="29">
        <f>IF(C89-Table_146345781324455361697785[DRC]&gt;0, C89-Table_146345781324455361697785[DRC], 0)</f>
        <v>292.42415064116295</v>
      </c>
      <c r="F89" s="29">
        <f>IF(C89-Table_146345781324455361697785[Egypt]&gt;0, C89-Table_146345781324455361697785[Egypt], 0)</f>
        <v>314.0290499249852</v>
      </c>
      <c r="G89" s="29">
        <f>IF(C89-Table_146345781324455361697785[Eritrea]&gt;0, C89-Table_146345781324455361697785[Eritrea], 0)</f>
        <v>275.68419657952739</v>
      </c>
      <c r="H89" s="29">
        <f>IF(C89-Table_146345781324455361697785[Ethiopia]&gt;0, C89-Table_146345781324455361697785[Ethiopia], 0)</f>
        <v>0</v>
      </c>
      <c r="I89" s="29">
        <f>IF(C89-Table_146345781324455361697785[Kenya]&gt;0, C89-Table_146345781324455361697785[Kenya], 0)</f>
        <v>28.163618784028415</v>
      </c>
      <c r="J89" s="29">
        <f>IF(C89-Table_146345781324455361697785[Rwanda]&gt;0, C89-Table_146345781324455361697785[Rwanda], 0)</f>
        <v>204.71194666860396</v>
      </c>
      <c r="K89" s="29">
        <f>IF(C89-Table_146345781324455361697785[Sudan]&gt;0, C89-Table_146345781324455361697785[Sudan], 0)</f>
        <v>0</v>
      </c>
      <c r="L89" s="29">
        <f>IF(C89-Table_146345781324455361697785[S. Sudan]&gt;0, C89-Table_146345781324455361697785[S. Sudan], 0)</f>
        <v>846.68261532944666</v>
      </c>
      <c r="M89" s="29">
        <f>IF(C89-Table_146345781324455361697785[Tanzania]&gt;0, C89-Table_146345781324455361697785[Tanzania], 0)</f>
        <v>0</v>
      </c>
      <c r="N89" s="29">
        <f>IF(C89-Table_146345781324455361697785[Uganda]&gt;0, C89-Table_146345781324455361697785[Uganda], 0)</f>
        <v>0</v>
      </c>
      <c r="P89" s="22" t="s">
        <v>10</v>
      </c>
      <c r="Q89" s="98">
        <f t="shared" si="10"/>
        <v>0.20228144818667232</v>
      </c>
      <c r="R89" s="98">
        <f t="shared" si="9"/>
        <v>0.22851334744965637</v>
      </c>
      <c r="S89" s="98">
        <f t="shared" si="9"/>
        <v>0.24165027940339828</v>
      </c>
      <c r="T89" s="98">
        <f t="shared" si="9"/>
        <v>0.21833456186368794</v>
      </c>
      <c r="U89" s="98">
        <f t="shared" si="9"/>
        <v>-9.1787855859684596E-3</v>
      </c>
      <c r="V89" s="98">
        <f t="shared" si="9"/>
        <v>6.7828838836079264E-2</v>
      </c>
      <c r="W89" s="98">
        <f t="shared" si="9"/>
        <v>0.17517964568308297</v>
      </c>
      <c r="X89" s="98">
        <f t="shared" si="9"/>
        <v>-9.1787855859684596E-3</v>
      </c>
      <c r="Y89" s="98">
        <f t="shared" si="9"/>
        <v>0.56553207823576157</v>
      </c>
      <c r="Z89" s="98">
        <f t="shared" si="9"/>
        <v>5.07038553461562E-2</v>
      </c>
      <c r="AA89" s="98">
        <f t="shared" si="9"/>
        <v>-9.1787855859684596E-3</v>
      </c>
    </row>
    <row r="90" spans="2:31" ht="12.75" customHeight="1" thickBot="1" x14ac:dyDescent="0.3">
      <c r="B90" s="22" t="s">
        <v>10</v>
      </c>
      <c r="C90" s="96">
        <f>Annual_sorted!F95</f>
        <v>406.70298897928944</v>
      </c>
      <c r="D90" s="32">
        <f>IF(C90-Table_146345781324455361697785[Burundi]&gt;0, C90-Table_146345781324455361697785[Burundi], 0)</f>
        <v>347.76590677933211</v>
      </c>
      <c r="E90" s="32">
        <f>IF(C90-Table_146345781324455361697785[DRC]&gt;0, C90-Table_146345781324455361697785[DRC], 0)</f>
        <v>390.90669060890173</v>
      </c>
      <c r="F90" s="32">
        <f>IF(C90-Table_146345781324455361697785[Egypt]&gt;0, C90-Table_146345781324455361697785[Egypt], 0)</f>
        <v>412.51158989272398</v>
      </c>
      <c r="G90" s="32">
        <f>IF(C90-Table_146345781324455361697785[Eritrea]&gt;0, C90-Table_146345781324455361697785[Eritrea], 0)</f>
        <v>374.16673654726617</v>
      </c>
      <c r="H90" s="32">
        <f>IF(C90-Table_146345781324455361697785[Ethiopia]&gt;0, C90-Table_146345781324455361697785[Ethiopia], 0)</f>
        <v>0</v>
      </c>
      <c r="I90" s="32">
        <f>IF(C90-Table_146345781324455361697785[Kenya]&gt;0, C90-Table_146345781324455361697785[Kenya], 0)</f>
        <v>126.64615875176719</v>
      </c>
      <c r="J90" s="32">
        <f>IF(C90-Table_146345781324455361697785[Rwanda]&gt;0, C90-Table_146345781324455361697785[Rwanda], 0)</f>
        <v>303.19448663634273</v>
      </c>
      <c r="K90" s="32">
        <f>IF(C90-Table_146345781324455361697785[Sudan]&gt;0, C90-Table_146345781324455361697785[Sudan], 0)</f>
        <v>0</v>
      </c>
      <c r="L90" s="32">
        <f>IF(C90-Table_146345781324455361697785[S. Sudan]&gt;0, C90-Table_146345781324455361697785[S. Sudan], 0)</f>
        <v>945.16515529718549</v>
      </c>
      <c r="M90" s="32">
        <f>IF(C90-Table_146345781324455361697785[Tanzania]&gt;0, C90-Table_146345781324455361697785[Tanzania], 0)</f>
        <v>98.482539967738774</v>
      </c>
      <c r="N90" s="32">
        <f>IF(C90-Table_146345781324455361697785[Uganda]&gt;0, C90-Table_146345781324455361697785[Uganda], 0)</f>
        <v>0</v>
      </c>
    </row>
    <row r="91" spans="2:31" ht="12.75" customHeight="1" x14ac:dyDescent="0.25"/>
    <row r="92" spans="2:31" ht="12.75" customHeight="1" x14ac:dyDescent="0.25"/>
    <row r="93" spans="2:31" ht="12.75" customHeight="1" x14ac:dyDescent="0.25">
      <c r="B93" s="5"/>
      <c r="C93" s="5"/>
      <c r="D93" s="5"/>
      <c r="E93" s="5"/>
      <c r="F93" s="5"/>
      <c r="G93" s="5"/>
      <c r="H93" s="5"/>
      <c r="I93" s="5"/>
      <c r="J93" s="5"/>
      <c r="K93" s="5"/>
      <c r="L93" s="5"/>
      <c r="M93" s="5"/>
      <c r="N93" s="5"/>
      <c r="O93" s="5"/>
      <c r="P93" s="5"/>
      <c r="Q93" s="5"/>
      <c r="R93" s="5"/>
      <c r="S93" s="5"/>
      <c r="T93" s="5"/>
      <c r="U93" s="5"/>
      <c r="V93" s="5"/>
      <c r="W93" s="5"/>
      <c r="X93" s="5"/>
      <c r="Y93" s="5"/>
      <c r="Z93" s="5"/>
      <c r="AA93" s="5"/>
    </row>
    <row r="94" spans="2:31" ht="12.75" customHeight="1" x14ac:dyDescent="0.25">
      <c r="B94" s="5"/>
      <c r="C94" s="5"/>
      <c r="D94" s="5"/>
      <c r="E94" s="5"/>
      <c r="F94" s="5"/>
      <c r="G94" s="5"/>
      <c r="H94" s="5"/>
      <c r="I94" s="5"/>
      <c r="J94" s="5"/>
      <c r="K94" s="5"/>
      <c r="L94" s="5"/>
      <c r="M94" s="5"/>
      <c r="N94" s="5"/>
      <c r="O94" s="5"/>
      <c r="P94" s="5"/>
      <c r="Q94" s="5"/>
      <c r="R94" s="5"/>
      <c r="S94" s="5"/>
      <c r="T94" s="5"/>
      <c r="U94" s="5"/>
      <c r="V94" s="5"/>
      <c r="W94" s="5"/>
      <c r="X94" s="5"/>
      <c r="Y94" s="5"/>
      <c r="Z94" s="5"/>
      <c r="AA94" s="5"/>
    </row>
    <row r="95" spans="2:31" ht="12.75" customHeight="1" thickBot="1" x14ac:dyDescent="0.3">
      <c r="B95" s="253" t="s">
        <v>85</v>
      </c>
      <c r="C95" s="253"/>
      <c r="D95" s="253"/>
      <c r="E95" s="253"/>
      <c r="F95" s="253"/>
      <c r="G95" s="253"/>
      <c r="H95" s="253"/>
      <c r="I95" s="253"/>
      <c r="J95" s="253"/>
      <c r="K95" s="253"/>
      <c r="L95" s="253"/>
      <c r="M95" s="253"/>
      <c r="N95" s="253"/>
      <c r="O95" s="5"/>
      <c r="P95" s="253" t="s">
        <v>87</v>
      </c>
      <c r="Q95" s="253"/>
      <c r="R95" s="253"/>
      <c r="S95" s="253"/>
      <c r="T95" s="253"/>
      <c r="U95" s="253"/>
      <c r="V95" s="253"/>
      <c r="W95" s="253"/>
      <c r="X95" s="253"/>
      <c r="Y95" s="253"/>
      <c r="Z95" s="253"/>
      <c r="AA95" s="253"/>
      <c r="AB95" s="10"/>
      <c r="AC95" s="3" t="s">
        <v>22</v>
      </c>
      <c r="AD95" s="13" t="s">
        <v>23</v>
      </c>
      <c r="AE95" s="74">
        <f t="array" ref="AE95">MIN(IF(D98:N108&gt;0,D98:N108))</f>
        <v>0.62436341791622141</v>
      </c>
    </row>
    <row r="96" spans="2:31" ht="12.75" customHeight="1" thickBot="1" x14ac:dyDescent="0.3">
      <c r="B96" s="75" t="s">
        <v>13</v>
      </c>
      <c r="C96" s="66" t="s">
        <v>14</v>
      </c>
      <c r="D96" s="67" t="s">
        <v>1</v>
      </c>
      <c r="E96" s="67" t="s">
        <v>195</v>
      </c>
      <c r="F96" s="67" t="s">
        <v>2</v>
      </c>
      <c r="G96" s="67" t="s">
        <v>3</v>
      </c>
      <c r="H96" s="67" t="s">
        <v>4</v>
      </c>
      <c r="I96" s="67" t="s">
        <v>5</v>
      </c>
      <c r="J96" s="67" t="s">
        <v>6</v>
      </c>
      <c r="K96" s="67" t="s">
        <v>7</v>
      </c>
      <c r="L96" s="67" t="s">
        <v>295</v>
      </c>
      <c r="M96" s="67" t="s">
        <v>9</v>
      </c>
      <c r="N96" s="67" t="s">
        <v>10</v>
      </c>
      <c r="P96" s="76" t="s">
        <v>19</v>
      </c>
      <c r="Q96" s="77" t="s">
        <v>1</v>
      </c>
      <c r="R96" s="77" t="s">
        <v>195</v>
      </c>
      <c r="S96" s="77" t="s">
        <v>2</v>
      </c>
      <c r="T96" s="77" t="s">
        <v>3</v>
      </c>
      <c r="U96" s="77" t="s">
        <v>4</v>
      </c>
      <c r="V96" s="77" t="s">
        <v>5</v>
      </c>
      <c r="W96" s="77" t="s">
        <v>6</v>
      </c>
      <c r="X96" s="77" t="s">
        <v>7</v>
      </c>
      <c r="Y96" s="77" t="s">
        <v>295</v>
      </c>
      <c r="Z96" s="77" t="s">
        <v>9</v>
      </c>
      <c r="AA96" s="77" t="s">
        <v>10</v>
      </c>
      <c r="AB96" s="254" t="s">
        <v>26</v>
      </c>
      <c r="AC96" s="254"/>
      <c r="AD96" s="13" t="s">
        <v>24</v>
      </c>
      <c r="AE96" s="20">
        <f>MAX(D98:N108)</f>
        <v>922.81002026074566</v>
      </c>
    </row>
    <row r="97" spans="2:31" ht="12.75" customHeight="1" x14ac:dyDescent="0.25">
      <c r="B97" s="93"/>
      <c r="C97" s="94" t="s">
        <v>262</v>
      </c>
      <c r="D97" s="95">
        <f>C98</f>
        <v>-15.698608115073259</v>
      </c>
      <c r="E97" s="95">
        <f>C99</f>
        <v>-20.63050145450288</v>
      </c>
      <c r="F97" s="95">
        <f>C100</f>
        <v>321.15880454247582</v>
      </c>
      <c r="G97" s="95">
        <f>C101</f>
        <v>-11.505402617739907</v>
      </c>
      <c r="H97" s="95">
        <f>C102</f>
        <v>-441.31012674351587</v>
      </c>
      <c r="I97" s="95">
        <f>C103</f>
        <v>-62.146946630508602</v>
      </c>
      <c r="J97" s="95">
        <f>C104</f>
        <v>-21.254864872419102</v>
      </c>
      <c r="K97" s="95">
        <f>C105</f>
        <v>-68.441235071456106</v>
      </c>
      <c r="L97" s="95">
        <f>C106</f>
        <v>-601.65121571826978</v>
      </c>
      <c r="M97" s="95">
        <f>C107</f>
        <v>-118.2592409520723</v>
      </c>
      <c r="N97" s="95">
        <f>C108</f>
        <v>-252.32860898061318</v>
      </c>
      <c r="P97" s="21" t="s">
        <v>1</v>
      </c>
      <c r="Q97" s="97">
        <f>$AE$97+(D98-$AE$95)*($AE$98-$AE$97)/($AE$96-$AE$95)</f>
        <v>3.2362962938100584E-4</v>
      </c>
      <c r="R97" s="97">
        <f t="shared" ref="R97:AA107" si="11">$AE$97+(E98-$AE$95)*($AE$98-$AE$97)/($AE$96-$AE$95)</f>
        <v>5.6663297782404091E-3</v>
      </c>
      <c r="S97" s="97">
        <f t="shared" si="11"/>
        <v>3.2362962938100584E-4</v>
      </c>
      <c r="T97" s="97">
        <f t="shared" si="11"/>
        <v>3.2362962938100584E-4</v>
      </c>
      <c r="U97" s="97">
        <f t="shared" si="11"/>
        <v>0.46138686993770395</v>
      </c>
      <c r="V97" s="97">
        <f t="shared" si="11"/>
        <v>5.0640927271788712E-2</v>
      </c>
      <c r="W97" s="97">
        <f t="shared" si="11"/>
        <v>6.3427001488594028E-3</v>
      </c>
      <c r="X97" s="97">
        <f t="shared" si="11"/>
        <v>5.7459504535323669E-2</v>
      </c>
      <c r="Y97" s="97">
        <f t="shared" si="11"/>
        <v>0.63508372446715933</v>
      </c>
      <c r="Z97" s="97">
        <f t="shared" si="11"/>
        <v>0.11142714923402854</v>
      </c>
      <c r="AA97" s="97">
        <f t="shared" si="11"/>
        <v>0.25666395449843671</v>
      </c>
      <c r="AD97" s="3" t="s">
        <v>25</v>
      </c>
      <c r="AE97" s="2">
        <v>1E-3</v>
      </c>
    </row>
    <row r="98" spans="2:31" ht="12.75" customHeight="1" x14ac:dyDescent="0.25">
      <c r="B98" s="21" t="s">
        <v>1</v>
      </c>
      <c r="C98" s="95">
        <f>Annual_sorted!G85</f>
        <v>-15.698608115073259</v>
      </c>
      <c r="D98" s="29">
        <f>IF(C98-Table_14634578111623445260687684[Burundi]&gt;0, C98-Table_14634578111623445260687684[Burundi], 0)</f>
        <v>0</v>
      </c>
      <c r="E98" s="29">
        <f>IF(C98-Table_14634578111623445260687684[DRC]&gt;0, C98-Table_14634578111623445260687684[DRC], 0)</f>
        <v>4.9318933394296209</v>
      </c>
      <c r="F98" s="29">
        <f>IF(C98-Table_14634578111623445260687684[Egypt]&gt;0, C98-Table_14634578111623445260687684[Egypt], 0)</f>
        <v>0</v>
      </c>
      <c r="G98" s="29">
        <f>IF(C98-Table_14634578111623445260687684[Eritrea]&gt;0, C98-Table_14634578111623445260687684[Eritrea], 0)</f>
        <v>0</v>
      </c>
      <c r="H98" s="29">
        <f>IF(C98-Table_14634578111623445260687684[Ethiopia]&gt;0, C98-Table_14634578111623445260687684[Ethiopia], 0)</f>
        <v>425.61151862844258</v>
      </c>
      <c r="I98" s="29">
        <f>IF(C98-Table_14634578111623445260687684[Kenya]&gt;0, C98-Table_14634578111623445260687684[Kenya], 0)</f>
        <v>46.448338515435339</v>
      </c>
      <c r="J98" s="29">
        <f>IF(C98-Table_14634578111623445260687684[Rwanda]&gt;0, C98-Table_14634578111623445260687684[Rwanda], 0)</f>
        <v>5.5562567573458423</v>
      </c>
      <c r="K98" s="29">
        <f>IF(C98-Table_14634578111623445260687684[Sudan]&gt;0, C98-Table_14634578111623445260687684[Sudan], 0)</f>
        <v>52.74262695638285</v>
      </c>
      <c r="L98" s="29">
        <f>IF(C98-Table_14634578111623445260687684[S. Sudan]&gt;0, C98-Table_14634578111623445260687684[S. Sudan], 0)</f>
        <v>585.9526076031965</v>
      </c>
      <c r="M98" s="29">
        <f>IF(C98-Table_14634578111623445260687684[Tanzania]&gt;0, C98-Table_14634578111623445260687684[Tanzania], 0)</f>
        <v>102.56063283699905</v>
      </c>
      <c r="N98" s="29">
        <f>IF(C98-Table_14634578111623445260687684[Uganda]&gt;0, C98-Table_14634578111623445260687684[Uganda], 0)</f>
        <v>236.63000086553993</v>
      </c>
      <c r="P98" s="21" t="s">
        <v>195</v>
      </c>
      <c r="Q98" s="97">
        <f t="shared" ref="Q98:Q107" si="12">$AE$97+(D99-$AE$95)*($AE$98-$AE$97)/($AE$96-$AE$95)</f>
        <v>3.2362962938100584E-4</v>
      </c>
      <c r="R98" s="97">
        <f t="shared" si="11"/>
        <v>3.2362962938100584E-4</v>
      </c>
      <c r="S98" s="97">
        <f t="shared" si="11"/>
        <v>3.2362962938100584E-4</v>
      </c>
      <c r="T98" s="97">
        <f t="shared" si="11"/>
        <v>3.2362962938100584E-4</v>
      </c>
      <c r="U98" s="97">
        <f t="shared" si="11"/>
        <v>0.4560441697888446</v>
      </c>
      <c r="V98" s="97">
        <f t="shared" si="11"/>
        <v>4.5298227122929309E-2</v>
      </c>
      <c r="W98" s="97">
        <f t="shared" si="11"/>
        <v>1E-3</v>
      </c>
      <c r="X98" s="97">
        <f t="shared" si="11"/>
        <v>5.2116804386464266E-2</v>
      </c>
      <c r="Y98" s="97">
        <f t="shared" si="11"/>
        <v>0.62974102431829992</v>
      </c>
      <c r="Z98" s="97">
        <f t="shared" si="11"/>
        <v>0.10608444908516913</v>
      </c>
      <c r="AA98" s="97">
        <f t="shared" si="11"/>
        <v>0.25132125434957731</v>
      </c>
      <c r="AD98" s="3" t="s">
        <v>70</v>
      </c>
      <c r="AE98" s="2">
        <v>1</v>
      </c>
    </row>
    <row r="99" spans="2:31" ht="12.75" customHeight="1" x14ac:dyDescent="0.25">
      <c r="B99" s="21" t="s">
        <v>195</v>
      </c>
      <c r="C99" s="95">
        <f>Annual_sorted!G86</f>
        <v>-20.63050145450288</v>
      </c>
      <c r="D99" s="29">
        <f>IF(C99-Table_14634578111623445260687684[Burundi]&gt;0, C99-Table_14634578111623445260687684[Burundi], 0)</f>
        <v>0</v>
      </c>
      <c r="E99" s="29">
        <f>IF(C99-Table_14634578111623445260687684[DRC]&gt;0, C99-Table_14634578111623445260687684[DRC], 0)</f>
        <v>0</v>
      </c>
      <c r="F99" s="29">
        <f>IF(C99-Table_14634578111623445260687684[Egypt]&gt;0, C99-Table_14634578111623445260687684[Egypt], 0)</f>
        <v>0</v>
      </c>
      <c r="G99" s="29">
        <f>IF(C99-Table_14634578111623445260687684[Eritrea]&gt;0, C99-Table_14634578111623445260687684[Eritrea], 0)</f>
        <v>0</v>
      </c>
      <c r="H99" s="29">
        <f>IF(C99-Table_14634578111623445260687684[Ethiopia]&gt;0, C99-Table_14634578111623445260687684[Ethiopia], 0)</f>
        <v>420.67962528901296</v>
      </c>
      <c r="I99" s="29">
        <f>IF(C99-Table_14634578111623445260687684[Kenya]&gt;0, C99-Table_14634578111623445260687684[Kenya], 0)</f>
        <v>41.516445176005718</v>
      </c>
      <c r="J99" s="29">
        <f>IF(C99-Table_14634578111623445260687684[Rwanda]&gt;0, C99-Table_14634578111623445260687684[Rwanda], 0)</f>
        <v>0.62436341791622141</v>
      </c>
      <c r="K99" s="29">
        <f>IF(C99-Table_14634578111623445260687684[Sudan]&gt;0, C99-Table_14634578111623445260687684[Sudan], 0)</f>
        <v>47.810733616953229</v>
      </c>
      <c r="L99" s="29">
        <f>IF(C99-Table_14634578111623445260687684[S. Sudan]&gt;0, C99-Table_14634578111623445260687684[S. Sudan], 0)</f>
        <v>581.02071426376688</v>
      </c>
      <c r="M99" s="29">
        <f>IF(C99-Table_14634578111623445260687684[Tanzania]&gt;0, C99-Table_14634578111623445260687684[Tanzania], 0)</f>
        <v>97.628739497569427</v>
      </c>
      <c r="N99" s="29">
        <f>IF(C99-Table_14634578111623445260687684[Uganda]&gt;0, C99-Table_14634578111623445260687684[Uganda], 0)</f>
        <v>231.69810752611031</v>
      </c>
      <c r="P99" s="21" t="s">
        <v>2</v>
      </c>
      <c r="Q99" s="97">
        <f t="shared" si="12"/>
        <v>0.3652399051622216</v>
      </c>
      <c r="R99" s="97">
        <f t="shared" si="11"/>
        <v>0.37058260531108106</v>
      </c>
      <c r="S99" s="97">
        <f t="shared" si="11"/>
        <v>3.2362962938100584E-4</v>
      </c>
      <c r="T99" s="97">
        <f t="shared" si="11"/>
        <v>0.36069742257126758</v>
      </c>
      <c r="U99" s="97">
        <f t="shared" si="11"/>
        <v>0.82630314547054462</v>
      </c>
      <c r="V99" s="97">
        <f t="shared" si="11"/>
        <v>0.41555720280462932</v>
      </c>
      <c r="W99" s="97">
        <f t="shared" si="11"/>
        <v>0.37125897568169997</v>
      </c>
      <c r="X99" s="97">
        <f t="shared" si="11"/>
        <v>0.42237578006816423</v>
      </c>
      <c r="Y99" s="97">
        <f t="shared" si="11"/>
        <v>0.99999999999999989</v>
      </c>
      <c r="Z99" s="97">
        <f t="shared" si="11"/>
        <v>0.47634342476686908</v>
      </c>
      <c r="AA99" s="97">
        <f t="shared" si="11"/>
        <v>0.62158023003127727</v>
      </c>
    </row>
    <row r="100" spans="2:31" ht="12.75" customHeight="1" x14ac:dyDescent="0.25">
      <c r="B100" s="21" t="s">
        <v>2</v>
      </c>
      <c r="C100" s="95">
        <f>Annual_sorted!G87</f>
        <v>321.15880454247582</v>
      </c>
      <c r="D100" s="29">
        <f>IF(C100-Table_14634578111623445260687684[Burundi]&gt;0, C100-Table_14634578111623445260687684[Burundi], 0)</f>
        <v>336.85741265754911</v>
      </c>
      <c r="E100" s="29">
        <f>IF(C100-Table_14634578111623445260687684[DRC]&gt;0, C100-Table_14634578111623445260687684[DRC], 0)</f>
        <v>341.78930599697873</v>
      </c>
      <c r="F100" s="29">
        <f>IF(C100-Table_14634578111623445260687684[Egypt]&gt;0, C100-Table_14634578111623445260687684[Egypt], 0)</f>
        <v>0</v>
      </c>
      <c r="G100" s="29">
        <f>IF(C100-Table_14634578111623445260687684[Eritrea]&gt;0, C100-Table_14634578111623445260687684[Eritrea], 0)</f>
        <v>332.66420716021571</v>
      </c>
      <c r="H100" s="29">
        <f>IF(C100-Table_14634578111623445260687684[Ethiopia]&gt;0, C100-Table_14634578111623445260687684[Ethiopia], 0)</f>
        <v>762.46893128599163</v>
      </c>
      <c r="I100" s="29">
        <f>IF(C100-Table_14634578111623445260687684[Kenya]&gt;0, C100-Table_14634578111623445260687684[Kenya], 0)</f>
        <v>383.3057511729844</v>
      </c>
      <c r="J100" s="29">
        <f>IF(C100-Table_14634578111623445260687684[Rwanda]&gt;0, C100-Table_14634578111623445260687684[Rwanda], 0)</f>
        <v>342.41366941489491</v>
      </c>
      <c r="K100" s="29">
        <f>IF(C100-Table_14634578111623445260687684[Sudan]&gt;0, C100-Table_14634578111623445260687684[Sudan], 0)</f>
        <v>389.60003961393193</v>
      </c>
      <c r="L100" s="29">
        <f>IF(C100-Table_14634578111623445260687684[S. Sudan]&gt;0, C100-Table_14634578111623445260687684[S. Sudan], 0)</f>
        <v>922.81002026074566</v>
      </c>
      <c r="M100" s="29">
        <f>IF(C100-Table_14634578111623445260687684[Tanzania]&gt;0, C100-Table_14634578111623445260687684[Tanzania], 0)</f>
        <v>439.4180454945481</v>
      </c>
      <c r="N100" s="29">
        <f>IF(C100-Table_14634578111623445260687684[Uganda]&gt;0, C100-Table_14634578111623445260687684[Uganda], 0)</f>
        <v>573.487413523089</v>
      </c>
      <c r="P100" s="21" t="s">
        <v>3</v>
      </c>
      <c r="Q100" s="97">
        <f t="shared" si="12"/>
        <v>4.8661122203349913E-3</v>
      </c>
      <c r="R100" s="97">
        <f t="shared" si="11"/>
        <v>1.0208812369194395E-2</v>
      </c>
      <c r="S100" s="97">
        <f t="shared" si="11"/>
        <v>3.2362962938100584E-4</v>
      </c>
      <c r="T100" s="97">
        <f t="shared" si="11"/>
        <v>3.2362962938100584E-4</v>
      </c>
      <c r="U100" s="97">
        <f t="shared" si="11"/>
        <v>0.46592935252865803</v>
      </c>
      <c r="V100" s="97">
        <f t="shared" si="11"/>
        <v>5.5183409862742699E-2</v>
      </c>
      <c r="W100" s="97">
        <f t="shared" si="11"/>
        <v>1.0885182739813388E-2</v>
      </c>
      <c r="X100" s="97">
        <f t="shared" si="11"/>
        <v>6.2001987126277656E-2</v>
      </c>
      <c r="Y100" s="97">
        <f t="shared" si="11"/>
        <v>0.63962620705811335</v>
      </c>
      <c r="Z100" s="97">
        <f t="shared" si="11"/>
        <v>0.1159696318249825</v>
      </c>
      <c r="AA100" s="97">
        <f t="shared" si="11"/>
        <v>0.26120643708939068</v>
      </c>
    </row>
    <row r="101" spans="2:31" ht="12.75" customHeight="1" x14ac:dyDescent="0.25">
      <c r="B101" s="21" t="s">
        <v>3</v>
      </c>
      <c r="C101" s="95">
        <f>Annual_sorted!G88</f>
        <v>-11.505402617739907</v>
      </c>
      <c r="D101" s="29">
        <f>IF(C101-Table_14634578111623445260687684[Burundi]&gt;0, C101-Table_14634578111623445260687684[Burundi], 0)</f>
        <v>4.1932054973333521</v>
      </c>
      <c r="E101" s="29">
        <f>IF(C101-Table_14634578111623445260687684[DRC]&gt;0, C101-Table_14634578111623445260687684[DRC], 0)</f>
        <v>9.1250988367629731</v>
      </c>
      <c r="F101" s="29">
        <f>IF(C101-Table_14634578111623445260687684[Egypt]&gt;0, C101-Table_14634578111623445260687684[Egypt], 0)</f>
        <v>0</v>
      </c>
      <c r="G101" s="29">
        <f>IF(C101-Table_14634578111623445260687684[Eritrea]&gt;0, C101-Table_14634578111623445260687684[Eritrea], 0)</f>
        <v>0</v>
      </c>
      <c r="H101" s="29">
        <f>IF(C101-Table_14634578111623445260687684[Ethiopia]&gt;0, C101-Table_14634578111623445260687684[Ethiopia], 0)</f>
        <v>429.80472412577598</v>
      </c>
      <c r="I101" s="29">
        <f>IF(C101-Table_14634578111623445260687684[Kenya]&gt;0, C101-Table_14634578111623445260687684[Kenya], 0)</f>
        <v>50.641544012768691</v>
      </c>
      <c r="J101" s="29">
        <f>IF(C101-Table_14634578111623445260687684[Rwanda]&gt;0, C101-Table_14634578111623445260687684[Rwanda], 0)</f>
        <v>9.7494622546791945</v>
      </c>
      <c r="K101" s="29">
        <f>IF(C101-Table_14634578111623445260687684[Sudan]&gt;0, C101-Table_14634578111623445260687684[Sudan], 0)</f>
        <v>56.935832453716202</v>
      </c>
      <c r="L101" s="29">
        <f>IF(C101-Table_14634578111623445260687684[S. Sudan]&gt;0, C101-Table_14634578111623445260687684[S. Sudan], 0)</f>
        <v>590.14581310052984</v>
      </c>
      <c r="M101" s="29">
        <f>IF(C101-Table_14634578111623445260687684[Tanzania]&gt;0, C101-Table_14634578111623445260687684[Tanzania], 0)</f>
        <v>106.7538383343324</v>
      </c>
      <c r="N101" s="29">
        <f>IF(C101-Table_14634578111623445260687684[Uganda]&gt;0, C101-Table_14634578111623445260687684[Uganda], 0)</f>
        <v>240.82320636287326</v>
      </c>
      <c r="P101" s="21" t="s">
        <v>4</v>
      </c>
      <c r="Q101" s="97">
        <f t="shared" si="12"/>
        <v>3.2362962938100584E-4</v>
      </c>
      <c r="R101" s="97">
        <f t="shared" si="11"/>
        <v>3.2362962938100584E-4</v>
      </c>
      <c r="S101" s="97">
        <f t="shared" si="11"/>
        <v>3.2362962938100584E-4</v>
      </c>
      <c r="T101" s="97">
        <f t="shared" si="11"/>
        <v>3.2362962938100584E-4</v>
      </c>
      <c r="U101" s="97">
        <f t="shared" si="11"/>
        <v>3.2362962938100584E-4</v>
      </c>
      <c r="V101" s="97">
        <f t="shared" si="11"/>
        <v>3.2362962938100584E-4</v>
      </c>
      <c r="W101" s="97">
        <f t="shared" si="11"/>
        <v>3.2362962938100584E-4</v>
      </c>
      <c r="X101" s="97">
        <f t="shared" si="11"/>
        <v>3.2362962938100584E-4</v>
      </c>
      <c r="Y101" s="97">
        <f t="shared" si="11"/>
        <v>0.17402048415883634</v>
      </c>
      <c r="Z101" s="97">
        <f t="shared" si="11"/>
        <v>3.2362962938100584E-4</v>
      </c>
      <c r="AA101" s="97">
        <f t="shared" si="11"/>
        <v>3.2362962938100584E-4</v>
      </c>
    </row>
    <row r="102" spans="2:31" ht="12.75" customHeight="1" x14ac:dyDescent="0.25">
      <c r="B102" s="21" t="s">
        <v>4</v>
      </c>
      <c r="C102" s="95">
        <f>Annual_sorted!G89</f>
        <v>-441.31012674351587</v>
      </c>
      <c r="D102" s="29">
        <f>IF(C102-Table_14634578111623445260687684[Burundi]&gt;0, C102-Table_14634578111623445260687684[Burundi], 0)</f>
        <v>0</v>
      </c>
      <c r="E102" s="29">
        <f>IF(C102-Table_14634578111623445260687684[DRC]&gt;0, C102-Table_14634578111623445260687684[DRC], 0)</f>
        <v>0</v>
      </c>
      <c r="F102" s="29">
        <f>IF(C102-Table_14634578111623445260687684[Egypt]&gt;0, C102-Table_14634578111623445260687684[Egypt], 0)</f>
        <v>0</v>
      </c>
      <c r="G102" s="29">
        <f>IF(C102-Table_14634578111623445260687684[Eritrea]&gt;0, C102-Table_14634578111623445260687684[Eritrea], 0)</f>
        <v>0</v>
      </c>
      <c r="H102" s="29">
        <f>IF(C102-Table_14634578111623445260687684[Ethiopia]&gt;0, C102-Table_14634578111623445260687684[Ethiopia], 0)</f>
        <v>0</v>
      </c>
      <c r="I102" s="29">
        <f>IF(C102-Table_14634578111623445260687684[Kenya]&gt;0, C102-Table_14634578111623445260687684[Kenya], 0)</f>
        <v>0</v>
      </c>
      <c r="J102" s="29">
        <f>IF(C102-Table_14634578111623445260687684[Rwanda]&gt;0, C102-Table_14634578111623445260687684[Rwanda], 0)</f>
        <v>0</v>
      </c>
      <c r="K102" s="29">
        <f>IF(C102-Table_14634578111623445260687684[Sudan]&gt;0, C102-Table_14634578111623445260687684[Sudan], 0)</f>
        <v>0</v>
      </c>
      <c r="L102" s="29">
        <f>IF(C102-Table_14634578111623445260687684[S. Sudan]&gt;0, C102-Table_14634578111623445260687684[S. Sudan], 0)</f>
        <v>160.34108897475392</v>
      </c>
      <c r="M102" s="29">
        <f>IF(C102-Table_14634578111623445260687684[Tanzania]&gt;0, C102-Table_14634578111623445260687684[Tanzania], 0)</f>
        <v>0</v>
      </c>
      <c r="N102" s="29">
        <f>IF(C102-Table_14634578111623445260687684[Uganda]&gt;0, C102-Table_14634578111623445260687684[Uganda], 0)</f>
        <v>0</v>
      </c>
      <c r="P102" s="21" t="s">
        <v>5</v>
      </c>
      <c r="Q102" s="97">
        <f t="shared" si="12"/>
        <v>3.2362962938100584E-4</v>
      </c>
      <c r="R102" s="97">
        <f t="shared" si="11"/>
        <v>3.2362962938100584E-4</v>
      </c>
      <c r="S102" s="97">
        <f t="shared" si="11"/>
        <v>3.2362962938100584E-4</v>
      </c>
      <c r="T102" s="97">
        <f t="shared" si="11"/>
        <v>3.2362962938100584E-4</v>
      </c>
      <c r="U102" s="97">
        <f t="shared" si="11"/>
        <v>0.41106957229529634</v>
      </c>
      <c r="V102" s="97">
        <f t="shared" si="11"/>
        <v>3.2362962938100584E-4</v>
      </c>
      <c r="W102" s="97">
        <f t="shared" si="11"/>
        <v>3.2362962938100584E-4</v>
      </c>
      <c r="X102" s="97">
        <f t="shared" si="11"/>
        <v>7.1422068929159511E-3</v>
      </c>
      <c r="Y102" s="97">
        <f t="shared" si="11"/>
        <v>0.58476642682475155</v>
      </c>
      <c r="Z102" s="97">
        <f t="shared" si="11"/>
        <v>6.1109851591620815E-2</v>
      </c>
      <c r="AA102" s="97">
        <f t="shared" si="11"/>
        <v>0.20634665685602896</v>
      </c>
    </row>
    <row r="103" spans="2:31" ht="12.75" customHeight="1" x14ac:dyDescent="0.25">
      <c r="B103" s="21" t="s">
        <v>5</v>
      </c>
      <c r="C103" s="95">
        <f>Annual_sorted!G90</f>
        <v>-62.146946630508602</v>
      </c>
      <c r="D103" s="29">
        <f>IF(C103-Table_14634578111623445260687684[Burundi]&gt;0, C103-Table_14634578111623445260687684[Burundi], 0)</f>
        <v>0</v>
      </c>
      <c r="E103" s="29">
        <f>IF(C103-Table_14634578111623445260687684[DRC]&gt;0, C103-Table_14634578111623445260687684[DRC], 0)</f>
        <v>0</v>
      </c>
      <c r="F103" s="29">
        <f>IF(C103-Table_14634578111623445260687684[Egypt]&gt;0, C103-Table_14634578111623445260687684[Egypt], 0)</f>
        <v>0</v>
      </c>
      <c r="G103" s="29">
        <f>IF(C103-Table_14634578111623445260687684[Eritrea]&gt;0, C103-Table_14634578111623445260687684[Eritrea], 0)</f>
        <v>0</v>
      </c>
      <c r="H103" s="29">
        <f>IF(C103-Table_14634578111623445260687684[Ethiopia]&gt;0, C103-Table_14634578111623445260687684[Ethiopia], 0)</f>
        <v>379.16318011300729</v>
      </c>
      <c r="I103" s="29">
        <f>IF(C103-Table_14634578111623445260687684[Kenya]&gt;0, C103-Table_14634578111623445260687684[Kenya], 0)</f>
        <v>0</v>
      </c>
      <c r="J103" s="29">
        <f>IF(C103-Table_14634578111623445260687684[Rwanda]&gt;0, C103-Table_14634578111623445260687684[Rwanda], 0)</f>
        <v>0</v>
      </c>
      <c r="K103" s="29">
        <f>IF(C103-Table_14634578111623445260687684[Sudan]&gt;0, C103-Table_14634578111623445260687684[Sudan], 0)</f>
        <v>6.2942884409475042</v>
      </c>
      <c r="L103" s="29">
        <f>IF(C103-Table_14634578111623445260687684[S. Sudan]&gt;0, C103-Table_14634578111623445260687684[S. Sudan], 0)</f>
        <v>539.50426908776114</v>
      </c>
      <c r="M103" s="29">
        <f>IF(C103-Table_14634578111623445260687684[Tanzania]&gt;0, C103-Table_14634578111623445260687684[Tanzania], 0)</f>
        <v>56.112294321563702</v>
      </c>
      <c r="N103" s="29">
        <f>IF(C103-Table_14634578111623445260687684[Uganda]&gt;0, C103-Table_14634578111623445260687684[Uganda], 0)</f>
        <v>190.18166235010457</v>
      </c>
      <c r="P103" s="21" t="s">
        <v>6</v>
      </c>
      <c r="Q103" s="97">
        <f t="shared" si="12"/>
        <v>3.2362962938100584E-4</v>
      </c>
      <c r="R103" s="97">
        <f t="shared" si="11"/>
        <v>3.2362962938100584E-4</v>
      </c>
      <c r="S103" s="97">
        <f t="shared" si="11"/>
        <v>3.2362962938100584E-4</v>
      </c>
      <c r="T103" s="97">
        <f t="shared" si="11"/>
        <v>3.2362962938100584E-4</v>
      </c>
      <c r="U103" s="97">
        <f t="shared" si="11"/>
        <v>0.45536779941822558</v>
      </c>
      <c r="V103" s="97">
        <f t="shared" si="11"/>
        <v>4.462185675231032E-2</v>
      </c>
      <c r="W103" s="97">
        <f t="shared" si="11"/>
        <v>3.2362962938100584E-4</v>
      </c>
      <c r="X103" s="97">
        <f t="shared" si="11"/>
        <v>5.1440434015845263E-2</v>
      </c>
      <c r="Y103" s="97">
        <f t="shared" si="11"/>
        <v>0.62906465394768085</v>
      </c>
      <c r="Z103" s="97">
        <f t="shared" si="11"/>
        <v>0.10540807871455012</v>
      </c>
      <c r="AA103" s="97">
        <f t="shared" si="11"/>
        <v>0.25064488397895829</v>
      </c>
    </row>
    <row r="104" spans="2:31" ht="12.75" customHeight="1" x14ac:dyDescent="0.25">
      <c r="B104" s="21" t="s">
        <v>6</v>
      </c>
      <c r="C104" s="95">
        <f>Annual_sorted!G91</f>
        <v>-21.254864872419102</v>
      </c>
      <c r="D104" s="29">
        <f>IF(C104-Table_14634578111623445260687684[Burundi]&gt;0, C104-Table_14634578111623445260687684[Burundi], 0)</f>
        <v>0</v>
      </c>
      <c r="E104" s="29">
        <f>IF(C104-Table_14634578111623445260687684[DRC]&gt;0, C104-Table_14634578111623445260687684[DRC], 0)</f>
        <v>0</v>
      </c>
      <c r="F104" s="29">
        <f>IF(C104-Table_14634578111623445260687684[Egypt]&gt;0, C104-Table_14634578111623445260687684[Egypt], 0)</f>
        <v>0</v>
      </c>
      <c r="G104" s="29">
        <f>IF(C104-Table_14634578111623445260687684[Eritrea]&gt;0, C104-Table_14634578111623445260687684[Eritrea], 0)</f>
        <v>0</v>
      </c>
      <c r="H104" s="29">
        <f>IF(C104-Table_14634578111623445260687684[Ethiopia]&gt;0, C104-Table_14634578111623445260687684[Ethiopia], 0)</f>
        <v>420.05526187109677</v>
      </c>
      <c r="I104" s="29">
        <f>IF(C104-Table_14634578111623445260687684[Kenya]&gt;0, C104-Table_14634578111623445260687684[Kenya], 0)</f>
        <v>40.892081758089503</v>
      </c>
      <c r="J104" s="29">
        <f>IF(C104-Table_14634578111623445260687684[Rwanda]&gt;0, C104-Table_14634578111623445260687684[Rwanda], 0)</f>
        <v>0</v>
      </c>
      <c r="K104" s="29">
        <f>IF(C104-Table_14634578111623445260687684[Sudan]&gt;0, C104-Table_14634578111623445260687684[Sudan], 0)</f>
        <v>47.186370199037</v>
      </c>
      <c r="L104" s="29">
        <f>IF(C104-Table_14634578111623445260687684[S. Sudan]&gt;0, C104-Table_14634578111623445260687684[S. Sudan], 0)</f>
        <v>580.39635084585063</v>
      </c>
      <c r="M104" s="29">
        <f>IF(C104-Table_14634578111623445260687684[Tanzania]&gt;0, C104-Table_14634578111623445260687684[Tanzania], 0)</f>
        <v>97.004376079653198</v>
      </c>
      <c r="N104" s="29">
        <f>IF(C104-Table_14634578111623445260687684[Uganda]&gt;0, C104-Table_14634578111623445260687684[Uganda], 0)</f>
        <v>231.07374410819409</v>
      </c>
      <c r="P104" s="21" t="s">
        <v>7</v>
      </c>
      <c r="Q104" s="97">
        <f t="shared" si="12"/>
        <v>3.2362962938100584E-4</v>
      </c>
      <c r="R104" s="97">
        <f t="shared" si="11"/>
        <v>3.2362962938100584E-4</v>
      </c>
      <c r="S104" s="97">
        <f t="shared" si="11"/>
        <v>3.2362962938100584E-4</v>
      </c>
      <c r="T104" s="97">
        <f t="shared" si="11"/>
        <v>3.2362962938100584E-4</v>
      </c>
      <c r="U104" s="97">
        <f t="shared" si="11"/>
        <v>0.40425099503176132</v>
      </c>
      <c r="V104" s="97">
        <f t="shared" si="11"/>
        <v>3.2362962938100584E-4</v>
      </c>
      <c r="W104" s="97">
        <f t="shared" si="11"/>
        <v>3.2362962938100584E-4</v>
      </c>
      <c r="X104" s="97">
        <f t="shared" si="11"/>
        <v>3.2362962938100584E-4</v>
      </c>
      <c r="Y104" s="97">
        <f t="shared" si="11"/>
        <v>0.5779478495612167</v>
      </c>
      <c r="Z104" s="97">
        <f t="shared" si="11"/>
        <v>5.4291274328085871E-2</v>
      </c>
      <c r="AA104" s="97">
        <f t="shared" si="11"/>
        <v>0.19952807959249405</v>
      </c>
    </row>
    <row r="105" spans="2:31" ht="12.75" customHeight="1" x14ac:dyDescent="0.25">
      <c r="B105" s="21" t="s">
        <v>7</v>
      </c>
      <c r="C105" s="95">
        <f>Annual_sorted!G92</f>
        <v>-68.441235071456106</v>
      </c>
      <c r="D105" s="29">
        <f>IF(C105-Table_14634578111623445260687684[Burundi]&gt;0, C105-Table_14634578111623445260687684[Burundi], 0)</f>
        <v>0</v>
      </c>
      <c r="E105" s="29">
        <f>IF(C105-Table_14634578111623445260687684[DRC]&gt;0, C105-Table_14634578111623445260687684[DRC], 0)</f>
        <v>0</v>
      </c>
      <c r="F105" s="29">
        <f>IF(C105-Table_14634578111623445260687684[Egypt]&gt;0, C105-Table_14634578111623445260687684[Egypt], 0)</f>
        <v>0</v>
      </c>
      <c r="G105" s="29">
        <f>IF(C105-Table_14634578111623445260687684[Eritrea]&gt;0, C105-Table_14634578111623445260687684[Eritrea], 0)</f>
        <v>0</v>
      </c>
      <c r="H105" s="29">
        <f>IF(C105-Table_14634578111623445260687684[Ethiopia]&gt;0, C105-Table_14634578111623445260687684[Ethiopia], 0)</f>
        <v>372.86889167205976</v>
      </c>
      <c r="I105" s="29">
        <f>IF(C105-Table_14634578111623445260687684[Kenya]&gt;0, C105-Table_14634578111623445260687684[Kenya], 0)</f>
        <v>0</v>
      </c>
      <c r="J105" s="29">
        <f>IF(C105-Table_14634578111623445260687684[Rwanda]&gt;0, C105-Table_14634578111623445260687684[Rwanda], 0)</f>
        <v>0</v>
      </c>
      <c r="K105" s="29">
        <f>IF(C105-Table_14634578111623445260687684[Sudan]&gt;0, C105-Table_14634578111623445260687684[Sudan], 0)</f>
        <v>0</v>
      </c>
      <c r="L105" s="29">
        <f>IF(C105-Table_14634578111623445260687684[S. Sudan]&gt;0, C105-Table_14634578111623445260687684[S. Sudan], 0)</f>
        <v>533.20998064681362</v>
      </c>
      <c r="M105" s="29">
        <f>IF(C105-Table_14634578111623445260687684[Tanzania]&gt;0, C105-Table_14634578111623445260687684[Tanzania], 0)</f>
        <v>49.818005880616198</v>
      </c>
      <c r="N105" s="29">
        <f>IF(C105-Table_14634578111623445260687684[Uganda]&gt;0, C105-Table_14634578111623445260687684[Uganda], 0)</f>
        <v>183.88737390915708</v>
      </c>
      <c r="P105" s="21" t="s">
        <v>8</v>
      </c>
      <c r="Q105" s="97">
        <f t="shared" si="12"/>
        <v>3.2362962938100584E-4</v>
      </c>
      <c r="R105" s="97">
        <f t="shared" si="11"/>
        <v>3.2362962938100584E-4</v>
      </c>
      <c r="S105" s="97">
        <f t="shared" si="11"/>
        <v>3.2362962938100584E-4</v>
      </c>
      <c r="T105" s="97">
        <f t="shared" si="11"/>
        <v>3.2362962938100584E-4</v>
      </c>
      <c r="U105" s="97">
        <f t="shared" si="11"/>
        <v>3.2362962938100584E-4</v>
      </c>
      <c r="V105" s="97">
        <f t="shared" si="11"/>
        <v>3.2362962938100584E-4</v>
      </c>
      <c r="W105" s="97">
        <f t="shared" si="11"/>
        <v>3.2362962938100584E-4</v>
      </c>
      <c r="X105" s="97">
        <f t="shared" si="11"/>
        <v>3.2362962938100584E-4</v>
      </c>
      <c r="Y105" s="97">
        <f t="shared" si="11"/>
        <v>3.2362962938100584E-4</v>
      </c>
      <c r="Z105" s="97">
        <f t="shared" si="11"/>
        <v>3.2362962938100584E-4</v>
      </c>
      <c r="AA105" s="97">
        <f t="shared" si="11"/>
        <v>3.2362962938100584E-4</v>
      </c>
    </row>
    <row r="106" spans="2:31" ht="12.75" customHeight="1" x14ac:dyDescent="0.25">
      <c r="B106" s="21" t="s">
        <v>8</v>
      </c>
      <c r="C106" s="95">
        <f>Annual_sorted!G93</f>
        <v>-601.65121571826978</v>
      </c>
      <c r="D106" s="29">
        <f>IF(C106-Table_14634578111623445260687684[Burundi]&gt;0, C106-Table_14634578111623445260687684[Burundi], 0)</f>
        <v>0</v>
      </c>
      <c r="E106" s="29">
        <f>IF(C106-Table_14634578111623445260687684[DRC]&gt;0, C106-Table_14634578111623445260687684[DRC], 0)</f>
        <v>0</v>
      </c>
      <c r="F106" s="29">
        <f>IF(C106-Table_14634578111623445260687684[Egypt]&gt;0, C106-Table_14634578111623445260687684[Egypt], 0)</f>
        <v>0</v>
      </c>
      <c r="G106" s="29">
        <f>IF(C106-Table_14634578111623445260687684[Eritrea]&gt;0, C106-Table_14634578111623445260687684[Eritrea], 0)</f>
        <v>0</v>
      </c>
      <c r="H106" s="29">
        <f>IF(C106-Table_14634578111623445260687684[Ethiopia]&gt;0, C106-Table_14634578111623445260687684[Ethiopia], 0)</f>
        <v>0</v>
      </c>
      <c r="I106" s="29">
        <f>IF(C106-Table_14634578111623445260687684[Kenya]&gt;0, C106-Table_14634578111623445260687684[Kenya], 0)</f>
        <v>0</v>
      </c>
      <c r="J106" s="29">
        <f>IF(C106-Table_14634578111623445260687684[Rwanda]&gt;0, C106-Table_14634578111623445260687684[Rwanda], 0)</f>
        <v>0</v>
      </c>
      <c r="K106" s="29">
        <f>IF(C106-Table_14634578111623445260687684[Sudan]&gt;0, C106-Table_14634578111623445260687684[Sudan], 0)</f>
        <v>0</v>
      </c>
      <c r="L106" s="29">
        <f>IF(C106-Table_14634578111623445260687684[S. Sudan]&gt;0, C106-Table_14634578111623445260687684[S. Sudan], 0)</f>
        <v>0</v>
      </c>
      <c r="M106" s="29">
        <f>IF(C106-Table_14634578111623445260687684[Tanzania]&gt;0, C106-Table_14634578111623445260687684[Tanzania], 0)</f>
        <v>0</v>
      </c>
      <c r="N106" s="29">
        <f>IF(C106-Table_14634578111623445260687684[Uganda]&gt;0, C106-Table_14634578111623445260687684[Uganda], 0)</f>
        <v>0</v>
      </c>
      <c r="P106" s="21" t="s">
        <v>9</v>
      </c>
      <c r="Q106" s="97">
        <f t="shared" si="12"/>
        <v>3.2362962938100584E-4</v>
      </c>
      <c r="R106" s="97">
        <f t="shared" si="11"/>
        <v>3.2362962938100584E-4</v>
      </c>
      <c r="S106" s="97">
        <f t="shared" si="11"/>
        <v>3.2362962938100584E-4</v>
      </c>
      <c r="T106" s="97">
        <f t="shared" si="11"/>
        <v>3.2362962938100584E-4</v>
      </c>
      <c r="U106" s="97">
        <f t="shared" si="11"/>
        <v>0.35028335033305646</v>
      </c>
      <c r="V106" s="97">
        <f t="shared" si="11"/>
        <v>3.2362962938100584E-4</v>
      </c>
      <c r="W106" s="97">
        <f t="shared" si="11"/>
        <v>3.2362962938100584E-4</v>
      </c>
      <c r="X106" s="97">
        <f t="shared" si="11"/>
        <v>3.2362962938100584E-4</v>
      </c>
      <c r="Y106" s="97">
        <f t="shared" si="11"/>
        <v>0.52398020486251184</v>
      </c>
      <c r="Z106" s="97">
        <f t="shared" si="11"/>
        <v>3.2362962938100584E-4</v>
      </c>
      <c r="AA106" s="97">
        <f t="shared" si="11"/>
        <v>0.14556043489378917</v>
      </c>
    </row>
    <row r="107" spans="2:31" ht="12.75" customHeight="1" thickBot="1" x14ac:dyDescent="0.3">
      <c r="B107" s="21" t="s">
        <v>9</v>
      </c>
      <c r="C107" s="95">
        <f>Annual_sorted!G94</f>
        <v>-118.2592409520723</v>
      </c>
      <c r="D107" s="29">
        <f>IF(C107-Table_14634578111623445260687684[Burundi]&gt;0, C107-Table_14634578111623445260687684[Burundi], 0)</f>
        <v>0</v>
      </c>
      <c r="E107" s="29">
        <f>IF(C107-Table_14634578111623445260687684[DRC]&gt;0, C107-Table_14634578111623445260687684[DRC], 0)</f>
        <v>0</v>
      </c>
      <c r="F107" s="29">
        <f>IF(C107-Table_14634578111623445260687684[Egypt]&gt;0, C107-Table_14634578111623445260687684[Egypt], 0)</f>
        <v>0</v>
      </c>
      <c r="G107" s="29">
        <f>IF(C107-Table_14634578111623445260687684[Eritrea]&gt;0, C107-Table_14634578111623445260687684[Eritrea], 0)</f>
        <v>0</v>
      </c>
      <c r="H107" s="29">
        <f>IF(C107-Table_14634578111623445260687684[Ethiopia]&gt;0, C107-Table_14634578111623445260687684[Ethiopia], 0)</f>
        <v>323.05088579144353</v>
      </c>
      <c r="I107" s="29">
        <f>IF(C107-Table_14634578111623445260687684[Kenya]&gt;0, C107-Table_14634578111623445260687684[Kenya], 0)</f>
        <v>0</v>
      </c>
      <c r="J107" s="29">
        <f>IF(C107-Table_14634578111623445260687684[Rwanda]&gt;0, C107-Table_14634578111623445260687684[Rwanda], 0)</f>
        <v>0</v>
      </c>
      <c r="K107" s="29">
        <f>IF(C107-Table_14634578111623445260687684[Sudan]&gt;0, C107-Table_14634578111623445260687684[Sudan], 0)</f>
        <v>0</v>
      </c>
      <c r="L107" s="29">
        <f>IF(C107-Table_14634578111623445260687684[S. Sudan]&gt;0, C107-Table_14634578111623445260687684[S. Sudan], 0)</f>
        <v>483.39197476619745</v>
      </c>
      <c r="M107" s="29">
        <f>IF(C107-Table_14634578111623445260687684[Tanzania]&gt;0, C107-Table_14634578111623445260687684[Tanzania], 0)</f>
        <v>0</v>
      </c>
      <c r="N107" s="29">
        <f>IF(C107-Table_14634578111623445260687684[Uganda]&gt;0, C107-Table_14634578111623445260687684[Uganda], 0)</f>
        <v>134.06936802854088</v>
      </c>
      <c r="P107" s="22" t="s">
        <v>10</v>
      </c>
      <c r="Q107" s="98">
        <f t="shared" si="12"/>
        <v>3.2362962938100584E-4</v>
      </c>
      <c r="R107" s="98">
        <f t="shared" si="11"/>
        <v>3.2362962938100584E-4</v>
      </c>
      <c r="S107" s="98">
        <f t="shared" si="11"/>
        <v>3.2362962938100584E-4</v>
      </c>
      <c r="T107" s="98">
        <f t="shared" si="11"/>
        <v>3.2362962938100584E-4</v>
      </c>
      <c r="U107" s="98">
        <f t="shared" si="11"/>
        <v>0.20504654506864833</v>
      </c>
      <c r="V107" s="98">
        <f t="shared" si="11"/>
        <v>3.2362962938100584E-4</v>
      </c>
      <c r="W107" s="98">
        <f t="shared" si="11"/>
        <v>3.2362962938100584E-4</v>
      </c>
      <c r="X107" s="98">
        <f t="shared" si="11"/>
        <v>3.2362962938100584E-4</v>
      </c>
      <c r="Y107" s="98">
        <f t="shared" si="11"/>
        <v>0.37874339959810366</v>
      </c>
      <c r="Z107" s="98">
        <f t="shared" si="11"/>
        <v>3.2362962938100584E-4</v>
      </c>
      <c r="AA107" s="98">
        <f t="shared" si="11"/>
        <v>3.2362962938100584E-4</v>
      </c>
      <c r="AB107" s="186">
        <f>SUM(Q97:AA107)</f>
        <v>15.824087507865942</v>
      </c>
    </row>
    <row r="108" spans="2:31" ht="12.75" customHeight="1" thickBot="1" x14ac:dyDescent="0.3">
      <c r="B108" s="22" t="s">
        <v>10</v>
      </c>
      <c r="C108" s="96">
        <f>Annual_sorted!G95</f>
        <v>-252.32860898061318</v>
      </c>
      <c r="D108" s="32">
        <f>IF(C108-Table_14634578111623445260687684[Burundi]&gt;0, C108-Table_14634578111623445260687684[Burundi], 0)</f>
        <v>0</v>
      </c>
      <c r="E108" s="32">
        <f>IF(C108-Table_14634578111623445260687684[DRC]&gt;0, C108-Table_14634578111623445260687684[DRC], 0)</f>
        <v>0</v>
      </c>
      <c r="F108" s="32">
        <f>IF(C108-Table_14634578111623445260687684[Egypt]&gt;0, C108-Table_14634578111623445260687684[Egypt], 0)</f>
        <v>0</v>
      </c>
      <c r="G108" s="32">
        <f>IF(C108-Table_14634578111623445260687684[Eritrea]&gt;0, C108-Table_14634578111623445260687684[Eritrea], 0)</f>
        <v>0</v>
      </c>
      <c r="H108" s="32">
        <f>IF(C108-Table_14634578111623445260687684[Ethiopia]&gt;0, C108-Table_14634578111623445260687684[Ethiopia], 0)</f>
        <v>188.98151776290268</v>
      </c>
      <c r="I108" s="32">
        <f>IF(C108-Table_14634578111623445260687684[Kenya]&gt;0, C108-Table_14634578111623445260687684[Kenya], 0)</f>
        <v>0</v>
      </c>
      <c r="J108" s="32">
        <f>IF(C108-Table_14634578111623445260687684[Rwanda]&gt;0, C108-Table_14634578111623445260687684[Rwanda], 0)</f>
        <v>0</v>
      </c>
      <c r="K108" s="32">
        <f>IF(C108-Table_14634578111623445260687684[Sudan]&gt;0, C108-Table_14634578111623445260687684[Sudan], 0)</f>
        <v>0</v>
      </c>
      <c r="L108" s="32">
        <f>IF(C108-Table_14634578111623445260687684[S. Sudan]&gt;0, C108-Table_14634578111623445260687684[S. Sudan], 0)</f>
        <v>349.3226067376566</v>
      </c>
      <c r="M108" s="32">
        <f>IF(C108-Table_14634578111623445260687684[Tanzania]&gt;0, C108-Table_14634578111623445260687684[Tanzania], 0)</f>
        <v>0</v>
      </c>
      <c r="N108" s="32">
        <f>IF(C108-Table_14634578111623445260687684[Uganda]&gt;0, C108-Table_14634578111623445260687684[Uganda], 0)</f>
        <v>0</v>
      </c>
      <c r="Y108" s="186">
        <f>SUM(Y97:Y107)</f>
        <v>5.7732976044260553</v>
      </c>
    </row>
    <row r="109" spans="2:31" ht="12.75" customHeight="1" x14ac:dyDescent="0.25"/>
    <row r="110" spans="2:31" ht="12.75" customHeight="1" x14ac:dyDescent="0.25"/>
    <row r="111" spans="2:31" ht="12.75" customHeight="1" x14ac:dyDescent="0.25">
      <c r="B111" s="5"/>
      <c r="C111" s="5"/>
      <c r="D111" s="5"/>
      <c r="E111" s="5"/>
      <c r="F111" s="5"/>
      <c r="G111" s="5"/>
      <c r="H111" s="5"/>
      <c r="I111" s="5"/>
      <c r="J111" s="5"/>
      <c r="K111" s="5"/>
      <c r="L111" s="5"/>
      <c r="M111" s="5"/>
      <c r="N111" s="5"/>
    </row>
    <row r="112" spans="2:31" ht="12.75" customHeight="1" x14ac:dyDescent="0.25">
      <c r="B112" s="5"/>
      <c r="C112" s="5"/>
      <c r="D112" s="5"/>
      <c r="E112" s="5"/>
      <c r="F112" s="5"/>
      <c r="G112" s="5"/>
      <c r="H112" s="5"/>
      <c r="I112" s="5"/>
      <c r="J112" s="5"/>
      <c r="K112" s="5"/>
      <c r="L112" s="5"/>
      <c r="M112" s="5"/>
      <c r="N112" s="5"/>
      <c r="P112" s="5"/>
      <c r="Q112" s="5"/>
      <c r="R112" s="5"/>
      <c r="S112" s="5"/>
      <c r="T112" s="5"/>
      <c r="U112" s="5"/>
      <c r="V112" s="5"/>
      <c r="W112" s="5"/>
      <c r="X112" s="5"/>
      <c r="Y112" s="5"/>
      <c r="Z112" s="5"/>
      <c r="AA112" s="5"/>
    </row>
    <row r="113" spans="2:31" ht="12.75" customHeight="1" thickBot="1" x14ac:dyDescent="0.3">
      <c r="B113" s="253" t="s">
        <v>86</v>
      </c>
      <c r="C113" s="253"/>
      <c r="D113" s="253"/>
      <c r="E113" s="253"/>
      <c r="F113" s="253"/>
      <c r="G113" s="253"/>
      <c r="H113" s="253"/>
      <c r="I113" s="253"/>
      <c r="J113" s="253"/>
      <c r="K113" s="253"/>
      <c r="L113" s="253"/>
      <c r="M113" s="253"/>
      <c r="N113" s="253"/>
      <c r="P113" s="253" t="s">
        <v>88</v>
      </c>
      <c r="Q113" s="253"/>
      <c r="R113" s="253"/>
      <c r="S113" s="253"/>
      <c r="T113" s="253"/>
      <c r="U113" s="253"/>
      <c r="V113" s="253"/>
      <c r="W113" s="253"/>
      <c r="X113" s="253"/>
      <c r="Y113" s="253"/>
      <c r="Z113" s="253"/>
      <c r="AA113" s="253"/>
      <c r="AB113" s="10"/>
      <c r="AC113" s="3" t="s">
        <v>22</v>
      </c>
      <c r="AD113" s="13" t="s">
        <v>23</v>
      </c>
      <c r="AE113" s="74">
        <f t="array" ref="AE113">MIN(IF(D116:N126&gt;0,D116:N126))</f>
        <v>1.3678267764847378</v>
      </c>
    </row>
    <row r="114" spans="2:31" ht="12.75" customHeight="1" thickBot="1" x14ac:dyDescent="0.3">
      <c r="B114" s="75" t="s">
        <v>13</v>
      </c>
      <c r="C114" s="66" t="s">
        <v>14</v>
      </c>
      <c r="D114" s="67" t="s">
        <v>1</v>
      </c>
      <c r="E114" s="67" t="s">
        <v>195</v>
      </c>
      <c r="F114" s="67" t="s">
        <v>2</v>
      </c>
      <c r="G114" s="67" t="s">
        <v>3</v>
      </c>
      <c r="H114" s="67" t="s">
        <v>4</v>
      </c>
      <c r="I114" s="67" t="s">
        <v>5</v>
      </c>
      <c r="J114" s="67" t="s">
        <v>6</v>
      </c>
      <c r="K114" s="67" t="s">
        <v>7</v>
      </c>
      <c r="L114" s="67" t="s">
        <v>295</v>
      </c>
      <c r="M114" s="67" t="s">
        <v>9</v>
      </c>
      <c r="N114" s="67" t="s">
        <v>10</v>
      </c>
      <c r="P114" s="76" t="s">
        <v>19</v>
      </c>
      <c r="Q114" s="77" t="s">
        <v>1</v>
      </c>
      <c r="R114" s="77" t="s">
        <v>195</v>
      </c>
      <c r="S114" s="77" t="s">
        <v>2</v>
      </c>
      <c r="T114" s="77" t="s">
        <v>3</v>
      </c>
      <c r="U114" s="77" t="s">
        <v>4</v>
      </c>
      <c r="V114" s="77" t="s">
        <v>5</v>
      </c>
      <c r="W114" s="77" t="s">
        <v>6</v>
      </c>
      <c r="X114" s="77" t="s">
        <v>7</v>
      </c>
      <c r="Y114" s="77" t="s">
        <v>295</v>
      </c>
      <c r="Z114" s="77" t="s">
        <v>9</v>
      </c>
      <c r="AA114" s="77" t="s">
        <v>10</v>
      </c>
      <c r="AB114" s="254" t="s">
        <v>26</v>
      </c>
      <c r="AC114" s="254"/>
      <c r="AD114" s="13" t="s">
        <v>24</v>
      </c>
      <c r="AE114" s="20">
        <f>MAX(D116:N126)</f>
        <v>417.29658863205111</v>
      </c>
    </row>
    <row r="115" spans="2:31" ht="12.75" customHeight="1" x14ac:dyDescent="0.25">
      <c r="B115" s="93"/>
      <c r="C115" s="94" t="s">
        <v>263</v>
      </c>
      <c r="D115" s="95">
        <f>C116</f>
        <v>-3.5421358417796607</v>
      </c>
      <c r="E115" s="95">
        <f>C117</f>
        <v>4.53170561047249</v>
      </c>
      <c r="F115" s="95">
        <f>C118</f>
        <v>327.32968091907202</v>
      </c>
      <c r="G115" s="95">
        <f>C119</f>
        <v>-4.7679183370094913E-2</v>
      </c>
      <c r="H115" s="95">
        <f>C120</f>
        <v>-89.966907712979108</v>
      </c>
      <c r="I115" s="95">
        <f>C121</f>
        <v>-7.9994925758530995</v>
      </c>
      <c r="J115" s="95">
        <f>C122</f>
        <v>-2.1743090652949228</v>
      </c>
      <c r="K115" s="95">
        <f>C123</f>
        <v>299.65584925157799</v>
      </c>
      <c r="L115" s="95">
        <f>C124</f>
        <v>10.468507913800099</v>
      </c>
      <c r="M115" s="95">
        <f>C125</f>
        <v>-17.02804357561736</v>
      </c>
      <c r="N115" s="95">
        <f>C126</f>
        <v>17.538306754422301</v>
      </c>
      <c r="P115" s="21" t="s">
        <v>1</v>
      </c>
      <c r="Q115" s="97">
        <f>$AE$115+(D116-$AE$113)*($AE$116-$AE$115)/($AE$114-$AE$113)</f>
        <v>-2.2853196869870801E-3</v>
      </c>
      <c r="R115" s="97">
        <f t="shared" ref="R115:AA125" si="13">$AE$115+(E116-$AE$113)*($AE$116-$AE$115)/($AE$114-$AE$113)</f>
        <v>-2.2853196869870801E-3</v>
      </c>
      <c r="S115" s="97">
        <f t="shared" si="13"/>
        <v>-2.2853196869870801E-3</v>
      </c>
      <c r="T115" s="97">
        <f t="shared" si="13"/>
        <v>-2.2853196869870801E-3</v>
      </c>
      <c r="U115" s="97">
        <f t="shared" si="13"/>
        <v>0.2052943310064404</v>
      </c>
      <c r="V115" s="97">
        <f t="shared" si="13"/>
        <v>8.4205986954633757E-3</v>
      </c>
      <c r="W115" s="97">
        <f t="shared" si="13"/>
        <v>-2.2853196869870801E-3</v>
      </c>
      <c r="X115" s="97">
        <f t="shared" si="13"/>
        <v>-2.2853196869870801E-3</v>
      </c>
      <c r="Y115" s="97">
        <f t="shared" si="13"/>
        <v>-2.2853196869870801E-3</v>
      </c>
      <c r="Z115" s="97">
        <f t="shared" si="13"/>
        <v>3.0105856547135042E-2</v>
      </c>
      <c r="AA115" s="97">
        <f t="shared" si="13"/>
        <v>-2.2853196869870801E-3</v>
      </c>
      <c r="AD115" s="3" t="s">
        <v>25</v>
      </c>
      <c r="AE115" s="2">
        <v>1E-3</v>
      </c>
    </row>
    <row r="116" spans="2:31" ht="12.75" customHeight="1" x14ac:dyDescent="0.25">
      <c r="B116" s="21" t="s">
        <v>1</v>
      </c>
      <c r="C116" s="95">
        <f>Annual_sorted!H85</f>
        <v>-3.5421358417796607</v>
      </c>
      <c r="D116" s="29">
        <f>IF(C116-Table_146345781121722435159677583[Burundi]&gt;0, C116-Table_146345781121722435159677583[Burundi], 0)</f>
        <v>0</v>
      </c>
      <c r="E116" s="29">
        <f>IF(C116-Table_146345781121722435159677583[DRC]&gt;0, C116-Table_146345781121722435159677583[DRC], 0)</f>
        <v>0</v>
      </c>
      <c r="F116" s="29">
        <f>IF(C116-Table_146345781121722435159677583[Egypt]&gt;0, C116-Table_146345781121722435159677583[Egypt], 0)</f>
        <v>0</v>
      </c>
      <c r="G116" s="29">
        <f>IF(C116-Table_146345781121722435159677583[Eritrea]&gt;0, C116-Table_146345781121722435159677583[Eritrea], 0)</f>
        <v>0</v>
      </c>
      <c r="H116" s="29">
        <f>IF(C116-Table_146345781121722435159677583[Ethiopia]&gt;0, C116-Table_146345781121722435159677583[Ethiopia], 0)</f>
        <v>86.424771871199454</v>
      </c>
      <c r="I116" s="29">
        <f>IF(C116-Table_146345781121722435159677583[Kenya]&gt;0, C116-Table_146345781121722435159677583[Kenya], 0)</f>
        <v>4.4573567340734392</v>
      </c>
      <c r="J116" s="29">
        <f>IF(C116-Table_146345781121722435159677583[Rwanda]&gt;0, C116-Table_146345781121722435159677583[Rwanda], 0)</f>
        <v>0</v>
      </c>
      <c r="K116" s="29">
        <f>IF(C116-Table_146345781121722435159677583[Sudan]&gt;0, C116-Table_146345781121722435159677583[Sudan], 0)</f>
        <v>0</v>
      </c>
      <c r="L116" s="29">
        <f>IF(C116-Table_146345781121722435159677583[S. Sudan]&gt;0, C116-Table_146345781121722435159677583[S. Sudan], 0)</f>
        <v>0</v>
      </c>
      <c r="M116" s="29">
        <f>IF(C116-Table_146345781121722435159677583[Tanzania]&gt;0, C116-Table_146345781121722435159677583[Tanzania], 0)</f>
        <v>13.485907733837699</v>
      </c>
      <c r="N116" s="29">
        <f>IF(C116-Table_146345781121722435159677583[Uganda]&gt;0, C116-Table_146345781121722435159677583[Uganda], 0)</f>
        <v>0</v>
      </c>
      <c r="P116" s="21" t="s">
        <v>195</v>
      </c>
      <c r="Q116" s="97">
        <f t="shared" ref="Q116:Q125" si="14">$AE$115+(D117-$AE$113)*($AE$116-$AE$115)/($AE$114-$AE$113)</f>
        <v>1.7106865587280588E-2</v>
      </c>
      <c r="R116" s="97">
        <f t="shared" si="13"/>
        <v>-2.2853196869870801E-3</v>
      </c>
      <c r="S116" s="97">
        <f t="shared" si="13"/>
        <v>-2.2853196869870801E-3</v>
      </c>
      <c r="T116" s="97">
        <f t="shared" si="13"/>
        <v>8.7136922318793754E-3</v>
      </c>
      <c r="U116" s="97">
        <f t="shared" si="13"/>
        <v>0.22468651628070804</v>
      </c>
      <c r="V116" s="97">
        <f t="shared" si="13"/>
        <v>2.7812783969731043E-2</v>
      </c>
      <c r="W116" s="97">
        <f t="shared" si="13"/>
        <v>1.3821545900293511E-2</v>
      </c>
      <c r="X116" s="97">
        <f t="shared" si="13"/>
        <v>-2.2853196869870801E-3</v>
      </c>
      <c r="Y116" s="97">
        <f t="shared" si="13"/>
        <v>-2.2853196869870801E-3</v>
      </c>
      <c r="Z116" s="97">
        <f t="shared" si="13"/>
        <v>4.9498041821402709E-2</v>
      </c>
      <c r="AA116" s="97">
        <f t="shared" si="13"/>
        <v>-2.2853196869870801E-3</v>
      </c>
      <c r="AD116" s="3" t="s">
        <v>70</v>
      </c>
      <c r="AE116" s="2">
        <v>1</v>
      </c>
    </row>
    <row r="117" spans="2:31" ht="12.75" customHeight="1" x14ac:dyDescent="0.25">
      <c r="B117" s="21" t="s">
        <v>195</v>
      </c>
      <c r="C117" s="95">
        <f>Annual_sorted!H86</f>
        <v>4.53170561047249</v>
      </c>
      <c r="D117" s="29">
        <f>IF(C117-Table_146345781121722435159677583[Burundi]&gt;0, C117-Table_146345781121722435159677583[Burundi], 0)</f>
        <v>8.0738414522521502</v>
      </c>
      <c r="E117" s="29">
        <f>IF(C117-Table_146345781121722435159677583[DRC]&gt;0, C117-Table_146345781121722435159677583[DRC], 0)</f>
        <v>0</v>
      </c>
      <c r="F117" s="29">
        <f>IF(C117-Table_146345781121722435159677583[Egypt]&gt;0, C117-Table_146345781121722435159677583[Egypt], 0)</f>
        <v>0</v>
      </c>
      <c r="G117" s="29">
        <f>IF(C117-Table_146345781121722435159677583[Eritrea]&gt;0, C117-Table_146345781121722435159677583[Eritrea], 0)</f>
        <v>4.5793847938425847</v>
      </c>
      <c r="H117" s="29">
        <f>IF(C117-Table_146345781121722435159677583[Ethiopia]&gt;0, C117-Table_146345781121722435159677583[Ethiopia], 0)</f>
        <v>94.498613323451593</v>
      </c>
      <c r="I117" s="29">
        <f>IF(C117-Table_146345781121722435159677583[Kenya]&gt;0, C117-Table_146345781121722435159677583[Kenya], 0)</f>
        <v>12.531198186325589</v>
      </c>
      <c r="J117" s="29">
        <f>IF(C117-Table_146345781121722435159677583[Rwanda]&gt;0, C117-Table_146345781121722435159677583[Rwanda], 0)</f>
        <v>6.7060146757674133</v>
      </c>
      <c r="K117" s="29">
        <f>IF(C117-Table_146345781121722435159677583[Sudan]&gt;0, C117-Table_146345781121722435159677583[Sudan], 0)</f>
        <v>0</v>
      </c>
      <c r="L117" s="29">
        <f>IF(C117-Table_146345781121722435159677583[S. Sudan]&gt;0, C117-Table_146345781121722435159677583[S. Sudan], 0)</f>
        <v>0</v>
      </c>
      <c r="M117" s="29">
        <f>IF(C117-Table_146345781121722435159677583[Tanzania]&gt;0, C117-Table_146345781121722435159677583[Tanzania], 0)</f>
        <v>21.559749186089849</v>
      </c>
      <c r="N117" s="29">
        <f>IF(C117-Table_146345781121722435159677583[Uganda]&gt;0, C117-Table_146345781121722435159677583[Uganda], 0)</f>
        <v>0</v>
      </c>
      <c r="P117" s="21" t="s">
        <v>2</v>
      </c>
      <c r="Q117" s="97">
        <f t="shared" si="14"/>
        <v>0.79242034930657268</v>
      </c>
      <c r="R117" s="97">
        <f t="shared" si="13"/>
        <v>0.7730281640323049</v>
      </c>
      <c r="S117" s="97">
        <f t="shared" si="13"/>
        <v>-2.2853196869870801E-3</v>
      </c>
      <c r="T117" s="97">
        <f t="shared" si="13"/>
        <v>0.78402717595117144</v>
      </c>
      <c r="U117" s="97">
        <f t="shared" si="13"/>
        <v>1</v>
      </c>
      <c r="V117" s="97">
        <f t="shared" si="13"/>
        <v>0.80312626768902295</v>
      </c>
      <c r="W117" s="97">
        <f t="shared" si="13"/>
        <v>0.78913502961958559</v>
      </c>
      <c r="X117" s="97">
        <f t="shared" si="13"/>
        <v>6.4183172928166138E-2</v>
      </c>
      <c r="Y117" s="97">
        <f t="shared" si="13"/>
        <v>0.758768833962018</v>
      </c>
      <c r="Z117" s="97">
        <f t="shared" si="13"/>
        <v>0.82481152554069459</v>
      </c>
      <c r="AA117" s="97">
        <f t="shared" si="13"/>
        <v>0.74178821206351575</v>
      </c>
    </row>
    <row r="118" spans="2:31" ht="12.75" customHeight="1" x14ac:dyDescent="0.25">
      <c r="B118" s="21" t="s">
        <v>2</v>
      </c>
      <c r="C118" s="95">
        <f>Annual_sorted!H87</f>
        <v>327.32968091907202</v>
      </c>
      <c r="D118" s="29">
        <f>IF(C118-Table_146345781121722435159677583[Burundi]&gt;0, C118-Table_146345781121722435159677583[Burundi], 0)</f>
        <v>330.87181676085169</v>
      </c>
      <c r="E118" s="29">
        <f>IF(C118-Table_146345781121722435159677583[DRC]&gt;0, C118-Table_146345781121722435159677583[DRC], 0)</f>
        <v>322.79797530859952</v>
      </c>
      <c r="F118" s="29">
        <f>IF(C118-Table_146345781121722435159677583[Egypt]&gt;0, C118-Table_146345781121722435159677583[Egypt], 0)</f>
        <v>0</v>
      </c>
      <c r="G118" s="29">
        <f>IF(C118-Table_146345781121722435159677583[Eritrea]&gt;0, C118-Table_146345781121722435159677583[Eritrea], 0)</f>
        <v>327.37736010244214</v>
      </c>
      <c r="H118" s="29">
        <f>IF(C118-Table_146345781121722435159677583[Ethiopia]&gt;0, C118-Table_146345781121722435159677583[Ethiopia], 0)</f>
        <v>417.29658863205111</v>
      </c>
      <c r="I118" s="29">
        <f>IF(C118-Table_146345781121722435159677583[Kenya]&gt;0, C118-Table_146345781121722435159677583[Kenya], 0)</f>
        <v>335.3291734949251</v>
      </c>
      <c r="J118" s="29">
        <f>IF(C118-Table_146345781121722435159677583[Rwanda]&gt;0, C118-Table_146345781121722435159677583[Rwanda], 0)</f>
        <v>329.50398998436697</v>
      </c>
      <c r="K118" s="29">
        <f>IF(C118-Table_146345781121722435159677583[Sudan]&gt;0, C118-Table_146345781121722435159677583[Sudan], 0)</f>
        <v>27.673831667494028</v>
      </c>
      <c r="L118" s="29">
        <f>IF(C118-Table_146345781121722435159677583[S. Sudan]&gt;0, C118-Table_146345781121722435159677583[S. Sudan], 0)</f>
        <v>316.86117300527189</v>
      </c>
      <c r="M118" s="29">
        <f>IF(C118-Table_146345781121722435159677583[Tanzania]&gt;0, C118-Table_146345781121722435159677583[Tanzania], 0)</f>
        <v>344.35772449468936</v>
      </c>
      <c r="N118" s="29">
        <f>IF(C118-Table_146345781121722435159677583[Uganda]&gt;0, C118-Table_146345781121722435159677583[Uganda], 0)</f>
        <v>309.79137416464971</v>
      </c>
      <c r="P118" s="21" t="s">
        <v>3</v>
      </c>
      <c r="Q118" s="97">
        <f t="shared" si="14"/>
        <v>6.1078536684141321E-3</v>
      </c>
      <c r="R118" s="97">
        <f t="shared" si="13"/>
        <v>-2.2853196869870801E-3</v>
      </c>
      <c r="S118" s="97">
        <f t="shared" si="13"/>
        <v>-2.2853196869870801E-3</v>
      </c>
      <c r="T118" s="97">
        <f t="shared" si="13"/>
        <v>-2.2853196869870801E-3</v>
      </c>
      <c r="U118" s="97">
        <f t="shared" si="13"/>
        <v>0.21368750436184161</v>
      </c>
      <c r="V118" s="97">
        <f t="shared" si="13"/>
        <v>1.6813772050864588E-2</v>
      </c>
      <c r="W118" s="97">
        <f t="shared" si="13"/>
        <v>2.8225339814270528E-3</v>
      </c>
      <c r="X118" s="97">
        <f t="shared" si="13"/>
        <v>-2.2853196869870801E-3</v>
      </c>
      <c r="Y118" s="97">
        <f t="shared" si="13"/>
        <v>-2.2853196869870801E-3</v>
      </c>
      <c r="Z118" s="97">
        <f t="shared" si="13"/>
        <v>3.8499029902536251E-2</v>
      </c>
      <c r="AA118" s="97">
        <f t="shared" si="13"/>
        <v>-2.2853196869870801E-3</v>
      </c>
    </row>
    <row r="119" spans="2:31" ht="12.75" customHeight="1" x14ac:dyDescent="0.25">
      <c r="B119" s="21" t="s">
        <v>3</v>
      </c>
      <c r="C119" s="95">
        <f>Annual_sorted!H88</f>
        <v>-4.7679183370094913E-2</v>
      </c>
      <c r="D119" s="29">
        <f>IF(C119-Table_146345781121722435159677583[Burundi]&gt;0, C119-Table_146345781121722435159677583[Burundi], 0)</f>
        <v>3.4944566584095655</v>
      </c>
      <c r="E119" s="29">
        <f>IF(C119-Table_146345781121722435159677583[DRC]&gt;0, C119-Table_146345781121722435159677583[DRC], 0)</f>
        <v>0</v>
      </c>
      <c r="F119" s="29">
        <f>IF(C119-Table_146345781121722435159677583[Egypt]&gt;0, C119-Table_146345781121722435159677583[Egypt], 0)</f>
        <v>0</v>
      </c>
      <c r="G119" s="29">
        <f>IF(C119-Table_146345781121722435159677583[Eritrea]&gt;0, C119-Table_146345781121722435159677583[Eritrea], 0)</f>
        <v>0</v>
      </c>
      <c r="H119" s="29">
        <f>IF(C119-Table_146345781121722435159677583[Ethiopia]&gt;0, C119-Table_146345781121722435159677583[Ethiopia], 0)</f>
        <v>89.919228529609015</v>
      </c>
      <c r="I119" s="29">
        <f>IF(C119-Table_146345781121722435159677583[Kenya]&gt;0, C119-Table_146345781121722435159677583[Kenya], 0)</f>
        <v>7.9518133924830048</v>
      </c>
      <c r="J119" s="29">
        <f>IF(C119-Table_146345781121722435159677583[Rwanda]&gt;0, C119-Table_146345781121722435159677583[Rwanda], 0)</f>
        <v>2.1266298819248277</v>
      </c>
      <c r="K119" s="29">
        <f>IF(C119-Table_146345781121722435159677583[Sudan]&gt;0, C119-Table_146345781121722435159677583[Sudan], 0)</f>
        <v>0</v>
      </c>
      <c r="L119" s="29">
        <f>IF(C119-Table_146345781121722435159677583[S. Sudan]&gt;0, C119-Table_146345781121722435159677583[S. Sudan], 0)</f>
        <v>0</v>
      </c>
      <c r="M119" s="29">
        <f>IF(C119-Table_146345781121722435159677583[Tanzania]&gt;0, C119-Table_146345781121722435159677583[Tanzania], 0)</f>
        <v>16.980364392247264</v>
      </c>
      <c r="N119" s="29">
        <f>IF(C119-Table_146345781121722435159677583[Uganda]&gt;0, C119-Table_146345781121722435159677583[Uganda], 0)</f>
        <v>0</v>
      </c>
      <c r="P119" s="21" t="s">
        <v>4</v>
      </c>
      <c r="Q119" s="97">
        <f t="shared" si="14"/>
        <v>-2.2853196869870801E-3</v>
      </c>
      <c r="R119" s="97">
        <f t="shared" si="13"/>
        <v>-2.2853196869870801E-3</v>
      </c>
      <c r="S119" s="97">
        <f t="shared" si="13"/>
        <v>-2.2853196869870801E-3</v>
      </c>
      <c r="T119" s="97">
        <f t="shared" si="13"/>
        <v>-2.2853196869870801E-3</v>
      </c>
      <c r="U119" s="97">
        <f t="shared" si="13"/>
        <v>-2.2853196869870801E-3</v>
      </c>
      <c r="V119" s="97">
        <f t="shared" si="13"/>
        <v>-2.2853196869870801E-3</v>
      </c>
      <c r="W119" s="97">
        <f t="shared" si="13"/>
        <v>-2.2853196869870801E-3</v>
      </c>
      <c r="X119" s="97">
        <f t="shared" si="13"/>
        <v>-2.2853196869870801E-3</v>
      </c>
      <c r="Y119" s="97">
        <f t="shared" si="13"/>
        <v>-2.2853196869870801E-3</v>
      </c>
      <c r="Z119" s="97">
        <f t="shared" si="13"/>
        <v>-2.2853196869870801E-3</v>
      </c>
      <c r="AA119" s="97">
        <f t="shared" si="13"/>
        <v>-2.2853196869870801E-3</v>
      </c>
    </row>
    <row r="120" spans="2:31" ht="12.75" customHeight="1" x14ac:dyDescent="0.25">
      <c r="B120" s="21" t="s">
        <v>4</v>
      </c>
      <c r="C120" s="95">
        <f>Annual_sorted!H89</f>
        <v>-89.966907712979108</v>
      </c>
      <c r="D120" s="29">
        <f>IF(C120-Table_146345781121722435159677583[Burundi]&gt;0, C120-Table_146345781121722435159677583[Burundi], 0)</f>
        <v>0</v>
      </c>
      <c r="E120" s="29">
        <f>IF(C120-Table_146345781121722435159677583[DRC]&gt;0, C120-Table_146345781121722435159677583[DRC], 0)</f>
        <v>0</v>
      </c>
      <c r="F120" s="29">
        <f>IF(C120-Table_146345781121722435159677583[Egypt]&gt;0, C120-Table_146345781121722435159677583[Egypt], 0)</f>
        <v>0</v>
      </c>
      <c r="G120" s="29">
        <f>IF(C120-Table_146345781121722435159677583[Eritrea]&gt;0, C120-Table_146345781121722435159677583[Eritrea], 0)</f>
        <v>0</v>
      </c>
      <c r="H120" s="29">
        <f>IF(C120-Table_146345781121722435159677583[Ethiopia]&gt;0, C120-Table_146345781121722435159677583[Ethiopia], 0)</f>
        <v>0</v>
      </c>
      <c r="I120" s="29">
        <f>IF(C120-Table_146345781121722435159677583[Kenya]&gt;0, C120-Table_146345781121722435159677583[Kenya], 0)</f>
        <v>0</v>
      </c>
      <c r="J120" s="29">
        <f>IF(C120-Table_146345781121722435159677583[Rwanda]&gt;0, C120-Table_146345781121722435159677583[Rwanda], 0)</f>
        <v>0</v>
      </c>
      <c r="K120" s="29">
        <f>IF(C120-Table_146345781121722435159677583[Sudan]&gt;0, C120-Table_146345781121722435159677583[Sudan], 0)</f>
        <v>0</v>
      </c>
      <c r="L120" s="29">
        <f>IF(C120-Table_146345781121722435159677583[S. Sudan]&gt;0, C120-Table_146345781121722435159677583[S. Sudan], 0)</f>
        <v>0</v>
      </c>
      <c r="M120" s="29">
        <f>IF(C120-Table_146345781121722435159677583[Tanzania]&gt;0, C120-Table_146345781121722435159677583[Tanzania], 0)</f>
        <v>0</v>
      </c>
      <c r="N120" s="29">
        <f>IF(C120-Table_146345781121722435159677583[Uganda]&gt;0, C120-Table_146345781121722435159677583[Uganda], 0)</f>
        <v>0</v>
      </c>
      <c r="P120" s="21" t="s">
        <v>5</v>
      </c>
      <c r="Q120" s="97">
        <f t="shared" si="14"/>
        <v>-2.2853196869870801E-3</v>
      </c>
      <c r="R120" s="97">
        <f t="shared" si="13"/>
        <v>-2.2853196869870801E-3</v>
      </c>
      <c r="S120" s="97">
        <f t="shared" si="13"/>
        <v>-2.2853196869870801E-3</v>
      </c>
      <c r="T120" s="97">
        <f t="shared" si="13"/>
        <v>-2.2853196869870801E-3</v>
      </c>
      <c r="U120" s="97">
        <f t="shared" si="13"/>
        <v>0.19458841262398993</v>
      </c>
      <c r="V120" s="97">
        <f t="shared" si="13"/>
        <v>-2.2853196869870801E-3</v>
      </c>
      <c r="W120" s="97">
        <f t="shared" si="13"/>
        <v>-2.2853196869870801E-3</v>
      </c>
      <c r="X120" s="97">
        <f t="shared" si="13"/>
        <v>-2.2853196869870801E-3</v>
      </c>
      <c r="Y120" s="97">
        <f t="shared" si="13"/>
        <v>-2.2853196869870801E-3</v>
      </c>
      <c r="Z120" s="97">
        <f t="shared" si="13"/>
        <v>1.9399938164684587E-2</v>
      </c>
      <c r="AA120" s="97">
        <f t="shared" si="13"/>
        <v>-2.2853196869870801E-3</v>
      </c>
    </row>
    <row r="121" spans="2:31" ht="12.75" customHeight="1" x14ac:dyDescent="0.25">
      <c r="B121" s="21" t="s">
        <v>5</v>
      </c>
      <c r="C121" s="95">
        <f>Annual_sorted!H90</f>
        <v>-7.9994925758530995</v>
      </c>
      <c r="D121" s="29">
        <f>IF(C121-Table_146345781121722435159677583[Burundi]&gt;0, C121-Table_146345781121722435159677583[Burundi], 0)</f>
        <v>0</v>
      </c>
      <c r="E121" s="29">
        <f>IF(C121-Table_146345781121722435159677583[DRC]&gt;0, C121-Table_146345781121722435159677583[DRC], 0)</f>
        <v>0</v>
      </c>
      <c r="F121" s="29">
        <f>IF(C121-Table_146345781121722435159677583[Egypt]&gt;0, C121-Table_146345781121722435159677583[Egypt], 0)</f>
        <v>0</v>
      </c>
      <c r="G121" s="29">
        <f>IF(C121-Table_146345781121722435159677583[Eritrea]&gt;0, C121-Table_146345781121722435159677583[Eritrea], 0)</f>
        <v>0</v>
      </c>
      <c r="H121" s="29">
        <f>IF(C121-Table_146345781121722435159677583[Ethiopia]&gt;0, C121-Table_146345781121722435159677583[Ethiopia], 0)</f>
        <v>81.967415137126011</v>
      </c>
      <c r="I121" s="29">
        <f>IF(C121-Table_146345781121722435159677583[Kenya]&gt;0, C121-Table_146345781121722435159677583[Kenya], 0)</f>
        <v>0</v>
      </c>
      <c r="J121" s="29">
        <f>IF(C121-Table_146345781121722435159677583[Rwanda]&gt;0, C121-Table_146345781121722435159677583[Rwanda], 0)</f>
        <v>0</v>
      </c>
      <c r="K121" s="29">
        <f>IF(C121-Table_146345781121722435159677583[Sudan]&gt;0, C121-Table_146345781121722435159677583[Sudan], 0)</f>
        <v>0</v>
      </c>
      <c r="L121" s="29">
        <f>IF(C121-Table_146345781121722435159677583[S. Sudan]&gt;0, C121-Table_146345781121722435159677583[S. Sudan], 0)</f>
        <v>0</v>
      </c>
      <c r="M121" s="29">
        <f>IF(C121-Table_146345781121722435159677583[Tanzania]&gt;0, C121-Table_146345781121722435159677583[Tanzania], 0)</f>
        <v>9.0285509997642599</v>
      </c>
      <c r="N121" s="29">
        <f>IF(C121-Table_146345781121722435159677583[Uganda]&gt;0, C121-Table_146345781121722435159677583[Uganda], 0)</f>
        <v>0</v>
      </c>
      <c r="P121" s="21" t="s">
        <v>6</v>
      </c>
      <c r="Q121" s="97">
        <f t="shared" si="14"/>
        <v>1E-3</v>
      </c>
      <c r="R121" s="97">
        <f t="shared" si="13"/>
        <v>-2.2853196869870801E-3</v>
      </c>
      <c r="S121" s="97">
        <f t="shared" si="13"/>
        <v>-2.2853196869870801E-3</v>
      </c>
      <c r="T121" s="97">
        <f t="shared" si="13"/>
        <v>-2.2853196869870801E-3</v>
      </c>
      <c r="U121" s="97">
        <f t="shared" si="13"/>
        <v>0.20857965069342749</v>
      </c>
      <c r="V121" s="97">
        <f t="shared" si="13"/>
        <v>1.1705918382450452E-2</v>
      </c>
      <c r="W121" s="97">
        <f t="shared" si="13"/>
        <v>-2.2853196869870801E-3</v>
      </c>
      <c r="X121" s="97">
        <f t="shared" si="13"/>
        <v>-2.2853196869870801E-3</v>
      </c>
      <c r="Y121" s="97">
        <f t="shared" si="13"/>
        <v>-2.2853196869870801E-3</v>
      </c>
      <c r="Z121" s="97">
        <f t="shared" si="13"/>
        <v>3.3391176234122119E-2</v>
      </c>
      <c r="AA121" s="97">
        <f t="shared" si="13"/>
        <v>-2.2853196869870801E-3</v>
      </c>
    </row>
    <row r="122" spans="2:31" ht="12.75" customHeight="1" x14ac:dyDescent="0.25">
      <c r="B122" s="21" t="s">
        <v>6</v>
      </c>
      <c r="C122" s="95">
        <f>Annual_sorted!H91</f>
        <v>-2.1743090652949228</v>
      </c>
      <c r="D122" s="29">
        <f>IF(C122-Table_146345781121722435159677583[Burundi]&gt;0, C122-Table_146345781121722435159677583[Burundi], 0)</f>
        <v>1.3678267764847378</v>
      </c>
      <c r="E122" s="29">
        <f>IF(C122-Table_146345781121722435159677583[DRC]&gt;0, C122-Table_146345781121722435159677583[DRC], 0)</f>
        <v>0</v>
      </c>
      <c r="F122" s="29">
        <f>IF(C122-Table_146345781121722435159677583[Egypt]&gt;0, C122-Table_146345781121722435159677583[Egypt], 0)</f>
        <v>0</v>
      </c>
      <c r="G122" s="29">
        <f>IF(C122-Table_146345781121722435159677583[Eritrea]&gt;0, C122-Table_146345781121722435159677583[Eritrea], 0)</f>
        <v>0</v>
      </c>
      <c r="H122" s="29">
        <f>IF(C122-Table_146345781121722435159677583[Ethiopia]&gt;0, C122-Table_146345781121722435159677583[Ethiopia], 0)</f>
        <v>87.792598647684187</v>
      </c>
      <c r="I122" s="29">
        <f>IF(C122-Table_146345781121722435159677583[Kenya]&gt;0, C122-Table_146345781121722435159677583[Kenya], 0)</f>
        <v>5.8251835105581762</v>
      </c>
      <c r="J122" s="29">
        <f>IF(C122-Table_146345781121722435159677583[Rwanda]&gt;0, C122-Table_146345781121722435159677583[Rwanda], 0)</f>
        <v>0</v>
      </c>
      <c r="K122" s="29">
        <f>IF(C122-Table_146345781121722435159677583[Sudan]&gt;0, C122-Table_146345781121722435159677583[Sudan], 0)</f>
        <v>0</v>
      </c>
      <c r="L122" s="29">
        <f>IF(C122-Table_146345781121722435159677583[S. Sudan]&gt;0, C122-Table_146345781121722435159677583[S. Sudan], 0)</f>
        <v>0</v>
      </c>
      <c r="M122" s="29">
        <f>IF(C122-Table_146345781121722435159677583[Tanzania]&gt;0, C122-Table_146345781121722435159677583[Tanzania], 0)</f>
        <v>14.853734510322438</v>
      </c>
      <c r="N122" s="29">
        <f>IF(C122-Table_146345781121722435159677583[Uganda]&gt;0, C122-Table_146345781121722435159677583[Uganda], 0)</f>
        <v>0</v>
      </c>
      <c r="P122" s="21" t="s">
        <v>7</v>
      </c>
      <c r="Q122" s="97">
        <f t="shared" si="14"/>
        <v>0.72595185669141937</v>
      </c>
      <c r="R122" s="97">
        <f t="shared" si="13"/>
        <v>0.70655967141715159</v>
      </c>
      <c r="S122" s="97">
        <f t="shared" si="13"/>
        <v>-2.2853196869870801E-3</v>
      </c>
      <c r="T122" s="97">
        <f t="shared" si="13"/>
        <v>0.71755868333601824</v>
      </c>
      <c r="U122" s="97">
        <f t="shared" si="13"/>
        <v>0.9335315073848468</v>
      </c>
      <c r="V122" s="97">
        <f t="shared" si="13"/>
        <v>0.73665777507386976</v>
      </c>
      <c r="W122" s="97">
        <f t="shared" si="13"/>
        <v>0.72266653700443229</v>
      </c>
      <c r="X122" s="97">
        <f t="shared" si="13"/>
        <v>-2.2853196869870801E-3</v>
      </c>
      <c r="Y122" s="97">
        <f>$AE$115+(L123-$AE$113)*($AE$116-$AE$115)/($AE$114-$AE$113)</f>
        <v>0.69230034134686469</v>
      </c>
      <c r="Z122" s="97">
        <f t="shared" si="13"/>
        <v>0.7583430329255415</v>
      </c>
      <c r="AA122" s="97">
        <f t="shared" si="13"/>
        <v>0.67531971944836244</v>
      </c>
    </row>
    <row r="123" spans="2:31" ht="12.75" customHeight="1" x14ac:dyDescent="0.25">
      <c r="B123" s="21" t="s">
        <v>7</v>
      </c>
      <c r="C123" s="95">
        <f>Annual_sorted!H92</f>
        <v>299.65584925157799</v>
      </c>
      <c r="D123" s="29">
        <f>IF(C123-Table_146345781121722435159677583[Burundi]&gt;0, C123-Table_146345781121722435159677583[Burundi], 0)</f>
        <v>303.19798509335766</v>
      </c>
      <c r="E123" s="29">
        <f>IF(C123-Table_146345781121722435159677583[DRC]&gt;0, C123-Table_146345781121722435159677583[DRC], 0)</f>
        <v>295.12414364110549</v>
      </c>
      <c r="F123" s="29">
        <f>IF(C123-Table_146345781121722435159677583[Egypt]&gt;0, C123-Table_146345781121722435159677583[Egypt], 0)</f>
        <v>0</v>
      </c>
      <c r="G123" s="29">
        <f>IF(C123-Table_146345781121722435159677583[Eritrea]&gt;0, C123-Table_146345781121722435159677583[Eritrea], 0)</f>
        <v>299.70352843494811</v>
      </c>
      <c r="H123" s="29">
        <f>IF(C123-Table_146345781121722435159677583[Ethiopia]&gt;0, C123-Table_146345781121722435159677583[Ethiopia], 0)</f>
        <v>389.62275696455708</v>
      </c>
      <c r="I123" s="29">
        <f>IF(C123-Table_146345781121722435159677583[Kenya]&gt;0, C123-Table_146345781121722435159677583[Kenya], 0)</f>
        <v>307.65534182743107</v>
      </c>
      <c r="J123" s="29">
        <f>IF(C123-Table_146345781121722435159677583[Rwanda]&gt;0, C123-Table_146345781121722435159677583[Rwanda], 0)</f>
        <v>301.83015831687294</v>
      </c>
      <c r="K123" s="29">
        <f>IF(C123-Table_146345781121722435159677583[Sudan]&gt;0, C123-Table_146345781121722435159677583[Sudan], 0)</f>
        <v>0</v>
      </c>
      <c r="L123" s="29">
        <f>IF(C123-Table_146345781121722435159677583[S. Sudan]&gt;0, C123-Table_146345781121722435159677583[S. Sudan], 0)</f>
        <v>289.18734133777787</v>
      </c>
      <c r="M123" s="29">
        <f>IF(C123-Table_146345781121722435159677583[Tanzania]&gt;0, C123-Table_146345781121722435159677583[Tanzania], 0)</f>
        <v>316.68389282719534</v>
      </c>
      <c r="N123" s="29">
        <f>IF(C123-Table_146345781121722435159677583[Uganda]&gt;0, C123-Table_146345781121722435159677583[Uganda], 0)</f>
        <v>282.11754249715568</v>
      </c>
      <c r="P123" s="21" t="s">
        <v>8</v>
      </c>
      <c r="Q123" s="97">
        <f t="shared" si="14"/>
        <v>3.13661956575675E-2</v>
      </c>
      <c r="R123" s="97">
        <f t="shared" si="13"/>
        <v>1.197401038329983E-2</v>
      </c>
      <c r="S123" s="97">
        <f t="shared" si="13"/>
        <v>-2.2853196869870801E-3</v>
      </c>
      <c r="T123" s="97">
        <f t="shared" si="13"/>
        <v>2.2973022302166288E-2</v>
      </c>
      <c r="U123" s="97">
        <f t="shared" si="13"/>
        <v>0.23894584635099497</v>
      </c>
      <c r="V123" s="97">
        <f t="shared" si="13"/>
        <v>4.2072114040017962E-2</v>
      </c>
      <c r="W123" s="97">
        <f t="shared" si="13"/>
        <v>2.808087597058042E-2</v>
      </c>
      <c r="X123" s="97">
        <f t="shared" si="13"/>
        <v>-2.2853196869870801E-3</v>
      </c>
      <c r="Y123" s="97">
        <f t="shared" si="13"/>
        <v>-2.2853196869870801E-3</v>
      </c>
      <c r="Z123" s="97">
        <f t="shared" si="13"/>
        <v>6.3757371891689618E-2</v>
      </c>
      <c r="AA123" s="97">
        <f t="shared" si="13"/>
        <v>-2.2853196869870801E-3</v>
      </c>
    </row>
    <row r="124" spans="2:31" ht="12.75" customHeight="1" x14ac:dyDescent="0.25">
      <c r="B124" s="21" t="s">
        <v>8</v>
      </c>
      <c r="C124" s="95">
        <f>Annual_sorted!H93</f>
        <v>10.468507913800099</v>
      </c>
      <c r="D124" s="29">
        <f>IF(C124-Table_146345781121722435159677583[Burundi]&gt;0, C124-Table_146345781121722435159677583[Burundi], 0)</f>
        <v>14.01064375557976</v>
      </c>
      <c r="E124" s="29">
        <f>IF(C124-Table_146345781121722435159677583[DRC]&gt;0, C124-Table_146345781121722435159677583[DRC], 0)</f>
        <v>5.9368023033276094</v>
      </c>
      <c r="F124" s="29">
        <f>IF(C124-Table_146345781121722435159677583[Egypt]&gt;0, C124-Table_146345781121722435159677583[Egypt], 0)</f>
        <v>0</v>
      </c>
      <c r="G124" s="29">
        <f>IF(C124-Table_146345781121722435159677583[Eritrea]&gt;0, C124-Table_146345781121722435159677583[Eritrea], 0)</f>
        <v>10.516187097170194</v>
      </c>
      <c r="H124" s="29">
        <f>IF(C124-Table_146345781121722435159677583[Ethiopia]&gt;0, C124-Table_146345781121722435159677583[Ethiopia], 0)</f>
        <v>100.4354156267792</v>
      </c>
      <c r="I124" s="29">
        <f>IF(C124-Table_146345781121722435159677583[Kenya]&gt;0, C124-Table_146345781121722435159677583[Kenya], 0)</f>
        <v>18.4680004896532</v>
      </c>
      <c r="J124" s="29">
        <f>IF(C124-Table_146345781121722435159677583[Rwanda]&gt;0, C124-Table_146345781121722435159677583[Rwanda], 0)</f>
        <v>12.642816979095022</v>
      </c>
      <c r="K124" s="29">
        <f>IF(C124-Table_146345781121722435159677583[Sudan]&gt;0, C124-Table_146345781121722435159677583[Sudan], 0)</f>
        <v>0</v>
      </c>
      <c r="L124" s="29">
        <f>IF(C124-Table_146345781121722435159677583[S. Sudan]&gt;0, C124-Table_146345781121722435159677583[S. Sudan], 0)</f>
        <v>0</v>
      </c>
      <c r="M124" s="29">
        <f>IF(C124-Table_146345781121722435159677583[Tanzania]&gt;0, C124-Table_146345781121722435159677583[Tanzania], 0)</f>
        <v>27.49655148941746</v>
      </c>
      <c r="N124" s="29">
        <f>IF(C124-Table_146345781121722435159677583[Uganda]&gt;0, C124-Table_146345781121722435159677583[Uganda], 0)</f>
        <v>0</v>
      </c>
      <c r="P124" s="21" t="s">
        <v>9</v>
      </c>
      <c r="Q124" s="97">
        <f t="shared" si="14"/>
        <v>-2.2853196869870801E-3</v>
      </c>
      <c r="R124" s="97">
        <f t="shared" si="13"/>
        <v>-2.2853196869870801E-3</v>
      </c>
      <c r="S124" s="97">
        <f t="shared" si="13"/>
        <v>-2.2853196869870801E-3</v>
      </c>
      <c r="T124" s="97">
        <f t="shared" si="13"/>
        <v>-2.2853196869870801E-3</v>
      </c>
      <c r="U124" s="97">
        <f t="shared" si="13"/>
        <v>0.17290315477231827</v>
      </c>
      <c r="V124" s="97">
        <f t="shared" si="13"/>
        <v>-2.2853196869870801E-3</v>
      </c>
      <c r="W124" s="97">
        <f t="shared" si="13"/>
        <v>-2.2853196869870801E-3</v>
      </c>
      <c r="X124" s="97">
        <f t="shared" si="13"/>
        <v>-2.2853196869870801E-3</v>
      </c>
      <c r="Y124" s="97">
        <f t="shared" si="13"/>
        <v>-2.2853196869870801E-3</v>
      </c>
      <c r="Z124" s="97">
        <f t="shared" si="13"/>
        <v>-2.2853196869870801E-3</v>
      </c>
      <c r="AA124" s="97">
        <f t="shared" si="13"/>
        <v>-2.2853196869870801E-3</v>
      </c>
    </row>
    <row r="125" spans="2:31" ht="12.75" customHeight="1" thickBot="1" x14ac:dyDescent="0.3">
      <c r="B125" s="21" t="s">
        <v>9</v>
      </c>
      <c r="C125" s="95">
        <f>Annual_sorted!H94</f>
        <v>-17.02804357561736</v>
      </c>
      <c r="D125" s="29">
        <f>IF(C125-Table_146345781121722435159677583[Burundi]&gt;0, C125-Table_146345781121722435159677583[Burundi], 0)</f>
        <v>0</v>
      </c>
      <c r="E125" s="29">
        <f>IF(C125-Table_146345781121722435159677583[DRC]&gt;0, C125-Table_146345781121722435159677583[DRC], 0)</f>
        <v>0</v>
      </c>
      <c r="F125" s="29">
        <f>IF(C125-Table_146345781121722435159677583[Egypt]&gt;0, C125-Table_146345781121722435159677583[Egypt], 0)</f>
        <v>0</v>
      </c>
      <c r="G125" s="29">
        <f>IF(C125-Table_146345781121722435159677583[Eritrea]&gt;0, C125-Table_146345781121722435159677583[Eritrea], 0)</f>
        <v>0</v>
      </c>
      <c r="H125" s="29">
        <f>IF(C125-Table_146345781121722435159677583[Ethiopia]&gt;0, C125-Table_146345781121722435159677583[Ethiopia], 0)</f>
        <v>72.938864137361747</v>
      </c>
      <c r="I125" s="29">
        <f>IF(C125-Table_146345781121722435159677583[Kenya]&gt;0, C125-Table_146345781121722435159677583[Kenya], 0)</f>
        <v>0</v>
      </c>
      <c r="J125" s="29">
        <f>IF(C125-Table_146345781121722435159677583[Rwanda]&gt;0, C125-Table_146345781121722435159677583[Rwanda], 0)</f>
        <v>0</v>
      </c>
      <c r="K125" s="29">
        <f>IF(C125-Table_146345781121722435159677583[Sudan]&gt;0, C125-Table_146345781121722435159677583[Sudan], 0)</f>
        <v>0</v>
      </c>
      <c r="L125" s="29">
        <f>IF(C125-Table_146345781121722435159677583[S. Sudan]&gt;0, C125-Table_146345781121722435159677583[S. Sudan], 0)</f>
        <v>0</v>
      </c>
      <c r="M125" s="29">
        <f>IF(C125-Table_146345781121722435159677583[Tanzania]&gt;0, C125-Table_146345781121722435159677583[Tanzania], 0)</f>
        <v>0</v>
      </c>
      <c r="N125" s="29">
        <f>IF(C125-Table_146345781121722435159677583[Uganda]&gt;0, C125-Table_146345781121722435159677583[Uganda], 0)</f>
        <v>0</v>
      </c>
      <c r="P125" s="22" t="s">
        <v>10</v>
      </c>
      <c r="Q125" s="98">
        <f t="shared" si="14"/>
        <v>4.8346817556069809E-2</v>
      </c>
      <c r="R125" s="98">
        <f t="shared" si="13"/>
        <v>2.8954632281802138E-2</v>
      </c>
      <c r="S125" s="98">
        <f t="shared" si="13"/>
        <v>-2.2853196869870801E-3</v>
      </c>
      <c r="T125" s="98">
        <f t="shared" si="13"/>
        <v>3.9953644200668596E-2</v>
      </c>
      <c r="U125" s="98">
        <f t="shared" si="13"/>
        <v>0.25592646824949722</v>
      </c>
      <c r="V125" s="98">
        <f t="shared" si="13"/>
        <v>5.9052735938520264E-2</v>
      </c>
      <c r="W125" s="98">
        <f t="shared" si="13"/>
        <v>4.5061497869082728E-2</v>
      </c>
      <c r="X125" s="98">
        <f t="shared" si="13"/>
        <v>-2.2853196869870801E-3</v>
      </c>
      <c r="Y125" s="98">
        <f t="shared" si="13"/>
        <v>1.4695302211515222E-2</v>
      </c>
      <c r="Z125" s="98">
        <f t="shared" si="13"/>
        <v>8.0737993790191906E-2</v>
      </c>
      <c r="AA125" s="98">
        <f t="shared" si="13"/>
        <v>-2.2853196869870801E-3</v>
      </c>
    </row>
    <row r="126" spans="2:31" ht="12.75" customHeight="1" thickBot="1" x14ac:dyDescent="0.3">
      <c r="B126" s="22" t="s">
        <v>10</v>
      </c>
      <c r="C126" s="96">
        <f>Annual_sorted!H95</f>
        <v>17.538306754422301</v>
      </c>
      <c r="D126" s="32">
        <f>IF(C126-Table_146345781121722435159677583[Burundi]&gt;0, C126-Table_146345781121722435159677583[Burundi], 0)</f>
        <v>21.080442596201962</v>
      </c>
      <c r="E126" s="32">
        <f>IF(C126-Table_146345781121722435159677583[DRC]&gt;0, C126-Table_146345781121722435159677583[DRC], 0)</f>
        <v>13.006601143949812</v>
      </c>
      <c r="F126" s="32">
        <f>IF(C126-Table_146345781121722435159677583[Egypt]&gt;0, C126-Table_146345781121722435159677583[Egypt], 0)</f>
        <v>0</v>
      </c>
      <c r="G126" s="32">
        <f>IF(C126-Table_146345781121722435159677583[Eritrea]&gt;0, C126-Table_146345781121722435159677583[Eritrea], 0)</f>
        <v>17.585985937792397</v>
      </c>
      <c r="H126" s="32">
        <f>IF(C126-Table_146345781121722435159677583[Ethiopia]&gt;0, C126-Table_146345781121722435159677583[Ethiopia], 0)</f>
        <v>107.5052144674014</v>
      </c>
      <c r="I126" s="32">
        <f>IF(C126-Table_146345781121722435159677583[Kenya]&gt;0, C126-Table_146345781121722435159677583[Kenya], 0)</f>
        <v>25.537799330275401</v>
      </c>
      <c r="J126" s="32">
        <f>IF(C126-Table_146345781121722435159677583[Rwanda]&gt;0, C126-Table_146345781121722435159677583[Rwanda], 0)</f>
        <v>19.712615819717225</v>
      </c>
      <c r="K126" s="32">
        <f>IF(C126-Table_146345781121722435159677583[Sudan]&gt;0, C126-Table_146345781121722435159677583[Sudan], 0)</f>
        <v>0</v>
      </c>
      <c r="L126" s="32">
        <f>IF(C126-Table_146345781121722435159677583[S. Sudan]&gt;0, C126-Table_146345781121722435159677583[S. Sudan], 0)</f>
        <v>7.0697988406222017</v>
      </c>
      <c r="M126" s="32">
        <f>IF(C126-Table_146345781121722435159677583[Tanzania]&gt;0, C126-Table_146345781121722435159677583[Tanzania], 0)</f>
        <v>34.566350330039661</v>
      </c>
      <c r="N126" s="32">
        <f>IF(C126-Table_146345781121722435159677583[Uganda]&gt;0, C126-Table_146345781121722435159677583[Uganda], 0)</f>
        <v>0</v>
      </c>
      <c r="Z126" s="186"/>
    </row>
    <row r="127" spans="2:31" ht="12.75" customHeight="1" x14ac:dyDescent="0.25"/>
    <row r="128" spans="2:31" ht="12.75" customHeight="1" x14ac:dyDescent="0.25"/>
    <row r="129" spans="2:31" ht="12.75" customHeight="1" x14ac:dyDescent="0.25">
      <c r="P129" s="5"/>
      <c r="Q129" s="5"/>
      <c r="R129" s="5"/>
      <c r="S129" s="5"/>
      <c r="T129" s="5"/>
      <c r="U129" s="5"/>
      <c r="V129" s="5"/>
      <c r="W129" s="5"/>
      <c r="X129" s="5"/>
      <c r="Y129" s="5"/>
      <c r="Z129" s="5"/>
      <c r="AA129" s="5"/>
    </row>
    <row r="130" spans="2:31" ht="12.75" customHeight="1" x14ac:dyDescent="0.25">
      <c r="B130" s="5"/>
      <c r="C130" s="5"/>
      <c r="D130" s="5"/>
      <c r="E130" s="5"/>
      <c r="F130" s="5"/>
      <c r="G130" s="5"/>
      <c r="H130" s="5"/>
      <c r="I130" s="5"/>
      <c r="J130" s="5"/>
      <c r="K130" s="5"/>
      <c r="L130" s="5"/>
      <c r="M130" s="5"/>
      <c r="N130" s="5"/>
      <c r="P130" s="5"/>
      <c r="Q130" s="5"/>
      <c r="R130" s="5"/>
      <c r="S130" s="5"/>
      <c r="T130" s="5"/>
      <c r="U130" s="5"/>
      <c r="V130" s="5"/>
      <c r="W130" s="5"/>
      <c r="X130" s="5"/>
      <c r="Y130" s="5"/>
      <c r="Z130" s="5"/>
      <c r="AA130" s="5"/>
    </row>
    <row r="131" spans="2:31" ht="12.75" customHeight="1" thickBot="1" x14ac:dyDescent="0.3">
      <c r="B131" s="253" t="s">
        <v>89</v>
      </c>
      <c r="C131" s="253"/>
      <c r="D131" s="253"/>
      <c r="E131" s="253"/>
      <c r="F131" s="253"/>
      <c r="G131" s="253"/>
      <c r="H131" s="253"/>
      <c r="I131" s="253"/>
      <c r="J131" s="253"/>
      <c r="K131" s="253"/>
      <c r="L131" s="253"/>
      <c r="M131" s="253"/>
      <c r="N131" s="253"/>
      <c r="P131" s="253" t="s">
        <v>90</v>
      </c>
      <c r="Q131" s="253"/>
      <c r="R131" s="253"/>
      <c r="S131" s="253"/>
      <c r="T131" s="253"/>
      <c r="U131" s="253"/>
      <c r="V131" s="253"/>
      <c r="W131" s="253"/>
      <c r="X131" s="253"/>
      <c r="Y131" s="253"/>
      <c r="Z131" s="253"/>
      <c r="AA131" s="253"/>
      <c r="AB131" s="10"/>
      <c r="AC131" s="3" t="s">
        <v>22</v>
      </c>
      <c r="AD131" s="13" t="s">
        <v>23</v>
      </c>
      <c r="AE131" s="74">
        <f t="array" ref="AE131">MIN(IF(D134:N144&gt;0,D134:N144))</f>
        <v>1.9557403798039719E-2</v>
      </c>
    </row>
    <row r="132" spans="2:31" ht="12.75" customHeight="1" thickBot="1" x14ac:dyDescent="0.3">
      <c r="B132" s="75" t="s">
        <v>13</v>
      </c>
      <c r="C132" s="66" t="s">
        <v>14</v>
      </c>
      <c r="D132" s="67" t="s">
        <v>1</v>
      </c>
      <c r="E132" s="67" t="s">
        <v>195</v>
      </c>
      <c r="F132" s="67" t="s">
        <v>2</v>
      </c>
      <c r="G132" s="67" t="s">
        <v>3</v>
      </c>
      <c r="H132" s="67" t="s">
        <v>4</v>
      </c>
      <c r="I132" s="67" t="s">
        <v>5</v>
      </c>
      <c r="J132" s="67" t="s">
        <v>6</v>
      </c>
      <c r="K132" s="67" t="s">
        <v>7</v>
      </c>
      <c r="L132" s="67" t="s">
        <v>295</v>
      </c>
      <c r="M132" s="67" t="s">
        <v>9</v>
      </c>
      <c r="N132" s="67" t="s">
        <v>10</v>
      </c>
      <c r="P132" s="76" t="s">
        <v>19</v>
      </c>
      <c r="Q132" s="77" t="s">
        <v>1</v>
      </c>
      <c r="R132" s="77" t="s">
        <v>195</v>
      </c>
      <c r="S132" s="77" t="s">
        <v>2</v>
      </c>
      <c r="T132" s="77" t="s">
        <v>3</v>
      </c>
      <c r="U132" s="77" t="s">
        <v>4</v>
      </c>
      <c r="V132" s="77" t="s">
        <v>5</v>
      </c>
      <c r="W132" s="77" t="s">
        <v>6</v>
      </c>
      <c r="X132" s="77" t="s">
        <v>7</v>
      </c>
      <c r="Y132" s="77" t="s">
        <v>295</v>
      </c>
      <c r="Z132" s="77" t="s">
        <v>9</v>
      </c>
      <c r="AA132" s="77" t="s">
        <v>10</v>
      </c>
      <c r="AB132" s="254" t="s">
        <v>26</v>
      </c>
      <c r="AC132" s="254"/>
      <c r="AD132" s="13" t="s">
        <v>24</v>
      </c>
      <c r="AE132" s="20">
        <f>MAX(D134:N144)</f>
        <v>360.79658863205111</v>
      </c>
    </row>
    <row r="133" spans="2:31" ht="12.75" customHeight="1" x14ac:dyDescent="0.25">
      <c r="B133" s="93"/>
      <c r="C133" s="94" t="s">
        <v>264</v>
      </c>
      <c r="D133" s="95">
        <f>C134</f>
        <v>-3.5421358417796607</v>
      </c>
      <c r="E133" s="95">
        <f>C135</f>
        <v>4.53170561047249</v>
      </c>
      <c r="F133" s="95">
        <f>C136</f>
        <v>270.82968091907202</v>
      </c>
      <c r="G133" s="95">
        <f>C137</f>
        <v>-4.7679183370094913E-2</v>
      </c>
      <c r="H133" s="95">
        <f>C138</f>
        <v>-89.966907712979108</v>
      </c>
      <c r="I133" s="95">
        <f>C139</f>
        <v>-7.9994925758530995</v>
      </c>
      <c r="J133" s="95">
        <f>C140</f>
        <v>-5.9743090652949231</v>
      </c>
      <c r="K133" s="95">
        <f>C141</f>
        <v>265.85584925157798</v>
      </c>
      <c r="L133" s="95">
        <f>C142</f>
        <v>-13.031492086199901</v>
      </c>
      <c r="M133" s="95">
        <f>C143</f>
        <v>-17.02804357561736</v>
      </c>
      <c r="N133" s="95">
        <f>C144</f>
        <v>-3.5616932455777004</v>
      </c>
      <c r="P133" s="21" t="s">
        <v>1</v>
      </c>
      <c r="Q133" s="97">
        <f>$AE$133+(D134-$AE$131)*($AE$134-$AE$133)/($AE$132-$AE$131)</f>
        <v>9.4584509349798199E-4</v>
      </c>
      <c r="R133" s="97">
        <f t="shared" ref="R133:AA143" si="15">$AE$133+(E134-$AE$131)*($AE$134-$AE$133)/($AE$132-$AE$131)</f>
        <v>9.4584509349798199E-4</v>
      </c>
      <c r="S133" s="97">
        <f t="shared" si="15"/>
        <v>9.4584509349798199E-4</v>
      </c>
      <c r="T133" s="97">
        <f t="shared" si="15"/>
        <v>9.4584509349798199E-4</v>
      </c>
      <c r="U133" s="97">
        <f t="shared" si="15"/>
        <v>0.2402580507663267</v>
      </c>
      <c r="V133" s="97">
        <f t="shared" si="15"/>
        <v>1.3288369677670157E-2</v>
      </c>
      <c r="W133" s="97">
        <f t="shared" si="15"/>
        <v>7.6805893814582684E-3</v>
      </c>
      <c r="X133" s="97">
        <f t="shared" si="15"/>
        <v>9.4584509349798199E-4</v>
      </c>
      <c r="Y133" s="97">
        <f t="shared" si="15"/>
        <v>2.7222093489638773E-2</v>
      </c>
      <c r="Z133" s="97">
        <f t="shared" si="15"/>
        <v>3.828863762171815E-2</v>
      </c>
      <c r="AA133" s="97">
        <f t="shared" si="15"/>
        <v>1E-3</v>
      </c>
      <c r="AD133" s="3" t="s">
        <v>25</v>
      </c>
      <c r="AE133" s="2">
        <v>1E-3</v>
      </c>
    </row>
    <row r="134" spans="2:31" ht="12.75" customHeight="1" x14ac:dyDescent="0.25">
      <c r="B134" s="21" t="s">
        <v>1</v>
      </c>
      <c r="C134" s="95">
        <f>Annual_sorted!I85</f>
        <v>-3.5421358417796607</v>
      </c>
      <c r="D134" s="29">
        <f>IF(C134-Table_1463457811291821425058667482[Burundi]&gt;0, C134-Table_1463457811291821425058667482[Burundi], 0)</f>
        <v>0</v>
      </c>
      <c r="E134" s="29">
        <f>IF(C134-Table_1463457811291821425058667482[DRC]&gt;0, C134-Table_1463457811291821425058667482[DRC], 0)</f>
        <v>0</v>
      </c>
      <c r="F134" s="29">
        <f>IF(C134-Table_1463457811291821425058667482[Egypt]&gt;0, C134-Table_1463457811291821425058667482[Egypt], 0)</f>
        <v>0</v>
      </c>
      <c r="G134" s="29">
        <f>IF(C134-Table_1463457811291821425058667482[Eritrea]&gt;0, C134-Table_1463457811291821425058667482[Eritrea], 0)</f>
        <v>0</v>
      </c>
      <c r="H134" s="29">
        <f>IF(C134-Table_1463457811291821425058667482[Ethiopia]&gt;0, C134-Table_1463457811291821425058667482[Ethiopia], 0)</f>
        <v>86.424771871199454</v>
      </c>
      <c r="I134" s="29">
        <f>IF(C134-Table_1463457811291821425058667482[Kenya]&gt;0, C134-Table_1463457811291821425058667482[Kenya], 0)</f>
        <v>4.4573567340734392</v>
      </c>
      <c r="J134" s="29">
        <f>IF(C134-Table_1463457811291821425058667482[Rwanda]&gt;0, C134-Table_1463457811291821425058667482[Rwanda], 0)</f>
        <v>2.4321732235152624</v>
      </c>
      <c r="K134" s="29">
        <f>IF(C134-Table_1463457811291821425058667482[Sudan]&gt;0, C134-Table_1463457811291821425058667482[Sudan], 0)</f>
        <v>0</v>
      </c>
      <c r="L134" s="29">
        <f>IF(C134-Table_1463457811291821425058667482[S. Sudan]&gt;0, C134-Table_1463457811291821425058667482[S. Sudan], 0)</f>
        <v>9.4893562444202395</v>
      </c>
      <c r="M134" s="29">
        <f>IF(C134-Table_1463457811291821425058667482[Tanzania]&gt;0, C134-Table_1463457811291821425058667482[Tanzania], 0)</f>
        <v>13.485907733837699</v>
      </c>
      <c r="N134" s="29">
        <f>IF(C134-Table_1463457811291821425058667482[Uganda]&gt;0, C134-Table_1463457811291821425058667482[Uganda], 0)</f>
        <v>1.9557403798039719E-2</v>
      </c>
      <c r="P134" s="21" t="s">
        <v>195</v>
      </c>
      <c r="Q134" s="97">
        <f t="shared" ref="Q134:Q143" si="16">$AE$133+(D135-$AE$131)*($AE$134-$AE$133)/($AE$132-$AE$131)</f>
        <v>2.3302500070507659E-2</v>
      </c>
      <c r="R134" s="97">
        <f t="shared" si="15"/>
        <v>9.4584509349798199E-4</v>
      </c>
      <c r="S134" s="97">
        <f t="shared" si="15"/>
        <v>9.4584509349798199E-4</v>
      </c>
      <c r="T134" s="97">
        <f t="shared" si="15"/>
        <v>1.3626268216538749E-2</v>
      </c>
      <c r="U134" s="97">
        <f t="shared" si="15"/>
        <v>0.26261470574333634</v>
      </c>
      <c r="V134" s="97">
        <f t="shared" si="15"/>
        <v>3.5645024654679829E-2</v>
      </c>
      <c r="W134" s="97">
        <f t="shared" si="15"/>
        <v>3.0037244358467947E-2</v>
      </c>
      <c r="X134" s="97">
        <f t="shared" si="15"/>
        <v>9.4584509349798199E-4</v>
      </c>
      <c r="Y134" s="97">
        <f t="shared" si="15"/>
        <v>4.9578748466648441E-2</v>
      </c>
      <c r="Z134" s="97">
        <f t="shared" si="15"/>
        <v>6.0645292598727821E-2</v>
      </c>
      <c r="AA134" s="97">
        <f t="shared" si="15"/>
        <v>2.3356654977009676E-2</v>
      </c>
      <c r="AD134" s="3" t="s">
        <v>70</v>
      </c>
      <c r="AE134" s="2">
        <v>1</v>
      </c>
    </row>
    <row r="135" spans="2:31" ht="12.75" customHeight="1" x14ac:dyDescent="0.25">
      <c r="B135" s="21" t="s">
        <v>195</v>
      </c>
      <c r="C135" s="95">
        <f>Annual_sorted!I86</f>
        <v>4.53170561047249</v>
      </c>
      <c r="D135" s="29">
        <f>IF(C135-Table_1463457811291821425058667482[Burundi]&gt;0, C135-Table_1463457811291821425058667482[Burundi], 0)</f>
        <v>8.0738414522521502</v>
      </c>
      <c r="E135" s="29">
        <f>IF(C135-Table_1463457811291821425058667482[DRC]&gt;0, C135-Table_1463457811291821425058667482[DRC], 0)</f>
        <v>0</v>
      </c>
      <c r="F135" s="29">
        <f>IF(C135-Table_1463457811291821425058667482[Egypt]&gt;0, C135-Table_1463457811291821425058667482[Egypt], 0)</f>
        <v>0</v>
      </c>
      <c r="G135" s="29">
        <f>IF(C135-Table_1463457811291821425058667482[Eritrea]&gt;0, C135-Table_1463457811291821425058667482[Eritrea], 0)</f>
        <v>4.5793847938425847</v>
      </c>
      <c r="H135" s="29">
        <f>IF(C135-Table_1463457811291821425058667482[Ethiopia]&gt;0, C135-Table_1463457811291821425058667482[Ethiopia], 0)</f>
        <v>94.498613323451593</v>
      </c>
      <c r="I135" s="29">
        <f>IF(C135-Table_1463457811291821425058667482[Kenya]&gt;0, C135-Table_1463457811291821425058667482[Kenya], 0)</f>
        <v>12.531198186325589</v>
      </c>
      <c r="J135" s="29">
        <f>IF(C135-Table_1463457811291821425058667482[Rwanda]&gt;0, C135-Table_1463457811291821425058667482[Rwanda], 0)</f>
        <v>10.506014675767414</v>
      </c>
      <c r="K135" s="29">
        <f>IF(C135-Table_1463457811291821425058667482[Sudan]&gt;0, C135-Table_1463457811291821425058667482[Sudan], 0)</f>
        <v>0</v>
      </c>
      <c r="L135" s="29">
        <f>IF(C135-Table_1463457811291821425058667482[S. Sudan]&gt;0, C135-Table_1463457811291821425058667482[S. Sudan], 0)</f>
        <v>17.56319769667239</v>
      </c>
      <c r="M135" s="29">
        <f>IF(C135-Table_1463457811291821425058667482[Tanzania]&gt;0, C135-Table_1463457811291821425058667482[Tanzania], 0)</f>
        <v>21.559749186089849</v>
      </c>
      <c r="N135" s="29">
        <f>IF(C135-Table_1463457811291821425058667482[Uganda]&gt;0, C135-Table_1463457811291821425058667482[Uganda], 0)</f>
        <v>8.0933988560501895</v>
      </c>
      <c r="P135" s="21" t="s">
        <v>2</v>
      </c>
      <c r="Q135" s="97">
        <f t="shared" si="16"/>
        <v>0.76068779432717137</v>
      </c>
      <c r="R135" s="97">
        <f t="shared" si="15"/>
        <v>0.73833113935016159</v>
      </c>
      <c r="S135" s="97">
        <f t="shared" si="15"/>
        <v>9.4584509349798199E-4</v>
      </c>
      <c r="T135" s="97">
        <f t="shared" si="15"/>
        <v>0.75101156247320255</v>
      </c>
      <c r="U135" s="97">
        <f t="shared" si="15"/>
        <v>0.99999999999999989</v>
      </c>
      <c r="V135" s="97">
        <f t="shared" si="15"/>
        <v>0.77303031891134355</v>
      </c>
      <c r="W135" s="97">
        <f t="shared" si="15"/>
        <v>0.76742253861513166</v>
      </c>
      <c r="X135" s="97">
        <f t="shared" si="15"/>
        <v>1.4718500794195555E-2</v>
      </c>
      <c r="Y135" s="97">
        <f t="shared" si="15"/>
        <v>0.786964042723312</v>
      </c>
      <c r="Z135" s="97">
        <f t="shared" si="15"/>
        <v>0.79803058685539141</v>
      </c>
      <c r="AA135" s="97">
        <f t="shared" si="15"/>
        <v>0.76074194923367344</v>
      </c>
    </row>
    <row r="136" spans="2:31" ht="12.75" customHeight="1" x14ac:dyDescent="0.25">
      <c r="B136" s="21" t="s">
        <v>2</v>
      </c>
      <c r="C136" s="95">
        <f>Annual_sorted!I87</f>
        <v>270.82968091907202</v>
      </c>
      <c r="D136" s="29">
        <f>IF(C136-Table_1463457811291821425058667482[Burundi]&gt;0, C136-Table_1463457811291821425058667482[Burundi], 0)</f>
        <v>274.37181676085169</v>
      </c>
      <c r="E136" s="29">
        <f>IF(C136-Table_1463457811291821425058667482[DRC]&gt;0, C136-Table_1463457811291821425058667482[DRC], 0)</f>
        <v>266.29797530859952</v>
      </c>
      <c r="F136" s="29">
        <f>IF(C136-Table_1463457811291821425058667482[Egypt]&gt;0, C136-Table_1463457811291821425058667482[Egypt], 0)</f>
        <v>0</v>
      </c>
      <c r="G136" s="29">
        <f>IF(C136-Table_1463457811291821425058667482[Eritrea]&gt;0, C136-Table_1463457811291821425058667482[Eritrea], 0)</f>
        <v>270.87736010244214</v>
      </c>
      <c r="H136" s="29">
        <f>IF(C136-Table_1463457811291821425058667482[Ethiopia]&gt;0, C136-Table_1463457811291821425058667482[Ethiopia], 0)</f>
        <v>360.79658863205111</v>
      </c>
      <c r="I136" s="29">
        <f>IF(C136-Table_1463457811291821425058667482[Kenya]&gt;0, C136-Table_1463457811291821425058667482[Kenya], 0)</f>
        <v>278.8291734949251</v>
      </c>
      <c r="J136" s="29">
        <f>IF(C136-Table_1463457811291821425058667482[Rwanda]&gt;0, C136-Table_1463457811291821425058667482[Rwanda], 0)</f>
        <v>276.80398998436692</v>
      </c>
      <c r="K136" s="29">
        <f>IF(C136-Table_1463457811291821425058667482[Sudan]&gt;0, C136-Table_1463457811291821425058667482[Sudan], 0)</f>
        <v>4.9738316674940393</v>
      </c>
      <c r="L136" s="29">
        <f>IF(C136-Table_1463457811291821425058667482[S. Sudan]&gt;0, C136-Table_1463457811291821425058667482[S. Sudan], 0)</f>
        <v>283.86117300527189</v>
      </c>
      <c r="M136" s="29">
        <f>IF(C136-Table_1463457811291821425058667482[Tanzania]&gt;0, C136-Table_1463457811291821425058667482[Tanzania], 0)</f>
        <v>287.85772449468936</v>
      </c>
      <c r="N136" s="29">
        <f>IF(C136-Table_1463457811291821425058667482[Uganda]&gt;0, C136-Table_1463457811291821425058667482[Uganda], 0)</f>
        <v>274.39137416464973</v>
      </c>
      <c r="P136" s="21" t="s">
        <v>3</v>
      </c>
      <c r="Q136" s="97">
        <f t="shared" si="16"/>
        <v>1.0622076947466884E-2</v>
      </c>
      <c r="R136" s="97">
        <f t="shared" si="15"/>
        <v>9.4584509349798199E-4</v>
      </c>
      <c r="S136" s="97">
        <f t="shared" si="15"/>
        <v>9.4584509349798199E-4</v>
      </c>
      <c r="T136" s="97">
        <f t="shared" si="15"/>
        <v>9.4584509349798199E-4</v>
      </c>
      <c r="U136" s="97">
        <f t="shared" si="15"/>
        <v>0.2499342826202956</v>
      </c>
      <c r="V136" s="97">
        <f t="shared" si="15"/>
        <v>2.296460153163906E-2</v>
      </c>
      <c r="W136" s="97">
        <f t="shared" si="15"/>
        <v>1.7356821235427172E-2</v>
      </c>
      <c r="X136" s="97">
        <f t="shared" si="15"/>
        <v>9.4584509349798199E-4</v>
      </c>
      <c r="Y136" s="97">
        <f t="shared" si="15"/>
        <v>3.689832534360768E-2</v>
      </c>
      <c r="Z136" s="97">
        <f t="shared" si="15"/>
        <v>4.7964869475687046E-2</v>
      </c>
      <c r="AA136" s="97">
        <f t="shared" si="15"/>
        <v>1.0676231853968904E-2</v>
      </c>
    </row>
    <row r="137" spans="2:31" ht="12.75" customHeight="1" x14ac:dyDescent="0.25">
      <c r="B137" s="21" t="s">
        <v>3</v>
      </c>
      <c r="C137" s="95">
        <f>Annual_sorted!I88</f>
        <v>-4.7679183370094913E-2</v>
      </c>
      <c r="D137" s="29">
        <f>IF(C137-Table_1463457811291821425058667482[Burundi]&gt;0, C137-Table_1463457811291821425058667482[Burundi], 0)</f>
        <v>3.4944566584095655</v>
      </c>
      <c r="E137" s="29">
        <f>IF(C137-Table_1463457811291821425058667482[DRC]&gt;0, C137-Table_1463457811291821425058667482[DRC], 0)</f>
        <v>0</v>
      </c>
      <c r="F137" s="29">
        <f>IF(C137-Table_1463457811291821425058667482[Egypt]&gt;0, C137-Table_1463457811291821425058667482[Egypt], 0)</f>
        <v>0</v>
      </c>
      <c r="G137" s="29">
        <f>IF(C137-Table_1463457811291821425058667482[Eritrea]&gt;0, C137-Table_1463457811291821425058667482[Eritrea], 0)</f>
        <v>0</v>
      </c>
      <c r="H137" s="29">
        <f>IF(C137-Table_1463457811291821425058667482[Ethiopia]&gt;0, C137-Table_1463457811291821425058667482[Ethiopia], 0)</f>
        <v>89.919228529609015</v>
      </c>
      <c r="I137" s="29">
        <f>IF(C137-Table_1463457811291821425058667482[Kenya]&gt;0, C137-Table_1463457811291821425058667482[Kenya], 0)</f>
        <v>7.9518133924830048</v>
      </c>
      <c r="J137" s="29">
        <f>IF(C137-Table_1463457811291821425058667482[Rwanda]&gt;0, C137-Table_1463457811291821425058667482[Rwanda], 0)</f>
        <v>5.9266298819248284</v>
      </c>
      <c r="K137" s="29">
        <f>IF(C137-Table_1463457811291821425058667482[Sudan]&gt;0, C137-Table_1463457811291821425058667482[Sudan], 0)</f>
        <v>0</v>
      </c>
      <c r="L137" s="29">
        <f>IF(C137-Table_1463457811291821425058667482[S. Sudan]&gt;0, C137-Table_1463457811291821425058667482[S. Sudan], 0)</f>
        <v>12.983812902829806</v>
      </c>
      <c r="M137" s="29">
        <f>IF(C137-Table_1463457811291821425058667482[Tanzania]&gt;0, C137-Table_1463457811291821425058667482[Tanzania], 0)</f>
        <v>16.980364392247264</v>
      </c>
      <c r="N137" s="29">
        <f>IF(C137-Table_1463457811291821425058667482[Uganda]&gt;0, C137-Table_1463457811291821425058667482[Uganda], 0)</f>
        <v>3.5140140622076057</v>
      </c>
      <c r="P137" s="21" t="s">
        <v>4</v>
      </c>
      <c r="Q137" s="97">
        <f t="shared" si="16"/>
        <v>9.4584509349798199E-4</v>
      </c>
      <c r="R137" s="97">
        <f t="shared" si="15"/>
        <v>9.4584509349798199E-4</v>
      </c>
      <c r="S137" s="97">
        <f t="shared" si="15"/>
        <v>9.4584509349798199E-4</v>
      </c>
      <c r="T137" s="97">
        <f t="shared" si="15"/>
        <v>9.4584509349798199E-4</v>
      </c>
      <c r="U137" s="97">
        <f t="shared" si="15"/>
        <v>9.4584509349798199E-4</v>
      </c>
      <c r="V137" s="97">
        <f t="shared" si="15"/>
        <v>9.4584509349798199E-4</v>
      </c>
      <c r="W137" s="97">
        <f t="shared" si="15"/>
        <v>9.4584509349798199E-4</v>
      </c>
      <c r="X137" s="97">
        <f t="shared" si="15"/>
        <v>9.4584509349798199E-4</v>
      </c>
      <c r="Y137" s="97">
        <f t="shared" si="15"/>
        <v>9.4584509349798199E-4</v>
      </c>
      <c r="Z137" s="97">
        <f t="shared" si="15"/>
        <v>9.4584509349798199E-4</v>
      </c>
      <c r="AA137" s="97">
        <f t="shared" si="15"/>
        <v>9.4584509349798199E-4</v>
      </c>
    </row>
    <row r="138" spans="2:31" ht="12.75" customHeight="1" x14ac:dyDescent="0.25">
      <c r="B138" s="21" t="s">
        <v>4</v>
      </c>
      <c r="C138" s="95">
        <f>Annual_sorted!I89</f>
        <v>-89.966907712979108</v>
      </c>
      <c r="D138" s="29">
        <f>IF(C138-Table_1463457811291821425058667482[Burundi]&gt;0, C138-Table_1463457811291821425058667482[Burundi], 0)</f>
        <v>0</v>
      </c>
      <c r="E138" s="29">
        <f>IF(C138-Table_1463457811291821425058667482[DRC]&gt;0, C138-Table_1463457811291821425058667482[DRC], 0)</f>
        <v>0</v>
      </c>
      <c r="F138" s="29">
        <f>IF(C138-Table_1463457811291821425058667482[Egypt]&gt;0, C138-Table_1463457811291821425058667482[Egypt], 0)</f>
        <v>0</v>
      </c>
      <c r="G138" s="29">
        <f>IF(C138-Table_1463457811291821425058667482[Eritrea]&gt;0, C138-Table_1463457811291821425058667482[Eritrea], 0)</f>
        <v>0</v>
      </c>
      <c r="H138" s="29">
        <f>IF(C138-Table_1463457811291821425058667482[Ethiopia]&gt;0, C138-Table_1463457811291821425058667482[Ethiopia], 0)</f>
        <v>0</v>
      </c>
      <c r="I138" s="29">
        <f>IF(C138-Table_1463457811291821425058667482[Kenya]&gt;0, C138-Table_1463457811291821425058667482[Kenya], 0)</f>
        <v>0</v>
      </c>
      <c r="J138" s="29">
        <f>IF(C138-Table_1463457811291821425058667482[Rwanda]&gt;0, C138-Table_1463457811291821425058667482[Rwanda], 0)</f>
        <v>0</v>
      </c>
      <c r="K138" s="29">
        <f>IF(C138-Table_1463457811291821425058667482[Sudan]&gt;0, C138-Table_1463457811291821425058667482[Sudan], 0)</f>
        <v>0</v>
      </c>
      <c r="L138" s="29">
        <f>IF(C138-Table_1463457811291821425058667482[S. Sudan]&gt;0, C138-Table_1463457811291821425058667482[S. Sudan], 0)</f>
        <v>0</v>
      </c>
      <c r="M138" s="29">
        <f>IF(C138-Table_1463457811291821425058667482[Tanzania]&gt;0, C138-Table_1463457811291821425058667482[Tanzania], 0)</f>
        <v>0</v>
      </c>
      <c r="N138" s="29">
        <f>IF(C138-Table_1463457811291821425058667482[Uganda]&gt;0, C138-Table_1463457811291821425058667482[Uganda], 0)</f>
        <v>0</v>
      </c>
      <c r="P138" s="21" t="s">
        <v>5</v>
      </c>
      <c r="Q138" s="97">
        <f t="shared" si="16"/>
        <v>9.4584509349798199E-4</v>
      </c>
      <c r="R138" s="97">
        <f t="shared" si="15"/>
        <v>9.4584509349798199E-4</v>
      </c>
      <c r="S138" s="97">
        <f t="shared" si="15"/>
        <v>9.4584509349798199E-4</v>
      </c>
      <c r="T138" s="97">
        <f t="shared" si="15"/>
        <v>9.4584509349798199E-4</v>
      </c>
      <c r="U138" s="97">
        <f t="shared" si="15"/>
        <v>0.22791552618215452</v>
      </c>
      <c r="V138" s="97">
        <f t="shared" si="15"/>
        <v>9.4584509349798199E-4</v>
      </c>
      <c r="W138" s="97">
        <f t="shared" si="15"/>
        <v>9.4584509349798199E-4</v>
      </c>
      <c r="X138" s="97">
        <f t="shared" si="15"/>
        <v>9.4584509349798199E-4</v>
      </c>
      <c r="Y138" s="97">
        <f t="shared" si="15"/>
        <v>1.4879568905466597E-2</v>
      </c>
      <c r="Z138" s="97">
        <f t="shared" si="15"/>
        <v>2.5946113037545973E-2</v>
      </c>
      <c r="AA138" s="97">
        <f t="shared" si="15"/>
        <v>9.4584509349798199E-4</v>
      </c>
    </row>
    <row r="139" spans="2:31" ht="12.75" customHeight="1" x14ac:dyDescent="0.25">
      <c r="B139" s="21" t="s">
        <v>5</v>
      </c>
      <c r="C139" s="95">
        <f>Annual_sorted!I90</f>
        <v>-7.9994925758530995</v>
      </c>
      <c r="D139" s="29">
        <f>IF(C139-Table_1463457811291821425058667482[Burundi]&gt;0, C139-Table_1463457811291821425058667482[Burundi], 0)</f>
        <v>0</v>
      </c>
      <c r="E139" s="29">
        <f>IF(C139-Table_1463457811291821425058667482[DRC]&gt;0, C139-Table_1463457811291821425058667482[DRC], 0)</f>
        <v>0</v>
      </c>
      <c r="F139" s="29">
        <f>IF(C139-Table_1463457811291821425058667482[Egypt]&gt;0, C139-Table_1463457811291821425058667482[Egypt], 0)</f>
        <v>0</v>
      </c>
      <c r="G139" s="29">
        <f>IF(C139-Table_1463457811291821425058667482[Eritrea]&gt;0, C139-Table_1463457811291821425058667482[Eritrea], 0)</f>
        <v>0</v>
      </c>
      <c r="H139" s="29">
        <f>IF(C139-Table_1463457811291821425058667482[Ethiopia]&gt;0, C139-Table_1463457811291821425058667482[Ethiopia], 0)</f>
        <v>81.967415137126011</v>
      </c>
      <c r="I139" s="29">
        <f>IF(C139-Table_1463457811291821425058667482[Kenya]&gt;0, C139-Table_1463457811291821425058667482[Kenya], 0)</f>
        <v>0</v>
      </c>
      <c r="J139" s="29">
        <f>IF(C139-Table_1463457811291821425058667482[Rwanda]&gt;0, C139-Table_1463457811291821425058667482[Rwanda], 0)</f>
        <v>0</v>
      </c>
      <c r="K139" s="29">
        <f>IF(C139-Table_1463457811291821425058667482[Sudan]&gt;0, C139-Table_1463457811291821425058667482[Sudan], 0)</f>
        <v>0</v>
      </c>
      <c r="L139" s="29">
        <f>IF(C139-Table_1463457811291821425058667482[S. Sudan]&gt;0, C139-Table_1463457811291821425058667482[S. Sudan], 0)</f>
        <v>5.0319995103468012</v>
      </c>
      <c r="M139" s="29">
        <f>IF(C139-Table_1463457811291821425058667482[Tanzania]&gt;0, C139-Table_1463457811291821425058667482[Tanzania], 0)</f>
        <v>9.0285509997642599</v>
      </c>
      <c r="N139" s="29">
        <f>IF(C139-Table_1463457811291821425058667482[Uganda]&gt;0, C139-Table_1463457811291821425058667482[Uganda], 0)</f>
        <v>0</v>
      </c>
      <c r="P139" s="21" t="s">
        <v>6</v>
      </c>
      <c r="Q139" s="97">
        <f t="shared" si="16"/>
        <v>9.4584509349798199E-4</v>
      </c>
      <c r="R139" s="97">
        <f t="shared" si="15"/>
        <v>9.4584509349798199E-4</v>
      </c>
      <c r="S139" s="97">
        <f t="shared" si="15"/>
        <v>9.4584509349798199E-4</v>
      </c>
      <c r="T139" s="97">
        <f t="shared" si="15"/>
        <v>9.4584509349798199E-4</v>
      </c>
      <c r="U139" s="97">
        <f t="shared" si="15"/>
        <v>0.23352330647836644</v>
      </c>
      <c r="V139" s="97">
        <f t="shared" si="15"/>
        <v>6.553625389709869E-3</v>
      </c>
      <c r="W139" s="97">
        <f t="shared" si="15"/>
        <v>9.4584509349798199E-4</v>
      </c>
      <c r="X139" s="97">
        <f t="shared" si="15"/>
        <v>9.4584509349798199E-4</v>
      </c>
      <c r="Y139" s="97">
        <f t="shared" si="15"/>
        <v>2.0487349201678485E-2</v>
      </c>
      <c r="Z139" s="97">
        <f t="shared" si="15"/>
        <v>3.1553893333757861E-2</v>
      </c>
      <c r="AA139" s="97">
        <f t="shared" si="15"/>
        <v>9.4584509349798199E-4</v>
      </c>
    </row>
    <row r="140" spans="2:31" ht="12.75" customHeight="1" x14ac:dyDescent="0.25">
      <c r="B140" s="21" t="s">
        <v>6</v>
      </c>
      <c r="C140" s="95">
        <f>Annual_sorted!I91</f>
        <v>-5.9743090652949231</v>
      </c>
      <c r="D140" s="29">
        <f>IF(C140-Table_1463457811291821425058667482[Burundi]&gt;0, C140-Table_1463457811291821425058667482[Burundi], 0)</f>
        <v>0</v>
      </c>
      <c r="E140" s="29">
        <f>IF(C140-Table_1463457811291821425058667482[DRC]&gt;0, C140-Table_1463457811291821425058667482[DRC], 0)</f>
        <v>0</v>
      </c>
      <c r="F140" s="29">
        <f>IF(C140-Table_1463457811291821425058667482[Egypt]&gt;0, C140-Table_1463457811291821425058667482[Egypt], 0)</f>
        <v>0</v>
      </c>
      <c r="G140" s="29">
        <f>IF(C140-Table_1463457811291821425058667482[Eritrea]&gt;0, C140-Table_1463457811291821425058667482[Eritrea], 0)</f>
        <v>0</v>
      </c>
      <c r="H140" s="29">
        <f>IF(C140-Table_1463457811291821425058667482[Ethiopia]&gt;0, C140-Table_1463457811291821425058667482[Ethiopia], 0)</f>
        <v>83.99259864768419</v>
      </c>
      <c r="I140" s="29">
        <f>IF(C140-Table_1463457811291821425058667482[Kenya]&gt;0, C140-Table_1463457811291821425058667482[Kenya], 0)</f>
        <v>2.0251835105581764</v>
      </c>
      <c r="J140" s="29">
        <f>IF(C140-Table_1463457811291821425058667482[Rwanda]&gt;0, C140-Table_1463457811291821425058667482[Rwanda], 0)</f>
        <v>0</v>
      </c>
      <c r="K140" s="29">
        <f>IF(C140-Table_1463457811291821425058667482[Sudan]&gt;0, C140-Table_1463457811291821425058667482[Sudan], 0)</f>
        <v>0</v>
      </c>
      <c r="L140" s="29">
        <f>IF(C140-Table_1463457811291821425058667482[S. Sudan]&gt;0, C140-Table_1463457811291821425058667482[S. Sudan], 0)</f>
        <v>7.0571830209049775</v>
      </c>
      <c r="M140" s="29">
        <f>IF(C140-Table_1463457811291821425058667482[Tanzania]&gt;0, C140-Table_1463457811291821425058667482[Tanzania], 0)</f>
        <v>11.053734510322437</v>
      </c>
      <c r="N140" s="29">
        <f>IF(C140-Table_1463457811291821425058667482[Uganda]&gt;0, C140-Table_1463457811291821425058667482[Uganda], 0)</f>
        <v>0</v>
      </c>
      <c r="P140" s="21" t="s">
        <v>7</v>
      </c>
      <c r="Q140" s="97">
        <f t="shared" si="16"/>
        <v>0.74691513862647374</v>
      </c>
      <c r="R140" s="97">
        <f t="shared" si="15"/>
        <v>0.72455848364946407</v>
      </c>
      <c r="S140" s="97">
        <f t="shared" si="15"/>
        <v>9.4584509349798199E-4</v>
      </c>
      <c r="T140" s="97">
        <f t="shared" si="15"/>
        <v>0.73723890677250492</v>
      </c>
      <c r="U140" s="97">
        <f t="shared" si="15"/>
        <v>0.98622734429930248</v>
      </c>
      <c r="V140" s="97">
        <f t="shared" si="15"/>
        <v>0.75925766321064592</v>
      </c>
      <c r="W140" s="97">
        <f t="shared" si="15"/>
        <v>0.75364988291443402</v>
      </c>
      <c r="X140" s="97">
        <f t="shared" si="15"/>
        <v>9.4584509349798199E-4</v>
      </c>
      <c r="Y140" s="97">
        <f t="shared" si="15"/>
        <v>0.77319138702261436</v>
      </c>
      <c r="Z140" s="97">
        <f t="shared" si="15"/>
        <v>0.78425793115469378</v>
      </c>
      <c r="AA140" s="97">
        <f t="shared" si="15"/>
        <v>0.74696929353297581</v>
      </c>
    </row>
    <row r="141" spans="2:31" ht="12.75" customHeight="1" x14ac:dyDescent="0.25">
      <c r="B141" s="21" t="s">
        <v>7</v>
      </c>
      <c r="C141" s="95">
        <f>Annual_sorted!I92</f>
        <v>265.85584925157798</v>
      </c>
      <c r="D141" s="29">
        <f>IF(C141-Table_1463457811291821425058667482[Burundi]&gt;0, C141-Table_1463457811291821425058667482[Burundi], 0)</f>
        <v>269.39798509335765</v>
      </c>
      <c r="E141" s="29">
        <f>IF(C141-Table_1463457811291821425058667482[DRC]&gt;0, C141-Table_1463457811291821425058667482[DRC], 0)</f>
        <v>261.32414364110548</v>
      </c>
      <c r="F141" s="29">
        <f>IF(C141-Table_1463457811291821425058667482[Egypt]&gt;0, C141-Table_1463457811291821425058667482[Egypt], 0)</f>
        <v>0</v>
      </c>
      <c r="G141" s="29">
        <f>IF(C141-Table_1463457811291821425058667482[Eritrea]&gt;0, C141-Table_1463457811291821425058667482[Eritrea], 0)</f>
        <v>265.9035284349481</v>
      </c>
      <c r="H141" s="29">
        <f>IF(C141-Table_1463457811291821425058667482[Ethiopia]&gt;0, C141-Table_1463457811291821425058667482[Ethiopia], 0)</f>
        <v>355.82275696455707</v>
      </c>
      <c r="I141" s="29">
        <f>IF(C141-Table_1463457811291821425058667482[Kenya]&gt;0, C141-Table_1463457811291821425058667482[Kenya], 0)</f>
        <v>273.85534182743106</v>
      </c>
      <c r="J141" s="29">
        <f>IF(C141-Table_1463457811291821425058667482[Rwanda]&gt;0, C141-Table_1463457811291821425058667482[Rwanda], 0)</f>
        <v>271.83015831687288</v>
      </c>
      <c r="K141" s="29">
        <f>IF(C141-Table_1463457811291821425058667482[Sudan]&gt;0, C141-Table_1463457811291821425058667482[Sudan], 0)</f>
        <v>0</v>
      </c>
      <c r="L141" s="29">
        <f>IF(C141-Table_1463457811291821425058667482[S. Sudan]&gt;0, C141-Table_1463457811291821425058667482[S. Sudan], 0)</f>
        <v>278.88734133777785</v>
      </c>
      <c r="M141" s="29">
        <f>IF(C141-Table_1463457811291821425058667482[Tanzania]&gt;0, C141-Table_1463457811291821425058667482[Tanzania], 0)</f>
        <v>282.88389282719533</v>
      </c>
      <c r="N141" s="29">
        <f>IF(C141-Table_1463457811291821425058667482[Uganda]&gt;0, C141-Table_1463457811291821425058667482[Uganda], 0)</f>
        <v>269.41754249715569</v>
      </c>
      <c r="P141" s="21" t="s">
        <v>8</v>
      </c>
      <c r="Q141" s="97">
        <f t="shared" si="16"/>
        <v>9.4584509349798199E-4</v>
      </c>
      <c r="R141" s="97">
        <f t="shared" si="15"/>
        <v>9.4584509349798199E-4</v>
      </c>
      <c r="S141" s="97">
        <f t="shared" si="15"/>
        <v>9.4584509349798199E-4</v>
      </c>
      <c r="T141" s="97">
        <f t="shared" si="15"/>
        <v>9.4584509349798199E-4</v>
      </c>
      <c r="U141" s="97">
        <f t="shared" si="15"/>
        <v>0.21398180237018591</v>
      </c>
      <c r="V141" s="97">
        <f t="shared" si="15"/>
        <v>9.4584509349798199E-4</v>
      </c>
      <c r="W141" s="97">
        <f t="shared" si="15"/>
        <v>9.4584509349798199E-4</v>
      </c>
      <c r="X141" s="97">
        <f t="shared" si="15"/>
        <v>9.4584509349798199E-4</v>
      </c>
      <c r="Y141" s="97">
        <f t="shared" si="15"/>
        <v>9.4584509349798199E-4</v>
      </c>
      <c r="Z141" s="97">
        <f t="shared" si="15"/>
        <v>1.2012389225577361E-2</v>
      </c>
      <c r="AA141" s="97">
        <f t="shared" si="15"/>
        <v>9.4584509349798199E-4</v>
      </c>
    </row>
    <row r="142" spans="2:31" ht="12.75" customHeight="1" x14ac:dyDescent="0.25">
      <c r="B142" s="21" t="s">
        <v>8</v>
      </c>
      <c r="C142" s="95">
        <f>Annual_sorted!I93</f>
        <v>-13.031492086199901</v>
      </c>
      <c r="D142" s="29">
        <f>IF(C142-Table_1463457811291821425058667482[Burundi]&gt;0, C142-Table_1463457811291821425058667482[Burundi], 0)</f>
        <v>0</v>
      </c>
      <c r="E142" s="29">
        <f>IF(C142-Table_1463457811291821425058667482[DRC]&gt;0, C142-Table_1463457811291821425058667482[DRC], 0)</f>
        <v>0</v>
      </c>
      <c r="F142" s="29">
        <f>IF(C142-Table_1463457811291821425058667482[Egypt]&gt;0, C142-Table_1463457811291821425058667482[Egypt], 0)</f>
        <v>0</v>
      </c>
      <c r="G142" s="29">
        <f>IF(C142-Table_1463457811291821425058667482[Eritrea]&gt;0, C142-Table_1463457811291821425058667482[Eritrea], 0)</f>
        <v>0</v>
      </c>
      <c r="H142" s="29">
        <f>IF(C142-Table_1463457811291821425058667482[Ethiopia]&gt;0, C142-Table_1463457811291821425058667482[Ethiopia], 0)</f>
        <v>76.935415626779204</v>
      </c>
      <c r="I142" s="29">
        <f>IF(C142-Table_1463457811291821425058667482[Kenya]&gt;0, C142-Table_1463457811291821425058667482[Kenya], 0)</f>
        <v>0</v>
      </c>
      <c r="J142" s="29">
        <f>IF(C142-Table_1463457811291821425058667482[Rwanda]&gt;0, C142-Table_1463457811291821425058667482[Rwanda], 0)</f>
        <v>0</v>
      </c>
      <c r="K142" s="29">
        <f>IF(C142-Table_1463457811291821425058667482[Sudan]&gt;0, C142-Table_1463457811291821425058667482[Sudan], 0)</f>
        <v>0</v>
      </c>
      <c r="L142" s="29">
        <f>IF(C142-Table_1463457811291821425058667482[S. Sudan]&gt;0, C142-Table_1463457811291821425058667482[S. Sudan], 0)</f>
        <v>0</v>
      </c>
      <c r="M142" s="29">
        <f>IF(C142-Table_1463457811291821425058667482[Tanzania]&gt;0, C142-Table_1463457811291821425058667482[Tanzania], 0)</f>
        <v>3.9965514894174596</v>
      </c>
      <c r="N142" s="29">
        <f>IF(C142-Table_1463457811291821425058667482[Uganda]&gt;0, C142-Table_1463457811291821425058667482[Uganda], 0)</f>
        <v>0</v>
      </c>
      <c r="P142" s="21" t="s">
        <v>9</v>
      </c>
      <c r="Q142" s="97">
        <f t="shared" si="16"/>
        <v>9.4584509349798199E-4</v>
      </c>
      <c r="R142" s="97">
        <f t="shared" si="15"/>
        <v>9.4584509349798199E-4</v>
      </c>
      <c r="S142" s="97">
        <f t="shared" si="15"/>
        <v>9.4584509349798199E-4</v>
      </c>
      <c r="T142" s="97">
        <f t="shared" si="15"/>
        <v>9.4584509349798199E-4</v>
      </c>
      <c r="U142" s="97">
        <f t="shared" si="15"/>
        <v>0.20291525823810652</v>
      </c>
      <c r="V142" s="97">
        <f t="shared" si="15"/>
        <v>9.4584509349798199E-4</v>
      </c>
      <c r="W142" s="97">
        <f t="shared" si="15"/>
        <v>9.4584509349798199E-4</v>
      </c>
      <c r="X142" s="97">
        <f t="shared" si="15"/>
        <v>9.4584509349798199E-4</v>
      </c>
      <c r="Y142" s="97">
        <f t="shared" si="15"/>
        <v>9.4584509349798199E-4</v>
      </c>
      <c r="Z142" s="97">
        <f t="shared" si="15"/>
        <v>9.4584509349798199E-4</v>
      </c>
      <c r="AA142" s="97">
        <f t="shared" si="15"/>
        <v>9.4584509349798199E-4</v>
      </c>
    </row>
    <row r="143" spans="2:31" ht="12.75" customHeight="1" thickBot="1" x14ac:dyDescent="0.3">
      <c r="B143" s="21" t="s">
        <v>9</v>
      </c>
      <c r="C143" s="95">
        <f>Annual_sorted!I94</f>
        <v>-17.02804357561736</v>
      </c>
      <c r="D143" s="29">
        <f>IF(C143-Table_1463457811291821425058667482[Burundi]&gt;0, C143-Table_1463457811291821425058667482[Burundi], 0)</f>
        <v>0</v>
      </c>
      <c r="E143" s="29">
        <f>IF(C143-Table_1463457811291821425058667482[DRC]&gt;0, C143-Table_1463457811291821425058667482[DRC], 0)</f>
        <v>0</v>
      </c>
      <c r="F143" s="29">
        <f>IF(C143-Table_1463457811291821425058667482[Egypt]&gt;0, C143-Table_1463457811291821425058667482[Egypt], 0)</f>
        <v>0</v>
      </c>
      <c r="G143" s="29">
        <f>IF(C143-Table_1463457811291821425058667482[Eritrea]&gt;0, C143-Table_1463457811291821425058667482[Eritrea], 0)</f>
        <v>0</v>
      </c>
      <c r="H143" s="29">
        <f>IF(C143-Table_1463457811291821425058667482[Ethiopia]&gt;0, C143-Table_1463457811291821425058667482[Ethiopia], 0)</f>
        <v>72.938864137361747</v>
      </c>
      <c r="I143" s="29">
        <f>IF(C143-Table_1463457811291821425058667482[Kenya]&gt;0, C143-Table_1463457811291821425058667482[Kenya], 0)</f>
        <v>0</v>
      </c>
      <c r="J143" s="29">
        <f>IF(C143-Table_1463457811291821425058667482[Rwanda]&gt;0, C143-Table_1463457811291821425058667482[Rwanda], 0)</f>
        <v>0</v>
      </c>
      <c r="K143" s="29">
        <f>IF(C143-Table_1463457811291821425058667482[Sudan]&gt;0, C143-Table_1463457811291821425058667482[Sudan], 0)</f>
        <v>0</v>
      </c>
      <c r="L143" s="29">
        <f>IF(C143-Table_1463457811291821425058667482[S. Sudan]&gt;0, C143-Table_1463457811291821425058667482[S. Sudan], 0)</f>
        <v>0</v>
      </c>
      <c r="M143" s="29">
        <f>IF(C143-Table_1463457811291821425058667482[Tanzania]&gt;0, C143-Table_1463457811291821425058667482[Tanzania], 0)</f>
        <v>0</v>
      </c>
      <c r="N143" s="29">
        <f>IF(C143-Table_1463457811291821425058667482[Uganda]&gt;0, C143-Table_1463457811291821425058667482[Uganda], 0)</f>
        <v>0</v>
      </c>
      <c r="P143" s="22" t="s">
        <v>10</v>
      </c>
      <c r="Q143" s="98">
        <f t="shared" si="16"/>
        <v>9.4584509349798199E-4</v>
      </c>
      <c r="R143" s="98">
        <f t="shared" si="15"/>
        <v>9.4584509349798199E-4</v>
      </c>
      <c r="S143" s="98">
        <f t="shared" si="15"/>
        <v>9.4584509349798199E-4</v>
      </c>
      <c r="T143" s="98">
        <f t="shared" si="15"/>
        <v>9.4584509349798199E-4</v>
      </c>
      <c r="U143" s="98">
        <f t="shared" si="15"/>
        <v>0.24020389585982468</v>
      </c>
      <c r="V143" s="98">
        <f t="shared" si="15"/>
        <v>1.3234214771168137E-2</v>
      </c>
      <c r="W143" s="98">
        <f t="shared" si="15"/>
        <v>7.6264344749562502E-3</v>
      </c>
      <c r="X143" s="98">
        <f t="shared" si="15"/>
        <v>9.4584509349798199E-4</v>
      </c>
      <c r="Y143" s="98">
        <f t="shared" si="15"/>
        <v>2.7167938583136757E-2</v>
      </c>
      <c r="Z143" s="98">
        <f t="shared" si="15"/>
        <v>3.823448271521613E-2</v>
      </c>
      <c r="AA143" s="98">
        <f t="shared" si="15"/>
        <v>9.4584509349798199E-4</v>
      </c>
      <c r="AB143" s="186">
        <f>SUM(Q133:AA143)</f>
        <v>16.764827428435186</v>
      </c>
    </row>
    <row r="144" spans="2:31" ht="12.75" customHeight="1" thickBot="1" x14ac:dyDescent="0.3">
      <c r="B144" s="22" t="s">
        <v>10</v>
      </c>
      <c r="C144" s="96">
        <f>Annual_sorted!I95</f>
        <v>-3.5616932455777004</v>
      </c>
      <c r="D144" s="32">
        <f>IF(C144-Table_1463457811291821425058667482[Burundi]&gt;0, C144-Table_1463457811291821425058667482[Burundi], 0)</f>
        <v>0</v>
      </c>
      <c r="E144" s="32">
        <f>IF(C144-Table_1463457811291821425058667482[DRC]&gt;0, C144-Table_1463457811291821425058667482[DRC], 0)</f>
        <v>0</v>
      </c>
      <c r="F144" s="32">
        <f>IF(C144-Table_1463457811291821425058667482[Egypt]&gt;0, C144-Table_1463457811291821425058667482[Egypt], 0)</f>
        <v>0</v>
      </c>
      <c r="G144" s="32">
        <f>IF(C144-Table_1463457811291821425058667482[Eritrea]&gt;0, C144-Table_1463457811291821425058667482[Eritrea], 0)</f>
        <v>0</v>
      </c>
      <c r="H144" s="32">
        <f>IF(C144-Table_1463457811291821425058667482[Ethiopia]&gt;0, C144-Table_1463457811291821425058667482[Ethiopia], 0)</f>
        <v>86.405214467401407</v>
      </c>
      <c r="I144" s="32">
        <f>IF(C144-Table_1463457811291821425058667482[Kenya]&gt;0, C144-Table_1463457811291821425058667482[Kenya], 0)</f>
        <v>4.4377993302753991</v>
      </c>
      <c r="J144" s="32">
        <f>IF(C144-Table_1463457811291821425058667482[Rwanda]&gt;0, C144-Table_1463457811291821425058667482[Rwanda], 0)</f>
        <v>2.4126158197172227</v>
      </c>
      <c r="K144" s="32">
        <f>IF(C144-Table_1463457811291821425058667482[Sudan]&gt;0, C144-Table_1463457811291821425058667482[Sudan], 0)</f>
        <v>0</v>
      </c>
      <c r="L144" s="32">
        <f>IF(C144-Table_1463457811291821425058667482[S. Sudan]&gt;0, C144-Table_1463457811291821425058667482[S. Sudan], 0)</f>
        <v>9.4697988406222002</v>
      </c>
      <c r="M144" s="32">
        <f>IF(C144-Table_1463457811291821425058667482[Tanzania]&gt;0, C144-Table_1463457811291821425058667482[Tanzania], 0)</f>
        <v>13.46635033003966</v>
      </c>
      <c r="N144" s="32">
        <f>IF(C144-Table_1463457811291821425058667482[Uganda]&gt;0, C144-Table_1463457811291821425058667482[Uganda], 0)</f>
        <v>0</v>
      </c>
    </row>
    <row r="145" ht="12.75" customHeight="1" x14ac:dyDescent="0.25"/>
    <row r="146" ht="12.75" customHeight="1" x14ac:dyDescent="0.25"/>
    <row r="147" ht="12.75" customHeight="1" x14ac:dyDescent="0.25"/>
    <row r="148" ht="12.75" customHeight="1" x14ac:dyDescent="0.25"/>
    <row r="149" ht="12.75" customHeight="1" x14ac:dyDescent="0.25"/>
    <row r="150" ht="12.75" customHeight="1" x14ac:dyDescent="0.25"/>
    <row r="151" ht="12.75" customHeight="1" x14ac:dyDescent="0.25"/>
    <row r="152" ht="12.75" customHeight="1" x14ac:dyDescent="0.25"/>
    <row r="153" ht="12.75" customHeight="1" x14ac:dyDescent="0.25"/>
    <row r="154" ht="12.75" customHeight="1" x14ac:dyDescent="0.25"/>
    <row r="155" ht="12.75" customHeight="1" x14ac:dyDescent="0.25"/>
    <row r="156" ht="12.75" customHeight="1" x14ac:dyDescent="0.25"/>
    <row r="157" ht="12.75" customHeight="1" x14ac:dyDescent="0.25"/>
    <row r="158" ht="12.75" customHeight="1" x14ac:dyDescent="0.25"/>
    <row r="159" ht="12.75" customHeight="1" x14ac:dyDescent="0.25"/>
    <row r="160" ht="12.75" customHeight="1" x14ac:dyDescent="0.25"/>
    <row r="161" ht="12.75" customHeight="1" x14ac:dyDescent="0.25"/>
    <row r="162" ht="12.75" customHeight="1" x14ac:dyDescent="0.25"/>
    <row r="163" ht="12.75" customHeight="1" x14ac:dyDescent="0.25"/>
    <row r="164" ht="12.75" customHeight="1" x14ac:dyDescent="0.25"/>
    <row r="165" ht="12.75" customHeight="1" x14ac:dyDescent="0.25"/>
    <row r="166" ht="12.75" customHeight="1" x14ac:dyDescent="0.25"/>
    <row r="167" ht="12.75" customHeight="1" x14ac:dyDescent="0.25"/>
    <row r="168" ht="12.75" customHeight="1" x14ac:dyDescent="0.25"/>
    <row r="169" ht="12.75" customHeight="1" x14ac:dyDescent="0.25"/>
    <row r="170" ht="12.75" customHeight="1" x14ac:dyDescent="0.25"/>
    <row r="171" ht="12.75" customHeight="1" x14ac:dyDescent="0.25"/>
    <row r="172" ht="12.75" customHeight="1" x14ac:dyDescent="0.25"/>
    <row r="173" ht="12.75" customHeight="1" x14ac:dyDescent="0.25"/>
    <row r="174" ht="12.75" customHeight="1" x14ac:dyDescent="0.25"/>
    <row r="175" ht="12.75" customHeight="1" x14ac:dyDescent="0.25"/>
    <row r="176" ht="12.75" customHeight="1" x14ac:dyDescent="0.25"/>
    <row r="177" ht="12.75" customHeight="1" x14ac:dyDescent="0.25"/>
    <row r="178" ht="12.75" customHeight="1" x14ac:dyDescent="0.25"/>
    <row r="179" ht="12.75" customHeight="1" x14ac:dyDescent="0.25"/>
    <row r="180" ht="12.75" customHeight="1" x14ac:dyDescent="0.25"/>
    <row r="181" ht="12.75" customHeight="1" x14ac:dyDescent="0.25"/>
    <row r="182" ht="12.75" customHeight="1" x14ac:dyDescent="0.25"/>
    <row r="183" ht="12.75" customHeight="1" x14ac:dyDescent="0.25"/>
    <row r="184" ht="12.75" customHeight="1" x14ac:dyDescent="0.25"/>
    <row r="185" ht="12.75" customHeight="1" x14ac:dyDescent="0.25"/>
    <row r="186" ht="12.75" customHeight="1" x14ac:dyDescent="0.25"/>
    <row r="187" ht="12.75" customHeight="1" x14ac:dyDescent="0.25"/>
    <row r="188" ht="12.75" customHeight="1" x14ac:dyDescent="0.25"/>
    <row r="189" ht="12.75" customHeight="1" x14ac:dyDescent="0.25"/>
    <row r="190" ht="12.75" customHeight="1" x14ac:dyDescent="0.25"/>
    <row r="191" ht="12.75" customHeight="1" x14ac:dyDescent="0.25"/>
    <row r="192" ht="12.75" customHeight="1" x14ac:dyDescent="0.25"/>
    <row r="193" ht="12.75" customHeight="1" x14ac:dyDescent="0.25"/>
    <row r="194" ht="12.75" customHeight="1" x14ac:dyDescent="0.25"/>
    <row r="195" ht="12.75" customHeight="1" x14ac:dyDescent="0.25"/>
    <row r="196" ht="12.75" customHeight="1" x14ac:dyDescent="0.25"/>
    <row r="197" ht="12.75" customHeight="1" x14ac:dyDescent="0.25"/>
    <row r="198" ht="12.75" customHeight="1" x14ac:dyDescent="0.25"/>
    <row r="199" ht="12.75" customHeight="1" x14ac:dyDescent="0.25"/>
    <row r="200" ht="12.75" customHeight="1" x14ac:dyDescent="0.25"/>
    <row r="201" ht="12.75" customHeight="1" x14ac:dyDescent="0.25"/>
    <row r="202" ht="12.75" customHeight="1" x14ac:dyDescent="0.25"/>
    <row r="203" ht="12.75" customHeight="1" x14ac:dyDescent="0.25"/>
    <row r="204" ht="12.75" customHeight="1" x14ac:dyDescent="0.25"/>
    <row r="205" ht="12.75" customHeight="1" x14ac:dyDescent="0.25"/>
    <row r="206" ht="12.75" customHeight="1" x14ac:dyDescent="0.25"/>
    <row r="207" ht="12.75" customHeight="1" x14ac:dyDescent="0.25"/>
    <row r="208" ht="12.75" customHeight="1" x14ac:dyDescent="0.25"/>
    <row r="209" ht="12.75" customHeight="1" x14ac:dyDescent="0.25"/>
    <row r="210" ht="12.75" customHeight="1" x14ac:dyDescent="0.25"/>
    <row r="211" ht="12.75" customHeight="1" x14ac:dyDescent="0.25"/>
    <row r="212" ht="12.75" customHeight="1" x14ac:dyDescent="0.25"/>
    <row r="213" ht="12.75" customHeight="1" x14ac:dyDescent="0.25"/>
    <row r="214" ht="12.75" customHeight="1" x14ac:dyDescent="0.25"/>
    <row r="215" ht="12.75" customHeight="1" x14ac:dyDescent="0.25"/>
    <row r="216" ht="12.75" customHeight="1" x14ac:dyDescent="0.25"/>
    <row r="217" ht="12.75" customHeight="1" x14ac:dyDescent="0.25"/>
    <row r="218" ht="12.75" customHeight="1" x14ac:dyDescent="0.25"/>
    <row r="219" ht="12.75" customHeight="1" x14ac:dyDescent="0.25"/>
    <row r="220" ht="12.75" customHeight="1" x14ac:dyDescent="0.25"/>
    <row r="221" ht="12.75" customHeight="1" x14ac:dyDescent="0.25"/>
    <row r="222" ht="12.75" customHeight="1" x14ac:dyDescent="0.25"/>
    <row r="223" ht="12.75" customHeight="1" x14ac:dyDescent="0.25"/>
    <row r="224" ht="12.75" customHeight="1" x14ac:dyDescent="0.25"/>
    <row r="225" ht="12.75" customHeight="1" x14ac:dyDescent="0.25"/>
    <row r="226" ht="12.75" customHeight="1" x14ac:dyDescent="0.25"/>
    <row r="227" ht="12.75" customHeight="1" x14ac:dyDescent="0.25"/>
    <row r="228" ht="12.75" customHeight="1" x14ac:dyDescent="0.25"/>
    <row r="229" ht="12.75" customHeight="1" x14ac:dyDescent="0.25"/>
    <row r="230" ht="12.75" customHeight="1" x14ac:dyDescent="0.25"/>
    <row r="231" ht="12.75" customHeight="1" x14ac:dyDescent="0.25"/>
    <row r="232" ht="12.75" customHeight="1" x14ac:dyDescent="0.25"/>
    <row r="233" ht="12.75" customHeight="1" x14ac:dyDescent="0.25"/>
    <row r="234" ht="12.75" customHeight="1" x14ac:dyDescent="0.25"/>
    <row r="235" ht="12.75" customHeight="1" x14ac:dyDescent="0.25"/>
    <row r="236" ht="12.75" customHeight="1" x14ac:dyDescent="0.25"/>
    <row r="237" ht="12.75" customHeight="1" x14ac:dyDescent="0.25"/>
    <row r="238" ht="12.75" customHeight="1" x14ac:dyDescent="0.25"/>
    <row r="239" ht="12.75" customHeight="1" x14ac:dyDescent="0.25"/>
    <row r="240" ht="12.75" customHeight="1" x14ac:dyDescent="0.25"/>
    <row r="241" ht="12.75" customHeight="1" x14ac:dyDescent="0.25"/>
    <row r="242" ht="12.75" customHeight="1" x14ac:dyDescent="0.25"/>
    <row r="243" ht="12.75" customHeight="1" x14ac:dyDescent="0.25"/>
    <row r="244" ht="12.75" customHeight="1" x14ac:dyDescent="0.25"/>
    <row r="245" ht="12.75" customHeight="1" x14ac:dyDescent="0.25"/>
    <row r="246" ht="12.75" customHeight="1" x14ac:dyDescent="0.25"/>
    <row r="247" ht="12.75" customHeight="1" x14ac:dyDescent="0.25"/>
    <row r="248" ht="12.75" customHeight="1" x14ac:dyDescent="0.25"/>
    <row r="249" ht="12.75" customHeight="1" x14ac:dyDescent="0.25"/>
    <row r="250" ht="12.75" customHeight="1" x14ac:dyDescent="0.25"/>
    <row r="251" ht="12.75" customHeight="1" x14ac:dyDescent="0.25"/>
    <row r="252" ht="12.75" customHeight="1" x14ac:dyDescent="0.25"/>
    <row r="253" ht="12.75" customHeight="1" x14ac:dyDescent="0.25"/>
    <row r="254" ht="12.75" customHeight="1" x14ac:dyDescent="0.25"/>
    <row r="255" ht="12.75" customHeight="1" x14ac:dyDescent="0.25"/>
    <row r="256" ht="12.75" customHeight="1" x14ac:dyDescent="0.25"/>
    <row r="257" ht="12.75" customHeight="1" x14ac:dyDescent="0.25"/>
    <row r="258" ht="12.75" customHeight="1" x14ac:dyDescent="0.25"/>
    <row r="259" ht="12.75" customHeight="1" x14ac:dyDescent="0.25"/>
    <row r="260" ht="12.75" customHeight="1" x14ac:dyDescent="0.25"/>
    <row r="261" ht="12.75" customHeight="1" x14ac:dyDescent="0.25"/>
    <row r="262" ht="12.75" customHeight="1" x14ac:dyDescent="0.25"/>
    <row r="263" ht="12.75" customHeight="1" x14ac:dyDescent="0.25"/>
    <row r="264" ht="12.75" customHeight="1" x14ac:dyDescent="0.25"/>
    <row r="265" ht="12.75" customHeight="1" x14ac:dyDescent="0.25"/>
    <row r="266" ht="12.75" customHeight="1" x14ac:dyDescent="0.25"/>
    <row r="267" ht="12.75" customHeight="1" x14ac:dyDescent="0.25"/>
    <row r="268" ht="12.75" customHeight="1" x14ac:dyDescent="0.25"/>
    <row r="269" ht="12.75" customHeight="1" x14ac:dyDescent="0.25"/>
    <row r="270" ht="12.75" customHeight="1" x14ac:dyDescent="0.25"/>
    <row r="271" ht="12.75" customHeight="1" x14ac:dyDescent="0.25"/>
    <row r="272" ht="12.75" customHeight="1" x14ac:dyDescent="0.25"/>
    <row r="273" ht="12.75" customHeight="1" x14ac:dyDescent="0.25"/>
    <row r="274" ht="12.75" customHeight="1" x14ac:dyDescent="0.25"/>
    <row r="275" ht="12.75" customHeight="1" x14ac:dyDescent="0.25"/>
    <row r="276" ht="12.75" customHeight="1" x14ac:dyDescent="0.25"/>
    <row r="277" ht="12.75" customHeight="1" x14ac:dyDescent="0.25"/>
    <row r="278" ht="12.75" customHeight="1" x14ac:dyDescent="0.25"/>
    <row r="279" ht="12.75" customHeight="1" x14ac:dyDescent="0.25"/>
    <row r="280" ht="12.75" customHeight="1" x14ac:dyDescent="0.25"/>
    <row r="281" ht="12.75" customHeight="1" x14ac:dyDescent="0.25"/>
    <row r="282" ht="12.75" customHeight="1" x14ac:dyDescent="0.25"/>
    <row r="283" ht="12.75" customHeight="1" x14ac:dyDescent="0.25"/>
    <row r="284" ht="12.75" customHeight="1" x14ac:dyDescent="0.25"/>
    <row r="285" ht="12.75" customHeight="1" x14ac:dyDescent="0.25"/>
    <row r="286" ht="12.75" customHeight="1" x14ac:dyDescent="0.25"/>
    <row r="287" ht="12.75" customHeight="1" x14ac:dyDescent="0.25"/>
    <row r="288" ht="12.75" customHeight="1" x14ac:dyDescent="0.25"/>
    <row r="289" ht="12.75" customHeight="1" x14ac:dyDescent="0.25"/>
    <row r="290" ht="12.75" customHeight="1" x14ac:dyDescent="0.25"/>
    <row r="291" ht="12.75" customHeight="1" x14ac:dyDescent="0.25"/>
    <row r="292" ht="12.75" customHeight="1" x14ac:dyDescent="0.25"/>
    <row r="293" ht="12.75" customHeight="1" x14ac:dyDescent="0.25"/>
    <row r="294" ht="12.75" customHeight="1" x14ac:dyDescent="0.25"/>
    <row r="295" ht="12.75" customHeight="1" x14ac:dyDescent="0.25"/>
    <row r="296" ht="12.75" customHeight="1" x14ac:dyDescent="0.25"/>
    <row r="297" ht="12.75" customHeight="1" x14ac:dyDescent="0.25"/>
    <row r="298" ht="12.75" customHeight="1" x14ac:dyDescent="0.25"/>
    <row r="299" ht="12.75" customHeight="1" x14ac:dyDescent="0.25"/>
    <row r="300" ht="12.75" customHeight="1" x14ac:dyDescent="0.25"/>
    <row r="301" ht="12.75" customHeight="1" x14ac:dyDescent="0.25"/>
    <row r="302" ht="12.75" customHeight="1" x14ac:dyDescent="0.25"/>
    <row r="303" ht="12.75" customHeight="1" x14ac:dyDescent="0.25"/>
    <row r="304" ht="12.75" customHeight="1" x14ac:dyDescent="0.25"/>
    <row r="305" ht="12.75" customHeight="1" x14ac:dyDescent="0.25"/>
    <row r="306" ht="12.75" customHeight="1" x14ac:dyDescent="0.25"/>
    <row r="307" ht="12.75" customHeight="1" x14ac:dyDescent="0.25"/>
    <row r="308" ht="12.75" customHeight="1" x14ac:dyDescent="0.25"/>
    <row r="309" ht="12.75" customHeight="1" x14ac:dyDescent="0.25"/>
    <row r="310" ht="12.75" customHeight="1" x14ac:dyDescent="0.25"/>
    <row r="311" ht="12.75" customHeight="1" x14ac:dyDescent="0.25"/>
    <row r="312" ht="12.75" customHeight="1" x14ac:dyDescent="0.25"/>
    <row r="313" ht="12.75" customHeight="1" x14ac:dyDescent="0.25"/>
    <row r="314" ht="12.75" customHeight="1" x14ac:dyDescent="0.25"/>
    <row r="315" ht="12.75" customHeight="1" x14ac:dyDescent="0.25"/>
    <row r="316" ht="12.75" customHeight="1" x14ac:dyDescent="0.25"/>
    <row r="317" ht="12.75" customHeight="1" x14ac:dyDescent="0.25"/>
    <row r="318" ht="12.75" customHeight="1" x14ac:dyDescent="0.25"/>
    <row r="319" ht="12.75" customHeight="1" x14ac:dyDescent="0.25"/>
    <row r="320" ht="12.75" customHeight="1" x14ac:dyDescent="0.25"/>
    <row r="321" ht="12.75" customHeight="1" x14ac:dyDescent="0.25"/>
    <row r="322" ht="12.75" customHeight="1" x14ac:dyDescent="0.25"/>
    <row r="323" ht="12.75" customHeight="1" x14ac:dyDescent="0.25"/>
    <row r="324" ht="12.75" customHeight="1" x14ac:dyDescent="0.25"/>
    <row r="325" ht="12.75" customHeight="1" x14ac:dyDescent="0.25"/>
    <row r="326" ht="12.75" customHeight="1" x14ac:dyDescent="0.25"/>
    <row r="327" ht="12.75" customHeight="1" x14ac:dyDescent="0.25"/>
    <row r="328" ht="12.75" customHeight="1" x14ac:dyDescent="0.25"/>
    <row r="329" ht="12.75" customHeight="1" x14ac:dyDescent="0.25"/>
    <row r="330" ht="12.75" customHeight="1" x14ac:dyDescent="0.25"/>
    <row r="331" ht="12.75" customHeight="1" x14ac:dyDescent="0.25"/>
    <row r="332" ht="12.75" customHeight="1" x14ac:dyDescent="0.25"/>
    <row r="333" ht="12.75" customHeight="1" x14ac:dyDescent="0.25"/>
    <row r="334" ht="12.75" customHeight="1" x14ac:dyDescent="0.25"/>
    <row r="335" ht="12.75" customHeight="1" x14ac:dyDescent="0.25"/>
    <row r="336" ht="12.75" customHeight="1" x14ac:dyDescent="0.25"/>
    <row r="337" ht="12.75" customHeight="1" x14ac:dyDescent="0.25"/>
    <row r="338" ht="12.75" customHeight="1" x14ac:dyDescent="0.25"/>
    <row r="339" ht="12.75" customHeight="1" x14ac:dyDescent="0.25"/>
    <row r="340" ht="12.75" customHeight="1" x14ac:dyDescent="0.25"/>
    <row r="341" ht="12.75" customHeight="1" x14ac:dyDescent="0.25"/>
    <row r="342" ht="12.75" customHeight="1" x14ac:dyDescent="0.25"/>
    <row r="343" ht="12.75" customHeight="1" x14ac:dyDescent="0.25"/>
    <row r="344" ht="12.75" customHeight="1" x14ac:dyDescent="0.25"/>
    <row r="345" ht="12.75" customHeight="1" x14ac:dyDescent="0.25"/>
    <row r="346" ht="12.75" customHeight="1" x14ac:dyDescent="0.25"/>
    <row r="347" ht="12.75" customHeight="1" x14ac:dyDescent="0.25"/>
    <row r="348" ht="12.75" customHeight="1" x14ac:dyDescent="0.25"/>
    <row r="349" ht="12.75" customHeight="1" x14ac:dyDescent="0.25"/>
    <row r="350" ht="12.75" customHeight="1" x14ac:dyDescent="0.25"/>
    <row r="351" ht="12.75" customHeight="1" x14ac:dyDescent="0.25"/>
    <row r="352" ht="12.75" customHeight="1" x14ac:dyDescent="0.25"/>
    <row r="353" ht="12.75" customHeight="1" x14ac:dyDescent="0.25"/>
    <row r="354" ht="12.75" customHeight="1" x14ac:dyDescent="0.25"/>
    <row r="355" ht="12.75" customHeight="1" x14ac:dyDescent="0.25"/>
    <row r="356" ht="12.75" customHeight="1" x14ac:dyDescent="0.25"/>
    <row r="357" ht="12.75" customHeight="1" x14ac:dyDescent="0.25"/>
    <row r="358" ht="12.75" customHeight="1" x14ac:dyDescent="0.25"/>
    <row r="359" ht="12.75" customHeight="1" x14ac:dyDescent="0.25"/>
    <row r="360" ht="12.75" customHeight="1" x14ac:dyDescent="0.25"/>
    <row r="361" ht="12.75" customHeight="1" x14ac:dyDescent="0.25"/>
    <row r="362" ht="12.75" customHeight="1" x14ac:dyDescent="0.25"/>
    <row r="363" ht="12.75" customHeight="1" x14ac:dyDescent="0.25"/>
    <row r="364" ht="12.75" customHeight="1" x14ac:dyDescent="0.25"/>
    <row r="365" ht="12.75" customHeight="1" x14ac:dyDescent="0.25"/>
    <row r="366" ht="12.75" customHeight="1" x14ac:dyDescent="0.25"/>
    <row r="367" ht="12.75" customHeight="1" x14ac:dyDescent="0.25"/>
    <row r="368" ht="12.75" customHeight="1" x14ac:dyDescent="0.25"/>
    <row r="369" ht="12.75" customHeight="1" x14ac:dyDescent="0.25"/>
    <row r="370" ht="12.75" customHeight="1" x14ac:dyDescent="0.25"/>
    <row r="371" ht="12.75" customHeight="1" x14ac:dyDescent="0.25"/>
    <row r="372" ht="12.75" customHeight="1" x14ac:dyDescent="0.25"/>
    <row r="373" ht="12.75" customHeight="1" x14ac:dyDescent="0.25"/>
    <row r="374" ht="12.75" customHeight="1" x14ac:dyDescent="0.25"/>
    <row r="375" ht="12.75" customHeight="1" x14ac:dyDescent="0.25"/>
    <row r="376" ht="12.75" customHeight="1" x14ac:dyDescent="0.25"/>
    <row r="377" ht="12.75" customHeight="1" x14ac:dyDescent="0.25"/>
    <row r="378" ht="12.75" customHeight="1" x14ac:dyDescent="0.25"/>
    <row r="379" ht="12.75" customHeight="1" x14ac:dyDescent="0.25"/>
    <row r="380" ht="12.75" customHeight="1" x14ac:dyDescent="0.25"/>
    <row r="381" ht="12.75" customHeight="1" x14ac:dyDescent="0.25"/>
    <row r="382" ht="12.75" customHeight="1" x14ac:dyDescent="0.25"/>
    <row r="383" ht="12.75" customHeight="1" x14ac:dyDescent="0.25"/>
    <row r="384" ht="12.75" customHeight="1" x14ac:dyDescent="0.25"/>
    <row r="385" ht="12.75" customHeight="1" x14ac:dyDescent="0.25"/>
    <row r="386" ht="12.75" customHeight="1" x14ac:dyDescent="0.25"/>
    <row r="387" ht="12.75" customHeight="1" x14ac:dyDescent="0.25"/>
    <row r="388" ht="12.75" customHeight="1" x14ac:dyDescent="0.25"/>
    <row r="389" ht="12.75" customHeight="1" x14ac:dyDescent="0.25"/>
    <row r="390" ht="12.75" customHeight="1" x14ac:dyDescent="0.25"/>
    <row r="391" ht="12.75" customHeight="1" x14ac:dyDescent="0.25"/>
    <row r="392" ht="12.75" customHeight="1" x14ac:dyDescent="0.25"/>
    <row r="393" ht="12.75" customHeight="1" x14ac:dyDescent="0.25"/>
    <row r="394" ht="12.75" customHeight="1" x14ac:dyDescent="0.25"/>
    <row r="395" ht="12.75" customHeight="1" x14ac:dyDescent="0.25"/>
    <row r="396" ht="12.75" customHeight="1" x14ac:dyDescent="0.25"/>
    <row r="397" ht="12.75" customHeight="1" x14ac:dyDescent="0.25"/>
    <row r="398" ht="12.75" customHeight="1" x14ac:dyDescent="0.25"/>
    <row r="399" ht="12.75" customHeight="1" x14ac:dyDescent="0.25"/>
    <row r="400" ht="12.75" customHeight="1" x14ac:dyDescent="0.25"/>
    <row r="401" ht="12.75" customHeight="1" x14ac:dyDescent="0.25"/>
    <row r="402" ht="12.75" customHeight="1" x14ac:dyDescent="0.25"/>
    <row r="403" ht="12.75" customHeight="1" x14ac:dyDescent="0.25"/>
    <row r="404" ht="12.75" customHeight="1" x14ac:dyDescent="0.25"/>
    <row r="405" ht="12.75" customHeight="1" x14ac:dyDescent="0.25"/>
    <row r="406" ht="12.75" customHeight="1" x14ac:dyDescent="0.25"/>
    <row r="407" ht="12.75" customHeight="1" x14ac:dyDescent="0.25"/>
    <row r="408" ht="12.75" customHeight="1" x14ac:dyDescent="0.25"/>
    <row r="409" ht="12.75" customHeight="1" x14ac:dyDescent="0.25"/>
    <row r="410" ht="12.75" customHeight="1" x14ac:dyDescent="0.25"/>
    <row r="411" ht="12.75" customHeight="1" x14ac:dyDescent="0.25"/>
    <row r="412" ht="12.75" customHeight="1" x14ac:dyDescent="0.25"/>
    <row r="413" ht="12.75" customHeight="1" x14ac:dyDescent="0.25"/>
    <row r="414" ht="12.75" customHeight="1" x14ac:dyDescent="0.25"/>
    <row r="415" ht="12.75" customHeight="1" x14ac:dyDescent="0.25"/>
    <row r="416" ht="12.75" customHeight="1" x14ac:dyDescent="0.25"/>
    <row r="417" ht="12.75" customHeight="1" x14ac:dyDescent="0.25"/>
    <row r="418" ht="12.75" customHeight="1" x14ac:dyDescent="0.25"/>
    <row r="419" ht="12.75" customHeight="1" x14ac:dyDescent="0.25"/>
    <row r="420" ht="12.75" customHeight="1" x14ac:dyDescent="0.25"/>
    <row r="421" ht="12.75" customHeight="1" x14ac:dyDescent="0.25"/>
    <row r="422" ht="12.75" customHeight="1" x14ac:dyDescent="0.25"/>
    <row r="423" ht="12.75" customHeight="1" x14ac:dyDescent="0.25"/>
    <row r="424" ht="12.75" customHeight="1" x14ac:dyDescent="0.25"/>
    <row r="425" ht="12.75" customHeight="1" x14ac:dyDescent="0.25"/>
    <row r="426" ht="12.75" customHeight="1" x14ac:dyDescent="0.25"/>
    <row r="427" ht="12.75" customHeight="1" x14ac:dyDescent="0.25"/>
    <row r="428" ht="12.75" customHeight="1" x14ac:dyDescent="0.25"/>
    <row r="429" ht="12.75" customHeight="1" x14ac:dyDescent="0.25"/>
    <row r="430" ht="12.75" customHeight="1" x14ac:dyDescent="0.25"/>
    <row r="431" ht="12.75" customHeight="1" x14ac:dyDescent="0.25"/>
    <row r="432" ht="12.75" customHeight="1" x14ac:dyDescent="0.25"/>
    <row r="433" ht="12.75" customHeight="1" x14ac:dyDescent="0.25"/>
    <row r="434" ht="12.75" customHeight="1" x14ac:dyDescent="0.25"/>
    <row r="435" ht="12.75" customHeight="1" x14ac:dyDescent="0.25"/>
    <row r="436" ht="12.75" customHeight="1" x14ac:dyDescent="0.25"/>
    <row r="437" ht="12.75" customHeight="1" x14ac:dyDescent="0.25"/>
    <row r="438" ht="12.75" customHeight="1" x14ac:dyDescent="0.25"/>
    <row r="439" ht="12.75" customHeight="1" x14ac:dyDescent="0.25"/>
    <row r="440" ht="12.75" customHeight="1" x14ac:dyDescent="0.25"/>
    <row r="441" ht="12.75" customHeight="1" x14ac:dyDescent="0.25"/>
    <row r="442" ht="12.75" customHeight="1" x14ac:dyDescent="0.25"/>
    <row r="443" ht="12.75" customHeight="1" x14ac:dyDescent="0.25"/>
    <row r="444" ht="12.75" customHeight="1" x14ac:dyDescent="0.25"/>
    <row r="445" ht="12.75" customHeight="1" x14ac:dyDescent="0.25"/>
    <row r="446" ht="12.75" customHeight="1" x14ac:dyDescent="0.25"/>
    <row r="447" ht="12.75" customHeight="1" x14ac:dyDescent="0.25"/>
    <row r="448" ht="12.75" customHeight="1" x14ac:dyDescent="0.25"/>
    <row r="449" ht="12.75" customHeight="1" x14ac:dyDescent="0.25"/>
    <row r="450" ht="12.75" customHeight="1" x14ac:dyDescent="0.25"/>
    <row r="451" ht="12.75" customHeight="1" x14ac:dyDescent="0.25"/>
    <row r="452" ht="12.75" customHeight="1" x14ac:dyDescent="0.25"/>
    <row r="453" ht="12.75" customHeight="1" x14ac:dyDescent="0.25"/>
    <row r="454" ht="12.75" customHeight="1" x14ac:dyDescent="0.25"/>
    <row r="455" ht="12.75" customHeight="1" x14ac:dyDescent="0.25"/>
    <row r="456" ht="12.75" customHeight="1" x14ac:dyDescent="0.25"/>
    <row r="457" ht="12.75" customHeight="1" x14ac:dyDescent="0.25"/>
    <row r="458" ht="12.75" customHeight="1" x14ac:dyDescent="0.25"/>
    <row r="459" ht="12.75" customHeight="1" x14ac:dyDescent="0.25"/>
    <row r="460" ht="12.75" customHeight="1" x14ac:dyDescent="0.25"/>
    <row r="461" ht="12.75" customHeight="1" x14ac:dyDescent="0.25"/>
    <row r="462" ht="12.75" customHeight="1" x14ac:dyDescent="0.25"/>
    <row r="463" ht="12.75" customHeight="1" x14ac:dyDescent="0.25"/>
    <row r="464" ht="12.75" customHeight="1" x14ac:dyDescent="0.25"/>
    <row r="465" ht="12.75" customHeight="1" x14ac:dyDescent="0.25"/>
    <row r="466" ht="12.75" customHeight="1" x14ac:dyDescent="0.25"/>
    <row r="467" ht="12.75" customHeight="1" x14ac:dyDescent="0.25"/>
    <row r="468" ht="12.75" customHeight="1" x14ac:dyDescent="0.25"/>
    <row r="469" ht="12.75" customHeight="1" x14ac:dyDescent="0.25"/>
    <row r="470" ht="12.75" customHeight="1" x14ac:dyDescent="0.25"/>
    <row r="471" ht="12.75" customHeight="1" x14ac:dyDescent="0.25"/>
    <row r="472" ht="12.75" customHeight="1" x14ac:dyDescent="0.25"/>
    <row r="473" ht="12.75" customHeight="1" x14ac:dyDescent="0.25"/>
    <row r="474" ht="12.75" customHeight="1" x14ac:dyDescent="0.25"/>
    <row r="475" ht="12.75" customHeight="1" x14ac:dyDescent="0.25"/>
    <row r="476" ht="12.75" customHeight="1" x14ac:dyDescent="0.25"/>
    <row r="477" ht="12.75" customHeight="1" x14ac:dyDescent="0.25"/>
    <row r="478" ht="12.75" customHeight="1" x14ac:dyDescent="0.25"/>
    <row r="479" ht="12.75" customHeight="1" x14ac:dyDescent="0.25"/>
    <row r="480" ht="12.75" customHeight="1" x14ac:dyDescent="0.25"/>
    <row r="481" ht="12.75" customHeight="1" x14ac:dyDescent="0.25"/>
    <row r="482" ht="12.75" customHeight="1" x14ac:dyDescent="0.25"/>
    <row r="483" ht="12.75" customHeight="1" x14ac:dyDescent="0.25"/>
    <row r="484" ht="12.75" customHeight="1" x14ac:dyDescent="0.25"/>
    <row r="485" ht="12.75" customHeight="1" x14ac:dyDescent="0.25"/>
    <row r="486" ht="12.75" customHeight="1" x14ac:dyDescent="0.25"/>
    <row r="487" ht="12.75" customHeight="1" x14ac:dyDescent="0.25"/>
    <row r="488" ht="12.75" customHeight="1" x14ac:dyDescent="0.25"/>
    <row r="489" ht="12.75" customHeight="1" x14ac:dyDescent="0.25"/>
    <row r="490" ht="12.75" customHeight="1" x14ac:dyDescent="0.25"/>
    <row r="491" ht="12.75" customHeight="1" x14ac:dyDescent="0.25"/>
    <row r="492" ht="12.75" customHeight="1" x14ac:dyDescent="0.25"/>
    <row r="493" ht="12.75" customHeight="1" x14ac:dyDescent="0.25"/>
    <row r="494" ht="12.75" customHeight="1" x14ac:dyDescent="0.25"/>
    <row r="495" ht="12.75" customHeight="1" x14ac:dyDescent="0.25"/>
    <row r="496" ht="12.75" customHeight="1" x14ac:dyDescent="0.25"/>
    <row r="497" ht="12.75" customHeight="1" x14ac:dyDescent="0.25"/>
    <row r="498" ht="12.75" customHeight="1" x14ac:dyDescent="0.25"/>
    <row r="499" ht="12.75" customHeight="1" x14ac:dyDescent="0.25"/>
    <row r="500" ht="12.75" customHeight="1" x14ac:dyDescent="0.25"/>
    <row r="501" ht="12.75" customHeight="1" x14ac:dyDescent="0.25"/>
    <row r="502" ht="12.75" customHeight="1" x14ac:dyDescent="0.25"/>
    <row r="503" ht="12.75" customHeight="1" x14ac:dyDescent="0.25"/>
    <row r="504" ht="12.75" customHeight="1" x14ac:dyDescent="0.25"/>
    <row r="505" ht="12.75" customHeight="1" x14ac:dyDescent="0.25"/>
    <row r="506" ht="12.75" customHeight="1" x14ac:dyDescent="0.25"/>
    <row r="507" ht="12.75" customHeight="1" x14ac:dyDescent="0.25"/>
    <row r="508" ht="12.75" customHeight="1" x14ac:dyDescent="0.25"/>
    <row r="509" ht="12.75" customHeight="1" x14ac:dyDescent="0.25"/>
    <row r="510" ht="12.75" customHeight="1" x14ac:dyDescent="0.25"/>
    <row r="511" ht="12.75" customHeight="1" x14ac:dyDescent="0.25"/>
    <row r="512" ht="12.75" customHeight="1" x14ac:dyDescent="0.25"/>
    <row r="513" ht="12.75" customHeight="1" x14ac:dyDescent="0.25"/>
    <row r="514" ht="12.75" customHeight="1" x14ac:dyDescent="0.25"/>
    <row r="515" ht="12.75" customHeight="1" x14ac:dyDescent="0.25"/>
    <row r="516" ht="12.75" customHeight="1" x14ac:dyDescent="0.25"/>
    <row r="517" ht="12.75" customHeight="1" x14ac:dyDescent="0.25"/>
    <row r="518" ht="12.75" customHeight="1" x14ac:dyDescent="0.25"/>
    <row r="519" ht="12.75" customHeight="1" x14ac:dyDescent="0.25"/>
    <row r="520" ht="12.75" customHeight="1" x14ac:dyDescent="0.25"/>
    <row r="521" ht="12.75" customHeight="1" x14ac:dyDescent="0.25"/>
    <row r="522" ht="12.75" customHeight="1" x14ac:dyDescent="0.25"/>
    <row r="523" ht="12.75" customHeight="1" x14ac:dyDescent="0.25"/>
    <row r="524" ht="12.75" customHeight="1" x14ac:dyDescent="0.25"/>
    <row r="525" ht="12.75" customHeight="1" x14ac:dyDescent="0.25"/>
    <row r="526" ht="12.75" customHeight="1" x14ac:dyDescent="0.25"/>
    <row r="527" ht="12.75" customHeight="1" x14ac:dyDescent="0.25"/>
    <row r="528" ht="12.75" customHeight="1" x14ac:dyDescent="0.25"/>
    <row r="529" ht="12.75" customHeight="1" x14ac:dyDescent="0.25"/>
    <row r="530" ht="12.75" customHeight="1" x14ac:dyDescent="0.25"/>
    <row r="531" ht="12.75" customHeight="1" x14ac:dyDescent="0.25"/>
    <row r="532" ht="12.75" customHeight="1" x14ac:dyDescent="0.25"/>
    <row r="533" ht="12.75" customHeight="1" x14ac:dyDescent="0.25"/>
    <row r="534" ht="12.75" customHeight="1" x14ac:dyDescent="0.25"/>
    <row r="535" ht="12.75" customHeight="1" x14ac:dyDescent="0.25"/>
    <row r="536" ht="12.75" customHeight="1" x14ac:dyDescent="0.25"/>
    <row r="537" ht="12.75" customHeight="1" x14ac:dyDescent="0.25"/>
    <row r="538" ht="12.75" customHeight="1" x14ac:dyDescent="0.25"/>
    <row r="539" ht="12.75" customHeight="1" x14ac:dyDescent="0.25"/>
    <row r="540" ht="12.75" customHeight="1" x14ac:dyDescent="0.25"/>
    <row r="541" ht="12.75" customHeight="1" x14ac:dyDescent="0.25"/>
    <row r="542" ht="12.75" customHeight="1" x14ac:dyDescent="0.25"/>
    <row r="543" ht="12.75" customHeight="1" x14ac:dyDescent="0.25"/>
    <row r="544" ht="12.75" customHeight="1" x14ac:dyDescent="0.25"/>
    <row r="545" ht="12.75" customHeight="1" x14ac:dyDescent="0.25"/>
    <row r="546" ht="12.75" customHeight="1" x14ac:dyDescent="0.25"/>
    <row r="547" ht="12.75" customHeight="1" x14ac:dyDescent="0.25"/>
    <row r="548" ht="12.75" customHeight="1" x14ac:dyDescent="0.25"/>
    <row r="549" ht="12.75" customHeight="1" x14ac:dyDescent="0.25"/>
    <row r="550" ht="12.75" customHeight="1" x14ac:dyDescent="0.25"/>
    <row r="551" ht="12.75" customHeight="1" x14ac:dyDescent="0.25"/>
    <row r="552" ht="12.75" customHeight="1" x14ac:dyDescent="0.25"/>
    <row r="553" ht="12.75" customHeight="1" x14ac:dyDescent="0.25"/>
    <row r="554" ht="12.75" customHeight="1" x14ac:dyDescent="0.25"/>
    <row r="555" ht="12.75" customHeight="1" x14ac:dyDescent="0.25"/>
    <row r="556" ht="12.75" customHeight="1" x14ac:dyDescent="0.25"/>
    <row r="557" ht="12.75" customHeight="1" x14ac:dyDescent="0.25"/>
    <row r="558" ht="12.75" customHeight="1" x14ac:dyDescent="0.25"/>
    <row r="559" ht="12.75" customHeight="1" x14ac:dyDescent="0.25"/>
    <row r="560" ht="12.75" customHeight="1" x14ac:dyDescent="0.25"/>
    <row r="561" ht="12.75" customHeight="1" x14ac:dyDescent="0.25"/>
    <row r="562" ht="12.75" customHeight="1" x14ac:dyDescent="0.25"/>
    <row r="563" ht="12.75" customHeight="1" x14ac:dyDescent="0.25"/>
    <row r="564" ht="12.75" customHeight="1" x14ac:dyDescent="0.25"/>
    <row r="565" ht="12.75" customHeight="1" x14ac:dyDescent="0.25"/>
    <row r="566" ht="12.75" customHeight="1" x14ac:dyDescent="0.25"/>
    <row r="567" ht="12.75" customHeight="1" x14ac:dyDescent="0.25"/>
    <row r="568" ht="12.75" customHeight="1" x14ac:dyDescent="0.25"/>
    <row r="569" ht="12.75" customHeight="1" x14ac:dyDescent="0.25"/>
    <row r="570" ht="12.75" customHeight="1" x14ac:dyDescent="0.25"/>
    <row r="571" ht="12.75" customHeight="1" x14ac:dyDescent="0.25"/>
    <row r="572" ht="12.75" customHeight="1" x14ac:dyDescent="0.25"/>
    <row r="573" ht="12.75" customHeight="1" x14ac:dyDescent="0.25"/>
    <row r="574" ht="12.75" customHeight="1" x14ac:dyDescent="0.25"/>
    <row r="575" ht="12.75" customHeight="1" x14ac:dyDescent="0.25"/>
    <row r="576" ht="12.75" customHeight="1" x14ac:dyDescent="0.25"/>
    <row r="577" ht="12.75" customHeight="1" x14ac:dyDescent="0.25"/>
    <row r="578" ht="12.75" customHeight="1" x14ac:dyDescent="0.25"/>
    <row r="579" ht="12.75" customHeight="1" x14ac:dyDescent="0.25"/>
    <row r="580" ht="12.75" customHeight="1" x14ac:dyDescent="0.25"/>
    <row r="581" ht="12.75" customHeight="1" x14ac:dyDescent="0.25"/>
    <row r="582" ht="12.75" customHeight="1" x14ac:dyDescent="0.25"/>
    <row r="583" ht="12.75" customHeight="1" x14ac:dyDescent="0.25"/>
    <row r="584" ht="12.75" customHeight="1" x14ac:dyDescent="0.25"/>
    <row r="585" ht="12.75" customHeight="1" x14ac:dyDescent="0.25"/>
    <row r="586" ht="12.75" customHeight="1" x14ac:dyDescent="0.25"/>
    <row r="587" ht="12.75" customHeight="1" x14ac:dyDescent="0.25"/>
    <row r="588" ht="12.75" customHeight="1" x14ac:dyDescent="0.25"/>
    <row r="589" ht="12.75" customHeight="1" x14ac:dyDescent="0.25"/>
    <row r="590" ht="12.75" customHeight="1" x14ac:dyDescent="0.25"/>
    <row r="591" ht="12.75" customHeight="1" x14ac:dyDescent="0.25"/>
    <row r="592" ht="12.75" customHeight="1" x14ac:dyDescent="0.25"/>
    <row r="593" ht="12.75" customHeight="1" x14ac:dyDescent="0.25"/>
    <row r="594" ht="12.75" customHeight="1" x14ac:dyDescent="0.25"/>
    <row r="595" ht="12.75" customHeight="1" x14ac:dyDescent="0.25"/>
    <row r="596" ht="12.75" customHeight="1" x14ac:dyDescent="0.25"/>
    <row r="597" ht="12.75" customHeight="1" x14ac:dyDescent="0.25"/>
    <row r="598" ht="12.75" customHeight="1" x14ac:dyDescent="0.25"/>
    <row r="599" ht="12.75" customHeight="1" x14ac:dyDescent="0.25"/>
    <row r="600" ht="12.75" customHeight="1" x14ac:dyDescent="0.25"/>
    <row r="601" ht="12.75" customHeight="1" x14ac:dyDescent="0.25"/>
    <row r="602" ht="12.75" customHeight="1" x14ac:dyDescent="0.25"/>
    <row r="603" ht="12.75" customHeight="1" x14ac:dyDescent="0.25"/>
    <row r="604" ht="12.75" customHeight="1" x14ac:dyDescent="0.25"/>
    <row r="605" ht="12.75" customHeight="1" x14ac:dyDescent="0.25"/>
    <row r="606" ht="12.75" customHeight="1" x14ac:dyDescent="0.25"/>
    <row r="607" ht="12.75" customHeight="1" x14ac:dyDescent="0.25"/>
    <row r="608" ht="12.75" customHeight="1" x14ac:dyDescent="0.25"/>
    <row r="609" ht="12.75" customHeight="1" x14ac:dyDescent="0.25"/>
    <row r="610" ht="12.75" customHeight="1" x14ac:dyDescent="0.25"/>
    <row r="611" ht="12.75" customHeight="1" x14ac:dyDescent="0.25"/>
    <row r="612" ht="12.75" customHeight="1" x14ac:dyDescent="0.25"/>
    <row r="613" ht="12.75" customHeight="1" x14ac:dyDescent="0.25"/>
    <row r="614" ht="12.75" customHeight="1" x14ac:dyDescent="0.25"/>
    <row r="615" ht="12.75" customHeight="1" x14ac:dyDescent="0.25"/>
    <row r="616" ht="12.75" customHeight="1" x14ac:dyDescent="0.25"/>
    <row r="617" ht="12.75" customHeight="1" x14ac:dyDescent="0.25"/>
    <row r="618" ht="12.75" customHeight="1" x14ac:dyDescent="0.25"/>
    <row r="619" ht="12.75" customHeight="1" x14ac:dyDescent="0.25"/>
    <row r="620" ht="12.75" customHeight="1" x14ac:dyDescent="0.25"/>
    <row r="621" ht="12.75" customHeight="1" x14ac:dyDescent="0.25"/>
    <row r="622" ht="12.75" customHeight="1" x14ac:dyDescent="0.25"/>
    <row r="623" ht="12.75" customHeight="1" x14ac:dyDescent="0.25"/>
    <row r="624" ht="12.75" customHeight="1" x14ac:dyDescent="0.25"/>
    <row r="625" ht="12.75" customHeight="1" x14ac:dyDescent="0.25"/>
    <row r="626" ht="12.75" customHeight="1" x14ac:dyDescent="0.25"/>
    <row r="627" ht="12.75" customHeight="1" x14ac:dyDescent="0.25"/>
    <row r="628" ht="12.75" customHeight="1" x14ac:dyDescent="0.25"/>
    <row r="629" ht="12.75" customHeight="1" x14ac:dyDescent="0.25"/>
    <row r="630" ht="12.75" customHeight="1" x14ac:dyDescent="0.25"/>
    <row r="631" ht="12.75" customHeight="1" x14ac:dyDescent="0.25"/>
    <row r="632" ht="12.75" customHeight="1" x14ac:dyDescent="0.25"/>
    <row r="633" ht="12.75" customHeight="1" x14ac:dyDescent="0.25"/>
    <row r="634" ht="12.75" customHeight="1" x14ac:dyDescent="0.25"/>
    <row r="635" ht="12.75" customHeight="1" x14ac:dyDescent="0.25"/>
    <row r="636" ht="12.75" customHeight="1" x14ac:dyDescent="0.25"/>
    <row r="637" ht="12.75" customHeight="1" x14ac:dyDescent="0.25"/>
    <row r="638" ht="12.75" customHeight="1" x14ac:dyDescent="0.25"/>
    <row r="639" ht="12.75" customHeight="1" x14ac:dyDescent="0.25"/>
    <row r="640" ht="12.75" customHeight="1" x14ac:dyDescent="0.25"/>
    <row r="641" ht="12.75" customHeight="1" x14ac:dyDescent="0.25"/>
    <row r="642" ht="12.75" customHeight="1" x14ac:dyDescent="0.25"/>
    <row r="643" ht="12.75" customHeight="1" x14ac:dyDescent="0.25"/>
    <row r="644" ht="12.75" customHeight="1" x14ac:dyDescent="0.25"/>
    <row r="645" ht="12.75" customHeight="1" x14ac:dyDescent="0.25"/>
    <row r="646" ht="12.75" customHeight="1" x14ac:dyDescent="0.25"/>
    <row r="647" ht="12.75" customHeight="1" x14ac:dyDescent="0.25"/>
    <row r="648" ht="12.75" customHeight="1" x14ac:dyDescent="0.25"/>
    <row r="649" ht="12.75" customHeight="1" x14ac:dyDescent="0.25"/>
    <row r="650" ht="12.75" customHeight="1" x14ac:dyDescent="0.25"/>
    <row r="651" ht="12.75" customHeight="1" x14ac:dyDescent="0.25"/>
    <row r="652" ht="12.75" customHeight="1" x14ac:dyDescent="0.25"/>
    <row r="653" ht="12.75" customHeight="1" x14ac:dyDescent="0.25"/>
    <row r="654" ht="12.75" customHeight="1" x14ac:dyDescent="0.25"/>
    <row r="655" ht="12.75" customHeight="1" x14ac:dyDescent="0.25"/>
    <row r="656" ht="12.75" customHeight="1" x14ac:dyDescent="0.25"/>
    <row r="657" ht="12.75" customHeight="1" x14ac:dyDescent="0.25"/>
    <row r="658" ht="12.75" customHeight="1" x14ac:dyDescent="0.25"/>
    <row r="659" ht="12.75" customHeight="1" x14ac:dyDescent="0.25"/>
    <row r="660" ht="12.75" customHeight="1" x14ac:dyDescent="0.25"/>
    <row r="661" ht="12.75" customHeight="1" x14ac:dyDescent="0.25"/>
    <row r="662" ht="12.75" customHeight="1" x14ac:dyDescent="0.25"/>
    <row r="663" ht="12.75" customHeight="1" x14ac:dyDescent="0.25"/>
    <row r="664" ht="12.75" customHeight="1" x14ac:dyDescent="0.25"/>
    <row r="665" ht="12.75" customHeight="1" x14ac:dyDescent="0.25"/>
    <row r="666" ht="12.75" customHeight="1" x14ac:dyDescent="0.25"/>
    <row r="667" ht="12.75" customHeight="1" x14ac:dyDescent="0.25"/>
    <row r="668" ht="12.75" customHeight="1" x14ac:dyDescent="0.25"/>
    <row r="669" ht="12.75" customHeight="1" x14ac:dyDescent="0.25"/>
    <row r="670" ht="12.75" customHeight="1" x14ac:dyDescent="0.25"/>
    <row r="671" ht="12.75" customHeight="1" x14ac:dyDescent="0.25"/>
    <row r="672" ht="12.75" customHeight="1" x14ac:dyDescent="0.25"/>
    <row r="673" ht="12.75" customHeight="1" x14ac:dyDescent="0.25"/>
    <row r="674" ht="12.75" customHeight="1" x14ac:dyDescent="0.25"/>
    <row r="675" ht="12.75" customHeight="1" x14ac:dyDescent="0.25"/>
    <row r="676" ht="12.75" customHeight="1" x14ac:dyDescent="0.25"/>
    <row r="677" ht="12.75" customHeight="1" x14ac:dyDescent="0.25"/>
    <row r="678" ht="12.75" customHeight="1" x14ac:dyDescent="0.25"/>
    <row r="679" ht="12.75" customHeight="1" x14ac:dyDescent="0.25"/>
    <row r="680" ht="12.75" customHeight="1" x14ac:dyDescent="0.25"/>
    <row r="681" ht="12.75" customHeight="1" x14ac:dyDescent="0.25"/>
    <row r="682" ht="12.75" customHeight="1" x14ac:dyDescent="0.25"/>
    <row r="683" ht="12.75" customHeight="1" x14ac:dyDescent="0.25"/>
    <row r="684" ht="12.75" customHeight="1" x14ac:dyDescent="0.25"/>
    <row r="685" ht="12.75" customHeight="1" x14ac:dyDescent="0.25"/>
    <row r="686" ht="12.75" customHeight="1" x14ac:dyDescent="0.25"/>
    <row r="687" ht="12.75" customHeight="1" x14ac:dyDescent="0.25"/>
    <row r="688" ht="12.75" customHeight="1" x14ac:dyDescent="0.25"/>
    <row r="689" ht="12.75" customHeight="1" x14ac:dyDescent="0.25"/>
    <row r="690" ht="12.75" customHeight="1" x14ac:dyDescent="0.25"/>
    <row r="691" ht="12.75" customHeight="1" x14ac:dyDescent="0.25"/>
    <row r="692" ht="12.75" customHeight="1" x14ac:dyDescent="0.25"/>
    <row r="693" ht="12.75" customHeight="1" x14ac:dyDescent="0.25"/>
    <row r="694" ht="12.75" customHeight="1" x14ac:dyDescent="0.25"/>
    <row r="695" ht="12.75" customHeight="1" x14ac:dyDescent="0.25"/>
    <row r="696" ht="12.75" customHeight="1" x14ac:dyDescent="0.25"/>
    <row r="697" ht="12.75" customHeight="1" x14ac:dyDescent="0.25"/>
    <row r="698" ht="12.75" customHeight="1" x14ac:dyDescent="0.25"/>
    <row r="699" ht="12.75" customHeight="1" x14ac:dyDescent="0.25"/>
    <row r="700" ht="12.75" customHeight="1" x14ac:dyDescent="0.25"/>
    <row r="701" ht="12.75" customHeight="1" x14ac:dyDescent="0.25"/>
    <row r="702" ht="12.75" customHeight="1" x14ac:dyDescent="0.25"/>
    <row r="703" ht="12.75" customHeight="1" x14ac:dyDescent="0.25"/>
    <row r="704" ht="12.75" customHeight="1" x14ac:dyDescent="0.25"/>
    <row r="705" ht="12.75" customHeight="1" x14ac:dyDescent="0.25"/>
    <row r="706" ht="12.75" customHeight="1" x14ac:dyDescent="0.25"/>
    <row r="707" ht="12.75" customHeight="1" x14ac:dyDescent="0.25"/>
    <row r="708" ht="12.75" customHeight="1" x14ac:dyDescent="0.25"/>
    <row r="709" ht="12.75" customHeight="1" x14ac:dyDescent="0.25"/>
    <row r="710" ht="12.75" customHeight="1" x14ac:dyDescent="0.25"/>
    <row r="711" ht="12.75" customHeight="1" x14ac:dyDescent="0.25"/>
    <row r="712" ht="12.75" customHeight="1" x14ac:dyDescent="0.25"/>
    <row r="713" ht="12.75" customHeight="1" x14ac:dyDescent="0.25"/>
    <row r="714" ht="12.75" customHeight="1" x14ac:dyDescent="0.25"/>
    <row r="715" ht="12.75" customHeight="1" x14ac:dyDescent="0.25"/>
    <row r="716" ht="12.75" customHeight="1" x14ac:dyDescent="0.25"/>
    <row r="717" ht="12.75" customHeight="1" x14ac:dyDescent="0.25"/>
    <row r="718" ht="12.75" customHeight="1" x14ac:dyDescent="0.25"/>
    <row r="719" ht="12.75" customHeight="1" x14ac:dyDescent="0.25"/>
    <row r="720" ht="12.75" customHeight="1" x14ac:dyDescent="0.25"/>
    <row r="721" ht="12.75" customHeight="1" x14ac:dyDescent="0.25"/>
    <row r="722" ht="12.75" customHeight="1" x14ac:dyDescent="0.25"/>
    <row r="723" ht="12.75" customHeight="1" x14ac:dyDescent="0.25"/>
    <row r="724" ht="12.75" customHeight="1" x14ac:dyDescent="0.25"/>
    <row r="725" ht="12.75" customHeight="1" x14ac:dyDescent="0.25"/>
    <row r="726" ht="12.75" customHeight="1" x14ac:dyDescent="0.25"/>
    <row r="727" ht="12.75" customHeight="1" x14ac:dyDescent="0.25"/>
    <row r="728" ht="12.75" customHeight="1" x14ac:dyDescent="0.25"/>
    <row r="729" ht="12.75" customHeight="1" x14ac:dyDescent="0.25"/>
    <row r="730" ht="12.75" customHeight="1" x14ac:dyDescent="0.25"/>
    <row r="731" ht="12.75" customHeight="1" x14ac:dyDescent="0.25"/>
    <row r="732" ht="12.75" customHeight="1" x14ac:dyDescent="0.25"/>
    <row r="733" ht="12.75" customHeight="1" x14ac:dyDescent="0.25"/>
    <row r="734" ht="12.75" customHeight="1" x14ac:dyDescent="0.25"/>
    <row r="735" ht="12.75" customHeight="1" x14ac:dyDescent="0.25"/>
    <row r="736" ht="12.75" customHeight="1" x14ac:dyDescent="0.25"/>
    <row r="737" ht="12.75" customHeight="1" x14ac:dyDescent="0.25"/>
    <row r="738" ht="12.75" customHeight="1" x14ac:dyDescent="0.25"/>
    <row r="739" ht="12.75" customHeight="1" x14ac:dyDescent="0.25"/>
    <row r="740" ht="12.75" customHeight="1" x14ac:dyDescent="0.25"/>
    <row r="741" ht="12.75" customHeight="1" x14ac:dyDescent="0.25"/>
    <row r="742" ht="12.75" customHeight="1" x14ac:dyDescent="0.25"/>
    <row r="743" ht="12.75" customHeight="1" x14ac:dyDescent="0.25"/>
    <row r="744" ht="12.75" customHeight="1" x14ac:dyDescent="0.25"/>
    <row r="745" ht="12.75" customHeight="1" x14ac:dyDescent="0.25"/>
    <row r="746" ht="12.75" customHeight="1" x14ac:dyDescent="0.25"/>
    <row r="747" ht="12.75" customHeight="1" x14ac:dyDescent="0.25"/>
    <row r="748" ht="12.75" customHeight="1" x14ac:dyDescent="0.25"/>
    <row r="749" ht="12.75" customHeight="1" x14ac:dyDescent="0.25"/>
    <row r="750" ht="12.75" customHeight="1" x14ac:dyDescent="0.25"/>
    <row r="751" ht="12.75" customHeight="1" x14ac:dyDescent="0.25"/>
    <row r="752" ht="12.75" customHeight="1" x14ac:dyDescent="0.25"/>
    <row r="753" ht="12.75" customHeight="1" x14ac:dyDescent="0.25"/>
    <row r="754" ht="12.75" customHeight="1" x14ac:dyDescent="0.25"/>
    <row r="755" ht="12.75" customHeight="1" x14ac:dyDescent="0.25"/>
    <row r="756" ht="12.75" customHeight="1" x14ac:dyDescent="0.25"/>
    <row r="757" ht="12.75" customHeight="1" x14ac:dyDescent="0.25"/>
    <row r="758" ht="12.75" customHeight="1" x14ac:dyDescent="0.25"/>
    <row r="759" ht="12.75" customHeight="1" x14ac:dyDescent="0.25"/>
    <row r="760" ht="12.75" customHeight="1" x14ac:dyDescent="0.25"/>
    <row r="761" ht="12.75" customHeight="1" x14ac:dyDescent="0.25"/>
    <row r="762" ht="12.75" customHeight="1" x14ac:dyDescent="0.25"/>
    <row r="763" ht="12.75" customHeight="1" x14ac:dyDescent="0.25"/>
    <row r="764" ht="12.75" customHeight="1" x14ac:dyDescent="0.25"/>
    <row r="765" ht="12.75" customHeight="1" x14ac:dyDescent="0.25"/>
    <row r="766" ht="12.75" customHeight="1" x14ac:dyDescent="0.25"/>
    <row r="767" ht="12.75" customHeight="1" x14ac:dyDescent="0.25"/>
    <row r="768" ht="12.75" customHeight="1" x14ac:dyDescent="0.25"/>
    <row r="769" ht="12.75" customHeight="1" x14ac:dyDescent="0.25"/>
    <row r="770" ht="12.75" customHeight="1" x14ac:dyDescent="0.25"/>
    <row r="771" ht="12.75" customHeight="1" x14ac:dyDescent="0.25"/>
    <row r="772" ht="12.75" customHeight="1" x14ac:dyDescent="0.25"/>
    <row r="773" ht="12.75" customHeight="1" x14ac:dyDescent="0.25"/>
    <row r="774" ht="12.75" customHeight="1" x14ac:dyDescent="0.25"/>
    <row r="775" ht="12.75" customHeight="1" x14ac:dyDescent="0.25"/>
    <row r="776" ht="12.75" customHeight="1" x14ac:dyDescent="0.25"/>
    <row r="777" ht="12.75" customHeight="1" x14ac:dyDescent="0.25"/>
    <row r="778" ht="12.75" customHeight="1" x14ac:dyDescent="0.25"/>
    <row r="779" ht="12.75" customHeight="1" x14ac:dyDescent="0.25"/>
    <row r="780" ht="12.75" customHeight="1" x14ac:dyDescent="0.25"/>
    <row r="781" ht="12.75" customHeight="1" x14ac:dyDescent="0.25"/>
    <row r="782" ht="12.75" customHeight="1" x14ac:dyDescent="0.25"/>
    <row r="783" ht="12.75" customHeight="1" x14ac:dyDescent="0.25"/>
    <row r="784" ht="12.75" customHeight="1" x14ac:dyDescent="0.25"/>
    <row r="785" ht="12.75" customHeight="1" x14ac:dyDescent="0.25"/>
    <row r="786" ht="12.75" customHeight="1" x14ac:dyDescent="0.25"/>
    <row r="787" ht="12.75" customHeight="1" x14ac:dyDescent="0.25"/>
    <row r="788" ht="12.75" customHeight="1" x14ac:dyDescent="0.25"/>
    <row r="789" ht="12.75" customHeight="1" x14ac:dyDescent="0.25"/>
    <row r="790" ht="12.75" customHeight="1" x14ac:dyDescent="0.25"/>
    <row r="791" ht="12.75" customHeight="1" x14ac:dyDescent="0.25"/>
    <row r="792" ht="12.75" customHeight="1" x14ac:dyDescent="0.25"/>
    <row r="793" ht="12.75" customHeight="1" x14ac:dyDescent="0.25"/>
    <row r="794" ht="12.75" customHeight="1" x14ac:dyDescent="0.25"/>
    <row r="795" ht="12.75" customHeight="1" x14ac:dyDescent="0.25"/>
    <row r="796" ht="12.75" customHeight="1" x14ac:dyDescent="0.25"/>
    <row r="797" ht="12.75" customHeight="1" x14ac:dyDescent="0.25"/>
    <row r="798" ht="12.75" customHeight="1" x14ac:dyDescent="0.25"/>
    <row r="799" ht="12.75" customHeight="1" x14ac:dyDescent="0.25"/>
    <row r="800" ht="12.75" customHeight="1" x14ac:dyDescent="0.25"/>
    <row r="801" ht="12.75" customHeight="1" x14ac:dyDescent="0.25"/>
    <row r="802" ht="12.75" customHeight="1" x14ac:dyDescent="0.25"/>
    <row r="803" ht="12.75" customHeight="1" x14ac:dyDescent="0.25"/>
    <row r="804" ht="12.75" customHeight="1" x14ac:dyDescent="0.25"/>
    <row r="805" ht="12.75" customHeight="1" x14ac:dyDescent="0.25"/>
    <row r="806" ht="12.75" customHeight="1" x14ac:dyDescent="0.25"/>
    <row r="807" ht="12.75" customHeight="1" x14ac:dyDescent="0.25"/>
    <row r="808" ht="12.75" customHeight="1" x14ac:dyDescent="0.25"/>
    <row r="809" ht="12.75" customHeight="1" x14ac:dyDescent="0.25"/>
    <row r="810" ht="12.75" customHeight="1" x14ac:dyDescent="0.25"/>
    <row r="811" ht="12.75" customHeight="1" x14ac:dyDescent="0.25"/>
    <row r="812" ht="12.75" customHeight="1" x14ac:dyDescent="0.25"/>
    <row r="813" ht="12.75" customHeight="1" x14ac:dyDescent="0.25"/>
    <row r="814" ht="12.75" customHeight="1" x14ac:dyDescent="0.25"/>
    <row r="815" ht="12.75" customHeight="1" x14ac:dyDescent="0.25"/>
    <row r="816" ht="12.75" customHeight="1" x14ac:dyDescent="0.25"/>
    <row r="817" ht="12.75" customHeight="1" x14ac:dyDescent="0.25"/>
    <row r="818" ht="12.75" customHeight="1" x14ac:dyDescent="0.25"/>
    <row r="819" ht="12.75" customHeight="1" x14ac:dyDescent="0.25"/>
    <row r="820" ht="12.75" customHeight="1" x14ac:dyDescent="0.25"/>
    <row r="821" ht="12.75" customHeight="1" x14ac:dyDescent="0.25"/>
    <row r="822" ht="12.75" customHeight="1" x14ac:dyDescent="0.25"/>
    <row r="823" ht="12.75" customHeight="1" x14ac:dyDescent="0.25"/>
    <row r="824" ht="12.75" customHeight="1" x14ac:dyDescent="0.25"/>
    <row r="825" ht="12.75" customHeight="1" x14ac:dyDescent="0.25"/>
    <row r="826" ht="12.75" customHeight="1" x14ac:dyDescent="0.25"/>
    <row r="827" ht="12.75" customHeight="1" x14ac:dyDescent="0.25"/>
    <row r="828" ht="12.75" customHeight="1" x14ac:dyDescent="0.25"/>
    <row r="829" ht="12.75" customHeight="1" x14ac:dyDescent="0.25"/>
    <row r="830" ht="12.75" customHeight="1" x14ac:dyDescent="0.25"/>
    <row r="831" ht="12.75" customHeight="1" x14ac:dyDescent="0.25"/>
    <row r="832" ht="12.75" customHeight="1" x14ac:dyDescent="0.25"/>
    <row r="833" ht="12.75" customHeight="1" x14ac:dyDescent="0.25"/>
    <row r="834" ht="12.75" customHeight="1" x14ac:dyDescent="0.25"/>
    <row r="835" ht="12.75" customHeight="1" x14ac:dyDescent="0.25"/>
    <row r="836" ht="12.75" customHeight="1" x14ac:dyDescent="0.25"/>
    <row r="837" ht="12.75" customHeight="1" x14ac:dyDescent="0.25"/>
    <row r="838" ht="12.75" customHeight="1" x14ac:dyDescent="0.25"/>
    <row r="839" ht="12.75" customHeight="1" x14ac:dyDescent="0.25"/>
    <row r="840" ht="12.75" customHeight="1" x14ac:dyDescent="0.25"/>
    <row r="841" ht="12.75" customHeight="1" x14ac:dyDescent="0.25"/>
    <row r="842" ht="12.75" customHeight="1" x14ac:dyDescent="0.25"/>
    <row r="843" ht="12.75" customHeight="1" x14ac:dyDescent="0.25"/>
    <row r="844" ht="12.75" customHeight="1" x14ac:dyDescent="0.25"/>
    <row r="845" ht="12.75" customHeight="1" x14ac:dyDescent="0.25"/>
    <row r="846" ht="12.75" customHeight="1" x14ac:dyDescent="0.25"/>
    <row r="847" ht="12.75" customHeight="1" x14ac:dyDescent="0.25"/>
    <row r="848" ht="12.75" customHeight="1" x14ac:dyDescent="0.25"/>
    <row r="849" ht="12.75" customHeight="1" x14ac:dyDescent="0.25"/>
    <row r="850" ht="12.75" customHeight="1" x14ac:dyDescent="0.25"/>
    <row r="851" ht="12.75" customHeight="1" x14ac:dyDescent="0.25"/>
    <row r="852" ht="12.75" customHeight="1" x14ac:dyDescent="0.25"/>
    <row r="853" ht="12.75" customHeight="1" x14ac:dyDescent="0.25"/>
    <row r="854" ht="12.75" customHeight="1" x14ac:dyDescent="0.25"/>
    <row r="855" ht="12.75" customHeight="1" x14ac:dyDescent="0.25"/>
    <row r="856" ht="12.75" customHeight="1" x14ac:dyDescent="0.25"/>
    <row r="857" ht="12.75" customHeight="1" x14ac:dyDescent="0.25"/>
    <row r="858" ht="12.75" customHeight="1" x14ac:dyDescent="0.25"/>
    <row r="859" ht="12.75" customHeight="1" x14ac:dyDescent="0.25"/>
    <row r="860" ht="12.75" customHeight="1" x14ac:dyDescent="0.25"/>
    <row r="861" ht="12.75" customHeight="1" x14ac:dyDescent="0.25"/>
    <row r="862" ht="12.75" customHeight="1" x14ac:dyDescent="0.25"/>
    <row r="863" ht="12.75" customHeight="1" x14ac:dyDescent="0.25"/>
    <row r="864" ht="12.75" customHeight="1" x14ac:dyDescent="0.25"/>
    <row r="865" ht="12.75" customHeight="1" x14ac:dyDescent="0.25"/>
    <row r="866" ht="12.75" customHeight="1" x14ac:dyDescent="0.25"/>
    <row r="867" ht="12.75" customHeight="1" x14ac:dyDescent="0.25"/>
    <row r="868" ht="12.75" customHeight="1" x14ac:dyDescent="0.25"/>
    <row r="869" ht="12.75" customHeight="1" x14ac:dyDescent="0.25"/>
    <row r="870" ht="12.75" customHeight="1" x14ac:dyDescent="0.25"/>
    <row r="871" ht="12.75" customHeight="1" x14ac:dyDescent="0.25"/>
    <row r="872" ht="12.75" customHeight="1" x14ac:dyDescent="0.25"/>
    <row r="873" ht="12.75" customHeight="1" x14ac:dyDescent="0.25"/>
    <row r="874" ht="12.75" customHeight="1" x14ac:dyDescent="0.25"/>
    <row r="875" ht="12.75" customHeight="1" x14ac:dyDescent="0.25"/>
    <row r="876" ht="12.75" customHeight="1" x14ac:dyDescent="0.25"/>
    <row r="877" ht="12.75" customHeight="1" x14ac:dyDescent="0.25"/>
    <row r="878" ht="12.75" customHeight="1" x14ac:dyDescent="0.25"/>
    <row r="879" ht="12.75" customHeight="1" x14ac:dyDescent="0.25"/>
    <row r="880" ht="12.75" customHeight="1" x14ac:dyDescent="0.25"/>
    <row r="881" ht="12.75" customHeight="1" x14ac:dyDescent="0.25"/>
    <row r="882" ht="12.75" customHeight="1" x14ac:dyDescent="0.25"/>
    <row r="883" ht="12.75" customHeight="1" x14ac:dyDescent="0.25"/>
    <row r="884" ht="12.75" customHeight="1" x14ac:dyDescent="0.25"/>
    <row r="885" ht="12.75" customHeight="1" x14ac:dyDescent="0.25"/>
    <row r="886" ht="12.75" customHeight="1" x14ac:dyDescent="0.25"/>
    <row r="887" ht="12.75" customHeight="1" x14ac:dyDescent="0.25"/>
    <row r="888" ht="12.75" customHeight="1" x14ac:dyDescent="0.25"/>
    <row r="889" ht="12.75" customHeight="1" x14ac:dyDescent="0.25"/>
    <row r="890" ht="12.75" customHeight="1" x14ac:dyDescent="0.25"/>
    <row r="891" ht="12.75" customHeight="1" x14ac:dyDescent="0.25"/>
    <row r="892" ht="12.75" customHeight="1" x14ac:dyDescent="0.25"/>
    <row r="893" ht="12.75" customHeight="1" x14ac:dyDescent="0.25"/>
    <row r="894" ht="12.75" customHeight="1" x14ac:dyDescent="0.25"/>
    <row r="895" ht="12.75" customHeight="1" x14ac:dyDescent="0.25"/>
    <row r="896" ht="12.75" customHeight="1" x14ac:dyDescent="0.25"/>
    <row r="897" ht="12.75" customHeight="1" x14ac:dyDescent="0.25"/>
    <row r="898" ht="12.75" customHeight="1" x14ac:dyDescent="0.25"/>
    <row r="899" ht="12.75" customHeight="1" x14ac:dyDescent="0.25"/>
    <row r="900" ht="12.75" customHeight="1" x14ac:dyDescent="0.25"/>
    <row r="901" ht="12.75" customHeight="1" x14ac:dyDescent="0.25"/>
    <row r="902" ht="12.75" customHeight="1" x14ac:dyDescent="0.25"/>
    <row r="903" ht="12.75" customHeight="1" x14ac:dyDescent="0.25"/>
    <row r="904" ht="12.75" customHeight="1" x14ac:dyDescent="0.25"/>
    <row r="905" ht="12.75" customHeight="1" x14ac:dyDescent="0.25"/>
    <row r="906" ht="12.75" customHeight="1" x14ac:dyDescent="0.25"/>
    <row r="907" ht="12.75" customHeight="1" x14ac:dyDescent="0.25"/>
    <row r="908" ht="12.75" customHeight="1" x14ac:dyDescent="0.25"/>
    <row r="909" ht="12.75" customHeight="1" x14ac:dyDescent="0.25"/>
    <row r="910" ht="12.75" customHeight="1" x14ac:dyDescent="0.25"/>
    <row r="911" ht="12.75" customHeight="1" x14ac:dyDescent="0.25"/>
    <row r="912" ht="12.75" customHeight="1" x14ac:dyDescent="0.25"/>
    <row r="913" ht="12.75" customHeight="1" x14ac:dyDescent="0.25"/>
    <row r="914" ht="12.75" customHeight="1" x14ac:dyDescent="0.25"/>
    <row r="915" ht="12.75" customHeight="1" x14ac:dyDescent="0.25"/>
    <row r="916" ht="12.75" customHeight="1" x14ac:dyDescent="0.25"/>
  </sheetData>
  <mergeCells count="26">
    <mergeCell ref="AB132:AC132"/>
    <mergeCell ref="AB96:AC96"/>
    <mergeCell ref="B113:N113"/>
    <mergeCell ref="P113:AA113"/>
    <mergeCell ref="AB114:AC114"/>
    <mergeCell ref="B131:N131"/>
    <mergeCell ref="P131:AA131"/>
    <mergeCell ref="B95:N95"/>
    <mergeCell ref="P95:AA95"/>
    <mergeCell ref="AB22:AC22"/>
    <mergeCell ref="B39:N39"/>
    <mergeCell ref="P39:AA39"/>
    <mergeCell ref="AB40:AC40"/>
    <mergeCell ref="B57:N57"/>
    <mergeCell ref="P57:AA57"/>
    <mergeCell ref="AB58:AC58"/>
    <mergeCell ref="A74:F74"/>
    <mergeCell ref="B77:N77"/>
    <mergeCell ref="P77:AA77"/>
    <mergeCell ref="AB78:AC78"/>
    <mergeCell ref="A1:F1"/>
    <mergeCell ref="B3:N3"/>
    <mergeCell ref="P3:AA3"/>
    <mergeCell ref="AB4:AC4"/>
    <mergeCell ref="B21:N21"/>
    <mergeCell ref="P21:AA21"/>
  </mergeCells>
  <conditionalFormatting sqref="Q5:AA15">
    <cfRule type="dataBar" priority="15">
      <dataBar>
        <cfvo type="min"/>
        <cfvo type="max"/>
        <color rgb="FFFFB628"/>
      </dataBar>
      <extLst>
        <ext xmlns:x14="http://schemas.microsoft.com/office/spreadsheetml/2009/9/main" uri="{B025F937-C7B1-47D3-B67F-A62EFF666E3E}">
          <x14:id>{E3BD23B0-5975-4BE1-A0FC-B5D2FE7C59BB}</x14:id>
        </ext>
      </extLst>
    </cfRule>
    <cfRule type="dataBar" priority="16">
      <dataBar>
        <cfvo type="min"/>
        <cfvo type="max"/>
        <color rgb="FFFF555A"/>
      </dataBar>
      <extLst>
        <ext xmlns:x14="http://schemas.microsoft.com/office/spreadsheetml/2009/9/main" uri="{B025F937-C7B1-47D3-B67F-A62EFF666E3E}">
          <x14:id>{8A02856D-343E-44FD-B567-84DFC32D8B69}</x14:id>
        </ext>
      </extLst>
    </cfRule>
  </conditionalFormatting>
  <conditionalFormatting sqref="Q23:AA33">
    <cfRule type="dataBar" priority="13">
      <dataBar>
        <cfvo type="min"/>
        <cfvo type="max"/>
        <color rgb="FFFFB628"/>
      </dataBar>
      <extLst>
        <ext xmlns:x14="http://schemas.microsoft.com/office/spreadsheetml/2009/9/main" uri="{B025F937-C7B1-47D3-B67F-A62EFF666E3E}">
          <x14:id>{11D4CBA6-D143-4D17-AD11-BE24CEE0C7AE}</x14:id>
        </ext>
      </extLst>
    </cfRule>
    <cfRule type="dataBar" priority="14">
      <dataBar>
        <cfvo type="min"/>
        <cfvo type="max"/>
        <color rgb="FFFF555A"/>
      </dataBar>
      <extLst>
        <ext xmlns:x14="http://schemas.microsoft.com/office/spreadsheetml/2009/9/main" uri="{B025F937-C7B1-47D3-B67F-A62EFF666E3E}">
          <x14:id>{19614329-4A42-4FD4-8ED6-323B095C6EA6}</x14:id>
        </ext>
      </extLst>
    </cfRule>
  </conditionalFormatting>
  <conditionalFormatting sqref="Q41:AA51">
    <cfRule type="dataBar" priority="11">
      <dataBar>
        <cfvo type="min"/>
        <cfvo type="max"/>
        <color rgb="FFFFB628"/>
      </dataBar>
      <extLst>
        <ext xmlns:x14="http://schemas.microsoft.com/office/spreadsheetml/2009/9/main" uri="{B025F937-C7B1-47D3-B67F-A62EFF666E3E}">
          <x14:id>{62F199B3-F80E-457A-BA2D-BBC8002A18EB}</x14:id>
        </ext>
      </extLst>
    </cfRule>
    <cfRule type="dataBar" priority="12">
      <dataBar>
        <cfvo type="min"/>
        <cfvo type="max"/>
        <color rgb="FFFF555A"/>
      </dataBar>
      <extLst>
        <ext xmlns:x14="http://schemas.microsoft.com/office/spreadsheetml/2009/9/main" uri="{B025F937-C7B1-47D3-B67F-A62EFF666E3E}">
          <x14:id>{A779005A-8C52-4044-BC22-6A9DF311EAC1}</x14:id>
        </ext>
      </extLst>
    </cfRule>
  </conditionalFormatting>
  <conditionalFormatting sqref="Q59:AA69">
    <cfRule type="dataBar" priority="9">
      <dataBar>
        <cfvo type="min"/>
        <cfvo type="max"/>
        <color rgb="FFFFB628"/>
      </dataBar>
      <extLst>
        <ext xmlns:x14="http://schemas.microsoft.com/office/spreadsheetml/2009/9/main" uri="{B025F937-C7B1-47D3-B67F-A62EFF666E3E}">
          <x14:id>{30043A59-E1CC-4961-A368-5D321CBB737D}</x14:id>
        </ext>
      </extLst>
    </cfRule>
    <cfRule type="dataBar" priority="10">
      <dataBar>
        <cfvo type="min"/>
        <cfvo type="max"/>
        <color rgb="FFFF555A"/>
      </dataBar>
      <extLst>
        <ext xmlns:x14="http://schemas.microsoft.com/office/spreadsheetml/2009/9/main" uri="{B025F937-C7B1-47D3-B67F-A62EFF666E3E}">
          <x14:id>{6EF6F4BD-F6F6-4AFF-A2C0-5B0F687F3392}</x14:id>
        </ext>
      </extLst>
    </cfRule>
  </conditionalFormatting>
  <conditionalFormatting sqref="Q79:AA89">
    <cfRule type="dataBar" priority="7">
      <dataBar>
        <cfvo type="min"/>
        <cfvo type="max"/>
        <color rgb="FFFFB628"/>
      </dataBar>
      <extLst>
        <ext xmlns:x14="http://schemas.microsoft.com/office/spreadsheetml/2009/9/main" uri="{B025F937-C7B1-47D3-B67F-A62EFF666E3E}">
          <x14:id>{2033BDFE-D149-41EC-97CC-0B0182D7931C}</x14:id>
        </ext>
      </extLst>
    </cfRule>
    <cfRule type="dataBar" priority="8">
      <dataBar>
        <cfvo type="min"/>
        <cfvo type="max"/>
        <color rgb="FFFF555A"/>
      </dataBar>
      <extLst>
        <ext xmlns:x14="http://schemas.microsoft.com/office/spreadsheetml/2009/9/main" uri="{B025F937-C7B1-47D3-B67F-A62EFF666E3E}">
          <x14:id>{864C0095-9EC0-4048-94E2-CD8DFA7460F2}</x14:id>
        </ext>
      </extLst>
    </cfRule>
  </conditionalFormatting>
  <conditionalFormatting sqref="Q97:AA107">
    <cfRule type="dataBar" priority="5">
      <dataBar>
        <cfvo type="min"/>
        <cfvo type="max"/>
        <color rgb="FFFFB628"/>
      </dataBar>
      <extLst>
        <ext xmlns:x14="http://schemas.microsoft.com/office/spreadsheetml/2009/9/main" uri="{B025F937-C7B1-47D3-B67F-A62EFF666E3E}">
          <x14:id>{7A9CB71B-4B53-4849-BC79-E29C2D58E004}</x14:id>
        </ext>
      </extLst>
    </cfRule>
    <cfRule type="dataBar" priority="6">
      <dataBar>
        <cfvo type="min"/>
        <cfvo type="max"/>
        <color rgb="FFFF555A"/>
      </dataBar>
      <extLst>
        <ext xmlns:x14="http://schemas.microsoft.com/office/spreadsheetml/2009/9/main" uri="{B025F937-C7B1-47D3-B67F-A62EFF666E3E}">
          <x14:id>{DB262585-D0F7-4811-A7C7-CBB4D171411C}</x14:id>
        </ext>
      </extLst>
    </cfRule>
  </conditionalFormatting>
  <conditionalFormatting sqref="Q115:AA125">
    <cfRule type="dataBar" priority="3">
      <dataBar>
        <cfvo type="min"/>
        <cfvo type="max"/>
        <color rgb="FFFFB628"/>
      </dataBar>
      <extLst>
        <ext xmlns:x14="http://schemas.microsoft.com/office/spreadsheetml/2009/9/main" uri="{B025F937-C7B1-47D3-B67F-A62EFF666E3E}">
          <x14:id>{E3917C8A-9EE0-47FA-B419-20BBB0A60EB3}</x14:id>
        </ext>
      </extLst>
    </cfRule>
    <cfRule type="dataBar" priority="4">
      <dataBar>
        <cfvo type="min"/>
        <cfvo type="max"/>
        <color rgb="FFFF555A"/>
      </dataBar>
      <extLst>
        <ext xmlns:x14="http://schemas.microsoft.com/office/spreadsheetml/2009/9/main" uri="{B025F937-C7B1-47D3-B67F-A62EFF666E3E}">
          <x14:id>{4CAC0286-10C7-4E49-B100-1EB8DEC6524C}</x14:id>
        </ext>
      </extLst>
    </cfRule>
  </conditionalFormatting>
  <conditionalFormatting sqref="Q133:AA143">
    <cfRule type="dataBar" priority="1">
      <dataBar>
        <cfvo type="min"/>
        <cfvo type="max"/>
        <color rgb="FFFFB628"/>
      </dataBar>
      <extLst>
        <ext xmlns:x14="http://schemas.microsoft.com/office/spreadsheetml/2009/9/main" uri="{B025F937-C7B1-47D3-B67F-A62EFF666E3E}">
          <x14:id>{C41026D3-4A76-43CF-955B-0C256D9E7558}</x14:id>
        </ext>
      </extLst>
    </cfRule>
    <cfRule type="dataBar" priority="2">
      <dataBar>
        <cfvo type="min"/>
        <cfvo type="max"/>
        <color rgb="FFFF555A"/>
      </dataBar>
      <extLst>
        <ext xmlns:x14="http://schemas.microsoft.com/office/spreadsheetml/2009/9/main" uri="{B025F937-C7B1-47D3-B67F-A62EFF666E3E}">
          <x14:id>{740F6A93-F3C6-4B19-AE00-D739C16D3DE4}</x14:id>
        </ext>
      </extLst>
    </cfRule>
  </conditionalFormatting>
  <pageMargins left="0.7" right="0.7" top="0.75" bottom="0.75" header="0" footer="0"/>
  <pageSetup paperSize="9" orientation="portrait" r:id="rId1"/>
  <tableParts count="8">
    <tablePart r:id="rId2"/>
    <tablePart r:id="rId3"/>
    <tablePart r:id="rId4"/>
    <tablePart r:id="rId5"/>
    <tablePart r:id="rId6"/>
    <tablePart r:id="rId7"/>
    <tablePart r:id="rId8"/>
    <tablePart r:id="rId9"/>
  </tableParts>
  <extLst>
    <ext xmlns:x14="http://schemas.microsoft.com/office/spreadsheetml/2009/9/main" uri="{78C0D931-6437-407d-A8EE-F0AAD7539E65}">
      <x14:conditionalFormattings>
        <x14:conditionalFormatting xmlns:xm="http://schemas.microsoft.com/office/excel/2006/main">
          <x14:cfRule type="dataBar" id="{E3BD23B0-5975-4BE1-A0FC-B5D2FE7C59BB}">
            <x14:dataBar minLength="0" maxLength="100" gradient="0">
              <x14:cfvo type="autoMin"/>
              <x14:cfvo type="autoMax"/>
              <x14:negativeFillColor rgb="FFFF0000"/>
              <x14:axisColor rgb="FF000000"/>
            </x14:dataBar>
          </x14:cfRule>
          <x14:cfRule type="dataBar" id="{8A02856D-343E-44FD-B567-84DFC32D8B69}">
            <x14:dataBar minLength="0" maxLength="100" border="1" negativeBarBorderColorSameAsPositive="0">
              <x14:cfvo type="autoMin"/>
              <x14:cfvo type="autoMax"/>
              <x14:borderColor rgb="FFFF555A"/>
              <x14:negativeFillColor rgb="FFFF0000"/>
              <x14:negativeBorderColor rgb="FFFF0000"/>
              <x14:axisColor rgb="FF000000"/>
            </x14:dataBar>
          </x14:cfRule>
          <xm:sqref>Q5:AA15</xm:sqref>
        </x14:conditionalFormatting>
        <x14:conditionalFormatting xmlns:xm="http://schemas.microsoft.com/office/excel/2006/main">
          <x14:cfRule type="dataBar" id="{11D4CBA6-D143-4D17-AD11-BE24CEE0C7AE}">
            <x14:dataBar minLength="0" maxLength="100" gradient="0">
              <x14:cfvo type="autoMin"/>
              <x14:cfvo type="autoMax"/>
              <x14:negativeFillColor rgb="FFFF0000"/>
              <x14:axisColor rgb="FF000000"/>
            </x14:dataBar>
          </x14:cfRule>
          <x14:cfRule type="dataBar" id="{19614329-4A42-4FD4-8ED6-323B095C6EA6}">
            <x14:dataBar minLength="0" maxLength="100" border="1" negativeBarBorderColorSameAsPositive="0">
              <x14:cfvo type="autoMin"/>
              <x14:cfvo type="autoMax"/>
              <x14:borderColor rgb="FFFF555A"/>
              <x14:negativeFillColor rgb="FFFF0000"/>
              <x14:negativeBorderColor rgb="FFFF0000"/>
              <x14:axisColor rgb="FF000000"/>
            </x14:dataBar>
          </x14:cfRule>
          <xm:sqref>Q23:AA33</xm:sqref>
        </x14:conditionalFormatting>
        <x14:conditionalFormatting xmlns:xm="http://schemas.microsoft.com/office/excel/2006/main">
          <x14:cfRule type="dataBar" id="{62F199B3-F80E-457A-BA2D-BBC8002A18EB}">
            <x14:dataBar minLength="0" maxLength="100" gradient="0">
              <x14:cfvo type="autoMin"/>
              <x14:cfvo type="autoMax"/>
              <x14:negativeFillColor rgb="FFFF0000"/>
              <x14:axisColor rgb="FF000000"/>
            </x14:dataBar>
          </x14:cfRule>
          <x14:cfRule type="dataBar" id="{A779005A-8C52-4044-BC22-6A9DF311EAC1}">
            <x14:dataBar minLength="0" maxLength="100" border="1" negativeBarBorderColorSameAsPositive="0">
              <x14:cfvo type="autoMin"/>
              <x14:cfvo type="autoMax"/>
              <x14:borderColor rgb="FFFF555A"/>
              <x14:negativeFillColor rgb="FFFF0000"/>
              <x14:negativeBorderColor rgb="FFFF0000"/>
              <x14:axisColor rgb="FF000000"/>
            </x14:dataBar>
          </x14:cfRule>
          <xm:sqref>Q41:AA51</xm:sqref>
        </x14:conditionalFormatting>
        <x14:conditionalFormatting xmlns:xm="http://schemas.microsoft.com/office/excel/2006/main">
          <x14:cfRule type="dataBar" id="{30043A59-E1CC-4961-A368-5D321CBB737D}">
            <x14:dataBar minLength="0" maxLength="100" gradient="0">
              <x14:cfvo type="autoMin"/>
              <x14:cfvo type="autoMax"/>
              <x14:negativeFillColor rgb="FFFF0000"/>
              <x14:axisColor rgb="FF000000"/>
            </x14:dataBar>
          </x14:cfRule>
          <x14:cfRule type="dataBar" id="{6EF6F4BD-F6F6-4AFF-A2C0-5B0F687F3392}">
            <x14:dataBar minLength="0" maxLength="100" border="1" negativeBarBorderColorSameAsPositive="0">
              <x14:cfvo type="autoMin"/>
              <x14:cfvo type="autoMax"/>
              <x14:borderColor rgb="FFFF555A"/>
              <x14:negativeFillColor rgb="FFFF0000"/>
              <x14:negativeBorderColor rgb="FFFF0000"/>
              <x14:axisColor rgb="FF000000"/>
            </x14:dataBar>
          </x14:cfRule>
          <xm:sqref>Q59:AA69</xm:sqref>
        </x14:conditionalFormatting>
        <x14:conditionalFormatting xmlns:xm="http://schemas.microsoft.com/office/excel/2006/main">
          <x14:cfRule type="dataBar" id="{2033BDFE-D149-41EC-97CC-0B0182D7931C}">
            <x14:dataBar minLength="0" maxLength="100" gradient="0">
              <x14:cfvo type="autoMin"/>
              <x14:cfvo type="autoMax"/>
              <x14:negativeFillColor rgb="FFFF0000"/>
              <x14:axisColor rgb="FF000000"/>
            </x14:dataBar>
          </x14:cfRule>
          <x14:cfRule type="dataBar" id="{864C0095-9EC0-4048-94E2-CD8DFA7460F2}">
            <x14:dataBar minLength="0" maxLength="100" border="1" negativeBarBorderColorSameAsPositive="0">
              <x14:cfvo type="autoMin"/>
              <x14:cfvo type="autoMax"/>
              <x14:borderColor rgb="FFFF555A"/>
              <x14:negativeFillColor rgb="FFFF0000"/>
              <x14:negativeBorderColor rgb="FFFF0000"/>
              <x14:axisColor rgb="FF000000"/>
            </x14:dataBar>
          </x14:cfRule>
          <xm:sqref>Q79:AA89</xm:sqref>
        </x14:conditionalFormatting>
        <x14:conditionalFormatting xmlns:xm="http://schemas.microsoft.com/office/excel/2006/main">
          <x14:cfRule type="dataBar" id="{7A9CB71B-4B53-4849-BC79-E29C2D58E004}">
            <x14:dataBar minLength="0" maxLength="100" gradient="0">
              <x14:cfvo type="autoMin"/>
              <x14:cfvo type="autoMax"/>
              <x14:negativeFillColor rgb="FFFF0000"/>
              <x14:axisColor rgb="FF000000"/>
            </x14:dataBar>
          </x14:cfRule>
          <x14:cfRule type="dataBar" id="{DB262585-D0F7-4811-A7C7-CBB4D171411C}">
            <x14:dataBar minLength="0" maxLength="100" border="1" negativeBarBorderColorSameAsPositive="0">
              <x14:cfvo type="autoMin"/>
              <x14:cfvo type="autoMax"/>
              <x14:borderColor rgb="FFFF555A"/>
              <x14:negativeFillColor rgb="FFFF0000"/>
              <x14:negativeBorderColor rgb="FFFF0000"/>
              <x14:axisColor rgb="FF000000"/>
            </x14:dataBar>
          </x14:cfRule>
          <xm:sqref>Q97:AA107</xm:sqref>
        </x14:conditionalFormatting>
        <x14:conditionalFormatting xmlns:xm="http://schemas.microsoft.com/office/excel/2006/main">
          <x14:cfRule type="dataBar" id="{E3917C8A-9EE0-47FA-B419-20BBB0A60EB3}">
            <x14:dataBar minLength="0" maxLength="100" gradient="0">
              <x14:cfvo type="autoMin"/>
              <x14:cfvo type="autoMax"/>
              <x14:negativeFillColor rgb="FFFF0000"/>
              <x14:axisColor rgb="FF000000"/>
            </x14:dataBar>
          </x14:cfRule>
          <x14:cfRule type="dataBar" id="{4CAC0286-10C7-4E49-B100-1EB8DEC6524C}">
            <x14:dataBar minLength="0" maxLength="100" border="1" negativeBarBorderColorSameAsPositive="0">
              <x14:cfvo type="autoMin"/>
              <x14:cfvo type="autoMax"/>
              <x14:borderColor rgb="FFFF555A"/>
              <x14:negativeFillColor rgb="FFFF0000"/>
              <x14:negativeBorderColor rgb="FFFF0000"/>
              <x14:axisColor rgb="FF000000"/>
            </x14:dataBar>
          </x14:cfRule>
          <xm:sqref>Q115:AA125</xm:sqref>
        </x14:conditionalFormatting>
        <x14:conditionalFormatting xmlns:xm="http://schemas.microsoft.com/office/excel/2006/main">
          <x14:cfRule type="dataBar" id="{C41026D3-4A76-43CF-955B-0C256D9E7558}">
            <x14:dataBar minLength="0" maxLength="100" gradient="0">
              <x14:cfvo type="autoMin"/>
              <x14:cfvo type="autoMax"/>
              <x14:negativeFillColor rgb="FFFF0000"/>
              <x14:axisColor rgb="FF000000"/>
            </x14:dataBar>
          </x14:cfRule>
          <x14:cfRule type="dataBar" id="{740F6A93-F3C6-4B19-AE00-D739C16D3DE4}">
            <x14:dataBar minLength="0" maxLength="100" border="1" negativeBarBorderColorSameAsPositive="0">
              <x14:cfvo type="autoMin"/>
              <x14:cfvo type="autoMax"/>
              <x14:borderColor rgb="FFFF555A"/>
              <x14:negativeFillColor rgb="FFFF0000"/>
              <x14:negativeBorderColor rgb="FFFF0000"/>
              <x14:axisColor rgb="FF000000"/>
            </x14:dataBar>
          </x14:cfRule>
          <xm:sqref>Q133:AA143</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7B5BD0-6AB3-42D4-B1AD-7DAFCF2A4F5A}">
  <dimension ref="A1:AE916"/>
  <sheetViews>
    <sheetView showGridLines="0" zoomScale="65" zoomScaleNormal="40" workbookViewId="0">
      <selection activeCell="D132" sqref="D132:N132"/>
    </sheetView>
  </sheetViews>
  <sheetFormatPr defaultColWidth="12.6640625" defaultRowHeight="15" customHeight="1" x14ac:dyDescent="0.25"/>
  <cols>
    <col min="1" max="1" width="8.6640625" style="2" customWidth="1"/>
    <col min="2" max="2" width="12.6640625" style="2" customWidth="1"/>
    <col min="3" max="3" width="38.44140625" style="2" bestFit="1" customWidth="1"/>
    <col min="4" max="4" width="9.88671875" style="2" bestFit="1" customWidth="1"/>
    <col min="5" max="6" width="8.77734375" style="2" bestFit="1" customWidth="1"/>
    <col min="7" max="7" width="9" style="2" bestFit="1" customWidth="1"/>
    <col min="8" max="8" width="10.5546875" style="2" bestFit="1" customWidth="1"/>
    <col min="9" max="9" width="9" style="2" bestFit="1" customWidth="1"/>
    <col min="10" max="10" width="9.88671875" style="2" bestFit="1" customWidth="1"/>
    <col min="11" max="11" width="11.44140625" style="2" customWidth="1"/>
    <col min="12" max="13" width="11.21875" style="2" bestFit="1" customWidth="1"/>
    <col min="14" max="14" width="9.6640625" style="2" bestFit="1" customWidth="1"/>
    <col min="15" max="15" width="8.6640625" style="2" customWidth="1"/>
    <col min="16" max="16" width="14.6640625" style="2" bestFit="1" customWidth="1"/>
    <col min="17" max="17" width="10" style="2" bestFit="1" customWidth="1"/>
    <col min="18" max="18" width="8.6640625" style="2" customWidth="1"/>
    <col min="19" max="19" width="7.33203125" style="2" bestFit="1" customWidth="1"/>
    <col min="20" max="20" width="8.33203125" style="2" bestFit="1" customWidth="1"/>
    <col min="21" max="21" width="10" style="2" bestFit="1" customWidth="1"/>
    <col min="22" max="22" width="8" style="2" customWidth="1"/>
    <col min="23" max="23" width="9.6640625" style="2" bestFit="1" customWidth="1"/>
    <col min="24" max="24" width="10.5546875" style="2" bestFit="1" customWidth="1"/>
    <col min="25" max="25" width="11.21875" style="2" bestFit="1" customWidth="1"/>
    <col min="26" max="26" width="11.109375" style="2" bestFit="1" customWidth="1"/>
    <col min="27" max="27" width="9.5546875" style="2" bestFit="1" customWidth="1"/>
    <col min="28" max="16384" width="12.6640625" style="2"/>
  </cols>
  <sheetData>
    <row r="1" spans="1:31" ht="25.05" customHeight="1" x14ac:dyDescent="0.25">
      <c r="A1" s="252" t="s">
        <v>81</v>
      </c>
      <c r="B1" s="252"/>
      <c r="C1" s="252"/>
      <c r="D1" s="252"/>
      <c r="E1" s="252"/>
      <c r="F1" s="252"/>
    </row>
    <row r="2" spans="1:31" ht="15" customHeight="1" x14ac:dyDescent="0.25">
      <c r="B2" s="5"/>
      <c r="C2" s="5"/>
      <c r="D2" s="5"/>
      <c r="E2" s="5"/>
      <c r="F2" s="5"/>
      <c r="G2" s="5"/>
      <c r="H2" s="5"/>
      <c r="I2" s="5"/>
      <c r="J2" s="5"/>
      <c r="K2" s="5"/>
      <c r="L2" s="5"/>
      <c r="M2" s="5"/>
      <c r="N2" s="5"/>
      <c r="O2" s="5"/>
      <c r="P2" s="5"/>
      <c r="Q2" s="5"/>
      <c r="R2" s="5"/>
      <c r="S2" s="5"/>
      <c r="T2" s="5"/>
      <c r="U2" s="5"/>
      <c r="V2" s="5"/>
      <c r="W2" s="5"/>
      <c r="X2" s="5"/>
      <c r="Y2" s="5"/>
      <c r="Z2" s="5"/>
      <c r="AA2" s="5"/>
    </row>
    <row r="3" spans="1:31" ht="15" customHeight="1" thickBot="1" x14ac:dyDescent="0.3">
      <c r="B3" s="253" t="s">
        <v>71</v>
      </c>
      <c r="C3" s="253"/>
      <c r="D3" s="253"/>
      <c r="E3" s="253"/>
      <c r="F3" s="253"/>
      <c r="G3" s="253"/>
      <c r="H3" s="253"/>
      <c r="I3" s="253"/>
      <c r="J3" s="253"/>
      <c r="K3" s="253"/>
      <c r="L3" s="253"/>
      <c r="M3" s="253"/>
      <c r="N3" s="253"/>
      <c r="P3" s="253" t="s">
        <v>76</v>
      </c>
      <c r="Q3" s="253"/>
      <c r="R3" s="253"/>
      <c r="S3" s="253"/>
      <c r="T3" s="253"/>
      <c r="U3" s="253"/>
      <c r="V3" s="253"/>
      <c r="W3" s="253"/>
      <c r="X3" s="253"/>
      <c r="Y3" s="253"/>
      <c r="Z3" s="253"/>
      <c r="AA3" s="253"/>
      <c r="AB3" s="10"/>
      <c r="AC3" s="3" t="s">
        <v>22</v>
      </c>
      <c r="AD3" s="13" t="s">
        <v>23</v>
      </c>
      <c r="AE3" s="15">
        <f t="array" ref="AE3">MIN(IF(D6:N16&gt;0,D6:N16))</f>
        <v>1.1082820560208155</v>
      </c>
    </row>
    <row r="4" spans="1:31" ht="15" customHeight="1" thickBot="1" x14ac:dyDescent="0.3">
      <c r="B4" s="75" t="s">
        <v>13</v>
      </c>
      <c r="C4" s="66" t="s">
        <v>14</v>
      </c>
      <c r="D4" s="67" t="s">
        <v>1</v>
      </c>
      <c r="E4" s="67" t="s">
        <v>195</v>
      </c>
      <c r="F4" s="67" t="s">
        <v>2</v>
      </c>
      <c r="G4" s="67" t="s">
        <v>3</v>
      </c>
      <c r="H4" s="67" t="s">
        <v>4</v>
      </c>
      <c r="I4" s="67" t="s">
        <v>5</v>
      </c>
      <c r="J4" s="67" t="s">
        <v>6</v>
      </c>
      <c r="K4" s="67" t="s">
        <v>7</v>
      </c>
      <c r="L4" s="67" t="s">
        <v>295</v>
      </c>
      <c r="M4" s="67" t="s">
        <v>9</v>
      </c>
      <c r="N4" s="67" t="s">
        <v>10</v>
      </c>
      <c r="P4" s="76" t="s">
        <v>19</v>
      </c>
      <c r="Q4" s="77" t="s">
        <v>1</v>
      </c>
      <c r="R4" s="77" t="s">
        <v>195</v>
      </c>
      <c r="S4" s="77" t="s">
        <v>2</v>
      </c>
      <c r="T4" s="77" t="s">
        <v>3</v>
      </c>
      <c r="U4" s="77" t="s">
        <v>4</v>
      </c>
      <c r="V4" s="77" t="s">
        <v>5</v>
      </c>
      <c r="W4" s="77" t="s">
        <v>6</v>
      </c>
      <c r="X4" s="77" t="s">
        <v>7</v>
      </c>
      <c r="Y4" s="77" t="s">
        <v>295</v>
      </c>
      <c r="Z4" s="77" t="s">
        <v>9</v>
      </c>
      <c r="AA4" s="77" t="s">
        <v>10</v>
      </c>
      <c r="AB4" s="254" t="s">
        <v>26</v>
      </c>
      <c r="AC4" s="254"/>
      <c r="AD4" s="13" t="s">
        <v>24</v>
      </c>
      <c r="AE4" s="20">
        <f>MAX(D6:N16)</f>
        <v>618.83353369443819</v>
      </c>
    </row>
    <row r="5" spans="1:31" ht="15.6" customHeight="1" x14ac:dyDescent="0.25">
      <c r="B5" s="93"/>
      <c r="C5" s="94" t="s">
        <v>69</v>
      </c>
      <c r="D5" s="95">
        <f>C6</f>
        <v>-15.485533141061453</v>
      </c>
      <c r="E5" s="95">
        <f>C7</f>
        <v>-23.65876948821731</v>
      </c>
      <c r="F5" s="95">
        <f>C8</f>
        <v>-1.9143446898512437</v>
      </c>
      <c r="G5" s="95">
        <f>C9</f>
        <v>-14.377251085040637</v>
      </c>
      <c r="H5" s="95">
        <f>C10</f>
        <v>-483.39961268119595</v>
      </c>
      <c r="I5" s="95">
        <f>C11</f>
        <v>-72.638974455700733</v>
      </c>
      <c r="J5" s="95">
        <f>C12</f>
        <v>-21.136056438838651</v>
      </c>
      <c r="K5" s="95">
        <f>C13</f>
        <v>-403.45409221346773</v>
      </c>
      <c r="L5" s="95">
        <f>C14</f>
        <v>-620.74787838428938</v>
      </c>
      <c r="M5" s="95">
        <f>C15</f>
        <v>-130.17259269886131</v>
      </c>
      <c r="N5" s="95">
        <f>C16</f>
        <v>-291.96383267505706</v>
      </c>
      <c r="P5" s="21" t="s">
        <v>1</v>
      </c>
      <c r="Q5" s="97">
        <f t="shared" ref="Q5:AA15" si="0">$AE$5+(D6-$AE$3)*($AE$6-$AE$5)/($AE$4-$AE$3)</f>
        <v>-7.9234015612635782E-4</v>
      </c>
      <c r="R5" s="97">
        <f t="shared" si="0"/>
        <v>1.2425612467879505E-2</v>
      </c>
      <c r="S5" s="97">
        <f t="shared" si="0"/>
        <v>-7.9234015612635782E-4</v>
      </c>
      <c r="T5" s="97">
        <f t="shared" si="0"/>
        <v>-7.9234015612635782E-4</v>
      </c>
      <c r="U5" s="97">
        <f t="shared" si="0"/>
        <v>0.75592946168177511</v>
      </c>
      <c r="V5" s="97">
        <f t="shared" si="0"/>
        <v>9.1637567350302887E-2</v>
      </c>
      <c r="W5" s="97">
        <f t="shared" si="0"/>
        <v>8.3458207973190444E-3</v>
      </c>
      <c r="X5" s="97">
        <f t="shared" si="0"/>
        <v>0.62663966053566722</v>
      </c>
      <c r="Y5" s="97">
        <f t="shared" si="0"/>
        <v>0.97805235057689544</v>
      </c>
      <c r="Z5" s="97">
        <f t="shared" si="0"/>
        <v>0.18468230604678856</v>
      </c>
      <c r="AA5" s="97">
        <f t="shared" si="0"/>
        <v>0.44633495551760632</v>
      </c>
      <c r="AD5" s="3" t="s">
        <v>25</v>
      </c>
      <c r="AE5" s="2">
        <v>1E-3</v>
      </c>
    </row>
    <row r="6" spans="1:31" ht="15" customHeight="1" x14ac:dyDescent="0.25">
      <c r="B6" s="21" t="s">
        <v>1</v>
      </c>
      <c r="C6" s="95">
        <f>Annual_sorted!M53</f>
        <v>-15.485533141061453</v>
      </c>
      <c r="D6" s="29">
        <f>IF(C6-Table_146310938465462707886[Burundi]&gt;0, C6-Table_146310938465462707886[Burundi], 0)</f>
        <v>0</v>
      </c>
      <c r="E6" s="29">
        <f>IF(C6-Table_146310938465462707886[DRC]&gt;0, C6-Table_146310938465462707886[DRC], 0)</f>
        <v>8.1732363471558571</v>
      </c>
      <c r="F6" s="29">
        <f>IF(C6-Table_146310938465462707886[Egypt]&gt;0, C6-Table_146310938465462707886[Egypt], 0)</f>
        <v>0</v>
      </c>
      <c r="G6" s="29">
        <f>IF(C6-Table_146310938465462707886[Eritrea]&gt;0, C6-Table_146310938465462707886[Eritrea], 0)</f>
        <v>0</v>
      </c>
      <c r="H6" s="29">
        <f>IF(C6-Table_146310938465462707886[Ethiopia]&gt;0, C6-Table_146310938465462707886[Ethiopia], 0)</f>
        <v>467.91407954013448</v>
      </c>
      <c r="I6" s="29">
        <f>IF(C6-Table_146310938465462707886[Kenya]&gt;0, C6-Table_146310938465462707886[Kenya], 0)</f>
        <v>57.153441314639281</v>
      </c>
      <c r="J6" s="29">
        <f>IF(C6-Table_146310938465462707886[Rwanda]&gt;0, C6-Table_146310938465462707886[Rwanda], 0)</f>
        <v>5.6505232977771982</v>
      </c>
      <c r="K6" s="29">
        <f>IF(C6-Table_146310938465462707886[Sudan]&gt;0, C6-Table_146310938465462707886[Sudan], 0)</f>
        <v>387.96855907240626</v>
      </c>
      <c r="L6" s="29">
        <f>IF(C6-Table_146310938465462707886[S. Sudan]&gt;0, C6-Table_146310938465462707886[S. Sudan], 0)</f>
        <v>605.26234524322797</v>
      </c>
      <c r="M6" s="29">
        <f>IF(C6-Table_146310938465462707886[Tanzania]&gt;0, C6-Table_146310938465462707886[Tanzania], 0)</f>
        <v>114.68705955779986</v>
      </c>
      <c r="N6" s="29">
        <f>IF(C6-Table_146310938465462707886[Uganda]&gt;0, C6-Table_146310938465462707886[Uganda], 0)</f>
        <v>276.4782995339956</v>
      </c>
      <c r="P6" s="21" t="s">
        <v>195</v>
      </c>
      <c r="Q6" s="97">
        <f t="shared" si="0"/>
        <v>-7.9234015612635782E-4</v>
      </c>
      <c r="R6" s="97">
        <f t="shared" si="0"/>
        <v>-7.9234015612635782E-4</v>
      </c>
      <c r="S6" s="97">
        <f t="shared" si="0"/>
        <v>-7.9234015612635782E-4</v>
      </c>
      <c r="T6" s="97">
        <f t="shared" si="0"/>
        <v>-7.9234015612635782E-4</v>
      </c>
      <c r="U6" s="97">
        <f t="shared" si="0"/>
        <v>0.74271150905776939</v>
      </c>
      <c r="V6" s="97">
        <f t="shared" si="0"/>
        <v>7.8419614726297007E-2</v>
      </c>
      <c r="W6" s="97">
        <f t="shared" si="0"/>
        <v>-7.9234015612635782E-4</v>
      </c>
      <c r="X6" s="97">
        <f t="shared" si="0"/>
        <v>0.6134217079116614</v>
      </c>
      <c r="Y6" s="97">
        <f t="shared" si="0"/>
        <v>0.96483439795288939</v>
      </c>
      <c r="Z6" s="97">
        <f t="shared" si="0"/>
        <v>0.17146435342278271</v>
      </c>
      <c r="AA6" s="97">
        <f t="shared" si="0"/>
        <v>0.43311700289360056</v>
      </c>
      <c r="AD6" s="3" t="s">
        <v>70</v>
      </c>
      <c r="AE6" s="2">
        <v>1</v>
      </c>
    </row>
    <row r="7" spans="1:31" ht="15" customHeight="1" x14ac:dyDescent="0.25">
      <c r="B7" s="21" t="s">
        <v>195</v>
      </c>
      <c r="C7" s="95">
        <f>Annual_sorted!M54</f>
        <v>-23.65876948821731</v>
      </c>
      <c r="D7" s="29">
        <f>IF(C7-Table_146310938465462707886[Burundi]&gt;0, C7-Table_146310938465462707886[Burundi], 0)</f>
        <v>0</v>
      </c>
      <c r="E7" s="29">
        <f>IF(C7-Table_146310938465462707886[DRC]&gt;0, C7-Table_146310938465462707886[DRC], 0)</f>
        <v>0</v>
      </c>
      <c r="F7" s="29">
        <f>IF(C7-Table_146310938465462707886[Egypt]&gt;0, C7-Table_146310938465462707886[Egypt], 0)</f>
        <v>0</v>
      </c>
      <c r="G7" s="29">
        <f>IF(C7-Table_146310938465462707886[Eritrea]&gt;0, C7-Table_146310938465462707886[Eritrea], 0)</f>
        <v>0</v>
      </c>
      <c r="H7" s="29">
        <f>IF(C7-Table_146310938465462707886[Ethiopia]&gt;0, C7-Table_146310938465462707886[Ethiopia], 0)</f>
        <v>459.74084319297862</v>
      </c>
      <c r="I7" s="29">
        <f>IF(C7-Table_146310938465462707886[Kenya]&gt;0, C7-Table_146310938465462707886[Kenya], 0)</f>
        <v>48.980204967483424</v>
      </c>
      <c r="J7" s="29">
        <f>IF(C7-Table_146310938465462707886[Rwanda]&gt;0, C7-Table_146310938465462707886[Rwanda], 0)</f>
        <v>0</v>
      </c>
      <c r="K7" s="29">
        <f>IF(C7-Table_146310938465462707886[Sudan]&gt;0, C7-Table_146310938465462707886[Sudan], 0)</f>
        <v>379.7953227252504</v>
      </c>
      <c r="L7" s="29">
        <f>IF(C7-Table_146310938465462707886[S. Sudan]&gt;0, C7-Table_146310938465462707886[S. Sudan], 0)</f>
        <v>597.08910889607205</v>
      </c>
      <c r="M7" s="29">
        <f>IF(C7-Table_146310938465462707886[Tanzania]&gt;0, C7-Table_146310938465462707886[Tanzania], 0)</f>
        <v>106.51382321064401</v>
      </c>
      <c r="N7" s="29">
        <f>IF(C7-Table_146310938465462707886[Uganda]&gt;0, C7-Table_146310938465462707886[Uganda], 0)</f>
        <v>268.30506318683973</v>
      </c>
      <c r="P7" s="21" t="s">
        <v>2</v>
      </c>
      <c r="Q7" s="97">
        <f t="shared" si="0"/>
        <v>2.1155309266978152E-2</v>
      </c>
      <c r="R7" s="97">
        <f t="shared" si="0"/>
        <v>3.4373261890984018E-2</v>
      </c>
      <c r="S7" s="97">
        <f t="shared" si="0"/>
        <v>-7.9234015612635782E-4</v>
      </c>
      <c r="T7" s="97">
        <f t="shared" si="0"/>
        <v>1.9362969110851794E-2</v>
      </c>
      <c r="U7" s="97">
        <f t="shared" si="0"/>
        <v>0.77787711110487978</v>
      </c>
      <c r="V7" s="97">
        <f t="shared" si="0"/>
        <v>0.1135852167734074</v>
      </c>
      <c r="W7" s="97">
        <f t="shared" si="0"/>
        <v>3.029347022042355E-2</v>
      </c>
      <c r="X7" s="97">
        <f t="shared" si="0"/>
        <v>0.64858730995877178</v>
      </c>
      <c r="Y7" s="97">
        <f t="shared" si="0"/>
        <v>1</v>
      </c>
      <c r="Z7" s="97">
        <f t="shared" si="0"/>
        <v>0.20662995546989307</v>
      </c>
      <c r="AA7" s="97">
        <f t="shared" si="0"/>
        <v>0.46828260494071094</v>
      </c>
    </row>
    <row r="8" spans="1:31" ht="15" customHeight="1" x14ac:dyDescent="0.25">
      <c r="B8" s="21" t="s">
        <v>2</v>
      </c>
      <c r="C8" s="95">
        <f>Annual_sorted!M55</f>
        <v>-1.9143446898512437</v>
      </c>
      <c r="D8" s="29">
        <f>IF(C8-Table_146310938465462707886[Burundi]&gt;0, C8-Table_146310938465462707886[Burundi], 0)</f>
        <v>13.571188451210208</v>
      </c>
      <c r="E8" s="29">
        <f>IF(C8-Table_146310938465462707886[DRC]&gt;0, C8-Table_146310938465462707886[DRC], 0)</f>
        <v>21.744424798366065</v>
      </c>
      <c r="F8" s="29">
        <f>IF(C8-Table_146310938465462707886[Egypt]&gt;0, C8-Table_146310938465462707886[Egypt], 0)</f>
        <v>0</v>
      </c>
      <c r="G8" s="29">
        <f>IF(C8-Table_146310938465462707886[Eritrea]&gt;0, C8-Table_146310938465462707886[Eritrea], 0)</f>
        <v>12.462906395189393</v>
      </c>
      <c r="H8" s="29">
        <f>IF(C8-Table_146310938465462707886[Ethiopia]&gt;0, C8-Table_146310938465462707886[Ethiopia], 0)</f>
        <v>481.4852679913447</v>
      </c>
      <c r="I8" s="29">
        <f>IF(C8-Table_146310938465462707886[Kenya]&gt;0, C8-Table_146310938465462707886[Kenya], 0)</f>
        <v>70.724629765849485</v>
      </c>
      <c r="J8" s="29">
        <f>IF(C8-Table_146310938465462707886[Rwanda]&gt;0, C8-Table_146310938465462707886[Rwanda], 0)</f>
        <v>19.221711748987406</v>
      </c>
      <c r="K8" s="29">
        <f>IF(C8-Table_146310938465462707886[Sudan]&gt;0, C8-Table_146310938465462707886[Sudan], 0)</f>
        <v>401.53974752361648</v>
      </c>
      <c r="L8" s="29">
        <f>IF(C8-Table_146310938465462707886[S. Sudan]&gt;0, C8-Table_146310938465462707886[S. Sudan], 0)</f>
        <v>618.83353369443819</v>
      </c>
      <c r="M8" s="29">
        <f>IF(C8-Table_146310938465462707886[Tanzania]&gt;0, C8-Table_146310938465462707886[Tanzania], 0)</f>
        <v>128.25824800901006</v>
      </c>
      <c r="N8" s="29">
        <f>IF(C8-Table_146310938465462707886[Uganda]&gt;0, C8-Table_146310938465462707886[Uganda], 0)</f>
        <v>290.04948798520581</v>
      </c>
      <c r="P8" s="21" t="s">
        <v>3</v>
      </c>
      <c r="Q8" s="97">
        <f t="shared" si="0"/>
        <v>1E-3</v>
      </c>
      <c r="R8" s="97">
        <f t="shared" si="0"/>
        <v>1.4217952624005863E-2</v>
      </c>
      <c r="S8" s="97">
        <f t="shared" si="0"/>
        <v>-7.9234015612635782E-4</v>
      </c>
      <c r="T8" s="97">
        <f t="shared" si="0"/>
        <v>-7.9234015612635782E-4</v>
      </c>
      <c r="U8" s="97">
        <f t="shared" si="0"/>
        <v>0.7577218018379015</v>
      </c>
      <c r="V8" s="97">
        <f t="shared" si="0"/>
        <v>9.3429907506429238E-2</v>
      </c>
      <c r="W8" s="97">
        <f t="shared" si="0"/>
        <v>1.0138160953445403E-2</v>
      </c>
      <c r="X8" s="97">
        <f t="shared" si="0"/>
        <v>0.62843200069179361</v>
      </c>
      <c r="Y8" s="97">
        <f t="shared" si="0"/>
        <v>0.97984469073302183</v>
      </c>
      <c r="Z8" s="97">
        <f t="shared" si="0"/>
        <v>0.18647464620291493</v>
      </c>
      <c r="AA8" s="97">
        <f t="shared" si="0"/>
        <v>0.44812729567373272</v>
      </c>
    </row>
    <row r="9" spans="1:31" ht="15" customHeight="1" x14ac:dyDescent="0.25">
      <c r="B9" s="21" t="s">
        <v>3</v>
      </c>
      <c r="C9" s="95">
        <f>Annual_sorted!M56</f>
        <v>-14.377251085040637</v>
      </c>
      <c r="D9" s="29">
        <f>IF(C9-Table_146310938465462707886[Burundi]&gt;0, C9-Table_146310938465462707886[Burundi], 0)</f>
        <v>1.1082820560208155</v>
      </c>
      <c r="E9" s="29">
        <f>IF(C9-Table_146310938465462707886[DRC]&gt;0, C9-Table_146310938465462707886[DRC], 0)</f>
        <v>9.2815184031766726</v>
      </c>
      <c r="F9" s="29">
        <f>IF(C9-Table_146310938465462707886[Egypt]&gt;0, C9-Table_146310938465462707886[Egypt], 0)</f>
        <v>0</v>
      </c>
      <c r="G9" s="29">
        <f>IF(C9-Table_146310938465462707886[Eritrea]&gt;0, C9-Table_146310938465462707886[Eritrea], 0)</f>
        <v>0</v>
      </c>
      <c r="H9" s="29">
        <f>IF(C9-Table_146310938465462707886[Ethiopia]&gt;0, C9-Table_146310938465462707886[Ethiopia], 0)</f>
        <v>469.02236159615529</v>
      </c>
      <c r="I9" s="29">
        <f>IF(C9-Table_146310938465462707886[Kenya]&gt;0, C9-Table_146310938465462707886[Kenya], 0)</f>
        <v>58.261723370660093</v>
      </c>
      <c r="J9" s="29">
        <f>IF(C9-Table_146310938465462707886[Rwanda]&gt;0, C9-Table_146310938465462707886[Rwanda], 0)</f>
        <v>6.7588053537980137</v>
      </c>
      <c r="K9" s="29">
        <f>IF(C9-Table_146310938465462707886[Sudan]&gt;0, C9-Table_146310938465462707886[Sudan], 0)</f>
        <v>389.07684112842708</v>
      </c>
      <c r="L9" s="29">
        <f>IF(C9-Table_146310938465462707886[S. Sudan]&gt;0, C9-Table_146310938465462707886[S. Sudan], 0)</f>
        <v>606.37062729924878</v>
      </c>
      <c r="M9" s="29">
        <f>IF(C9-Table_146310938465462707886[Tanzania]&gt;0, C9-Table_146310938465462707886[Tanzania], 0)</f>
        <v>115.79534161382067</v>
      </c>
      <c r="N9" s="29">
        <f>IF(C9-Table_146310938465462707886[Uganda]&gt;0, C9-Table_146310938465462707886[Uganda], 0)</f>
        <v>277.58658159001641</v>
      </c>
      <c r="P9" s="21" t="s">
        <v>4</v>
      </c>
      <c r="Q9" s="97">
        <f t="shared" si="0"/>
        <v>-7.9234015612635782E-4</v>
      </c>
      <c r="R9" s="97">
        <f t="shared" si="0"/>
        <v>-7.9234015612635782E-4</v>
      </c>
      <c r="S9" s="97">
        <f t="shared" si="0"/>
        <v>-7.9234015612635782E-4</v>
      </c>
      <c r="T9" s="97">
        <f t="shared" si="0"/>
        <v>-7.9234015612635782E-4</v>
      </c>
      <c r="U9" s="97">
        <f t="shared" si="0"/>
        <v>-7.9234015612635782E-4</v>
      </c>
      <c r="V9" s="97">
        <f t="shared" si="0"/>
        <v>-7.9234015612635782E-4</v>
      </c>
      <c r="W9" s="97">
        <f t="shared" si="0"/>
        <v>-7.9234015612635782E-4</v>
      </c>
      <c r="X9" s="97">
        <f t="shared" si="0"/>
        <v>-7.9234015612635782E-4</v>
      </c>
      <c r="Y9" s="97">
        <f t="shared" si="0"/>
        <v>0.22133054873899383</v>
      </c>
      <c r="Z9" s="97">
        <f t="shared" si="0"/>
        <v>-7.9234015612635782E-4</v>
      </c>
      <c r="AA9" s="97">
        <f t="shared" si="0"/>
        <v>-7.9234015612635782E-4</v>
      </c>
    </row>
    <row r="10" spans="1:31" ht="15" customHeight="1" x14ac:dyDescent="0.25">
      <c r="B10" s="21" t="s">
        <v>4</v>
      </c>
      <c r="C10" s="95">
        <f>Annual_sorted!M57</f>
        <v>-483.39961268119595</v>
      </c>
      <c r="D10" s="29">
        <f>IF(C10-Table_146310938465462707886[Burundi]&gt;0, C10-Table_146310938465462707886[Burundi], 0)</f>
        <v>0</v>
      </c>
      <c r="E10" s="29">
        <f>IF(C10-Table_146310938465462707886[DRC]&gt;0, C10-Table_146310938465462707886[DRC], 0)</f>
        <v>0</v>
      </c>
      <c r="F10" s="29">
        <f>IF(C10-Table_146310938465462707886[Egypt]&gt;0, C10-Table_146310938465462707886[Egypt], 0)</f>
        <v>0</v>
      </c>
      <c r="G10" s="29">
        <f>IF(C10-Table_146310938465462707886[Eritrea]&gt;0, C10-Table_146310938465462707886[Eritrea], 0)</f>
        <v>0</v>
      </c>
      <c r="H10" s="29">
        <f>IF(C10-Table_146310938465462707886[Ethiopia]&gt;0, C10-Table_146310938465462707886[Ethiopia], 0)</f>
        <v>0</v>
      </c>
      <c r="I10" s="29">
        <f>IF(C10-Table_146310938465462707886[Kenya]&gt;0, C10-Table_146310938465462707886[Kenya], 0)</f>
        <v>0</v>
      </c>
      <c r="J10" s="29">
        <f>IF(C10-Table_146310938465462707886[Rwanda]&gt;0, C10-Table_146310938465462707886[Rwanda], 0)</f>
        <v>0</v>
      </c>
      <c r="K10" s="29">
        <f>IF(C10-Table_146310938465462707886[Sudan]&gt;0, C10-Table_146310938465462707886[Sudan], 0)</f>
        <v>0</v>
      </c>
      <c r="L10" s="29">
        <f>IF(C10-Table_146310938465462707886[S. Sudan]&gt;0, C10-Table_146310938465462707886[S. Sudan], 0)</f>
        <v>137.34826570309343</v>
      </c>
      <c r="M10" s="29">
        <f>IF(C10-Table_146310938465462707886[Tanzania]&gt;0, C10-Table_146310938465462707886[Tanzania], 0)</f>
        <v>0</v>
      </c>
      <c r="N10" s="29">
        <f>IF(C10-Table_146310938465462707886[Uganda]&gt;0, C10-Table_146310938465462707886[Uganda], 0)</f>
        <v>0</v>
      </c>
      <c r="P10" s="21" t="s">
        <v>5</v>
      </c>
      <c r="Q10" s="97">
        <f t="shared" si="0"/>
        <v>-7.9234015612635782E-4</v>
      </c>
      <c r="R10" s="97">
        <f t="shared" si="0"/>
        <v>-7.9234015612635782E-4</v>
      </c>
      <c r="S10" s="97">
        <f t="shared" si="0"/>
        <v>-7.9234015612635782E-4</v>
      </c>
      <c r="T10" s="97">
        <f t="shared" si="0"/>
        <v>-7.9234015612635782E-4</v>
      </c>
      <c r="U10" s="97">
        <f t="shared" si="0"/>
        <v>0.6634995541753459</v>
      </c>
      <c r="V10" s="97">
        <f t="shared" si="0"/>
        <v>-7.9234015612635782E-4</v>
      </c>
      <c r="W10" s="97">
        <f t="shared" si="0"/>
        <v>-7.9234015612635782E-4</v>
      </c>
      <c r="X10" s="97">
        <f t="shared" si="0"/>
        <v>0.53420975302923801</v>
      </c>
      <c r="Y10" s="97">
        <f t="shared" si="0"/>
        <v>0.88562244307046623</v>
      </c>
      <c r="Z10" s="97">
        <f t="shared" si="0"/>
        <v>9.225239854035934E-2</v>
      </c>
      <c r="AA10" s="97">
        <f t="shared" si="0"/>
        <v>0.35390504801117711</v>
      </c>
    </row>
    <row r="11" spans="1:31" ht="15" customHeight="1" x14ac:dyDescent="0.25">
      <c r="B11" s="21" t="s">
        <v>5</v>
      </c>
      <c r="C11" s="95">
        <f>Annual_sorted!M58</f>
        <v>-72.638974455700733</v>
      </c>
      <c r="D11" s="29">
        <f>IF(C11-Table_146310938465462707886[Burundi]&gt;0, C11-Table_146310938465462707886[Burundi], 0)</f>
        <v>0</v>
      </c>
      <c r="E11" s="29">
        <f>IF(C11-Table_146310938465462707886[DRC]&gt;0, C11-Table_146310938465462707886[DRC], 0)</f>
        <v>0</v>
      </c>
      <c r="F11" s="29">
        <f>IF(C11-Table_146310938465462707886[Egypt]&gt;0, C11-Table_146310938465462707886[Egypt], 0)</f>
        <v>0</v>
      </c>
      <c r="G11" s="29">
        <f>IF(C11-Table_146310938465462707886[Eritrea]&gt;0, C11-Table_146310938465462707886[Eritrea], 0)</f>
        <v>0</v>
      </c>
      <c r="H11" s="29">
        <f>IF(C11-Table_146310938465462707886[Ethiopia]&gt;0, C11-Table_146310938465462707886[Ethiopia], 0)</f>
        <v>410.7606382254952</v>
      </c>
      <c r="I11" s="29">
        <f>IF(C11-Table_146310938465462707886[Kenya]&gt;0, C11-Table_146310938465462707886[Kenya], 0)</f>
        <v>0</v>
      </c>
      <c r="J11" s="29">
        <f>IF(C11-Table_146310938465462707886[Rwanda]&gt;0, C11-Table_146310938465462707886[Rwanda], 0)</f>
        <v>0</v>
      </c>
      <c r="K11" s="29">
        <f>IF(C11-Table_146310938465462707886[Sudan]&gt;0, C11-Table_146310938465462707886[Sudan], 0)</f>
        <v>330.81511775776698</v>
      </c>
      <c r="L11" s="29">
        <f>IF(C11-Table_146310938465462707886[S. Sudan]&gt;0, C11-Table_146310938465462707886[S. Sudan], 0)</f>
        <v>548.10890392858869</v>
      </c>
      <c r="M11" s="29">
        <f>IF(C11-Table_146310938465462707886[Tanzania]&gt;0, C11-Table_146310938465462707886[Tanzania], 0)</f>
        <v>57.533618243160575</v>
      </c>
      <c r="N11" s="29">
        <f>IF(C11-Table_146310938465462707886[Uganda]&gt;0, C11-Table_146310938465462707886[Uganda], 0)</f>
        <v>219.32485821935632</v>
      </c>
      <c r="P11" s="21" t="s">
        <v>6</v>
      </c>
      <c r="Q11" s="97">
        <f t="shared" si="0"/>
        <v>-7.9234015612635782E-4</v>
      </c>
      <c r="R11" s="97">
        <f t="shared" si="0"/>
        <v>3.2874515144341037E-3</v>
      </c>
      <c r="S11" s="97">
        <f t="shared" si="0"/>
        <v>-7.9234015612635782E-4</v>
      </c>
      <c r="T11" s="97">
        <f t="shared" si="0"/>
        <v>-7.9234015612635782E-4</v>
      </c>
      <c r="U11" s="97">
        <f t="shared" si="0"/>
        <v>0.74679130072832978</v>
      </c>
      <c r="V11" s="97">
        <f t="shared" si="0"/>
        <v>8.2499406396857475E-2</v>
      </c>
      <c r="W11" s="97">
        <f t="shared" si="0"/>
        <v>-7.9234015612635782E-4</v>
      </c>
      <c r="X11" s="97">
        <f t="shared" si="0"/>
        <v>0.61750149958222189</v>
      </c>
      <c r="Y11" s="97">
        <f t="shared" si="0"/>
        <v>0.96891418962345011</v>
      </c>
      <c r="Z11" s="97">
        <f t="shared" si="0"/>
        <v>0.17554414509334318</v>
      </c>
      <c r="AA11" s="97">
        <f t="shared" si="0"/>
        <v>0.437196794564161</v>
      </c>
    </row>
    <row r="12" spans="1:31" ht="15" customHeight="1" x14ac:dyDescent="0.25">
      <c r="B12" s="21" t="s">
        <v>6</v>
      </c>
      <c r="C12" s="95">
        <f>Annual_sorted!M59</f>
        <v>-21.136056438838651</v>
      </c>
      <c r="D12" s="29">
        <f>IF(C12-Table_146310938465462707886[Burundi]&gt;0, C12-Table_146310938465462707886[Burundi], 0)</f>
        <v>0</v>
      </c>
      <c r="E12" s="29">
        <f>IF(C12-Table_146310938465462707886[DRC]&gt;0, C12-Table_146310938465462707886[DRC], 0)</f>
        <v>2.5227130493786589</v>
      </c>
      <c r="F12" s="29">
        <f>IF(C12-Table_146310938465462707886[Egypt]&gt;0, C12-Table_146310938465462707886[Egypt], 0)</f>
        <v>0</v>
      </c>
      <c r="G12" s="29">
        <f>IF(C12-Table_146310938465462707886[Eritrea]&gt;0, C12-Table_146310938465462707886[Eritrea], 0)</f>
        <v>0</v>
      </c>
      <c r="H12" s="29">
        <f>IF(C12-Table_146310938465462707886[Ethiopia]&gt;0, C12-Table_146310938465462707886[Ethiopia], 0)</f>
        <v>462.26355624235731</v>
      </c>
      <c r="I12" s="29">
        <f>IF(C12-Table_146310938465462707886[Kenya]&gt;0, C12-Table_146310938465462707886[Kenya], 0)</f>
        <v>51.502918016862083</v>
      </c>
      <c r="J12" s="29">
        <f>IF(C12-Table_146310938465462707886[Rwanda]&gt;0, C12-Table_146310938465462707886[Rwanda], 0)</f>
        <v>0</v>
      </c>
      <c r="K12" s="29">
        <f>IF(C12-Table_146310938465462707886[Sudan]&gt;0, C12-Table_146310938465462707886[Sudan], 0)</f>
        <v>382.3180357746291</v>
      </c>
      <c r="L12" s="29">
        <f>IF(C12-Table_146310938465462707886[S. Sudan]&gt;0, C12-Table_146310938465462707886[S. Sudan], 0)</f>
        <v>599.61182194545074</v>
      </c>
      <c r="M12" s="29">
        <f>IF(C12-Table_146310938465462707886[Tanzania]&gt;0, C12-Table_146310938465462707886[Tanzania], 0)</f>
        <v>109.03653626002266</v>
      </c>
      <c r="N12" s="29">
        <f>IF(C12-Table_146310938465462707886[Uganda]&gt;0, C12-Table_146310938465462707886[Uganda], 0)</f>
        <v>270.82777623621843</v>
      </c>
      <c r="P12" s="21" t="s">
        <v>7</v>
      </c>
      <c r="Q12" s="97">
        <f t="shared" si="0"/>
        <v>-7.9234015612635782E-4</v>
      </c>
      <c r="R12" s="97">
        <f t="shared" si="0"/>
        <v>-7.9234015612635782E-4</v>
      </c>
      <c r="S12" s="97">
        <f t="shared" si="0"/>
        <v>-7.9234015612635782E-4</v>
      </c>
      <c r="T12" s="97">
        <f t="shared" si="0"/>
        <v>-7.9234015612635782E-4</v>
      </c>
      <c r="U12" s="97">
        <f t="shared" si="0"/>
        <v>0.1284974609899816</v>
      </c>
      <c r="V12" s="97">
        <f t="shared" si="0"/>
        <v>-7.9234015612635782E-4</v>
      </c>
      <c r="W12" s="97">
        <f t="shared" si="0"/>
        <v>-7.9234015612635782E-4</v>
      </c>
      <c r="X12" s="97">
        <f t="shared" si="0"/>
        <v>-7.9234015612635782E-4</v>
      </c>
      <c r="Y12" s="97">
        <f t="shared" si="0"/>
        <v>0.35062034988510177</v>
      </c>
      <c r="Z12" s="97">
        <f t="shared" si="0"/>
        <v>-7.9234015612635782E-4</v>
      </c>
      <c r="AA12" s="97">
        <f t="shared" si="0"/>
        <v>-7.9234015612635782E-4</v>
      </c>
    </row>
    <row r="13" spans="1:31" ht="15" customHeight="1" x14ac:dyDescent="0.25">
      <c r="B13" s="21" t="s">
        <v>7</v>
      </c>
      <c r="C13" s="95">
        <f>Annual_sorted!M60</f>
        <v>-403.45409221346773</v>
      </c>
      <c r="D13" s="29">
        <f>IF(C13-Table_146310938465462707886[Burundi]&gt;0, C13-Table_146310938465462707886[Burundi], 0)</f>
        <v>0</v>
      </c>
      <c r="E13" s="29">
        <f>IF(C13-Table_146310938465462707886[DRC]&gt;0, C13-Table_146310938465462707886[DRC], 0)</f>
        <v>0</v>
      </c>
      <c r="F13" s="29">
        <f>IF(C13-Table_146310938465462707886[Egypt]&gt;0, C13-Table_146310938465462707886[Egypt], 0)</f>
        <v>0</v>
      </c>
      <c r="G13" s="29">
        <f>IF(C13-Table_146310938465462707886[Eritrea]&gt;0, C13-Table_146310938465462707886[Eritrea], 0)</f>
        <v>0</v>
      </c>
      <c r="H13" s="29">
        <f>IF(C13-Table_146310938465462707886[Ethiopia]&gt;0, C13-Table_146310938465462707886[Ethiopia], 0)</f>
        <v>79.945520467728215</v>
      </c>
      <c r="I13" s="29">
        <f>IF(C13-Table_146310938465462707886[Kenya]&gt;0, C13-Table_146310938465462707886[Kenya], 0)</f>
        <v>0</v>
      </c>
      <c r="J13" s="29">
        <f>IF(C13-Table_146310938465462707886[Rwanda]&gt;0, C13-Table_146310938465462707886[Rwanda], 0)</f>
        <v>0</v>
      </c>
      <c r="K13" s="29">
        <f>IF(C13-Table_146310938465462707886[Sudan]&gt;0, C13-Table_146310938465462707886[Sudan], 0)</f>
        <v>0</v>
      </c>
      <c r="L13" s="29">
        <f>IF(C13-Table_146310938465462707886[S. Sudan]&gt;0, C13-Table_146310938465462707886[S. Sudan], 0)</f>
        <v>217.29378617082165</v>
      </c>
      <c r="M13" s="29">
        <f>IF(C13-Table_146310938465462707886[Tanzania]&gt;0, C13-Table_146310938465462707886[Tanzania], 0)</f>
        <v>0</v>
      </c>
      <c r="N13" s="29">
        <f>IF(C13-Table_146310938465462707886[Uganda]&gt;0, C13-Table_146310938465462707886[Uganda], 0)</f>
        <v>0</v>
      </c>
      <c r="P13" s="21" t="s">
        <v>8</v>
      </c>
      <c r="Q13" s="97">
        <f t="shared" si="0"/>
        <v>-7.9234015612635782E-4</v>
      </c>
      <c r="R13" s="97">
        <f t="shared" si="0"/>
        <v>-7.9234015612635782E-4</v>
      </c>
      <c r="S13" s="97">
        <f t="shared" si="0"/>
        <v>-7.9234015612635782E-4</v>
      </c>
      <c r="T13" s="97">
        <f t="shared" si="0"/>
        <v>-7.9234015612635782E-4</v>
      </c>
      <c r="U13" s="97">
        <f t="shared" si="0"/>
        <v>-7.9234015612635782E-4</v>
      </c>
      <c r="V13" s="97">
        <f t="shared" si="0"/>
        <v>-7.9234015612635782E-4</v>
      </c>
      <c r="W13" s="97">
        <f t="shared" si="0"/>
        <v>-7.9234015612635782E-4</v>
      </c>
      <c r="X13" s="97">
        <f t="shared" si="0"/>
        <v>-7.9234015612635782E-4</v>
      </c>
      <c r="Y13" s="97">
        <f t="shared" si="0"/>
        <v>-7.9234015612635782E-4</v>
      </c>
      <c r="Z13" s="97">
        <f t="shared" si="0"/>
        <v>-7.9234015612635782E-4</v>
      </c>
      <c r="AA13" s="97">
        <f t="shared" si="0"/>
        <v>-7.9234015612635782E-4</v>
      </c>
    </row>
    <row r="14" spans="1:31" ht="15" customHeight="1" x14ac:dyDescent="0.25">
      <c r="B14" s="21" t="s">
        <v>8</v>
      </c>
      <c r="C14" s="95">
        <f>Annual_sorted!M61</f>
        <v>-620.74787838428938</v>
      </c>
      <c r="D14" s="29">
        <f>IF(C14-Table_146310938465462707886[Burundi]&gt;0, C14-Table_146310938465462707886[Burundi], 0)</f>
        <v>0</v>
      </c>
      <c r="E14" s="29">
        <f>IF(C14-Table_146310938465462707886[DRC]&gt;0, C14-Table_146310938465462707886[DRC], 0)</f>
        <v>0</v>
      </c>
      <c r="F14" s="29">
        <f>IF(C14-Table_146310938465462707886[Egypt]&gt;0, C14-Table_146310938465462707886[Egypt], 0)</f>
        <v>0</v>
      </c>
      <c r="G14" s="29">
        <f>IF(C14-Table_146310938465462707886[Eritrea]&gt;0, C14-Table_146310938465462707886[Eritrea], 0)</f>
        <v>0</v>
      </c>
      <c r="H14" s="29">
        <f>IF(C14-Table_146310938465462707886[Ethiopia]&gt;0, C14-Table_146310938465462707886[Ethiopia], 0)</f>
        <v>0</v>
      </c>
      <c r="I14" s="29">
        <f>IF(C14-Table_146310938465462707886[Kenya]&gt;0, C14-Table_146310938465462707886[Kenya], 0)</f>
        <v>0</v>
      </c>
      <c r="J14" s="29">
        <f>IF(C14-Table_146310938465462707886[Rwanda]&gt;0, C14-Table_146310938465462707886[Rwanda], 0)</f>
        <v>0</v>
      </c>
      <c r="K14" s="29">
        <f>IF(C14-Table_146310938465462707886[Sudan]&gt;0, C14-Table_146310938465462707886[Sudan], 0)</f>
        <v>0</v>
      </c>
      <c r="L14" s="29">
        <f>IF(C14-Table_146310938465462707886[S. Sudan]&gt;0, C14-Table_146310938465462707886[S. Sudan], 0)</f>
        <v>0</v>
      </c>
      <c r="M14" s="29">
        <f>IF(C14-Table_146310938465462707886[Tanzania]&gt;0, C14-Table_146310938465462707886[Tanzania], 0)</f>
        <v>0</v>
      </c>
      <c r="N14" s="29">
        <f>IF(C14-Table_146310938465462707886[Uganda]&gt;0, C14-Table_146310938465462707886[Uganda], 0)</f>
        <v>0</v>
      </c>
      <c r="P14" s="21" t="s">
        <v>9</v>
      </c>
      <c r="Q14" s="97">
        <f t="shared" si="0"/>
        <v>-7.9234015612635782E-4</v>
      </c>
      <c r="R14" s="97">
        <f t="shared" si="0"/>
        <v>-7.9234015612635782E-4</v>
      </c>
      <c r="S14" s="97">
        <f t="shared" si="0"/>
        <v>-7.9234015612635782E-4</v>
      </c>
      <c r="T14" s="97">
        <f t="shared" si="0"/>
        <v>-7.9234015612635782E-4</v>
      </c>
      <c r="U14" s="97">
        <f t="shared" si="0"/>
        <v>0.57045481547886023</v>
      </c>
      <c r="V14" s="97">
        <f t="shared" si="0"/>
        <v>-7.9234015612635782E-4</v>
      </c>
      <c r="W14" s="97">
        <f t="shared" si="0"/>
        <v>-7.9234015612635782E-4</v>
      </c>
      <c r="X14" s="97">
        <f t="shared" si="0"/>
        <v>0.44116501433275229</v>
      </c>
      <c r="Y14" s="97">
        <f t="shared" si="0"/>
        <v>0.79257770437398056</v>
      </c>
      <c r="Z14" s="97">
        <f t="shared" si="0"/>
        <v>-7.9234015612635782E-4</v>
      </c>
      <c r="AA14" s="97">
        <f t="shared" si="0"/>
        <v>0.26086030931469145</v>
      </c>
    </row>
    <row r="15" spans="1:31" ht="15" customHeight="1" thickBot="1" x14ac:dyDescent="0.3">
      <c r="B15" s="21" t="s">
        <v>9</v>
      </c>
      <c r="C15" s="95">
        <f>Annual_sorted!M62</f>
        <v>-130.17259269886131</v>
      </c>
      <c r="D15" s="29">
        <f>IF(C15-Table_146310938465462707886[Burundi]&gt;0, C15-Table_146310938465462707886[Burundi], 0)</f>
        <v>0</v>
      </c>
      <c r="E15" s="29">
        <f>IF(C15-Table_146310938465462707886[DRC]&gt;0, C15-Table_146310938465462707886[DRC], 0)</f>
        <v>0</v>
      </c>
      <c r="F15" s="29">
        <f>IF(C15-Table_146310938465462707886[Egypt]&gt;0, C15-Table_146310938465462707886[Egypt], 0)</f>
        <v>0</v>
      </c>
      <c r="G15" s="29">
        <f>IF(C15-Table_146310938465462707886[Eritrea]&gt;0, C15-Table_146310938465462707886[Eritrea], 0)</f>
        <v>0</v>
      </c>
      <c r="H15" s="29">
        <f>IF(C15-Table_146310938465462707886[Ethiopia]&gt;0, C15-Table_146310938465462707886[Ethiopia], 0)</f>
        <v>353.22701998233464</v>
      </c>
      <c r="I15" s="29">
        <f>IF(C15-Table_146310938465462707886[Kenya]&gt;0, C15-Table_146310938465462707886[Kenya], 0)</f>
        <v>0</v>
      </c>
      <c r="J15" s="29">
        <f>IF(C15-Table_146310938465462707886[Rwanda]&gt;0, C15-Table_146310938465462707886[Rwanda], 0)</f>
        <v>0</v>
      </c>
      <c r="K15" s="29">
        <f>IF(C15-Table_146310938465462707886[Sudan]&gt;0, C15-Table_146310938465462707886[Sudan], 0)</f>
        <v>273.28149951460642</v>
      </c>
      <c r="L15" s="29">
        <f>IF(C15-Table_146310938465462707886[S. Sudan]&gt;0, C15-Table_146310938465462707886[S. Sudan], 0)</f>
        <v>490.57528568542807</v>
      </c>
      <c r="M15" s="29">
        <f>IF(C15-Table_146310938465462707886[Tanzania]&gt;0, C15-Table_146310938465462707886[Tanzania], 0)</f>
        <v>0</v>
      </c>
      <c r="N15" s="29">
        <f>IF(C15-Table_146310938465462707886[Uganda]&gt;0, C15-Table_146310938465462707886[Uganda], 0)</f>
        <v>161.79123997619575</v>
      </c>
      <c r="P15" s="22" t="s">
        <v>10</v>
      </c>
      <c r="Q15" s="98">
        <f t="shared" si="0"/>
        <v>-7.9234015612635782E-4</v>
      </c>
      <c r="R15" s="98">
        <f t="shared" si="0"/>
        <v>-7.9234015612635782E-4</v>
      </c>
      <c r="S15" s="98">
        <f t="shared" si="0"/>
        <v>-7.9234015612635782E-4</v>
      </c>
      <c r="T15" s="98">
        <f t="shared" si="0"/>
        <v>-7.9234015612635782E-4</v>
      </c>
      <c r="U15" s="98">
        <f t="shared" si="0"/>
        <v>0.3088021660080425</v>
      </c>
      <c r="V15" s="98">
        <f t="shared" si="0"/>
        <v>-7.9234015612635782E-4</v>
      </c>
      <c r="W15" s="98">
        <f t="shared" si="0"/>
        <v>-7.9234015612635782E-4</v>
      </c>
      <c r="X15" s="98">
        <f t="shared" si="0"/>
        <v>0.1795123648619345</v>
      </c>
      <c r="Y15" s="98">
        <f t="shared" si="0"/>
        <v>0.53092505490316266</v>
      </c>
      <c r="Z15" s="98">
        <f t="shared" si="0"/>
        <v>-7.9234015612635782E-4</v>
      </c>
      <c r="AA15" s="98">
        <f t="shared" si="0"/>
        <v>-7.9234015612635782E-4</v>
      </c>
    </row>
    <row r="16" spans="1:31" ht="15" customHeight="1" thickBot="1" x14ac:dyDescent="0.3">
      <c r="B16" s="22" t="s">
        <v>10</v>
      </c>
      <c r="C16" s="96">
        <f>Annual_sorted!M63</f>
        <v>-291.96383267505706</v>
      </c>
      <c r="D16" s="32">
        <f>IF(C16-Table_146310938465462707886[Burundi]&gt;0, C16-Table_146310938465462707886[Burundi], 0)</f>
        <v>0</v>
      </c>
      <c r="E16" s="32">
        <f>IF(C16-Table_146310938465462707886[DRC]&gt;0, C16-Table_146310938465462707886[DRC], 0)</f>
        <v>0</v>
      </c>
      <c r="F16" s="32">
        <f>IF(C16-Table_146310938465462707886[Egypt]&gt;0, C16-Table_146310938465462707886[Egypt], 0)</f>
        <v>0</v>
      </c>
      <c r="G16" s="32">
        <f>IF(C16-Table_146310938465462707886[Eritrea]&gt;0, C16-Table_146310938465462707886[Eritrea], 0)</f>
        <v>0</v>
      </c>
      <c r="H16" s="32">
        <f>IF(C16-Table_146310938465462707886[Ethiopia]&gt;0, C16-Table_146310938465462707886[Ethiopia], 0)</f>
        <v>191.43578000613888</v>
      </c>
      <c r="I16" s="32">
        <f>IF(C16-Table_146310938465462707886[Kenya]&gt;0, C16-Table_146310938465462707886[Kenya], 0)</f>
        <v>0</v>
      </c>
      <c r="J16" s="32">
        <f>IF(C16-Table_146310938465462707886[Rwanda]&gt;0, C16-Table_146310938465462707886[Rwanda], 0)</f>
        <v>0</v>
      </c>
      <c r="K16" s="32">
        <f>IF(C16-Table_146310938465462707886[Sudan]&gt;0, C16-Table_146310938465462707886[Sudan], 0)</f>
        <v>111.49025953841067</v>
      </c>
      <c r="L16" s="32">
        <f>IF(C16-Table_146310938465462707886[S. Sudan]&gt;0, C16-Table_146310938465462707886[S. Sudan], 0)</f>
        <v>328.78404570923232</v>
      </c>
      <c r="M16" s="32">
        <f>IF(C16-Table_146310938465462707886[Tanzania]&gt;0, C16-Table_146310938465462707886[Tanzania], 0)</f>
        <v>0</v>
      </c>
      <c r="N16" s="32">
        <f>IF(C16-Table_146310938465462707886[Uganda]&gt;0, C16-Table_146310938465462707886[Uganda], 0)</f>
        <v>0</v>
      </c>
      <c r="Q16" s="186">
        <f t="shared" ref="Q16:X16" si="1">SUM(Q5:Q15)</f>
        <v>1.5024247861840936E-2</v>
      </c>
      <c r="R16" s="186">
        <f t="shared" si="1"/>
        <v>5.8757897404418988E-2</v>
      </c>
      <c r="S16" s="186">
        <f t="shared" si="1"/>
        <v>-8.715741717389933E-3</v>
      </c>
      <c r="T16" s="186">
        <f t="shared" si="1"/>
        <v>1.143956754958822E-2</v>
      </c>
      <c r="U16" s="186">
        <f t="shared" si="1"/>
        <v>5.4507005007506342</v>
      </c>
      <c r="V16" s="186">
        <f t="shared" si="1"/>
        <v>0.45481767181653598</v>
      </c>
      <c r="W16" s="186">
        <f t="shared" si="1"/>
        <v>4.2438730722177138E-2</v>
      </c>
      <c r="X16" s="186">
        <f t="shared" si="1"/>
        <v>4.2870922904356608</v>
      </c>
      <c r="Y16" s="186">
        <f>SUM(Y5:Y15)</f>
        <v>7.6719293897018357</v>
      </c>
      <c r="Z16" s="186">
        <f t="shared" ref="Z16:AA16" si="2">SUM(Z5:Z15)</f>
        <v>1.0130861039954502</v>
      </c>
      <c r="AA16" s="186">
        <f t="shared" si="2"/>
        <v>2.844654650291174</v>
      </c>
      <c r="AB16" s="186">
        <f>SUM(Q5:AA15)</f>
        <v>21.841225308811875</v>
      </c>
    </row>
    <row r="18" spans="2:31" ht="12.75" customHeight="1" x14ac:dyDescent="0.25">
      <c r="B18" s="5"/>
      <c r="C18" s="5"/>
      <c r="D18" s="5"/>
      <c r="E18" s="5"/>
      <c r="F18" s="5"/>
      <c r="G18" s="5"/>
      <c r="H18" s="5"/>
      <c r="I18" s="5"/>
      <c r="J18" s="5"/>
      <c r="K18" s="5"/>
      <c r="L18" s="5"/>
      <c r="M18" s="5"/>
      <c r="N18" s="5"/>
    </row>
    <row r="19" spans="2:31" ht="12.75" customHeight="1" x14ac:dyDescent="0.25">
      <c r="B19" s="5"/>
      <c r="C19" s="5"/>
      <c r="D19" s="5"/>
      <c r="E19" s="5"/>
      <c r="F19" s="5"/>
      <c r="G19" s="5"/>
      <c r="H19" s="5"/>
      <c r="I19" s="5"/>
      <c r="J19" s="5"/>
      <c r="K19" s="5"/>
      <c r="L19" s="5"/>
      <c r="M19" s="5"/>
      <c r="N19" s="44"/>
      <c r="O19" s="5"/>
      <c r="P19" s="5"/>
      <c r="Q19" s="5"/>
      <c r="R19" s="5"/>
      <c r="S19" s="5"/>
      <c r="T19" s="5"/>
      <c r="U19" s="5"/>
      <c r="V19" s="5"/>
      <c r="W19" s="5"/>
      <c r="X19" s="5"/>
      <c r="Y19" s="5"/>
      <c r="Z19" s="5"/>
      <c r="AA19" s="5"/>
    </row>
    <row r="20" spans="2:31" ht="12.75" customHeight="1" x14ac:dyDescent="0.25">
      <c r="B20" s="5"/>
      <c r="C20" s="5"/>
      <c r="D20" s="5"/>
      <c r="E20" s="5"/>
      <c r="F20" s="5"/>
      <c r="G20" s="5"/>
      <c r="H20" s="5"/>
      <c r="I20" s="5"/>
      <c r="J20" s="5"/>
      <c r="K20" s="5"/>
      <c r="L20" s="5"/>
      <c r="M20" s="5"/>
      <c r="N20" s="44"/>
      <c r="O20" s="5"/>
      <c r="P20" s="5"/>
      <c r="Q20" s="5"/>
      <c r="R20" s="5"/>
      <c r="S20" s="5"/>
      <c r="T20" s="5"/>
      <c r="U20" s="5"/>
      <c r="V20" s="5"/>
      <c r="W20" s="5"/>
      <c r="X20" s="5"/>
      <c r="Y20" s="5"/>
      <c r="Z20" s="5"/>
      <c r="AA20" s="5"/>
    </row>
    <row r="21" spans="2:31" ht="12.75" customHeight="1" thickBot="1" x14ac:dyDescent="0.3">
      <c r="B21" s="253" t="s">
        <v>102</v>
      </c>
      <c r="C21" s="253"/>
      <c r="D21" s="253"/>
      <c r="E21" s="253"/>
      <c r="F21" s="253"/>
      <c r="G21" s="253"/>
      <c r="H21" s="253"/>
      <c r="I21" s="253"/>
      <c r="J21" s="253"/>
      <c r="K21" s="253"/>
      <c r="L21" s="253"/>
      <c r="M21" s="253"/>
      <c r="N21" s="253"/>
      <c r="P21" s="253" t="s">
        <v>103</v>
      </c>
      <c r="Q21" s="253"/>
      <c r="R21" s="253"/>
      <c r="S21" s="253"/>
      <c r="T21" s="253"/>
      <c r="U21" s="253"/>
      <c r="V21" s="253"/>
      <c r="W21" s="253"/>
      <c r="X21" s="253"/>
      <c r="Y21" s="253"/>
      <c r="Z21" s="253"/>
      <c r="AA21" s="253"/>
      <c r="AB21" s="10"/>
      <c r="AC21" s="3" t="s">
        <v>22</v>
      </c>
      <c r="AD21" s="13" t="s">
        <v>23</v>
      </c>
      <c r="AE21" s="74">
        <f t="array" ref="AE21">MIN(IF(D24:N34&gt;0,D24:N34))</f>
        <v>2.3729489245086519</v>
      </c>
    </row>
    <row r="22" spans="2:31" ht="12.75" customHeight="1" thickBot="1" x14ac:dyDescent="0.3">
      <c r="B22" s="75" t="s">
        <v>13</v>
      </c>
      <c r="C22" s="66" t="s">
        <v>14</v>
      </c>
      <c r="D22" s="67" t="s">
        <v>1</v>
      </c>
      <c r="E22" s="67" t="s">
        <v>195</v>
      </c>
      <c r="F22" s="67" t="s">
        <v>2</v>
      </c>
      <c r="G22" s="67" t="s">
        <v>3</v>
      </c>
      <c r="H22" s="67" t="s">
        <v>4</v>
      </c>
      <c r="I22" s="67" t="s">
        <v>5</v>
      </c>
      <c r="J22" s="67" t="s">
        <v>6</v>
      </c>
      <c r="K22" s="67" t="s">
        <v>7</v>
      </c>
      <c r="L22" s="67" t="s">
        <v>295</v>
      </c>
      <c r="M22" s="67" t="s">
        <v>9</v>
      </c>
      <c r="N22" s="67" t="s">
        <v>10</v>
      </c>
      <c r="P22" s="76" t="s">
        <v>19</v>
      </c>
      <c r="Q22" s="77" t="s">
        <v>1</v>
      </c>
      <c r="R22" s="77" t="s">
        <v>195</v>
      </c>
      <c r="S22" s="77" t="s">
        <v>2</v>
      </c>
      <c r="T22" s="77" t="s">
        <v>3</v>
      </c>
      <c r="U22" s="77" t="s">
        <v>4</v>
      </c>
      <c r="V22" s="77" t="s">
        <v>5</v>
      </c>
      <c r="W22" s="77" t="s">
        <v>6</v>
      </c>
      <c r="X22" s="77" t="s">
        <v>7</v>
      </c>
      <c r="Y22" s="77" t="s">
        <v>295</v>
      </c>
      <c r="Z22" s="77" t="s">
        <v>9</v>
      </c>
      <c r="AA22" s="77" t="s">
        <v>10</v>
      </c>
      <c r="AB22" s="254" t="s">
        <v>26</v>
      </c>
      <c r="AC22" s="254"/>
      <c r="AD22" s="13" t="s">
        <v>24</v>
      </c>
      <c r="AE22" s="20">
        <f>MAX(D24:N34)</f>
        <v>723.53404796393374</v>
      </c>
    </row>
    <row r="23" spans="2:31" ht="13.2" x14ac:dyDescent="0.25">
      <c r="B23" s="93"/>
      <c r="C23" s="94" t="s">
        <v>258</v>
      </c>
      <c r="D23" s="95">
        <f>C24</f>
        <v>-13.521423069145143</v>
      </c>
      <c r="E23" s="95">
        <f>C25</f>
        <v>-25.988387501946274</v>
      </c>
      <c r="F23" s="95">
        <f>C26</f>
        <v>-61.742473370304012</v>
      </c>
      <c r="G23" s="95">
        <f>C27</f>
        <v>-11.148474144636491</v>
      </c>
      <c r="H23" s="95">
        <f>C28</f>
        <v>-352.93356565284444</v>
      </c>
      <c r="I23" s="95">
        <f>C29</f>
        <v>-57.724475975347573</v>
      </c>
      <c r="J23" s="95">
        <f>C30</f>
        <v>-19.694814183191831</v>
      </c>
      <c r="K23" s="95">
        <f>C31</f>
        <v>-435.94453158139004</v>
      </c>
      <c r="L23" s="95">
        <f>C32</f>
        <v>-734.6825221085702</v>
      </c>
      <c r="M23" s="95">
        <f>C33</f>
        <v>-113.60830465856969</v>
      </c>
      <c r="N23" s="95">
        <f>C34</f>
        <v>-276.24838325007829</v>
      </c>
      <c r="P23" s="21" t="s">
        <v>1</v>
      </c>
      <c r="Q23" s="97">
        <f>AE23+(D24-AE21)*(AE24-AE23)/(AE22-AE21)</f>
        <v>-2.2871656260185307E-3</v>
      </c>
      <c r="R23" s="97">
        <f t="shared" ref="R23:AA33" si="3">$AE$23+(E24-$AE$21)*($AE$24-$AE$23)/($AE$22-$AE$21)</f>
        <v>1.4982897172650892E-2</v>
      </c>
      <c r="S23" s="97">
        <f t="shared" si="3"/>
        <v>6.4511819115425709E-2</v>
      </c>
      <c r="T23" s="97">
        <f t="shared" si="3"/>
        <v>-2.2871656260185307E-3</v>
      </c>
      <c r="U23" s="97">
        <f t="shared" si="3"/>
        <v>0.46788895853369422</v>
      </c>
      <c r="V23" s="97">
        <f t="shared" si="3"/>
        <v>5.8945823663219488E-2</v>
      </c>
      <c r="W23" s="97">
        <f t="shared" si="3"/>
        <v>6.2646236082417135E-3</v>
      </c>
      <c r="X23" s="97">
        <f t="shared" si="3"/>
        <v>0.58288123289940219</v>
      </c>
      <c r="Y23" s="97">
        <f t="shared" si="3"/>
        <v>0.99671283437398128</v>
      </c>
      <c r="Z23" s="97">
        <f t="shared" si="3"/>
        <v>0.13635979528329276</v>
      </c>
      <c r="AA23" s="97">
        <f t="shared" si="3"/>
        <v>0.36165957743922766</v>
      </c>
      <c r="AD23" s="3" t="s">
        <v>25</v>
      </c>
      <c r="AE23" s="2">
        <v>1E-3</v>
      </c>
    </row>
    <row r="24" spans="2:31" ht="12.75" customHeight="1" x14ac:dyDescent="0.25">
      <c r="B24" s="21" t="s">
        <v>1</v>
      </c>
      <c r="C24" s="95">
        <f>Annual_sorted!N53</f>
        <v>-13.521423069145143</v>
      </c>
      <c r="D24" s="29">
        <f>IF(C24-Table_14634121139475563717987[Burundi]&gt;0, C24-Table_14634121139475563717987[Burundi], 0)</f>
        <v>0</v>
      </c>
      <c r="E24" s="29">
        <f>IF(C24-Table_14634121139475563717987[DRC]&gt;0, C24-Table_14634121139475563717987[DRC], 0)</f>
        <v>12.466964432801131</v>
      </c>
      <c r="F24" s="29">
        <f>IF(C24-Table_14634121139475563717987[Egypt]&gt;0, C24-Table_14634121139475563717987[Egypt], 0)</f>
        <v>48.221050301158868</v>
      </c>
      <c r="G24" s="29">
        <f>IF(C24-Table_14634121139475563717987[Eritrea]&gt;0, C24-Table_14634121139475563717987[Eritrea], 0)</f>
        <v>0</v>
      </c>
      <c r="H24" s="29">
        <f>IF(C24-Table_14634121139475563717987[Ethiopia]&gt;0, C24-Table_14634121139475563717987[Ethiopia], 0)</f>
        <v>339.41214258369928</v>
      </c>
      <c r="I24" s="29">
        <f>IF(C24-Table_14634121139475563717987[Kenya]&gt;0, C24-Table_14634121139475563717987[Kenya], 0)</f>
        <v>44.20305290620243</v>
      </c>
      <c r="J24" s="29">
        <f>IF(C24-Table_14634121139475563717987[Rwanda]&gt;0, C24-Table_14634121139475563717987[Rwanda], 0)</f>
        <v>6.1733911140466873</v>
      </c>
      <c r="K24" s="29">
        <f>IF(C24-Table_14634121139475563717987[Sudan]&gt;0, C24-Table_14634121139475563717987[Sudan], 0)</f>
        <v>422.42310851224488</v>
      </c>
      <c r="L24" s="29">
        <f>IF(C24-Table_14634121139475563717987[S. Sudan]&gt;0, C24-Table_14634121139475563717987[S. Sudan], 0)</f>
        <v>721.16109903942504</v>
      </c>
      <c r="M24" s="29">
        <f>IF(C24-Table_14634121139475563717987[Tanzania]&gt;0, C24-Table_14634121139475563717987[Tanzania], 0)</f>
        <v>100.08688158942455</v>
      </c>
      <c r="N24" s="29">
        <f>IF(C24-Table_14634121139475563717987[Uganda]&gt;0, C24-Table_14634121139475563717987[Uganda], 0)</f>
        <v>262.72696018093313</v>
      </c>
      <c r="P24" s="21" t="s">
        <v>195</v>
      </c>
      <c r="Q24" s="97">
        <f t="shared" ref="Q24:Q33" si="4">$AE$23+(D25-$AE$21)*($AE$24-$AE$23)/($AE$22-$AE$21)</f>
        <v>-2.2871656260185307E-3</v>
      </c>
      <c r="R24" s="97">
        <f t="shared" si="3"/>
        <v>-2.2871656260185307E-3</v>
      </c>
      <c r="S24" s="97">
        <f t="shared" si="3"/>
        <v>4.7241756316756277E-2</v>
      </c>
      <c r="T24" s="97">
        <f t="shared" si="3"/>
        <v>-2.2871656260185307E-3</v>
      </c>
      <c r="U24" s="97">
        <f t="shared" si="3"/>
        <v>0.45061889573502484</v>
      </c>
      <c r="V24" s="97">
        <f t="shared" si="3"/>
        <v>4.1675760864550063E-2</v>
      </c>
      <c r="W24" s="97">
        <f t="shared" si="3"/>
        <v>-2.2871656260185307E-3</v>
      </c>
      <c r="X24" s="97">
        <f t="shared" si="3"/>
        <v>0.56561117010073281</v>
      </c>
      <c r="Y24" s="97">
        <f t="shared" si="3"/>
        <v>0.97944277157531201</v>
      </c>
      <c r="Z24" s="97">
        <f t="shared" si="3"/>
        <v>0.11908973248462333</v>
      </c>
      <c r="AA24" s="97">
        <f t="shared" si="3"/>
        <v>0.34438951464055828</v>
      </c>
      <c r="AD24" s="3" t="s">
        <v>70</v>
      </c>
      <c r="AE24" s="2">
        <v>1</v>
      </c>
    </row>
    <row r="25" spans="2:31" ht="12.75" customHeight="1" x14ac:dyDescent="0.25">
      <c r="B25" s="21" t="s">
        <v>195</v>
      </c>
      <c r="C25" s="95">
        <f>Annual_sorted!N54</f>
        <v>-25.988387501946274</v>
      </c>
      <c r="D25" s="29">
        <f>IF(C25-Table_14634121139475563717987[Burundi]&gt;0, C25-Table_14634121139475563717987[Burundi], 0)</f>
        <v>0</v>
      </c>
      <c r="E25" s="29">
        <f>IF(C25-Table_14634121139475563717987[DRC]&gt;0, C25-Table_14634121139475563717987[DRC], 0)</f>
        <v>0</v>
      </c>
      <c r="F25" s="29">
        <f>IF(C25-Table_14634121139475563717987[Egypt]&gt;0, C25-Table_14634121139475563717987[Egypt], 0)</f>
        <v>35.754085868357734</v>
      </c>
      <c r="G25" s="29">
        <f>IF(C25-Table_14634121139475563717987[Eritrea]&gt;0, C25-Table_14634121139475563717987[Eritrea], 0)</f>
        <v>0</v>
      </c>
      <c r="H25" s="29">
        <f>IF(C25-Table_14634121139475563717987[Ethiopia]&gt;0, C25-Table_14634121139475563717987[Ethiopia], 0)</f>
        <v>326.94517815089819</v>
      </c>
      <c r="I25" s="29">
        <f>IF(C25-Table_14634121139475563717987[Kenya]&gt;0, C25-Table_14634121139475563717987[Kenya], 0)</f>
        <v>31.736088473401299</v>
      </c>
      <c r="J25" s="29">
        <f>IF(C25-Table_14634121139475563717987[Rwanda]&gt;0, C25-Table_14634121139475563717987[Rwanda], 0)</f>
        <v>0</v>
      </c>
      <c r="K25" s="29">
        <f>IF(C25-Table_14634121139475563717987[Sudan]&gt;0, C25-Table_14634121139475563717987[Sudan], 0)</f>
        <v>409.95614407944379</v>
      </c>
      <c r="L25" s="29">
        <f>IF(C25-Table_14634121139475563717987[S. Sudan]&gt;0, C25-Table_14634121139475563717987[S. Sudan], 0)</f>
        <v>708.69413460662395</v>
      </c>
      <c r="M25" s="29">
        <f>IF(C25-Table_14634121139475563717987[Tanzania]&gt;0, C25-Table_14634121139475563717987[Tanzania], 0)</f>
        <v>87.619917156623416</v>
      </c>
      <c r="N25" s="29">
        <f>IF(C25-Table_14634121139475563717987[Uganda]&gt;0, C25-Table_14634121139475563717987[Uganda], 0)</f>
        <v>250.25999574813201</v>
      </c>
      <c r="P25" s="21" t="s">
        <v>2</v>
      </c>
      <c r="Q25" s="97">
        <f t="shared" si="4"/>
        <v>-2.2871656260185307E-3</v>
      </c>
      <c r="R25" s="97">
        <f t="shared" si="3"/>
        <v>-2.2871656260185307E-3</v>
      </c>
      <c r="S25" s="97">
        <f t="shared" si="3"/>
        <v>-2.2871656260185307E-3</v>
      </c>
      <c r="T25" s="97">
        <f t="shared" si="3"/>
        <v>-2.2871656260185307E-3</v>
      </c>
      <c r="U25" s="97">
        <f t="shared" si="3"/>
        <v>0.40108997379224998</v>
      </c>
      <c r="V25" s="97">
        <f t="shared" si="3"/>
        <v>-2.2871656260185307E-3</v>
      </c>
      <c r="W25" s="97">
        <f t="shared" si="3"/>
        <v>-2.2871656260185307E-3</v>
      </c>
      <c r="X25" s="97">
        <f t="shared" si="3"/>
        <v>0.51608224815795789</v>
      </c>
      <c r="Y25" s="97">
        <f t="shared" si="3"/>
        <v>0.9299138496325372</v>
      </c>
      <c r="Z25" s="97">
        <f t="shared" si="3"/>
        <v>6.9560810541848525E-2</v>
      </c>
      <c r="AA25" s="97">
        <f t="shared" si="3"/>
        <v>0.29486059269778342</v>
      </c>
    </row>
    <row r="26" spans="2:31" ht="12.75" customHeight="1" x14ac:dyDescent="0.25">
      <c r="B26" s="21" t="s">
        <v>2</v>
      </c>
      <c r="C26" s="95">
        <f>Annual_sorted!N55</f>
        <v>-61.742473370304012</v>
      </c>
      <c r="D26" s="29">
        <f>IF(C26-Table_14634121139475563717987[Burundi]&gt;0, C26-Table_14634121139475563717987[Burundi], 0)</f>
        <v>0</v>
      </c>
      <c r="E26" s="29">
        <f>IF(C26-Table_14634121139475563717987[DRC]&gt;0, C26-Table_14634121139475563717987[DRC], 0)</f>
        <v>0</v>
      </c>
      <c r="F26" s="29">
        <f>IF(C26-Table_14634121139475563717987[Egypt]&gt;0, C26-Table_14634121139475563717987[Egypt], 0)</f>
        <v>0</v>
      </c>
      <c r="G26" s="29">
        <f>IF(C26-Table_14634121139475563717987[Eritrea]&gt;0, C26-Table_14634121139475563717987[Eritrea], 0)</f>
        <v>0</v>
      </c>
      <c r="H26" s="29">
        <f>IF(C26-Table_14634121139475563717987[Ethiopia]&gt;0, C26-Table_14634121139475563717987[Ethiopia], 0)</f>
        <v>291.19109228254041</v>
      </c>
      <c r="I26" s="29">
        <f>IF(C26-Table_14634121139475563717987[Kenya]&gt;0, C26-Table_14634121139475563717987[Kenya], 0)</f>
        <v>0</v>
      </c>
      <c r="J26" s="29">
        <f>IF(C26-Table_14634121139475563717987[Rwanda]&gt;0, C26-Table_14634121139475563717987[Rwanda], 0)</f>
        <v>0</v>
      </c>
      <c r="K26" s="29">
        <f>IF(C26-Table_14634121139475563717987[Sudan]&gt;0, C26-Table_14634121139475563717987[Sudan], 0)</f>
        <v>374.20205821108601</v>
      </c>
      <c r="L26" s="29">
        <f>IF(C26-Table_14634121139475563717987[S. Sudan]&gt;0, C26-Table_14634121139475563717987[S. Sudan], 0)</f>
        <v>672.94004873826623</v>
      </c>
      <c r="M26" s="29">
        <f>IF(C26-Table_14634121139475563717987[Tanzania]&gt;0, C26-Table_14634121139475563717987[Tanzania], 0)</f>
        <v>51.865831288265682</v>
      </c>
      <c r="N26" s="29">
        <f>IF(C26-Table_14634121139475563717987[Uganda]&gt;0, C26-Table_14634121139475563717987[Uganda], 0)</f>
        <v>214.50590987977426</v>
      </c>
      <c r="P26" s="21" t="s">
        <v>3</v>
      </c>
      <c r="Q26" s="97">
        <f t="shared" si="4"/>
        <v>1E-3</v>
      </c>
      <c r="R26" s="97">
        <f t="shared" si="3"/>
        <v>1.8270062798669422E-2</v>
      </c>
      <c r="S26" s="97">
        <f t="shared" si="3"/>
        <v>6.7798984741444232E-2</v>
      </c>
      <c r="T26" s="97">
        <f t="shared" si="3"/>
        <v>-2.2871656260185307E-3</v>
      </c>
      <c r="U26" s="97">
        <f t="shared" si="3"/>
        <v>0.47117612415971272</v>
      </c>
      <c r="V26" s="97">
        <f t="shared" si="3"/>
        <v>6.2232989289238011E-2</v>
      </c>
      <c r="W26" s="97">
        <f t="shared" si="3"/>
        <v>9.5517892342602446E-3</v>
      </c>
      <c r="X26" s="97">
        <f t="shared" si="3"/>
        <v>0.58616839852542069</v>
      </c>
      <c r="Y26" s="97">
        <f>$AE$23+(L27-$AE$21)*($AE$24-$AE$23)/($AE$22-$AE$21)</f>
        <v>0.99999999999999989</v>
      </c>
      <c r="Z26" s="97">
        <f t="shared" si="3"/>
        <v>0.13964696090931128</v>
      </c>
      <c r="AA26" s="97">
        <f t="shared" si="3"/>
        <v>0.36494674306524622</v>
      </c>
    </row>
    <row r="27" spans="2:31" ht="12.75" customHeight="1" x14ac:dyDescent="0.25">
      <c r="B27" s="21" t="s">
        <v>3</v>
      </c>
      <c r="C27" s="95">
        <f>Annual_sorted!N56</f>
        <v>-11.148474144636491</v>
      </c>
      <c r="D27" s="29">
        <f>IF(C27-Table_14634121139475563717987[Burundi]&gt;0, C27-Table_14634121139475563717987[Burundi], 0)</f>
        <v>2.3729489245086519</v>
      </c>
      <c r="E27" s="29">
        <f>IF(C27-Table_14634121139475563717987[DRC]&gt;0, C27-Table_14634121139475563717987[DRC], 0)</f>
        <v>14.839913357309783</v>
      </c>
      <c r="F27" s="29">
        <f>IF(C27-Table_14634121139475563717987[Egypt]&gt;0, C27-Table_14634121139475563717987[Egypt], 0)</f>
        <v>50.593999225667517</v>
      </c>
      <c r="G27" s="29">
        <f>IF(C27-Table_14634121139475563717987[Eritrea]&gt;0, C27-Table_14634121139475563717987[Eritrea], 0)</f>
        <v>0</v>
      </c>
      <c r="H27" s="29">
        <f>IF(C27-Table_14634121139475563717987[Ethiopia]&gt;0, C27-Table_14634121139475563717987[Ethiopia], 0)</f>
        <v>341.78509150820793</v>
      </c>
      <c r="I27" s="29">
        <f>IF(C27-Table_14634121139475563717987[Kenya]&gt;0, C27-Table_14634121139475563717987[Kenya], 0)</f>
        <v>46.576001830711078</v>
      </c>
      <c r="J27" s="29">
        <f>IF(C27-Table_14634121139475563717987[Rwanda]&gt;0, C27-Table_14634121139475563717987[Rwanda], 0)</f>
        <v>8.5463400385553392</v>
      </c>
      <c r="K27" s="29">
        <f>IF(C27-Table_14634121139475563717987[Sudan]&gt;0, C27-Table_14634121139475563717987[Sudan], 0)</f>
        <v>424.79605743675353</v>
      </c>
      <c r="L27" s="29">
        <f>IF(C27-Table_14634121139475563717987[S. Sudan]&gt;0, C27-Table_14634121139475563717987[S. Sudan], 0)</f>
        <v>723.53404796393374</v>
      </c>
      <c r="M27" s="29">
        <f>IF(C27-Table_14634121139475563717987[Tanzania]&gt;0, C27-Table_14634121139475563717987[Tanzania], 0)</f>
        <v>102.4598305139332</v>
      </c>
      <c r="N27" s="29">
        <f>IF(C27-Table_14634121139475563717987[Uganda]&gt;0, C27-Table_14634121139475563717987[Uganda], 0)</f>
        <v>265.09990910544178</v>
      </c>
      <c r="P27" s="21" t="s">
        <v>4</v>
      </c>
      <c r="Q27" s="97">
        <f t="shared" si="4"/>
        <v>-2.2871656260185307E-3</v>
      </c>
      <c r="R27" s="97">
        <f t="shared" si="3"/>
        <v>-2.2871656260185307E-3</v>
      </c>
      <c r="S27" s="97">
        <f t="shared" si="3"/>
        <v>-2.2871656260185307E-3</v>
      </c>
      <c r="T27" s="97">
        <f t="shared" si="3"/>
        <v>-2.2871656260185307E-3</v>
      </c>
      <c r="U27" s="97">
        <f t="shared" si="3"/>
        <v>-2.2871656260185307E-3</v>
      </c>
      <c r="V27" s="97">
        <f t="shared" si="3"/>
        <v>-2.2871656260185307E-3</v>
      </c>
      <c r="W27" s="97">
        <f t="shared" si="3"/>
        <v>-2.2871656260185307E-3</v>
      </c>
      <c r="X27" s="97">
        <f t="shared" si="3"/>
        <v>0.11270510873968945</v>
      </c>
      <c r="Y27" s="97">
        <f t="shared" si="3"/>
        <v>0.52653671021426873</v>
      </c>
      <c r="Z27" s="97">
        <f t="shared" si="3"/>
        <v>-2.2871656260185307E-3</v>
      </c>
      <c r="AA27" s="97">
        <f t="shared" si="3"/>
        <v>-2.2871656260185307E-3</v>
      </c>
    </row>
    <row r="28" spans="2:31" ht="12.75" customHeight="1" x14ac:dyDescent="0.25">
      <c r="B28" s="21" t="s">
        <v>4</v>
      </c>
      <c r="C28" s="95">
        <f>Annual_sorted!N57</f>
        <v>-352.93356565284444</v>
      </c>
      <c r="D28" s="29">
        <f>IF(C28-Table_14634121139475563717987[Burundi]&gt;0, C28-Table_14634121139475563717987[Burundi], 0)</f>
        <v>0</v>
      </c>
      <c r="E28" s="29">
        <f>IF(C28-Table_14634121139475563717987[DRC]&gt;0, C28-Table_14634121139475563717987[DRC], 0)</f>
        <v>0</v>
      </c>
      <c r="F28" s="29">
        <f>IF(C28-Table_14634121139475563717987[Egypt]&gt;0, C28-Table_14634121139475563717987[Egypt], 0)</f>
        <v>0</v>
      </c>
      <c r="G28" s="29">
        <f>IF(C28-Table_14634121139475563717987[Eritrea]&gt;0, C28-Table_14634121139475563717987[Eritrea], 0)</f>
        <v>0</v>
      </c>
      <c r="H28" s="29">
        <f>IF(C28-Table_14634121139475563717987[Ethiopia]&gt;0, C28-Table_14634121139475563717987[Ethiopia], 0)</f>
        <v>0</v>
      </c>
      <c r="I28" s="29">
        <f>IF(C28-Table_14634121139475563717987[Kenya]&gt;0, C28-Table_14634121139475563717987[Kenya], 0)</f>
        <v>0</v>
      </c>
      <c r="J28" s="29">
        <f>IF(C28-Table_14634121139475563717987[Rwanda]&gt;0, C28-Table_14634121139475563717987[Rwanda], 0)</f>
        <v>0</v>
      </c>
      <c r="K28" s="29">
        <f>IF(C28-Table_14634121139475563717987[Sudan]&gt;0, C28-Table_14634121139475563717987[Sudan], 0)</f>
        <v>83.010965928545602</v>
      </c>
      <c r="L28" s="29">
        <f>IF(C28-Table_14634121139475563717987[S. Sudan]&gt;0, C28-Table_14634121139475563717987[S. Sudan], 0)</f>
        <v>381.74895645572576</v>
      </c>
      <c r="M28" s="29">
        <f>IF(C28-Table_14634121139475563717987[Tanzania]&gt;0, C28-Table_14634121139475563717987[Tanzania], 0)</f>
        <v>0</v>
      </c>
      <c r="N28" s="29">
        <f>IF(C28-Table_14634121139475563717987[Uganda]&gt;0, C28-Table_14634121139475563717987[Uganda], 0)</f>
        <v>0</v>
      </c>
      <c r="P28" s="21" t="s">
        <v>5</v>
      </c>
      <c r="Q28" s="97">
        <f t="shared" si="4"/>
        <v>-2.2871656260185307E-3</v>
      </c>
      <c r="R28" s="97">
        <f t="shared" si="3"/>
        <v>-2.2871656260185307E-3</v>
      </c>
      <c r="S28" s="97">
        <f t="shared" si="3"/>
        <v>3.2788298261876934E-3</v>
      </c>
      <c r="T28" s="97">
        <f t="shared" si="3"/>
        <v>-2.2871656260185307E-3</v>
      </c>
      <c r="U28" s="97">
        <f t="shared" si="3"/>
        <v>0.40665596924445624</v>
      </c>
      <c r="V28" s="97">
        <f t="shared" si="3"/>
        <v>-2.2871656260185307E-3</v>
      </c>
      <c r="W28" s="97">
        <f t="shared" si="3"/>
        <v>-2.2871656260185307E-3</v>
      </c>
      <c r="X28" s="97">
        <f t="shared" si="3"/>
        <v>0.52164824361016415</v>
      </c>
      <c r="Y28" s="97">
        <f t="shared" si="3"/>
        <v>0.93547984508474347</v>
      </c>
      <c r="Z28" s="97">
        <f t="shared" si="3"/>
        <v>7.5126805994054746E-2</v>
      </c>
      <c r="AA28" s="97">
        <f t="shared" si="3"/>
        <v>0.30042658814998968</v>
      </c>
    </row>
    <row r="29" spans="2:31" ht="12.75" customHeight="1" x14ac:dyDescent="0.25">
      <c r="B29" s="21" t="s">
        <v>5</v>
      </c>
      <c r="C29" s="95">
        <f>Annual_sorted!N58</f>
        <v>-57.724475975347573</v>
      </c>
      <c r="D29" s="29">
        <f>IF(C29-Table_14634121139475563717987[Burundi]&gt;0, C29-Table_14634121139475563717987[Burundi], 0)</f>
        <v>0</v>
      </c>
      <c r="E29" s="29">
        <f>IF(C29-Table_14634121139475563717987[DRC]&gt;0, C29-Table_14634121139475563717987[DRC], 0)</f>
        <v>0</v>
      </c>
      <c r="F29" s="29">
        <f>IF(C29-Table_14634121139475563717987[Egypt]&gt;0, C29-Table_14634121139475563717987[Egypt], 0)</f>
        <v>4.0179973949564385</v>
      </c>
      <c r="G29" s="29">
        <f>IF(C29-Table_14634121139475563717987[Eritrea]&gt;0, C29-Table_14634121139475563717987[Eritrea], 0)</f>
        <v>0</v>
      </c>
      <c r="H29" s="29">
        <f>IF(C29-Table_14634121139475563717987[Ethiopia]&gt;0, C29-Table_14634121139475563717987[Ethiopia], 0)</f>
        <v>295.20908967749688</v>
      </c>
      <c r="I29" s="29">
        <f>IF(C29-Table_14634121139475563717987[Kenya]&gt;0, C29-Table_14634121139475563717987[Kenya], 0)</f>
        <v>0</v>
      </c>
      <c r="J29" s="29">
        <f>IF(C29-Table_14634121139475563717987[Rwanda]&gt;0, C29-Table_14634121139475563717987[Rwanda], 0)</f>
        <v>0</v>
      </c>
      <c r="K29" s="29">
        <f>IF(C29-Table_14634121139475563717987[Sudan]&gt;0, C29-Table_14634121139475563717987[Sudan], 0)</f>
        <v>378.22005560604248</v>
      </c>
      <c r="L29" s="29">
        <f>IF(C29-Table_14634121139475563717987[S. Sudan]&gt;0, C29-Table_14634121139475563717987[S. Sudan], 0)</f>
        <v>676.95804613322264</v>
      </c>
      <c r="M29" s="29">
        <f>IF(C29-Table_14634121139475563717987[Tanzania]&gt;0, C29-Table_14634121139475563717987[Tanzania], 0)</f>
        <v>55.88382868322212</v>
      </c>
      <c r="N29" s="29">
        <f>IF(C29-Table_14634121139475563717987[Uganda]&gt;0, C29-Table_14634121139475563717987[Uganda], 0)</f>
        <v>218.52390727473073</v>
      </c>
      <c r="P29" s="21" t="s">
        <v>6</v>
      </c>
      <c r="Q29" s="97">
        <f t="shared" si="4"/>
        <v>-2.2871656260185307E-3</v>
      </c>
      <c r="R29" s="97">
        <f t="shared" si="3"/>
        <v>6.4311079383906483E-3</v>
      </c>
      <c r="S29" s="97">
        <f t="shared" si="3"/>
        <v>5.5960029881165461E-2</v>
      </c>
      <c r="T29" s="97">
        <f t="shared" si="3"/>
        <v>-2.2871656260185307E-3</v>
      </c>
      <c r="U29" s="97">
        <f t="shared" si="3"/>
        <v>0.45933716929943397</v>
      </c>
      <c r="V29" s="97">
        <f t="shared" si="3"/>
        <v>5.0394034428959233E-2</v>
      </c>
      <c r="W29" s="97">
        <f t="shared" si="3"/>
        <v>-2.2871656260185307E-3</v>
      </c>
      <c r="X29" s="97">
        <f t="shared" si="3"/>
        <v>0.57432944366514183</v>
      </c>
      <c r="Y29" s="97">
        <f t="shared" si="3"/>
        <v>0.98816104513972114</v>
      </c>
      <c r="Z29" s="97">
        <f t="shared" si="3"/>
        <v>0.12780800604903253</v>
      </c>
      <c r="AA29" s="97">
        <f t="shared" si="3"/>
        <v>0.35310778820496747</v>
      </c>
    </row>
    <row r="30" spans="2:31" ht="12.75" customHeight="1" x14ac:dyDescent="0.25">
      <c r="B30" s="21" t="s">
        <v>6</v>
      </c>
      <c r="C30" s="95">
        <f>Annual_sorted!N59</f>
        <v>-19.694814183191831</v>
      </c>
      <c r="D30" s="29">
        <f>IF(C30-Table_14634121139475563717987[Burundi]&gt;0, C30-Table_14634121139475563717987[Burundi], 0)</f>
        <v>0</v>
      </c>
      <c r="E30" s="29">
        <f>IF(C30-Table_14634121139475563717987[DRC]&gt;0, C30-Table_14634121139475563717987[DRC], 0)</f>
        <v>6.2935733187544436</v>
      </c>
      <c r="F30" s="29">
        <f>IF(C30-Table_14634121139475563717987[Egypt]&gt;0, C30-Table_14634121139475563717987[Egypt], 0)</f>
        <v>42.047659187112181</v>
      </c>
      <c r="G30" s="29">
        <f>IF(C30-Table_14634121139475563717987[Eritrea]&gt;0, C30-Table_14634121139475563717987[Eritrea], 0)</f>
        <v>0</v>
      </c>
      <c r="H30" s="29">
        <f>IF(C30-Table_14634121139475563717987[Ethiopia]&gt;0, C30-Table_14634121139475563717987[Ethiopia], 0)</f>
        <v>333.23875146965258</v>
      </c>
      <c r="I30" s="29">
        <f>IF(C30-Table_14634121139475563717987[Kenya]&gt;0, C30-Table_14634121139475563717987[Kenya], 0)</f>
        <v>38.029661792155743</v>
      </c>
      <c r="J30" s="29">
        <f>IF(C30-Table_14634121139475563717987[Rwanda]&gt;0, C30-Table_14634121139475563717987[Rwanda], 0)</f>
        <v>0</v>
      </c>
      <c r="K30" s="29">
        <f>IF(C30-Table_14634121139475563717987[Sudan]&gt;0, C30-Table_14634121139475563717987[Sudan], 0)</f>
        <v>416.24971739819819</v>
      </c>
      <c r="L30" s="29">
        <f>IF(C30-Table_14634121139475563717987[S. Sudan]&gt;0, C30-Table_14634121139475563717987[S. Sudan], 0)</f>
        <v>714.98770792537834</v>
      </c>
      <c r="M30" s="29">
        <f>IF(C30-Table_14634121139475563717987[Tanzania]&gt;0, C30-Table_14634121139475563717987[Tanzania], 0)</f>
        <v>93.91349047537787</v>
      </c>
      <c r="N30" s="29">
        <f>IF(C30-Table_14634121139475563717987[Uganda]&gt;0, C30-Table_14634121139475563717987[Uganda], 0)</f>
        <v>256.55356906688644</v>
      </c>
      <c r="P30" s="21" t="s">
        <v>7</v>
      </c>
      <c r="Q30" s="97">
        <f t="shared" si="4"/>
        <v>-2.2871656260185307E-3</v>
      </c>
      <c r="R30" s="97">
        <f t="shared" si="3"/>
        <v>-2.2871656260185307E-3</v>
      </c>
      <c r="S30" s="97">
        <f t="shared" si="3"/>
        <v>-2.2871656260185307E-3</v>
      </c>
      <c r="T30" s="97">
        <f t="shared" si="3"/>
        <v>-2.2871656260185307E-3</v>
      </c>
      <c r="U30" s="97">
        <f t="shared" si="3"/>
        <v>-2.2871656260185307E-3</v>
      </c>
      <c r="V30" s="97">
        <f t="shared" si="3"/>
        <v>-2.2871656260185307E-3</v>
      </c>
      <c r="W30" s="97">
        <f t="shared" si="3"/>
        <v>-2.2871656260185307E-3</v>
      </c>
      <c r="X30" s="97">
        <f t="shared" si="3"/>
        <v>-2.2871656260185307E-3</v>
      </c>
      <c r="Y30" s="97">
        <f t="shared" si="3"/>
        <v>0.41154443584856082</v>
      </c>
      <c r="Z30" s="97">
        <f t="shared" si="3"/>
        <v>-2.2871656260185307E-3</v>
      </c>
      <c r="AA30" s="97">
        <f t="shared" si="3"/>
        <v>-2.2871656260185307E-3</v>
      </c>
    </row>
    <row r="31" spans="2:31" ht="12.75" customHeight="1" x14ac:dyDescent="0.25">
      <c r="B31" s="21" t="s">
        <v>7</v>
      </c>
      <c r="C31" s="95">
        <f>Annual_sorted!N60</f>
        <v>-435.94453158139004</v>
      </c>
      <c r="D31" s="29">
        <f>IF(C31-Table_14634121139475563717987[Burundi]&gt;0, C31-Table_14634121139475563717987[Burundi], 0)</f>
        <v>0</v>
      </c>
      <c r="E31" s="29">
        <f>IF(C31-Table_14634121139475563717987[DRC]&gt;0, C31-Table_14634121139475563717987[DRC], 0)</f>
        <v>0</v>
      </c>
      <c r="F31" s="29">
        <f>IF(C31-Table_14634121139475563717987[Egypt]&gt;0, C31-Table_14634121139475563717987[Egypt], 0)</f>
        <v>0</v>
      </c>
      <c r="G31" s="29">
        <f>IF(C31-Table_14634121139475563717987[Eritrea]&gt;0, C31-Table_14634121139475563717987[Eritrea], 0)</f>
        <v>0</v>
      </c>
      <c r="H31" s="29">
        <f>IF(C31-Table_14634121139475563717987[Ethiopia]&gt;0, C31-Table_14634121139475563717987[Ethiopia], 0)</f>
        <v>0</v>
      </c>
      <c r="I31" s="29">
        <f>IF(C31-Table_14634121139475563717987[Kenya]&gt;0, C31-Table_14634121139475563717987[Kenya], 0)</f>
        <v>0</v>
      </c>
      <c r="J31" s="29">
        <f>IF(C31-Table_14634121139475563717987[Rwanda]&gt;0, C31-Table_14634121139475563717987[Rwanda], 0)</f>
        <v>0</v>
      </c>
      <c r="K31" s="29">
        <f>IF(C31-Table_14634121139475563717987[Sudan]&gt;0, C31-Table_14634121139475563717987[Sudan], 0)</f>
        <v>0</v>
      </c>
      <c r="L31" s="29">
        <f>IF(C31-Table_14634121139475563717987[S. Sudan]&gt;0, C31-Table_14634121139475563717987[S. Sudan], 0)</f>
        <v>298.73799052718016</v>
      </c>
      <c r="M31" s="29">
        <f>IF(C31-Table_14634121139475563717987[Tanzania]&gt;0, C31-Table_14634121139475563717987[Tanzania], 0)</f>
        <v>0</v>
      </c>
      <c r="N31" s="29">
        <f>IF(C31-Table_14634121139475563717987[Uganda]&gt;0, C31-Table_14634121139475563717987[Uganda], 0)</f>
        <v>0</v>
      </c>
      <c r="P31" s="21" t="s">
        <v>8</v>
      </c>
      <c r="Q31" s="97">
        <f t="shared" si="4"/>
        <v>-2.2871656260185307E-3</v>
      </c>
      <c r="R31" s="97">
        <f t="shared" si="3"/>
        <v>-2.2871656260185307E-3</v>
      </c>
      <c r="S31" s="97">
        <f t="shared" si="3"/>
        <v>-2.2871656260185307E-3</v>
      </c>
      <c r="T31" s="97">
        <f t="shared" si="3"/>
        <v>-2.2871656260185307E-3</v>
      </c>
      <c r="U31" s="97">
        <f t="shared" si="3"/>
        <v>-2.2871656260185307E-3</v>
      </c>
      <c r="V31" s="97">
        <f t="shared" si="3"/>
        <v>-2.2871656260185307E-3</v>
      </c>
      <c r="W31" s="97">
        <f t="shared" si="3"/>
        <v>-2.2871656260185307E-3</v>
      </c>
      <c r="X31" s="97">
        <f t="shared" si="3"/>
        <v>-2.2871656260185307E-3</v>
      </c>
      <c r="Y31" s="97">
        <f t="shared" si="3"/>
        <v>-2.2871656260185307E-3</v>
      </c>
      <c r="Z31" s="97">
        <f t="shared" si="3"/>
        <v>-2.2871656260185307E-3</v>
      </c>
      <c r="AA31" s="97">
        <f t="shared" si="3"/>
        <v>-2.2871656260185307E-3</v>
      </c>
    </row>
    <row r="32" spans="2:31" ht="12.75" customHeight="1" x14ac:dyDescent="0.25">
      <c r="B32" s="21" t="s">
        <v>8</v>
      </c>
      <c r="C32" s="95">
        <f>Annual_sorted!N61</f>
        <v>-734.6825221085702</v>
      </c>
      <c r="D32" s="29">
        <f>IF(C32-Table_14634121139475563717987[Burundi]&gt;0, C32-Table_14634121139475563717987[Burundi], 0)</f>
        <v>0</v>
      </c>
      <c r="E32" s="29">
        <f>IF(C32-Table_14634121139475563717987[DRC]&gt;0, C32-Table_14634121139475563717987[DRC], 0)</f>
        <v>0</v>
      </c>
      <c r="F32" s="29">
        <f>IF(C32-Table_14634121139475563717987[Egypt]&gt;0, C32-Table_14634121139475563717987[Egypt], 0)</f>
        <v>0</v>
      </c>
      <c r="G32" s="29">
        <f>IF(C32-Table_14634121139475563717987[Eritrea]&gt;0, C32-Table_14634121139475563717987[Eritrea], 0)</f>
        <v>0</v>
      </c>
      <c r="H32" s="29">
        <f>IF(C32-Table_14634121139475563717987[Ethiopia]&gt;0, C32-Table_14634121139475563717987[Ethiopia], 0)</f>
        <v>0</v>
      </c>
      <c r="I32" s="29">
        <f>IF(C32-Table_14634121139475563717987[Kenya]&gt;0, C32-Table_14634121139475563717987[Kenya], 0)</f>
        <v>0</v>
      </c>
      <c r="J32" s="29">
        <f>IF(C32-Table_14634121139475563717987[Rwanda]&gt;0, C32-Table_14634121139475563717987[Rwanda], 0)</f>
        <v>0</v>
      </c>
      <c r="K32" s="29">
        <f>IF(C32-Table_14634121139475563717987[Sudan]&gt;0, C32-Table_14634121139475563717987[Sudan], 0)</f>
        <v>0</v>
      </c>
      <c r="L32" s="29">
        <f>IF(C32-Table_14634121139475563717987[S. Sudan]&gt;0, C32-Table_14634121139475563717987[S. Sudan], 0)</f>
        <v>0</v>
      </c>
      <c r="M32" s="29">
        <f>IF(C32-Table_14634121139475563717987[Tanzania]&gt;0, C32-Table_14634121139475563717987[Tanzania], 0)</f>
        <v>0</v>
      </c>
      <c r="N32" s="29">
        <f>IF(C32-Table_14634121139475563717987[Uganda]&gt;0, C32-Table_14634121139475563717987[Uganda], 0)</f>
        <v>0</v>
      </c>
      <c r="P32" s="21" t="s">
        <v>9</v>
      </c>
      <c r="Q32" s="97">
        <f t="shared" si="4"/>
        <v>-2.2871656260185307E-3</v>
      </c>
      <c r="R32" s="97">
        <f t="shared" si="3"/>
        <v>-2.2871656260185307E-3</v>
      </c>
      <c r="S32" s="97">
        <f t="shared" si="3"/>
        <v>-2.2871656260185307E-3</v>
      </c>
      <c r="T32" s="97">
        <f t="shared" si="3"/>
        <v>-2.2871656260185307E-3</v>
      </c>
      <c r="U32" s="97">
        <f t="shared" si="3"/>
        <v>0.32924199762438289</v>
      </c>
      <c r="V32" s="97">
        <f t="shared" si="3"/>
        <v>-2.2871656260185307E-3</v>
      </c>
      <c r="W32" s="97">
        <f t="shared" si="3"/>
        <v>-2.2871656260185307E-3</v>
      </c>
      <c r="X32" s="97">
        <f t="shared" si="3"/>
        <v>0.44423427199009086</v>
      </c>
      <c r="Y32" s="97">
        <f t="shared" si="3"/>
        <v>0.85806587346467023</v>
      </c>
      <c r="Z32" s="97">
        <f t="shared" si="3"/>
        <v>-2.2871656260185307E-3</v>
      </c>
      <c r="AA32" s="97">
        <f t="shared" si="3"/>
        <v>0.22301261652991641</v>
      </c>
    </row>
    <row r="33" spans="2:31" ht="12.75" customHeight="1" thickBot="1" x14ac:dyDescent="0.3">
      <c r="B33" s="21" t="s">
        <v>9</v>
      </c>
      <c r="C33" s="95">
        <f>Annual_sorted!N62</f>
        <v>-113.60830465856969</v>
      </c>
      <c r="D33" s="29">
        <f>IF(C33-Table_14634121139475563717987[Burundi]&gt;0, C33-Table_14634121139475563717987[Burundi], 0)</f>
        <v>0</v>
      </c>
      <c r="E33" s="29">
        <f>IF(C33-Table_14634121139475563717987[DRC]&gt;0, C33-Table_14634121139475563717987[DRC], 0)</f>
        <v>0</v>
      </c>
      <c r="F33" s="29">
        <f>IF(C33-Table_14634121139475563717987[Egypt]&gt;0, C33-Table_14634121139475563717987[Egypt], 0)</f>
        <v>0</v>
      </c>
      <c r="G33" s="29">
        <f>IF(C33-Table_14634121139475563717987[Eritrea]&gt;0, C33-Table_14634121139475563717987[Eritrea], 0)</f>
        <v>0</v>
      </c>
      <c r="H33" s="29">
        <f>IF(C33-Table_14634121139475563717987[Ethiopia]&gt;0, C33-Table_14634121139475563717987[Ethiopia], 0)</f>
        <v>239.32526099427474</v>
      </c>
      <c r="I33" s="29">
        <f>IF(C33-Table_14634121139475563717987[Kenya]&gt;0, C33-Table_14634121139475563717987[Kenya], 0)</f>
        <v>0</v>
      </c>
      <c r="J33" s="29">
        <f>IF(C33-Table_14634121139475563717987[Rwanda]&gt;0, C33-Table_14634121139475563717987[Rwanda], 0)</f>
        <v>0</v>
      </c>
      <c r="K33" s="29">
        <f>IF(C33-Table_14634121139475563717987[Sudan]&gt;0, C33-Table_14634121139475563717987[Sudan], 0)</f>
        <v>322.33622692282034</v>
      </c>
      <c r="L33" s="29">
        <f>IF(C33-Table_14634121139475563717987[S. Sudan]&gt;0, C33-Table_14634121139475563717987[S. Sudan], 0)</f>
        <v>621.07421745000056</v>
      </c>
      <c r="M33" s="29">
        <f>IF(C33-Table_14634121139475563717987[Tanzania]&gt;0, C33-Table_14634121139475563717987[Tanzania], 0)</f>
        <v>0</v>
      </c>
      <c r="N33" s="29">
        <f>IF(C33-Table_14634121139475563717987[Uganda]&gt;0, C33-Table_14634121139475563717987[Uganda], 0)</f>
        <v>162.6400785915086</v>
      </c>
      <c r="P33" s="22" t="s">
        <v>10</v>
      </c>
      <c r="Q33" s="98">
        <f t="shared" si="4"/>
        <v>-2.2871656260185307E-3</v>
      </c>
      <c r="R33" s="98">
        <f t="shared" si="3"/>
        <v>-2.2871656260185307E-3</v>
      </c>
      <c r="S33" s="98">
        <f t="shared" si="3"/>
        <v>-2.2871656260185307E-3</v>
      </c>
      <c r="T33" s="98">
        <f t="shared" si="3"/>
        <v>-2.2871656260185307E-3</v>
      </c>
      <c r="U33" s="98">
        <f t="shared" si="3"/>
        <v>0.10394221546844798</v>
      </c>
      <c r="V33" s="98">
        <f t="shared" si="3"/>
        <v>-2.2871656260185307E-3</v>
      </c>
      <c r="W33" s="98">
        <f t="shared" si="3"/>
        <v>-2.2871656260185307E-3</v>
      </c>
      <c r="X33" s="98">
        <f t="shared" si="3"/>
        <v>0.21893448983415595</v>
      </c>
      <c r="Y33" s="98">
        <f t="shared" si="3"/>
        <v>0.63276609130873529</v>
      </c>
      <c r="Z33" s="98">
        <f t="shared" si="3"/>
        <v>-2.2871656260185307E-3</v>
      </c>
      <c r="AA33" s="98">
        <f t="shared" si="3"/>
        <v>-2.2871656260185307E-3</v>
      </c>
      <c r="AB33" s="186">
        <f>SUM(Q23:AA33)</f>
        <v>18.738752477574472</v>
      </c>
    </row>
    <row r="34" spans="2:31" ht="12.75" customHeight="1" thickBot="1" x14ac:dyDescent="0.3">
      <c r="B34" s="22" t="s">
        <v>10</v>
      </c>
      <c r="C34" s="96">
        <f>Annual_sorted!N63</f>
        <v>-276.24838325007829</v>
      </c>
      <c r="D34" s="32">
        <f>IF(C34-Table_14634121139475563717987[Burundi]&gt;0, C34-Table_14634121139475563717987[Burundi], 0)</f>
        <v>0</v>
      </c>
      <c r="E34" s="32">
        <f>IF(C34-Table_14634121139475563717987[DRC]&gt;0, C34-Table_14634121139475563717987[DRC], 0)</f>
        <v>0</v>
      </c>
      <c r="F34" s="32">
        <f>IF(C34-Table_14634121139475563717987[Egypt]&gt;0, C34-Table_14634121139475563717987[Egypt], 0)</f>
        <v>0</v>
      </c>
      <c r="G34" s="32">
        <f>IF(C34-Table_14634121139475563717987[Eritrea]&gt;0, C34-Table_14634121139475563717987[Eritrea], 0)</f>
        <v>0</v>
      </c>
      <c r="H34" s="32">
        <f>IF(C34-Table_14634121139475563717987[Ethiopia]&gt;0, C34-Table_14634121139475563717987[Ethiopia], 0)</f>
        <v>76.685182402766145</v>
      </c>
      <c r="I34" s="32">
        <f>IF(C34-Table_14634121139475563717987[Kenya]&gt;0, C34-Table_14634121139475563717987[Kenya], 0)</f>
        <v>0</v>
      </c>
      <c r="J34" s="32">
        <f>IF(C34-Table_14634121139475563717987[Rwanda]&gt;0, C34-Table_14634121139475563717987[Rwanda], 0)</f>
        <v>0</v>
      </c>
      <c r="K34" s="32">
        <f>IF(C34-Table_14634121139475563717987[Sudan]&gt;0, C34-Table_14634121139475563717987[Sudan], 0)</f>
        <v>159.69614833131175</v>
      </c>
      <c r="L34" s="32">
        <f>IF(C34-Table_14634121139475563717987[S. Sudan]&gt;0, C34-Table_14634121139475563717987[S. Sudan], 0)</f>
        <v>458.43413885849191</v>
      </c>
      <c r="M34" s="32">
        <f>IF(C34-Table_14634121139475563717987[Tanzania]&gt;0, C34-Table_14634121139475563717987[Tanzania], 0)</f>
        <v>0</v>
      </c>
      <c r="N34" s="32">
        <f>IF(C34-Table_14634121139475563717987[Uganda]&gt;0, C34-Table_14634121139475563717987[Uganda], 0)</f>
        <v>0</v>
      </c>
    </row>
    <row r="35" spans="2:31" ht="12.75" customHeight="1" x14ac:dyDescent="0.25">
      <c r="C35" s="19"/>
    </row>
    <row r="36" spans="2:31" ht="12.75" customHeight="1" x14ac:dyDescent="0.25"/>
    <row r="37" spans="2:31" ht="12.75" customHeight="1" x14ac:dyDescent="0.25">
      <c r="B37" s="5"/>
      <c r="C37" s="5"/>
      <c r="D37" s="5"/>
      <c r="E37" s="5"/>
      <c r="F37" s="5"/>
      <c r="G37" s="5"/>
      <c r="H37" s="5"/>
      <c r="I37" s="5"/>
      <c r="J37" s="5"/>
      <c r="K37" s="5"/>
      <c r="L37" s="5"/>
      <c r="M37" s="5"/>
      <c r="N37" s="5"/>
      <c r="O37" s="5"/>
      <c r="P37" s="5"/>
      <c r="Q37" s="5"/>
      <c r="R37" s="5"/>
      <c r="S37" s="5"/>
      <c r="T37" s="5"/>
      <c r="U37" s="5"/>
      <c r="V37" s="5"/>
      <c r="W37" s="5"/>
      <c r="X37" s="5"/>
      <c r="Y37" s="5"/>
      <c r="Z37" s="5"/>
      <c r="AA37" s="5"/>
    </row>
    <row r="38" spans="2:31" ht="12.75" customHeight="1" x14ac:dyDescent="0.25">
      <c r="B38" s="5"/>
      <c r="C38" s="5"/>
      <c r="D38" s="5"/>
      <c r="E38" s="5"/>
      <c r="F38" s="5"/>
      <c r="G38" s="5"/>
      <c r="H38" s="5"/>
      <c r="I38" s="5"/>
      <c r="J38" s="5"/>
      <c r="K38" s="5"/>
      <c r="L38" s="5"/>
      <c r="M38" s="5"/>
      <c r="N38" s="44"/>
      <c r="O38" s="5"/>
      <c r="P38" s="5"/>
      <c r="Q38" s="5"/>
      <c r="R38" s="5"/>
      <c r="S38" s="5"/>
      <c r="T38" s="5"/>
      <c r="U38" s="5"/>
      <c r="V38" s="5"/>
      <c r="W38" s="5"/>
      <c r="X38" s="5"/>
      <c r="Y38" s="5"/>
      <c r="Z38" s="5"/>
      <c r="AA38" s="5"/>
    </row>
    <row r="39" spans="2:31" ht="12.75" customHeight="1" thickBot="1" x14ac:dyDescent="0.3">
      <c r="B39" s="253" t="s">
        <v>77</v>
      </c>
      <c r="C39" s="253"/>
      <c r="D39" s="253"/>
      <c r="E39" s="253"/>
      <c r="F39" s="253"/>
      <c r="G39" s="253"/>
      <c r="H39" s="253"/>
      <c r="I39" s="253"/>
      <c r="J39" s="253"/>
      <c r="K39" s="253"/>
      <c r="L39" s="253"/>
      <c r="M39" s="253"/>
      <c r="N39" s="253"/>
      <c r="O39" s="5"/>
      <c r="P39" s="253" t="s">
        <v>78</v>
      </c>
      <c r="Q39" s="253"/>
      <c r="R39" s="253"/>
      <c r="S39" s="253"/>
      <c r="T39" s="253"/>
      <c r="U39" s="253"/>
      <c r="V39" s="253"/>
      <c r="W39" s="253"/>
      <c r="X39" s="253"/>
      <c r="Y39" s="253"/>
      <c r="Z39" s="253"/>
      <c r="AA39" s="253"/>
      <c r="AB39" s="10"/>
      <c r="AC39" s="3" t="s">
        <v>22</v>
      </c>
      <c r="AD39" s="13" t="s">
        <v>23</v>
      </c>
      <c r="AE39" s="74">
        <f t="array" ref="AE39">MIN(IF(D42:N52&gt;0,D42:N52))</f>
        <v>0.1294745780819756</v>
      </c>
    </row>
    <row r="40" spans="2:31" ht="12.75" customHeight="1" thickBot="1" x14ac:dyDescent="0.3">
      <c r="B40" s="75" t="s">
        <v>13</v>
      </c>
      <c r="C40" s="66" t="s">
        <v>14</v>
      </c>
      <c r="D40" s="67" t="s">
        <v>1</v>
      </c>
      <c r="E40" s="67" t="s">
        <v>195</v>
      </c>
      <c r="F40" s="67" t="s">
        <v>2</v>
      </c>
      <c r="G40" s="67" t="s">
        <v>3</v>
      </c>
      <c r="H40" s="67" t="s">
        <v>4</v>
      </c>
      <c r="I40" s="67" t="s">
        <v>5</v>
      </c>
      <c r="J40" s="67" t="s">
        <v>6</v>
      </c>
      <c r="K40" s="67" t="s">
        <v>7</v>
      </c>
      <c r="L40" s="67" t="s">
        <v>295</v>
      </c>
      <c r="M40" s="67" t="s">
        <v>9</v>
      </c>
      <c r="N40" s="67" t="s">
        <v>10</v>
      </c>
      <c r="P40" s="76" t="s">
        <v>19</v>
      </c>
      <c r="Q40" s="77" t="s">
        <v>1</v>
      </c>
      <c r="R40" s="77" t="s">
        <v>195</v>
      </c>
      <c r="S40" s="77" t="s">
        <v>2</v>
      </c>
      <c r="T40" s="77" t="s">
        <v>3</v>
      </c>
      <c r="U40" s="77" t="s">
        <v>4</v>
      </c>
      <c r="V40" s="77" t="s">
        <v>5</v>
      </c>
      <c r="W40" s="77" t="s">
        <v>6</v>
      </c>
      <c r="X40" s="77" t="s">
        <v>7</v>
      </c>
      <c r="Y40" s="77" t="s">
        <v>295</v>
      </c>
      <c r="Z40" s="77" t="s">
        <v>9</v>
      </c>
      <c r="AA40" s="77" t="s">
        <v>10</v>
      </c>
      <c r="AB40" s="254" t="s">
        <v>26</v>
      </c>
      <c r="AC40" s="254"/>
      <c r="AD40" s="13" t="s">
        <v>24</v>
      </c>
      <c r="AE40" s="20">
        <f>MAX(D42:N52)</f>
        <v>131.83253110186016</v>
      </c>
    </row>
    <row r="41" spans="2:31" ht="12.75" customHeight="1" x14ac:dyDescent="0.25">
      <c r="B41" s="93"/>
      <c r="C41" s="94" t="s">
        <v>259</v>
      </c>
      <c r="D41" s="95">
        <f>C42</f>
        <v>-1.8791188246117261</v>
      </c>
      <c r="E41" s="95">
        <f>C43</f>
        <v>6.5247652601200537E-2</v>
      </c>
      <c r="F41" s="95">
        <f>C44</f>
        <v>1.4660226758860337</v>
      </c>
      <c r="G41" s="95">
        <f>C45</f>
        <v>-3.252205997593971</v>
      </c>
      <c r="H41" s="95">
        <f>C46</f>
        <v>-130.36650842597413</v>
      </c>
      <c r="I41" s="95">
        <f>C47</f>
        <v>-15.711464831109533</v>
      </c>
      <c r="J41" s="95">
        <f>C48</f>
        <v>-1.3428022700767732</v>
      </c>
      <c r="K41" s="95">
        <f>C49</f>
        <v>0.63682117592682885</v>
      </c>
      <c r="L41" s="95">
        <f>C50</f>
        <v>0.19472223068317615</v>
      </c>
      <c r="M41" s="95">
        <f>C51</f>
        <v>-27.631820389886364</v>
      </c>
      <c r="N41" s="95">
        <f>C52</f>
        <v>-21.548478135900904</v>
      </c>
      <c r="P41" s="21" t="s">
        <v>1</v>
      </c>
      <c r="Q41" s="97">
        <f>$AE$41+(D42-$AE$39)*($AE$42-$AE$41)/($AE$40-$AE$39)</f>
        <v>1.7903555787703723E-5</v>
      </c>
      <c r="R41" s="97">
        <f t="shared" ref="R41:AA51" si="5">$AE$41+(E42-$AE$39)*($AE$42-$AE$41)/($AE$40-$AE$39)</f>
        <v>1.7903555787703723E-5</v>
      </c>
      <c r="S41" s="97">
        <f t="shared" si="5"/>
        <v>1.7903555787703723E-5</v>
      </c>
      <c r="T41" s="97">
        <f t="shared" si="5"/>
        <v>1.0433106680261948E-2</v>
      </c>
      <c r="U41" s="97">
        <f t="shared" si="5"/>
        <v>0.97462628091403536</v>
      </c>
      <c r="V41" s="97">
        <f t="shared" si="5"/>
        <v>0.10493964208807804</v>
      </c>
      <c r="W41" s="97">
        <f t="shared" si="5"/>
        <v>1.7903555787703723E-5</v>
      </c>
      <c r="X41" s="97">
        <f t="shared" si="5"/>
        <v>1.7903555787703723E-5</v>
      </c>
      <c r="Y41" s="97">
        <f t="shared" si="5"/>
        <v>1.7903555787703723E-5</v>
      </c>
      <c r="Z41" s="97">
        <f t="shared" si="5"/>
        <v>0.19535846392512524</v>
      </c>
      <c r="AA41" s="97">
        <f t="shared" si="5"/>
        <v>0.14921482024564645</v>
      </c>
      <c r="AD41" s="3" t="s">
        <v>25</v>
      </c>
      <c r="AE41" s="2">
        <v>1E-3</v>
      </c>
    </row>
    <row r="42" spans="2:31" ht="12.75" customHeight="1" x14ac:dyDescent="0.25">
      <c r="B42" s="21" t="s">
        <v>1</v>
      </c>
      <c r="C42" s="95">
        <f>Annual_sorted!O53</f>
        <v>-1.8791188246117261</v>
      </c>
      <c r="D42" s="29">
        <f>IF(C42-Table_146345152041495765738189[Burundi]&gt;0, C42-Table_146345152041495765738189[Burundi], 0)</f>
        <v>0</v>
      </c>
      <c r="E42" s="29">
        <f>IF(C42-Table_146345152041495765738189[DRC]&gt;0, C42-Table_146345152041495765738189[DRC], 0)</f>
        <v>0</v>
      </c>
      <c r="F42" s="29">
        <f>IF(C42-Table_146345152041495765738189[Egypt]&gt;0, C42-Table_146345152041495765738189[Egypt], 0)</f>
        <v>0</v>
      </c>
      <c r="G42" s="29">
        <f>IF(C42-Table_146345152041495765738189[Eritrea]&gt;0, C42-Table_146345152041495765738189[Eritrea], 0)</f>
        <v>1.3730871729822449</v>
      </c>
      <c r="H42" s="29">
        <f>IF(C42-Table_146345152041495765738189[Ethiopia]&gt;0, C42-Table_146345152041495765738189[Ethiopia], 0)</f>
        <v>128.48738960136239</v>
      </c>
      <c r="I42" s="29">
        <f>IF(C42-Table_146345152041495765738189[Kenya]&gt;0, C42-Table_146345152041495765738189[Kenya], 0)</f>
        <v>13.832346006497806</v>
      </c>
      <c r="J42" s="29">
        <f>IF(C42-Table_146345152041495765738189[Rwanda]&gt;0, C42-Table_146345152041495765738189[Rwanda], 0)</f>
        <v>0</v>
      </c>
      <c r="K42" s="29">
        <f>IF(C42-Table_146345152041495765738189[Sudan]&gt;0, C42-Table_146345152041495765738189[Sudan], 0)</f>
        <v>0</v>
      </c>
      <c r="L42" s="29">
        <f>IF(C42-Table_146345152041495765738189[S. Sudan]&gt;0, C42-Table_146345152041495765738189[S. Sudan], 0)</f>
        <v>0</v>
      </c>
      <c r="M42" s="29">
        <f>IF(C42-Table_146345152041495765738189[Tanzania]&gt;0, C42-Table_146345152041495765738189[Tanzania], 0)</f>
        <v>25.752701565274638</v>
      </c>
      <c r="N42" s="29">
        <f>IF(C42-Table_146345152041495765738189[Uganda]&gt;0, C42-Table_146345152041495765738189[Uganda], 0)</f>
        <v>19.669359311289178</v>
      </c>
      <c r="P42" s="21" t="s">
        <v>195</v>
      </c>
      <c r="Q42" s="97">
        <f t="shared" ref="Q42:Q51" si="6">$AE$41+(D43-$AE$39)*($AE$42-$AE$41)/($AE$40-$AE$39)</f>
        <v>1.4766400378904494E-2</v>
      </c>
      <c r="R42" s="97">
        <f t="shared" si="5"/>
        <v>1.7903555787703723E-5</v>
      </c>
      <c r="S42" s="97">
        <f t="shared" si="5"/>
        <v>1.7903555787703723E-5</v>
      </c>
      <c r="T42" s="97">
        <f t="shared" si="5"/>
        <v>2.5181603503378742E-2</v>
      </c>
      <c r="U42" s="97">
        <f t="shared" si="5"/>
        <v>0.98937477773715221</v>
      </c>
      <c r="V42" s="97">
        <f t="shared" si="5"/>
        <v>0.11968813891119484</v>
      </c>
      <c r="W42" s="97">
        <f t="shared" si="5"/>
        <v>1.0698307715590442E-2</v>
      </c>
      <c r="X42" s="97">
        <f t="shared" si="5"/>
        <v>1.7903555787703723E-5</v>
      </c>
      <c r="Y42" s="97">
        <f t="shared" si="5"/>
        <v>1.7903555787703723E-5</v>
      </c>
      <c r="Z42" s="97">
        <f t="shared" si="5"/>
        <v>0.21010696074824203</v>
      </c>
      <c r="AA42" s="97">
        <f t="shared" si="5"/>
        <v>0.16396331706876324</v>
      </c>
      <c r="AD42" s="3" t="s">
        <v>70</v>
      </c>
      <c r="AE42" s="2">
        <v>1</v>
      </c>
    </row>
    <row r="43" spans="2:31" ht="12.75" customHeight="1" x14ac:dyDescent="0.25">
      <c r="B43" s="21" t="s">
        <v>195</v>
      </c>
      <c r="C43" s="95">
        <f>Annual_sorted!O54</f>
        <v>6.5247652601200537E-2</v>
      </c>
      <c r="D43" s="29">
        <f>IF(C43-Table_146345152041495765738189[Burundi]&gt;0, C43-Table_146345152041495765738189[Burundi], 0)</f>
        <v>1.9443664772129265</v>
      </c>
      <c r="E43" s="29">
        <f>IF(C43-Table_146345152041495765738189[DRC]&gt;0, C43-Table_146345152041495765738189[DRC], 0)</f>
        <v>0</v>
      </c>
      <c r="F43" s="29">
        <f>IF(C43-Table_146345152041495765738189[Egypt]&gt;0, C43-Table_146345152041495765738189[Egypt], 0)</f>
        <v>0</v>
      </c>
      <c r="G43" s="29">
        <f>IF(C43-Table_146345152041495765738189[Eritrea]&gt;0, C43-Table_146345152041495765738189[Eritrea], 0)</f>
        <v>3.3174536501951715</v>
      </c>
      <c r="H43" s="29">
        <f>IF(C43-Table_146345152041495765738189[Ethiopia]&gt;0, C43-Table_146345152041495765738189[Ethiopia], 0)</f>
        <v>130.43175607857532</v>
      </c>
      <c r="I43" s="29">
        <f>IF(C43-Table_146345152041495765738189[Kenya]&gt;0, C43-Table_146345152041495765738189[Kenya], 0)</f>
        <v>15.776712483710734</v>
      </c>
      <c r="J43" s="29">
        <f>IF(C43-Table_146345152041495765738189[Rwanda]&gt;0, C43-Table_146345152041495765738189[Rwanda], 0)</f>
        <v>1.4080499226779737</v>
      </c>
      <c r="K43" s="29">
        <f>IF(C43-Table_146345152041495765738189[Sudan]&gt;0, C43-Table_146345152041495765738189[Sudan], 0)</f>
        <v>0</v>
      </c>
      <c r="L43" s="29">
        <f>IF(C43-Table_146345152041495765738189[S. Sudan]&gt;0, C43-Table_146345152041495765738189[S. Sudan], 0)</f>
        <v>0</v>
      </c>
      <c r="M43" s="29">
        <f>IF(C43-Table_146345152041495765738189[Tanzania]&gt;0, C43-Table_146345152041495765738189[Tanzania], 0)</f>
        <v>27.697068042487565</v>
      </c>
      <c r="N43" s="29">
        <f>IF(C43-Table_146345152041495765738189[Uganda]&gt;0, C43-Table_146345152041495765738189[Uganda], 0)</f>
        <v>21.613725788502105</v>
      </c>
      <c r="P43" s="21" t="s">
        <v>2</v>
      </c>
      <c r="Q43" s="97">
        <f t="shared" si="6"/>
        <v>2.5391622641752279E-2</v>
      </c>
      <c r="R43" s="97">
        <f t="shared" si="5"/>
        <v>1.0643125818635493E-2</v>
      </c>
      <c r="S43" s="97">
        <f t="shared" si="5"/>
        <v>1.7903555787703723E-5</v>
      </c>
      <c r="T43" s="97">
        <f t="shared" si="5"/>
        <v>3.5806825766226534E-2</v>
      </c>
      <c r="U43" s="97">
        <f t="shared" si="5"/>
        <v>1</v>
      </c>
      <c r="V43" s="97">
        <f t="shared" si="5"/>
        <v>0.1303133611740426</v>
      </c>
      <c r="W43" s="97">
        <f t="shared" si="5"/>
        <v>2.1323529978438231E-2</v>
      </c>
      <c r="X43" s="97">
        <f t="shared" si="5"/>
        <v>6.3076003959645919E-3</v>
      </c>
      <c r="Y43" s="97">
        <f t="shared" si="5"/>
        <v>9.6610293744231954E-3</v>
      </c>
      <c r="Z43" s="97">
        <f t="shared" si="5"/>
        <v>0.22073218301108982</v>
      </c>
      <c r="AA43" s="97">
        <f t="shared" si="5"/>
        <v>0.17458853933161103</v>
      </c>
    </row>
    <row r="44" spans="2:31" ht="12.75" customHeight="1" x14ac:dyDescent="0.25">
      <c r="B44" s="21" t="s">
        <v>2</v>
      </c>
      <c r="C44" s="95">
        <f>Annual_sorted!O55</f>
        <v>1.4660226758860337</v>
      </c>
      <c r="D44" s="29">
        <f>IF(C44-Table_146345152041495765738189[Burundi]&gt;0, C44-Table_146345152041495765738189[Burundi], 0)</f>
        <v>3.3451415004977596</v>
      </c>
      <c r="E44" s="29">
        <f>IF(C44-Table_146345152041495765738189[DRC]&gt;0, C44-Table_146345152041495765738189[DRC], 0)</f>
        <v>1.4007750232848333</v>
      </c>
      <c r="F44" s="29">
        <f>IF(C44-Table_146345152041495765738189[Egypt]&gt;0, C44-Table_146345152041495765738189[Egypt], 0)</f>
        <v>0</v>
      </c>
      <c r="G44" s="29">
        <f>IF(C44-Table_146345152041495765738189[Eritrea]&gt;0, C44-Table_146345152041495765738189[Eritrea], 0)</f>
        <v>4.718228673480005</v>
      </c>
      <c r="H44" s="29">
        <f>IF(C44-Table_146345152041495765738189[Ethiopia]&gt;0, C44-Table_146345152041495765738189[Ethiopia], 0)</f>
        <v>131.83253110186016</v>
      </c>
      <c r="I44" s="29">
        <f>IF(C44-Table_146345152041495765738189[Kenya]&gt;0, C44-Table_146345152041495765738189[Kenya], 0)</f>
        <v>17.177487506995565</v>
      </c>
      <c r="J44" s="29">
        <f>IF(C44-Table_146345152041495765738189[Rwanda]&gt;0, C44-Table_146345152041495765738189[Rwanda], 0)</f>
        <v>2.8088249459628072</v>
      </c>
      <c r="K44" s="29">
        <f>IF(C44-Table_146345152041495765738189[Sudan]&gt;0, C44-Table_146345152041495765738189[Sudan], 0)</f>
        <v>0.82920149995920489</v>
      </c>
      <c r="L44" s="29">
        <f>IF(C44-Table_146345152041495765738189[S. Sudan]&gt;0, C44-Table_146345152041495765738189[S. Sudan], 0)</f>
        <v>1.2713004452028576</v>
      </c>
      <c r="M44" s="29">
        <f>IF(C44-Table_146345152041495765738189[Tanzania]&gt;0, C44-Table_146345152041495765738189[Tanzania], 0)</f>
        <v>29.097843065772398</v>
      </c>
      <c r="N44" s="29">
        <f>IF(C44-Table_146345152041495765738189[Uganda]&gt;0, C44-Table_146345152041495765738189[Uganda], 0)</f>
        <v>23.014500811786938</v>
      </c>
      <c r="P44" s="21" t="s">
        <v>3</v>
      </c>
      <c r="Q44" s="97">
        <f t="shared" si="6"/>
        <v>1.7903555787703723E-5</v>
      </c>
      <c r="R44" s="97">
        <f t="shared" si="5"/>
        <v>1.7903555787703723E-5</v>
      </c>
      <c r="S44" s="97">
        <f t="shared" si="5"/>
        <v>1.7903555787703723E-5</v>
      </c>
      <c r="T44" s="97">
        <f t="shared" si="5"/>
        <v>1.7903555787703723E-5</v>
      </c>
      <c r="U44" s="97">
        <f t="shared" si="5"/>
        <v>0.96421107778956128</v>
      </c>
      <c r="V44" s="97">
        <f t="shared" si="5"/>
        <v>9.452443896360381E-2</v>
      </c>
      <c r="W44" s="97">
        <f t="shared" si="5"/>
        <v>1.7903555787703723E-5</v>
      </c>
      <c r="X44" s="97">
        <f t="shared" si="5"/>
        <v>1.7903555787703723E-5</v>
      </c>
      <c r="Y44" s="97">
        <f t="shared" si="5"/>
        <v>1.7903555787703723E-5</v>
      </c>
      <c r="Z44" s="97">
        <f t="shared" si="5"/>
        <v>0.18494326080065099</v>
      </c>
      <c r="AA44" s="97">
        <f t="shared" si="5"/>
        <v>0.13879961712117217</v>
      </c>
    </row>
    <row r="45" spans="2:31" ht="12.75" customHeight="1" x14ac:dyDescent="0.25">
      <c r="B45" s="21" t="s">
        <v>3</v>
      </c>
      <c r="C45" s="95">
        <f>Annual_sorted!O56</f>
        <v>-3.252205997593971</v>
      </c>
      <c r="D45" s="29">
        <f>IF(C45-Table_146345152041495765738189[Burundi]&gt;0, C45-Table_146345152041495765738189[Burundi], 0)</f>
        <v>0</v>
      </c>
      <c r="E45" s="29">
        <f>IF(C45-Table_146345152041495765738189[DRC]&gt;0, C45-Table_146345152041495765738189[DRC], 0)</f>
        <v>0</v>
      </c>
      <c r="F45" s="29">
        <f>IF(C45-Table_146345152041495765738189[Egypt]&gt;0, C45-Table_146345152041495765738189[Egypt], 0)</f>
        <v>0</v>
      </c>
      <c r="G45" s="29">
        <f>IF(C45-Table_146345152041495765738189[Eritrea]&gt;0, C45-Table_146345152041495765738189[Eritrea], 0)</f>
        <v>0</v>
      </c>
      <c r="H45" s="29">
        <f>IF(C45-Table_146345152041495765738189[Ethiopia]&gt;0, C45-Table_146345152041495765738189[Ethiopia], 0)</f>
        <v>127.11430242838016</v>
      </c>
      <c r="I45" s="29">
        <f>IF(C45-Table_146345152041495765738189[Kenya]&gt;0, C45-Table_146345152041495765738189[Kenya], 0)</f>
        <v>12.459258833515563</v>
      </c>
      <c r="J45" s="29">
        <f>IF(C45-Table_146345152041495765738189[Rwanda]&gt;0, C45-Table_146345152041495765738189[Rwanda], 0)</f>
        <v>0</v>
      </c>
      <c r="K45" s="29">
        <f>IF(C45-Table_146345152041495765738189[Sudan]&gt;0, C45-Table_146345152041495765738189[Sudan], 0)</f>
        <v>0</v>
      </c>
      <c r="L45" s="29">
        <f>IF(C45-Table_146345152041495765738189[S. Sudan]&gt;0, C45-Table_146345152041495765738189[S. Sudan], 0)</f>
        <v>0</v>
      </c>
      <c r="M45" s="29">
        <f>IF(C45-Table_146345152041495765738189[Tanzania]&gt;0, C45-Table_146345152041495765738189[Tanzania], 0)</f>
        <v>24.379614392292392</v>
      </c>
      <c r="N45" s="29">
        <f>IF(C45-Table_146345152041495765738189[Uganda]&gt;0, C45-Table_146345152041495765738189[Uganda], 0)</f>
        <v>18.296272138306932</v>
      </c>
      <c r="P45" s="21" t="s">
        <v>4</v>
      </c>
      <c r="Q45" s="97">
        <f t="shared" si="6"/>
        <v>1.7903555787703723E-5</v>
      </c>
      <c r="R45" s="97">
        <f t="shared" si="5"/>
        <v>1.7903555787703723E-5</v>
      </c>
      <c r="S45" s="97">
        <f t="shared" si="5"/>
        <v>1.7903555787703723E-5</v>
      </c>
      <c r="T45" s="97">
        <f t="shared" si="5"/>
        <v>1.7903555787703723E-5</v>
      </c>
      <c r="U45" s="97">
        <f t="shared" si="5"/>
        <v>1.7903555787703723E-5</v>
      </c>
      <c r="V45" s="97">
        <f t="shared" si="5"/>
        <v>1.7903555787703723E-5</v>
      </c>
      <c r="W45" s="97">
        <f t="shared" si="5"/>
        <v>1.7903555787703723E-5</v>
      </c>
      <c r="X45" s="97">
        <f t="shared" si="5"/>
        <v>1.7903555787703723E-5</v>
      </c>
      <c r="Y45" s="97">
        <f t="shared" si="5"/>
        <v>1.7903555787703723E-5</v>
      </c>
      <c r="Z45" s="97">
        <f t="shared" si="5"/>
        <v>1.7903555787703723E-5</v>
      </c>
      <c r="AA45" s="97">
        <f t="shared" si="5"/>
        <v>1.7903555787703723E-5</v>
      </c>
    </row>
    <row r="46" spans="2:31" ht="12.75" customHeight="1" x14ac:dyDescent="0.25">
      <c r="B46" s="21" t="s">
        <v>4</v>
      </c>
      <c r="C46" s="95">
        <f>Annual_sorted!O57</f>
        <v>-130.36650842597413</v>
      </c>
      <c r="D46" s="29">
        <f>IF(C46-Table_146345152041495765738189[Burundi]&gt;0, C46-Table_146345152041495765738189[Burundi], 0)</f>
        <v>0</v>
      </c>
      <c r="E46" s="29">
        <f>IF(C46-Table_146345152041495765738189[DRC]&gt;0, C46-Table_146345152041495765738189[DRC], 0)</f>
        <v>0</v>
      </c>
      <c r="F46" s="29">
        <f>IF(C46-Table_146345152041495765738189[Egypt]&gt;0, C46-Table_146345152041495765738189[Egypt], 0)</f>
        <v>0</v>
      </c>
      <c r="G46" s="29">
        <f>IF(C46-Table_146345152041495765738189[Eritrea]&gt;0, C46-Table_146345152041495765738189[Eritrea], 0)</f>
        <v>0</v>
      </c>
      <c r="H46" s="29">
        <f>IF(C46-Table_146345152041495765738189[Ethiopia]&gt;0, C46-Table_146345152041495765738189[Ethiopia], 0)</f>
        <v>0</v>
      </c>
      <c r="I46" s="29">
        <f>IF(C46-Table_146345152041495765738189[Kenya]&gt;0, C46-Table_146345152041495765738189[Kenya], 0)</f>
        <v>0</v>
      </c>
      <c r="J46" s="29">
        <f>IF(C46-Table_146345152041495765738189[Rwanda]&gt;0, C46-Table_146345152041495765738189[Rwanda], 0)</f>
        <v>0</v>
      </c>
      <c r="K46" s="29">
        <f>IF(C46-Table_146345152041495765738189[Sudan]&gt;0, C46-Table_146345152041495765738189[Sudan], 0)</f>
        <v>0</v>
      </c>
      <c r="L46" s="29">
        <f>IF(C46-Table_146345152041495765738189[S. Sudan]&gt;0, C46-Table_146345152041495765738189[S. Sudan], 0)</f>
        <v>0</v>
      </c>
      <c r="M46" s="29">
        <f>IF(C46-Table_146345152041495765738189[Tanzania]&gt;0, C46-Table_146345152041495765738189[Tanzania], 0)</f>
        <v>0</v>
      </c>
      <c r="N46" s="29">
        <f>IF(C46-Table_146345152041495765738189[Uganda]&gt;0, C46-Table_146345152041495765738189[Uganda], 0)</f>
        <v>0</v>
      </c>
      <c r="P46" s="21" t="s">
        <v>5</v>
      </c>
      <c r="Q46" s="97">
        <f t="shared" si="6"/>
        <v>1.7903555787703723E-5</v>
      </c>
      <c r="R46" s="97">
        <f t="shared" si="5"/>
        <v>1.7903555787703723E-5</v>
      </c>
      <c r="S46" s="97">
        <f t="shared" si="5"/>
        <v>1.7903555787703723E-5</v>
      </c>
      <c r="T46" s="97">
        <f t="shared" si="5"/>
        <v>1.7903555787703723E-5</v>
      </c>
      <c r="U46" s="97">
        <f t="shared" si="5"/>
        <v>0.86970454238174522</v>
      </c>
      <c r="V46" s="97">
        <f t="shared" si="5"/>
        <v>1.7903555787703723E-5</v>
      </c>
      <c r="W46" s="97">
        <f t="shared" si="5"/>
        <v>1.7903555787703723E-5</v>
      </c>
      <c r="X46" s="97">
        <f t="shared" si="5"/>
        <v>1.7903555787703723E-5</v>
      </c>
      <c r="Y46" s="97">
        <f t="shared" si="5"/>
        <v>1.7903555787703723E-5</v>
      </c>
      <c r="Z46" s="97">
        <f t="shared" si="5"/>
        <v>9.0436725392834913E-2</v>
      </c>
      <c r="AA46" s="97">
        <f t="shared" si="5"/>
        <v>4.4293081713356108E-2</v>
      </c>
    </row>
    <row r="47" spans="2:31" ht="12.75" customHeight="1" x14ac:dyDescent="0.25">
      <c r="B47" s="21" t="s">
        <v>5</v>
      </c>
      <c r="C47" s="95">
        <f>Annual_sorted!O58</f>
        <v>-15.711464831109533</v>
      </c>
      <c r="D47" s="29">
        <f>IF(C47-Table_146345152041495765738189[Burundi]&gt;0, C47-Table_146345152041495765738189[Burundi], 0)</f>
        <v>0</v>
      </c>
      <c r="E47" s="29">
        <f>IF(C47-Table_146345152041495765738189[DRC]&gt;0, C47-Table_146345152041495765738189[DRC], 0)</f>
        <v>0</v>
      </c>
      <c r="F47" s="29">
        <f>IF(C47-Table_146345152041495765738189[Egypt]&gt;0, C47-Table_146345152041495765738189[Egypt], 0)</f>
        <v>0</v>
      </c>
      <c r="G47" s="29">
        <f>IF(C47-Table_146345152041495765738189[Eritrea]&gt;0, C47-Table_146345152041495765738189[Eritrea], 0)</f>
        <v>0</v>
      </c>
      <c r="H47" s="29">
        <f>IF(C47-Table_146345152041495765738189[Ethiopia]&gt;0, C47-Table_146345152041495765738189[Ethiopia], 0)</f>
        <v>114.65504359486459</v>
      </c>
      <c r="I47" s="29">
        <f>IF(C47-Table_146345152041495765738189[Kenya]&gt;0, C47-Table_146345152041495765738189[Kenya], 0)</f>
        <v>0</v>
      </c>
      <c r="J47" s="29">
        <f>IF(C47-Table_146345152041495765738189[Rwanda]&gt;0, C47-Table_146345152041495765738189[Rwanda], 0)</f>
        <v>0</v>
      </c>
      <c r="K47" s="29">
        <f>IF(C47-Table_146345152041495765738189[Sudan]&gt;0, C47-Table_146345152041495765738189[Sudan], 0)</f>
        <v>0</v>
      </c>
      <c r="L47" s="29">
        <f>IF(C47-Table_146345152041495765738189[S. Sudan]&gt;0, C47-Table_146345152041495765738189[S. Sudan], 0)</f>
        <v>0</v>
      </c>
      <c r="M47" s="29">
        <f>IF(C47-Table_146345152041495765738189[Tanzania]&gt;0, C47-Table_146345152041495765738189[Tanzania], 0)</f>
        <v>11.920355558776832</v>
      </c>
      <c r="N47" s="29">
        <f>IF(C47-Table_146345152041495765738189[Uganda]&gt;0, C47-Table_146345152041495765738189[Uganda], 0)</f>
        <v>5.8370133047913715</v>
      </c>
      <c r="P47" s="21" t="s">
        <v>6</v>
      </c>
      <c r="Q47" s="97">
        <f t="shared" si="6"/>
        <v>4.0859962191017556E-3</v>
      </c>
      <c r="R47" s="97">
        <f t="shared" si="5"/>
        <v>1.7903555787703723E-5</v>
      </c>
      <c r="S47" s="97">
        <f t="shared" si="5"/>
        <v>1.7903555787703723E-5</v>
      </c>
      <c r="T47" s="97">
        <f t="shared" si="5"/>
        <v>1.4501199343576E-2</v>
      </c>
      <c r="U47" s="97">
        <f t="shared" si="5"/>
        <v>0.97869437357734967</v>
      </c>
      <c r="V47" s="97">
        <f t="shared" si="5"/>
        <v>0.10900773475139211</v>
      </c>
      <c r="W47" s="97">
        <f t="shared" si="5"/>
        <v>1.7903555787703723E-5</v>
      </c>
      <c r="X47" s="97">
        <f t="shared" si="5"/>
        <v>1.7903555787703723E-5</v>
      </c>
      <c r="Y47" s="97">
        <f t="shared" si="5"/>
        <v>1.7903555787703723E-5</v>
      </c>
      <c r="Z47" s="97">
        <f t="shared" si="5"/>
        <v>0.1994265565884393</v>
      </c>
      <c r="AA47" s="97">
        <f t="shared" si="5"/>
        <v>0.15328291290896048</v>
      </c>
    </row>
    <row r="48" spans="2:31" ht="12.75" customHeight="1" x14ac:dyDescent="0.25">
      <c r="B48" s="21" t="s">
        <v>6</v>
      </c>
      <c r="C48" s="95">
        <f>Annual_sorted!O59</f>
        <v>-1.3428022700767732</v>
      </c>
      <c r="D48" s="29">
        <f>IF(C48-Table_146345152041495765738189[Burundi]&gt;0, C48-Table_146345152041495765738189[Burundi], 0)</f>
        <v>0.53631655453495286</v>
      </c>
      <c r="E48" s="29">
        <f>IF(C48-Table_146345152041495765738189[DRC]&gt;0, C48-Table_146345152041495765738189[DRC], 0)</f>
        <v>0</v>
      </c>
      <c r="F48" s="29">
        <f>IF(C48-Table_146345152041495765738189[Egypt]&gt;0, C48-Table_146345152041495765738189[Egypt], 0)</f>
        <v>0</v>
      </c>
      <c r="G48" s="29">
        <f>IF(C48-Table_146345152041495765738189[Eritrea]&gt;0, C48-Table_146345152041495765738189[Eritrea], 0)</f>
        <v>1.9094037275171978</v>
      </c>
      <c r="H48" s="29">
        <f>IF(C48-Table_146345152041495765738189[Ethiopia]&gt;0, C48-Table_146345152041495765738189[Ethiopia], 0)</f>
        <v>129.02370615589737</v>
      </c>
      <c r="I48" s="29">
        <f>IF(C48-Table_146345152041495765738189[Kenya]&gt;0, C48-Table_146345152041495765738189[Kenya], 0)</f>
        <v>14.36866256103276</v>
      </c>
      <c r="J48" s="29">
        <f>IF(C48-Table_146345152041495765738189[Rwanda]&gt;0, C48-Table_146345152041495765738189[Rwanda], 0)</f>
        <v>0</v>
      </c>
      <c r="K48" s="29">
        <f>IF(C48-Table_146345152041495765738189[Sudan]&gt;0, C48-Table_146345152041495765738189[Sudan], 0)</f>
        <v>0</v>
      </c>
      <c r="L48" s="29">
        <f>IF(C48-Table_146345152041495765738189[S. Sudan]&gt;0, C48-Table_146345152041495765738189[S. Sudan], 0)</f>
        <v>0</v>
      </c>
      <c r="M48" s="29">
        <f>IF(C48-Table_146345152041495765738189[Tanzania]&gt;0, C48-Table_146345152041495765738189[Tanzania], 0)</f>
        <v>26.28901811980959</v>
      </c>
      <c r="N48" s="29">
        <f>IF(C48-Table_146345152041495765738189[Uganda]&gt;0, C48-Table_146345152041495765738189[Uganda], 0)</f>
        <v>20.20567586582413</v>
      </c>
      <c r="P48" s="21" t="s">
        <v>7</v>
      </c>
      <c r="Q48" s="97">
        <f t="shared" si="6"/>
        <v>1.9101925801575395E-2</v>
      </c>
      <c r="R48" s="97">
        <f t="shared" si="5"/>
        <v>4.3534289784586018E-3</v>
      </c>
      <c r="S48" s="97">
        <f t="shared" si="5"/>
        <v>1.7903555787703723E-5</v>
      </c>
      <c r="T48" s="97">
        <f t="shared" si="5"/>
        <v>2.9517128926049643E-2</v>
      </c>
      <c r="U48" s="97">
        <f t="shared" si="5"/>
        <v>0.99371030315982312</v>
      </c>
      <c r="V48" s="97">
        <f t="shared" si="5"/>
        <v>0.12402366433386575</v>
      </c>
      <c r="W48" s="97">
        <f t="shared" si="5"/>
        <v>1.5033833138261343E-2</v>
      </c>
      <c r="X48" s="97">
        <f t="shared" si="5"/>
        <v>1.7903555787703723E-5</v>
      </c>
      <c r="Y48" s="97">
        <f t="shared" si="5"/>
        <v>3.3713325342463064E-3</v>
      </c>
      <c r="Z48" s="97">
        <f t="shared" si="5"/>
        <v>0.21444248617091294</v>
      </c>
      <c r="AA48" s="97">
        <f t="shared" si="5"/>
        <v>0.16829884249143415</v>
      </c>
    </row>
    <row r="49" spans="2:31" ht="12.75" customHeight="1" x14ac:dyDescent="0.25">
      <c r="B49" s="21" t="s">
        <v>7</v>
      </c>
      <c r="C49" s="95">
        <f>Annual_sorted!O60</f>
        <v>0.63682117592682885</v>
      </c>
      <c r="D49" s="29">
        <f>IF(C49-Table_146345152041495765738189[Burundi]&gt;0, C49-Table_146345152041495765738189[Burundi], 0)</f>
        <v>2.515940000538555</v>
      </c>
      <c r="E49" s="29">
        <f>IF(C49-Table_146345152041495765738189[DRC]&gt;0, C49-Table_146345152041495765738189[DRC], 0)</f>
        <v>0.57157352332562827</v>
      </c>
      <c r="F49" s="29">
        <f>IF(C49-Table_146345152041495765738189[Egypt]&gt;0, C49-Table_146345152041495765738189[Egypt], 0)</f>
        <v>0</v>
      </c>
      <c r="G49" s="29">
        <f>IF(C49-Table_146345152041495765738189[Eritrea]&gt;0, C49-Table_146345152041495765738189[Eritrea], 0)</f>
        <v>3.8890271735208</v>
      </c>
      <c r="H49" s="29">
        <f>IF(C49-Table_146345152041495765738189[Ethiopia]&gt;0, C49-Table_146345152041495765738189[Ethiopia], 0)</f>
        <v>131.00332960190096</v>
      </c>
      <c r="I49" s="29">
        <f>IF(C49-Table_146345152041495765738189[Kenya]&gt;0, C49-Table_146345152041495765738189[Kenya], 0)</f>
        <v>16.348286007036361</v>
      </c>
      <c r="J49" s="29">
        <f>IF(C49-Table_146345152041495765738189[Rwanda]&gt;0, C49-Table_146345152041495765738189[Rwanda], 0)</f>
        <v>1.9796234460036022</v>
      </c>
      <c r="K49" s="29">
        <f>IF(C49-Table_146345152041495765738189[Sudan]&gt;0, C49-Table_146345152041495765738189[Sudan], 0)</f>
        <v>0</v>
      </c>
      <c r="L49" s="29">
        <f>IF(C49-Table_146345152041495765738189[S. Sudan]&gt;0, C49-Table_146345152041495765738189[S. Sudan], 0)</f>
        <v>0.44209894524365267</v>
      </c>
      <c r="M49" s="29">
        <f>IF(C49-Table_146345152041495765738189[Tanzania]&gt;0, C49-Table_146345152041495765738189[Tanzania], 0)</f>
        <v>28.268641565813194</v>
      </c>
      <c r="N49" s="29">
        <f>IF(C49-Table_146345152041495765738189[Uganda]&gt;0, C49-Table_146345152041495765738189[Uganda], 0)</f>
        <v>22.185299311827734</v>
      </c>
      <c r="P49" s="21" t="s">
        <v>8</v>
      </c>
      <c r="Q49" s="97">
        <f t="shared" si="6"/>
        <v>1.5748496823116791E-2</v>
      </c>
      <c r="R49" s="97">
        <f t="shared" si="5"/>
        <v>1E-3</v>
      </c>
      <c r="S49" s="97">
        <f t="shared" si="5"/>
        <v>1.7903555787703723E-5</v>
      </c>
      <c r="T49" s="97">
        <f t="shared" si="5"/>
        <v>2.6163699947591039E-2</v>
      </c>
      <c r="U49" s="97">
        <f t="shared" si="5"/>
        <v>0.99035687418136464</v>
      </c>
      <c r="V49" s="97">
        <f t="shared" si="5"/>
        <v>0.12067023535540713</v>
      </c>
      <c r="W49" s="97">
        <f t="shared" si="5"/>
        <v>1.1680404159802739E-2</v>
      </c>
      <c r="X49" s="97">
        <f t="shared" si="5"/>
        <v>1.7903555787703723E-5</v>
      </c>
      <c r="Y49" s="97">
        <f t="shared" si="5"/>
        <v>1.7903555787703723E-5</v>
      </c>
      <c r="Z49" s="97">
        <f t="shared" si="5"/>
        <v>0.21108905719245433</v>
      </c>
      <c r="AA49" s="97">
        <f t="shared" si="5"/>
        <v>0.16494541351297554</v>
      </c>
    </row>
    <row r="50" spans="2:31" ht="12.75" customHeight="1" x14ac:dyDescent="0.25">
      <c r="B50" s="21" t="s">
        <v>8</v>
      </c>
      <c r="C50" s="95">
        <f>Annual_sorted!O61</f>
        <v>0.19472223068317615</v>
      </c>
      <c r="D50" s="29">
        <f>IF(C50-Table_146345152041495765738189[Burundi]&gt;0, C50-Table_146345152041495765738189[Burundi], 0)</f>
        <v>2.0738410552949023</v>
      </c>
      <c r="E50" s="29">
        <f>IF(C50-Table_146345152041495765738189[DRC]&gt;0, C50-Table_146345152041495765738189[DRC], 0)</f>
        <v>0.1294745780819756</v>
      </c>
      <c r="F50" s="29">
        <f>IF(C50-Table_146345152041495765738189[Egypt]&gt;0, C50-Table_146345152041495765738189[Egypt], 0)</f>
        <v>0</v>
      </c>
      <c r="G50" s="29">
        <f>IF(C50-Table_146345152041495765738189[Eritrea]&gt;0, C50-Table_146345152041495765738189[Eritrea], 0)</f>
        <v>3.4469282282771472</v>
      </c>
      <c r="H50" s="29">
        <f>IF(C50-Table_146345152041495765738189[Ethiopia]&gt;0, C50-Table_146345152041495765738189[Ethiopia], 0)</f>
        <v>130.5612306566573</v>
      </c>
      <c r="I50" s="29">
        <f>IF(C50-Table_146345152041495765738189[Kenya]&gt;0, C50-Table_146345152041495765738189[Kenya], 0)</f>
        <v>15.906187061792709</v>
      </c>
      <c r="J50" s="29">
        <f>IF(C50-Table_146345152041495765738189[Rwanda]&gt;0, C50-Table_146345152041495765738189[Rwanda], 0)</f>
        <v>1.5375245007599494</v>
      </c>
      <c r="K50" s="29">
        <f>IF(C50-Table_146345152041495765738189[Sudan]&gt;0, C50-Table_146345152041495765738189[Sudan], 0)</f>
        <v>0</v>
      </c>
      <c r="L50" s="29">
        <f>IF(C50-Table_146345152041495765738189[S. Sudan]&gt;0, C50-Table_146345152041495765738189[S. Sudan], 0)</f>
        <v>0</v>
      </c>
      <c r="M50" s="29">
        <f>IF(C50-Table_146345152041495765738189[Tanzania]&gt;0, C50-Table_146345152041495765738189[Tanzania], 0)</f>
        <v>27.826542620569541</v>
      </c>
      <c r="N50" s="29">
        <f>IF(C50-Table_146345152041495765738189[Uganda]&gt;0, C50-Table_146345152041495765738189[Uganda], 0)</f>
        <v>21.74320036658408</v>
      </c>
      <c r="P50" s="21" t="s">
        <v>9</v>
      </c>
      <c r="Q50" s="97">
        <f t="shared" si="6"/>
        <v>1.7903555787703723E-5</v>
      </c>
      <c r="R50" s="97">
        <f t="shared" si="5"/>
        <v>1.7903555787703723E-5</v>
      </c>
      <c r="S50" s="97">
        <f t="shared" si="5"/>
        <v>1.7903555787703723E-5</v>
      </c>
      <c r="T50" s="97">
        <f t="shared" si="5"/>
        <v>1.7903555787703723E-5</v>
      </c>
      <c r="U50" s="97">
        <f t="shared" si="5"/>
        <v>0.77928572054469791</v>
      </c>
      <c r="V50" s="97">
        <f t="shared" si="5"/>
        <v>1.7903555787703723E-5</v>
      </c>
      <c r="W50" s="97">
        <f t="shared" si="5"/>
        <v>1.7903555787703723E-5</v>
      </c>
      <c r="X50" s="97">
        <f t="shared" si="5"/>
        <v>1.7903555787703723E-5</v>
      </c>
      <c r="Y50" s="97">
        <f t="shared" si="5"/>
        <v>1.7903555787703723E-5</v>
      </c>
      <c r="Z50" s="97">
        <f t="shared" si="5"/>
        <v>1.7903555787703723E-5</v>
      </c>
      <c r="AA50" s="97">
        <f t="shared" si="5"/>
        <v>1.7903555787703723E-5</v>
      </c>
    </row>
    <row r="51" spans="2:31" ht="12.75" customHeight="1" thickBot="1" x14ac:dyDescent="0.3">
      <c r="B51" s="21" t="s">
        <v>9</v>
      </c>
      <c r="C51" s="95">
        <f>Annual_sorted!O62</f>
        <v>-27.631820389886364</v>
      </c>
      <c r="D51" s="29">
        <f>IF(C51-Table_146345152041495765738189[Burundi]&gt;0, C51-Table_146345152041495765738189[Burundi], 0)</f>
        <v>0</v>
      </c>
      <c r="E51" s="29">
        <f>IF(C51-Table_146345152041495765738189[DRC]&gt;0, C51-Table_146345152041495765738189[DRC], 0)</f>
        <v>0</v>
      </c>
      <c r="F51" s="29">
        <f>IF(C51-Table_146345152041495765738189[Egypt]&gt;0, C51-Table_146345152041495765738189[Egypt], 0)</f>
        <v>0</v>
      </c>
      <c r="G51" s="29">
        <f>IF(C51-Table_146345152041495765738189[Eritrea]&gt;0, C51-Table_146345152041495765738189[Eritrea], 0)</f>
        <v>0</v>
      </c>
      <c r="H51" s="29">
        <f>IF(C51-Table_146345152041495765738189[Ethiopia]&gt;0, C51-Table_146345152041495765738189[Ethiopia], 0)</f>
        <v>102.73468803608776</v>
      </c>
      <c r="I51" s="29">
        <f>IF(C51-Table_146345152041495765738189[Kenya]&gt;0, C51-Table_146345152041495765738189[Kenya], 0)</f>
        <v>0</v>
      </c>
      <c r="J51" s="29">
        <f>IF(C51-Table_146345152041495765738189[Rwanda]&gt;0, C51-Table_146345152041495765738189[Rwanda], 0)</f>
        <v>0</v>
      </c>
      <c r="K51" s="29">
        <f>IF(C51-Table_146345152041495765738189[Sudan]&gt;0, C51-Table_146345152041495765738189[Sudan], 0)</f>
        <v>0</v>
      </c>
      <c r="L51" s="29">
        <f>IF(C51-Table_146345152041495765738189[S. Sudan]&gt;0, C51-Table_146345152041495765738189[S. Sudan], 0)</f>
        <v>0</v>
      </c>
      <c r="M51" s="29">
        <f>IF(C51-Table_146345152041495765738189[Tanzania]&gt;0, C51-Table_146345152041495765738189[Tanzania], 0)</f>
        <v>0</v>
      </c>
      <c r="N51" s="29">
        <f>IF(C51-Table_146345152041495765738189[Uganda]&gt;0, C51-Table_146345152041495765738189[Uganda], 0)</f>
        <v>0</v>
      </c>
      <c r="P51" s="22" t="s">
        <v>10</v>
      </c>
      <c r="Q51" s="98">
        <f t="shared" si="6"/>
        <v>1.7903555787703723E-5</v>
      </c>
      <c r="R51" s="98">
        <f t="shared" si="5"/>
        <v>1.7903555787703723E-5</v>
      </c>
      <c r="S51" s="98">
        <f t="shared" si="5"/>
        <v>1.7903555787703723E-5</v>
      </c>
      <c r="T51" s="98">
        <f t="shared" si="5"/>
        <v>1.7903555787703723E-5</v>
      </c>
      <c r="U51" s="98">
        <f t="shared" si="5"/>
        <v>0.82542936422417668</v>
      </c>
      <c r="V51" s="98">
        <f t="shared" si="5"/>
        <v>1.7903555787703723E-5</v>
      </c>
      <c r="W51" s="98">
        <f t="shared" si="5"/>
        <v>1.7903555787703723E-5</v>
      </c>
      <c r="X51" s="98">
        <f t="shared" si="5"/>
        <v>1.7903555787703723E-5</v>
      </c>
      <c r="Y51" s="98">
        <f t="shared" si="5"/>
        <v>1.7903555787703723E-5</v>
      </c>
      <c r="Z51" s="98">
        <f t="shared" si="5"/>
        <v>4.6161547235266498E-2</v>
      </c>
      <c r="AA51" s="98">
        <f t="shared" si="5"/>
        <v>1.7903555787703723E-5</v>
      </c>
      <c r="AB51" s="186">
        <f>SUM(Q41:AA51)</f>
        <v>13.214596548353793</v>
      </c>
    </row>
    <row r="52" spans="2:31" ht="12.75" customHeight="1" thickBot="1" x14ac:dyDescent="0.3">
      <c r="B52" s="22" t="s">
        <v>10</v>
      </c>
      <c r="C52" s="96">
        <f>Annual_sorted!O63</f>
        <v>-21.548478135900904</v>
      </c>
      <c r="D52" s="32">
        <f>IF(C52-Table_146345152041495765738189[Burundi]&gt;0, C52-Table_146345152041495765738189[Burundi], 0)</f>
        <v>0</v>
      </c>
      <c r="E52" s="32">
        <f>IF(C52-Table_146345152041495765738189[DRC]&gt;0, C52-Table_146345152041495765738189[DRC], 0)</f>
        <v>0</v>
      </c>
      <c r="F52" s="32">
        <f>IF(C52-Table_146345152041495765738189[Egypt]&gt;0, C52-Table_146345152041495765738189[Egypt], 0)</f>
        <v>0</v>
      </c>
      <c r="G52" s="32">
        <f>IF(C52-Table_146345152041495765738189[Eritrea]&gt;0, C52-Table_146345152041495765738189[Eritrea], 0)</f>
        <v>0</v>
      </c>
      <c r="H52" s="32">
        <f>IF(C52-Table_146345152041495765738189[Ethiopia]&gt;0, C52-Table_146345152041495765738189[Ethiopia], 0)</f>
        <v>108.81803029007322</v>
      </c>
      <c r="I52" s="32">
        <f>IF(C52-Table_146345152041495765738189[Kenya]&gt;0, C52-Table_146345152041495765738189[Kenya], 0)</f>
        <v>0</v>
      </c>
      <c r="J52" s="32">
        <f>IF(C52-Table_146345152041495765738189[Rwanda]&gt;0, C52-Table_146345152041495765738189[Rwanda], 0)</f>
        <v>0</v>
      </c>
      <c r="K52" s="32">
        <f>IF(C52-Table_146345152041495765738189[Sudan]&gt;0, C52-Table_146345152041495765738189[Sudan], 0)</f>
        <v>0</v>
      </c>
      <c r="L52" s="32">
        <f>IF(C52-Table_146345152041495765738189[S. Sudan]&gt;0, C52-Table_146345152041495765738189[S. Sudan], 0)</f>
        <v>0</v>
      </c>
      <c r="M52" s="32">
        <f>IF(C52-Table_146345152041495765738189[Tanzania]&gt;0, C52-Table_146345152041495765738189[Tanzania], 0)</f>
        <v>6.0833422539854602</v>
      </c>
      <c r="N52" s="32">
        <f>IF(C52-Table_146345152041495765738189[Uganda]&gt;0, C52-Table_146345152041495765738189[Uganda], 0)</f>
        <v>0</v>
      </c>
    </row>
    <row r="53" spans="2:31" ht="12.75" customHeight="1" x14ac:dyDescent="0.25"/>
    <row r="54" spans="2:31" ht="12.75" customHeight="1" x14ac:dyDescent="0.25"/>
    <row r="55" spans="2:31" ht="12.75" customHeight="1" x14ac:dyDescent="0.25"/>
    <row r="56" spans="2:31" ht="12.75" customHeight="1" x14ac:dyDescent="0.25">
      <c r="B56" s="5"/>
      <c r="C56" s="5"/>
      <c r="D56" s="5"/>
      <c r="E56" s="5"/>
      <c r="F56" s="5"/>
      <c r="G56" s="5"/>
      <c r="H56" s="5"/>
      <c r="I56" s="5"/>
      <c r="J56" s="5"/>
      <c r="K56" s="5"/>
      <c r="L56" s="5"/>
      <c r="M56" s="5"/>
      <c r="N56" s="44"/>
      <c r="O56" s="5"/>
      <c r="P56" s="5"/>
      <c r="Q56" s="5"/>
      <c r="R56" s="5"/>
      <c r="S56" s="5"/>
      <c r="T56" s="5"/>
      <c r="U56" s="5"/>
      <c r="V56" s="5"/>
      <c r="W56" s="5"/>
      <c r="X56" s="5"/>
      <c r="Y56" s="5"/>
      <c r="Z56" s="5"/>
      <c r="AA56" s="5"/>
    </row>
    <row r="57" spans="2:31" ht="12.75" customHeight="1" thickBot="1" x14ac:dyDescent="0.3">
      <c r="B57" s="253" t="s">
        <v>79</v>
      </c>
      <c r="C57" s="253"/>
      <c r="D57" s="253"/>
      <c r="E57" s="253"/>
      <c r="F57" s="253"/>
      <c r="G57" s="253"/>
      <c r="H57" s="253"/>
      <c r="I57" s="253"/>
      <c r="J57" s="253"/>
      <c r="K57" s="253"/>
      <c r="L57" s="253"/>
      <c r="M57" s="253"/>
      <c r="N57" s="253"/>
      <c r="O57" s="5"/>
      <c r="P57" s="253" t="s">
        <v>80</v>
      </c>
      <c r="Q57" s="253"/>
      <c r="R57" s="253"/>
      <c r="S57" s="253"/>
      <c r="T57" s="253"/>
      <c r="U57" s="253"/>
      <c r="V57" s="253"/>
      <c r="W57" s="253"/>
      <c r="X57" s="253"/>
      <c r="Y57" s="253"/>
      <c r="Z57" s="253"/>
      <c r="AA57" s="253"/>
      <c r="AB57" s="10"/>
      <c r="AC57" s="3" t="s">
        <v>22</v>
      </c>
      <c r="AD57" s="13" t="s">
        <v>23</v>
      </c>
      <c r="AE57" s="74">
        <f t="array" ref="AE57">MIN(IF(D60:N70&gt;0,D60:N70))</f>
        <v>1.3730871729822449</v>
      </c>
    </row>
    <row r="58" spans="2:31" ht="12.75" customHeight="1" thickBot="1" x14ac:dyDescent="0.3">
      <c r="B58" s="75" t="s">
        <v>13</v>
      </c>
      <c r="C58" s="66" t="s">
        <v>14</v>
      </c>
      <c r="D58" s="67" t="s">
        <v>1</v>
      </c>
      <c r="E58" s="67" t="s">
        <v>195</v>
      </c>
      <c r="F58" s="67" t="s">
        <v>2</v>
      </c>
      <c r="G58" s="67" t="s">
        <v>3</v>
      </c>
      <c r="H58" s="67" t="s">
        <v>4</v>
      </c>
      <c r="I58" s="67" t="s">
        <v>5</v>
      </c>
      <c r="J58" s="67" t="s">
        <v>6</v>
      </c>
      <c r="K58" s="67" t="s">
        <v>7</v>
      </c>
      <c r="L58" s="67" t="s">
        <v>295</v>
      </c>
      <c r="M58" s="67" t="s">
        <v>9</v>
      </c>
      <c r="N58" s="67" t="s">
        <v>10</v>
      </c>
      <c r="P58" s="128" t="s">
        <v>19</v>
      </c>
      <c r="Q58" s="123" t="s">
        <v>1</v>
      </c>
      <c r="R58" s="123" t="s">
        <v>195</v>
      </c>
      <c r="S58" s="123" t="s">
        <v>2</v>
      </c>
      <c r="T58" s="123" t="s">
        <v>3</v>
      </c>
      <c r="U58" s="123" t="s">
        <v>4</v>
      </c>
      <c r="V58" s="123" t="s">
        <v>5</v>
      </c>
      <c r="W58" s="123" t="s">
        <v>6</v>
      </c>
      <c r="X58" s="123" t="s">
        <v>7</v>
      </c>
      <c r="Y58" s="123" t="s">
        <v>295</v>
      </c>
      <c r="Z58" s="123" t="s">
        <v>9</v>
      </c>
      <c r="AA58" s="123" t="s">
        <v>10</v>
      </c>
      <c r="AB58" s="254" t="s">
        <v>26</v>
      </c>
      <c r="AC58" s="254"/>
      <c r="AD58" s="13" t="s">
        <v>24</v>
      </c>
      <c r="AE58" s="20">
        <f>MAX(D60:N70)</f>
        <v>130.43175607857532</v>
      </c>
    </row>
    <row r="59" spans="2:31" ht="12.75" customHeight="1" x14ac:dyDescent="0.25">
      <c r="B59" s="93"/>
      <c r="C59" s="94" t="s">
        <v>260</v>
      </c>
      <c r="D59" s="95">
        <f>C60</f>
        <v>-1.8791188246117261</v>
      </c>
      <c r="E59" s="95">
        <f>C61</f>
        <v>6.5247652601200537E-2</v>
      </c>
      <c r="F59" s="95">
        <f>C62</f>
        <v>-55.03397732411397</v>
      </c>
      <c r="G59" s="95">
        <f>C63</f>
        <v>-3.252205997593971</v>
      </c>
      <c r="H59" s="95">
        <f>C64</f>
        <v>-130.36650842597413</v>
      </c>
      <c r="I59" s="95">
        <f>C65</f>
        <v>-15.711464831109533</v>
      </c>
      <c r="J59" s="95">
        <f>C66</f>
        <v>-5.142802270076773</v>
      </c>
      <c r="K59" s="95">
        <f>C67</f>
        <v>-33.163178824073171</v>
      </c>
      <c r="L59" s="95">
        <f>C68</f>
        <v>-23.305277769316824</v>
      </c>
      <c r="M59" s="95">
        <f>C69</f>
        <v>-27.631820389886364</v>
      </c>
      <c r="N59" s="95">
        <f>C70</f>
        <v>-42.648478135900902</v>
      </c>
      <c r="P59" s="21" t="s">
        <v>1</v>
      </c>
      <c r="Q59" s="97">
        <f>$AE$59+(D60-$AE$57)*($AE$60-$AE$59)/($AE$58-$AE$57)</f>
        <v>-9.6286086586920942E-3</v>
      </c>
      <c r="R59" s="97">
        <f t="shared" ref="R59:AA69" si="7">$AE$59+(E60-$AE$57)*($AE$60-$AE$59)/($AE$58-$AE$57)</f>
        <v>-9.6286086586920942E-3</v>
      </c>
      <c r="S59" s="97">
        <f t="shared" si="7"/>
        <v>0.4018253765040315</v>
      </c>
      <c r="T59" s="97">
        <f t="shared" si="7"/>
        <v>1E-3</v>
      </c>
      <c r="U59" s="97">
        <f t="shared" si="7"/>
        <v>0.98494930927765423</v>
      </c>
      <c r="V59" s="97">
        <f t="shared" si="7"/>
        <v>9.7442956371934439E-2</v>
      </c>
      <c r="W59" s="97">
        <f t="shared" si="7"/>
        <v>1.5634473547777833E-2</v>
      </c>
      <c r="X59" s="97">
        <f t="shared" si="7"/>
        <v>0.23253083870337171</v>
      </c>
      <c r="Y59" s="97">
        <f t="shared" si="7"/>
        <v>0.15622412302737573</v>
      </c>
      <c r="Z59" s="97">
        <f t="shared" si="7"/>
        <v>0.18971444269827434</v>
      </c>
      <c r="AA59" s="97">
        <f t="shared" si="7"/>
        <v>0.30595336888185592</v>
      </c>
      <c r="AD59" s="3" t="s">
        <v>25</v>
      </c>
      <c r="AE59" s="2">
        <v>1E-3</v>
      </c>
    </row>
    <row r="60" spans="2:31" ht="12.75" customHeight="1" x14ac:dyDescent="0.25">
      <c r="B60" s="21" t="s">
        <v>1</v>
      </c>
      <c r="C60" s="95">
        <f>Annual_sorted!P53</f>
        <v>-1.8791188246117261</v>
      </c>
      <c r="D60" s="29">
        <f>IF(C60-Table_1463457141940485664728088[Burundi]&gt;0, C60-Table_1463457141940485664728088[Burundi], 0)</f>
        <v>0</v>
      </c>
      <c r="E60" s="29">
        <f>IF(C60-Table_1463457141940485664728088[DRC]&gt;0, C60-Table_1463457141940485664728088[DRC], 0)</f>
        <v>0</v>
      </c>
      <c r="F60" s="29">
        <f>IF(C60-Table_1463457141940485664728088[Egypt]&gt;0, C60-Table_1463457141940485664728088[Egypt], 0)</f>
        <v>53.154858499502247</v>
      </c>
      <c r="G60" s="29">
        <f>IF(C60-Table_1463457141940485664728088[Eritrea]&gt;0, C60-Table_1463457141940485664728088[Eritrea], 0)</f>
        <v>1.3730871729822449</v>
      </c>
      <c r="H60" s="29">
        <f>IF(C60-Table_1463457141940485664728088[Ethiopia]&gt;0, C60-Table_1463457141940485664728088[Ethiopia], 0)</f>
        <v>128.48738960136239</v>
      </c>
      <c r="I60" s="29">
        <f>IF(C60-Table_1463457141940485664728088[Kenya]&gt;0, C60-Table_1463457141940485664728088[Kenya], 0)</f>
        <v>13.832346006497806</v>
      </c>
      <c r="J60" s="29">
        <f>IF(C60-Table_1463457141940485664728088[Rwanda]&gt;0, C60-Table_1463457141940485664728088[Rwanda], 0)</f>
        <v>3.263683445465047</v>
      </c>
      <c r="K60" s="29">
        <f>IF(C60-Table_1463457141940485664728088[Sudan]&gt;0, C60-Table_1463457141940485664728088[Sudan], 0)</f>
        <v>31.284059999461444</v>
      </c>
      <c r="L60" s="29">
        <f>IF(C60-Table_1463457141940485664728088[S. Sudan]&gt;0, C60-Table_1463457141940485664728088[S. Sudan], 0)</f>
        <v>21.426158944705097</v>
      </c>
      <c r="M60" s="29">
        <f>IF(C60-Table_1463457141940485664728088[Tanzania]&gt;0, C60-Table_1463457141940485664728088[Tanzania], 0)</f>
        <v>25.752701565274638</v>
      </c>
      <c r="N60" s="29">
        <f>IF(C60-Table_1463457141940485664728088[Uganda]&gt;0, C60-Table_1463457141940485664728088[Uganda], 0)</f>
        <v>40.769359311289179</v>
      </c>
      <c r="P60" s="21" t="s">
        <v>195</v>
      </c>
      <c r="Q60" s="97">
        <f t="shared" ref="Q60:Q69" si="8">$AE$59+(D61-$AE$57)*($AE$60-$AE$59)/($AE$58-$AE$57)</f>
        <v>5.4220820636537489E-3</v>
      </c>
      <c r="R60" s="97">
        <f t="shared" si="7"/>
        <v>-9.6286086586920942E-3</v>
      </c>
      <c r="S60" s="97">
        <f t="shared" si="7"/>
        <v>0.41687606722637727</v>
      </c>
      <c r="T60" s="97">
        <f t="shared" si="7"/>
        <v>1.6050690722345842E-2</v>
      </c>
      <c r="U60" s="97">
        <f t="shared" si="7"/>
        <v>1</v>
      </c>
      <c r="V60" s="97">
        <f t="shared" si="7"/>
        <v>0.11249364709428029</v>
      </c>
      <c r="W60" s="97">
        <f t="shared" si="7"/>
        <v>3.0685164270123681E-2</v>
      </c>
      <c r="X60" s="97">
        <f t="shared" si="7"/>
        <v>0.24758152942571754</v>
      </c>
      <c r="Y60" s="97">
        <f t="shared" si="7"/>
        <v>0.17127481374972159</v>
      </c>
      <c r="Z60" s="97">
        <f t="shared" si="7"/>
        <v>0.20476513342062017</v>
      </c>
      <c r="AA60" s="97">
        <f t="shared" si="7"/>
        <v>0.3210040596042017</v>
      </c>
      <c r="AD60" s="3" t="s">
        <v>70</v>
      </c>
      <c r="AE60" s="2">
        <v>1</v>
      </c>
    </row>
    <row r="61" spans="2:31" ht="12.75" customHeight="1" x14ac:dyDescent="0.25">
      <c r="B61" s="21" t="s">
        <v>195</v>
      </c>
      <c r="C61" s="95">
        <f>Annual_sorted!P54</f>
        <v>6.5247652601200537E-2</v>
      </c>
      <c r="D61" s="29">
        <f>IF(C61-Table_1463457141940485664728088[Burundi]&gt;0, C61-Table_1463457141940485664728088[Burundi], 0)</f>
        <v>1.9443664772129265</v>
      </c>
      <c r="E61" s="29">
        <f>IF(C61-Table_1463457141940485664728088[DRC]&gt;0, C61-Table_1463457141940485664728088[DRC], 0)</f>
        <v>0</v>
      </c>
      <c r="F61" s="29">
        <f>IF(C61-Table_1463457141940485664728088[Egypt]&gt;0, C61-Table_1463457141940485664728088[Egypt], 0)</f>
        <v>55.09922497671517</v>
      </c>
      <c r="G61" s="29">
        <f>IF(C61-Table_1463457141940485664728088[Eritrea]&gt;0, C61-Table_1463457141940485664728088[Eritrea], 0)</f>
        <v>3.3174536501951715</v>
      </c>
      <c r="H61" s="29">
        <f>IF(C61-Table_1463457141940485664728088[Ethiopia]&gt;0, C61-Table_1463457141940485664728088[Ethiopia], 0)</f>
        <v>130.43175607857532</v>
      </c>
      <c r="I61" s="29">
        <f>IF(C61-Table_1463457141940485664728088[Kenya]&gt;0, C61-Table_1463457141940485664728088[Kenya], 0)</f>
        <v>15.776712483710734</v>
      </c>
      <c r="J61" s="29">
        <f>IF(C61-Table_1463457141940485664728088[Rwanda]&gt;0, C61-Table_1463457141940485664728088[Rwanda], 0)</f>
        <v>5.208049922677974</v>
      </c>
      <c r="K61" s="29">
        <f>IF(C61-Table_1463457141940485664728088[Sudan]&gt;0, C61-Table_1463457141940485664728088[Sudan], 0)</f>
        <v>33.228426476674372</v>
      </c>
      <c r="L61" s="29">
        <f>IF(C61-Table_1463457141940485664728088[S. Sudan]&gt;0, C61-Table_1463457141940485664728088[S. Sudan], 0)</f>
        <v>23.370525421918025</v>
      </c>
      <c r="M61" s="29">
        <f>IF(C61-Table_1463457141940485664728088[Tanzania]&gt;0, C61-Table_1463457141940485664728088[Tanzania], 0)</f>
        <v>27.697068042487565</v>
      </c>
      <c r="N61" s="29">
        <f>IF(C61-Table_1463457141940485664728088[Uganda]&gt;0, C61-Table_1463457141940485664728088[Uganda], 0)</f>
        <v>42.713725788502103</v>
      </c>
      <c r="P61" s="21" t="s">
        <v>2</v>
      </c>
      <c r="Q61" s="97">
        <f t="shared" si="8"/>
        <v>-9.6286086586920942E-3</v>
      </c>
      <c r="R61" s="97">
        <f t="shared" si="7"/>
        <v>-9.6286086586920942E-3</v>
      </c>
      <c r="S61" s="97">
        <f t="shared" si="7"/>
        <v>-9.6286086586920942E-3</v>
      </c>
      <c r="T61" s="97">
        <f t="shared" si="7"/>
        <v>-9.6286086586920942E-3</v>
      </c>
      <c r="U61" s="97">
        <f t="shared" si="7"/>
        <v>0.57349532411493087</v>
      </c>
      <c r="V61" s="97">
        <f t="shared" si="7"/>
        <v>-9.6286086586920942E-3</v>
      </c>
      <c r="W61" s="97">
        <f t="shared" si="7"/>
        <v>-9.6286086586920942E-3</v>
      </c>
      <c r="X61" s="97">
        <f t="shared" si="7"/>
        <v>-9.6286086586920942E-3</v>
      </c>
      <c r="Y61" s="97">
        <f t="shared" si="7"/>
        <v>-9.6286086586920942E-3</v>
      </c>
      <c r="Z61" s="97">
        <f t="shared" si="7"/>
        <v>-9.6286086586920942E-3</v>
      </c>
      <c r="AA61" s="97">
        <f t="shared" si="7"/>
        <v>-9.6286086586920942E-3</v>
      </c>
    </row>
    <row r="62" spans="2:31" ht="12.75" customHeight="1" x14ac:dyDescent="0.25">
      <c r="B62" s="21" t="s">
        <v>2</v>
      </c>
      <c r="C62" s="95">
        <f>Annual_sorted!P55</f>
        <v>-55.03397732411397</v>
      </c>
      <c r="D62" s="29">
        <f>IF(C62-Table_1463457141940485664728088[Burundi]&gt;0, C62-Table_1463457141940485664728088[Burundi], 0)</f>
        <v>0</v>
      </c>
      <c r="E62" s="29">
        <f>IF(C62-Table_1463457141940485664728088[DRC]&gt;0, C62-Table_1463457141940485664728088[DRC], 0)</f>
        <v>0</v>
      </c>
      <c r="F62" s="29">
        <f>IF(C62-Table_1463457141940485664728088[Egypt]&gt;0, C62-Table_1463457141940485664728088[Egypt], 0)</f>
        <v>0</v>
      </c>
      <c r="G62" s="29">
        <f>IF(C62-Table_1463457141940485664728088[Eritrea]&gt;0, C62-Table_1463457141940485664728088[Eritrea], 0)</f>
        <v>0</v>
      </c>
      <c r="H62" s="29">
        <f>IF(C62-Table_1463457141940485664728088[Ethiopia]&gt;0, C62-Table_1463457141940485664728088[Ethiopia], 0)</f>
        <v>75.332531101860155</v>
      </c>
      <c r="I62" s="29">
        <f>IF(C62-Table_1463457141940485664728088[Kenya]&gt;0, C62-Table_1463457141940485664728088[Kenya], 0)</f>
        <v>0</v>
      </c>
      <c r="J62" s="29">
        <f>IF(C62-Table_1463457141940485664728088[Rwanda]&gt;0, C62-Table_1463457141940485664728088[Rwanda], 0)</f>
        <v>0</v>
      </c>
      <c r="K62" s="29">
        <f>IF(C62-Table_1463457141940485664728088[Sudan]&gt;0, C62-Table_1463457141940485664728088[Sudan], 0)</f>
        <v>0</v>
      </c>
      <c r="L62" s="29">
        <f>IF(C62-Table_1463457141940485664728088[S. Sudan]&gt;0, C62-Table_1463457141940485664728088[S. Sudan], 0)</f>
        <v>0</v>
      </c>
      <c r="M62" s="29">
        <f>IF(C62-Table_1463457141940485664728088[Tanzania]&gt;0, C62-Table_1463457141940485664728088[Tanzania], 0)</f>
        <v>0</v>
      </c>
      <c r="N62" s="29">
        <f>IF(C62-Table_1463457141940485664728088[Uganda]&gt;0, C62-Table_1463457141940485664728088[Uganda], 0)</f>
        <v>0</v>
      </c>
      <c r="P62" s="21" t="s">
        <v>3</v>
      </c>
      <c r="Q62" s="97">
        <f t="shared" si="8"/>
        <v>-9.6286086586920942E-3</v>
      </c>
      <c r="R62" s="97">
        <f t="shared" si="7"/>
        <v>-9.6286086586920942E-3</v>
      </c>
      <c r="S62" s="97">
        <f t="shared" si="7"/>
        <v>0.39119676784533935</v>
      </c>
      <c r="T62" s="97">
        <f t="shared" si="7"/>
        <v>-9.6286086586920942E-3</v>
      </c>
      <c r="U62" s="97">
        <f t="shared" si="7"/>
        <v>0.97432070061896225</v>
      </c>
      <c r="V62" s="97">
        <f t="shared" si="7"/>
        <v>8.6814347713242368E-2</v>
      </c>
      <c r="W62" s="97">
        <f t="shared" si="7"/>
        <v>5.0058648890857378E-3</v>
      </c>
      <c r="X62" s="97">
        <f t="shared" si="7"/>
        <v>0.2219022300446796</v>
      </c>
      <c r="Y62" s="97">
        <f t="shared" si="7"/>
        <v>0.14559551436868362</v>
      </c>
      <c r="Z62" s="97">
        <f t="shared" si="7"/>
        <v>0.17908583403958223</v>
      </c>
      <c r="AA62" s="97">
        <f t="shared" si="7"/>
        <v>0.29532476022316378</v>
      </c>
    </row>
    <row r="63" spans="2:31" ht="12.75" customHeight="1" x14ac:dyDescent="0.25">
      <c r="B63" s="21" t="s">
        <v>3</v>
      </c>
      <c r="C63" s="95">
        <f>Annual_sorted!P56</f>
        <v>-3.252205997593971</v>
      </c>
      <c r="D63" s="29">
        <f>IF(C63-Table_1463457141940485664728088[Burundi]&gt;0, C63-Table_1463457141940485664728088[Burundi], 0)</f>
        <v>0</v>
      </c>
      <c r="E63" s="29">
        <f>IF(C63-Table_1463457141940485664728088[DRC]&gt;0, C63-Table_1463457141940485664728088[DRC], 0)</f>
        <v>0</v>
      </c>
      <c r="F63" s="29">
        <f>IF(C63-Table_1463457141940485664728088[Egypt]&gt;0, C63-Table_1463457141940485664728088[Egypt], 0)</f>
        <v>51.781771326520001</v>
      </c>
      <c r="G63" s="29">
        <f>IF(C63-Table_1463457141940485664728088[Eritrea]&gt;0, C63-Table_1463457141940485664728088[Eritrea], 0)</f>
        <v>0</v>
      </c>
      <c r="H63" s="29">
        <f>IF(C63-Table_1463457141940485664728088[Ethiopia]&gt;0, C63-Table_1463457141940485664728088[Ethiopia], 0)</f>
        <v>127.11430242838016</v>
      </c>
      <c r="I63" s="29">
        <f>IF(C63-Table_1463457141940485664728088[Kenya]&gt;0, C63-Table_1463457141940485664728088[Kenya], 0)</f>
        <v>12.459258833515563</v>
      </c>
      <c r="J63" s="29">
        <f>IF(C63-Table_1463457141940485664728088[Rwanda]&gt;0, C63-Table_1463457141940485664728088[Rwanda], 0)</f>
        <v>1.890596272482802</v>
      </c>
      <c r="K63" s="29">
        <f>IF(C63-Table_1463457141940485664728088[Sudan]&gt;0, C63-Table_1463457141940485664728088[Sudan], 0)</f>
        <v>29.910972826479199</v>
      </c>
      <c r="L63" s="29">
        <f>IF(C63-Table_1463457141940485664728088[S. Sudan]&gt;0, C63-Table_1463457141940485664728088[S. Sudan], 0)</f>
        <v>20.053071771722852</v>
      </c>
      <c r="M63" s="29">
        <f>IF(C63-Table_1463457141940485664728088[Tanzania]&gt;0, C63-Table_1463457141940485664728088[Tanzania], 0)</f>
        <v>24.379614392292392</v>
      </c>
      <c r="N63" s="29">
        <f>IF(C63-Table_1463457141940485664728088[Uganda]&gt;0, C63-Table_1463457141940485664728088[Uganda], 0)</f>
        <v>39.396272138306934</v>
      </c>
      <c r="P63" s="21" t="s">
        <v>4</v>
      </c>
      <c r="Q63" s="97">
        <f t="shared" si="8"/>
        <v>-9.6286086586920942E-3</v>
      </c>
      <c r="R63" s="97">
        <f t="shared" si="7"/>
        <v>-9.6286086586920942E-3</v>
      </c>
      <c r="S63" s="97">
        <f t="shared" si="7"/>
        <v>-9.6286086586920942E-3</v>
      </c>
      <c r="T63" s="97">
        <f t="shared" si="7"/>
        <v>-9.6286086586920942E-3</v>
      </c>
      <c r="U63" s="97">
        <f t="shared" si="7"/>
        <v>-9.6286086586920942E-3</v>
      </c>
      <c r="V63" s="97">
        <f t="shared" si="7"/>
        <v>-9.6286086586920942E-3</v>
      </c>
      <c r="W63" s="97">
        <f t="shared" si="7"/>
        <v>-9.6286086586920942E-3</v>
      </c>
      <c r="X63" s="97">
        <f t="shared" si="7"/>
        <v>-9.6286086586920942E-3</v>
      </c>
      <c r="Y63" s="97">
        <f t="shared" si="7"/>
        <v>-9.6286086586920942E-3</v>
      </c>
      <c r="Z63" s="97">
        <f t="shared" si="7"/>
        <v>-9.6286086586920942E-3</v>
      </c>
      <c r="AA63" s="97">
        <f t="shared" si="7"/>
        <v>-9.6286086586920942E-3</v>
      </c>
    </row>
    <row r="64" spans="2:31" ht="12.75" customHeight="1" x14ac:dyDescent="0.25">
      <c r="B64" s="21" t="s">
        <v>4</v>
      </c>
      <c r="C64" s="95">
        <f>Annual_sorted!P57</f>
        <v>-130.36650842597413</v>
      </c>
      <c r="D64" s="29">
        <f>IF(C64-Table_1463457141940485664728088[Burundi]&gt;0, C64-Table_1463457141940485664728088[Burundi], 0)</f>
        <v>0</v>
      </c>
      <c r="E64" s="29">
        <f>IF(C64-Table_1463457141940485664728088[DRC]&gt;0, C64-Table_1463457141940485664728088[DRC], 0)</f>
        <v>0</v>
      </c>
      <c r="F64" s="29">
        <f>IF(C64-Table_1463457141940485664728088[Egypt]&gt;0, C64-Table_1463457141940485664728088[Egypt], 0)</f>
        <v>0</v>
      </c>
      <c r="G64" s="29">
        <f>IF(C64-Table_1463457141940485664728088[Eritrea]&gt;0, C64-Table_1463457141940485664728088[Eritrea], 0)</f>
        <v>0</v>
      </c>
      <c r="H64" s="29">
        <f>IF(C64-Table_1463457141940485664728088[Ethiopia]&gt;0, C64-Table_1463457141940485664728088[Ethiopia], 0)</f>
        <v>0</v>
      </c>
      <c r="I64" s="29">
        <f>IF(C64-Table_1463457141940485664728088[Kenya]&gt;0, C64-Table_1463457141940485664728088[Kenya], 0)</f>
        <v>0</v>
      </c>
      <c r="J64" s="29">
        <f>IF(C64-Table_1463457141940485664728088[Rwanda]&gt;0, C64-Table_1463457141940485664728088[Rwanda], 0)</f>
        <v>0</v>
      </c>
      <c r="K64" s="29">
        <f>IF(C64-Table_1463457141940485664728088[Sudan]&gt;0, C64-Table_1463457141940485664728088[Sudan], 0)</f>
        <v>0</v>
      </c>
      <c r="L64" s="29">
        <f>IF(C64-Table_1463457141940485664728088[S. Sudan]&gt;0, C64-Table_1463457141940485664728088[S. Sudan], 0)</f>
        <v>0</v>
      </c>
      <c r="M64" s="29">
        <f>IF(C64-Table_1463457141940485664728088[Tanzania]&gt;0, C64-Table_1463457141940485664728088[Tanzania], 0)</f>
        <v>0</v>
      </c>
      <c r="N64" s="29">
        <f>IF(C64-Table_1463457141940485664728088[Uganda]&gt;0, C64-Table_1463457141940485664728088[Uganda], 0)</f>
        <v>0</v>
      </c>
      <c r="P64" s="21" t="s">
        <v>5</v>
      </c>
      <c r="Q64" s="97">
        <f t="shared" si="8"/>
        <v>-9.6286086586920942E-3</v>
      </c>
      <c r="R64" s="97">
        <f t="shared" si="7"/>
        <v>-9.6286086586920942E-3</v>
      </c>
      <c r="S64" s="97">
        <f t="shared" si="7"/>
        <v>0.2947538114734049</v>
      </c>
      <c r="T64" s="97">
        <f t="shared" si="7"/>
        <v>-9.6286086586920942E-3</v>
      </c>
      <c r="U64" s="97">
        <f t="shared" si="7"/>
        <v>0.8778777442470278</v>
      </c>
      <c r="V64" s="97">
        <f t="shared" si="7"/>
        <v>-9.6286086586920942E-3</v>
      </c>
      <c r="W64" s="97">
        <f t="shared" si="7"/>
        <v>-9.6286086586920942E-3</v>
      </c>
      <c r="X64" s="97">
        <f t="shared" si="7"/>
        <v>0.12545927367274515</v>
      </c>
      <c r="Y64" s="97">
        <f t="shared" si="7"/>
        <v>4.915255799674919E-2</v>
      </c>
      <c r="Z64" s="97">
        <f t="shared" si="7"/>
        <v>8.2642877667647774E-2</v>
      </c>
      <c r="AA64" s="97">
        <f t="shared" si="7"/>
        <v>0.19888180385122933</v>
      </c>
    </row>
    <row r="65" spans="1:31" ht="12.75" customHeight="1" x14ac:dyDescent="0.25">
      <c r="B65" s="21" t="s">
        <v>5</v>
      </c>
      <c r="C65" s="95">
        <f>Annual_sorted!P58</f>
        <v>-15.711464831109533</v>
      </c>
      <c r="D65" s="29">
        <f>IF(C65-Table_1463457141940485664728088[Burundi]&gt;0, C65-Table_1463457141940485664728088[Burundi], 0)</f>
        <v>0</v>
      </c>
      <c r="E65" s="29">
        <f>IF(C65-Table_1463457141940485664728088[DRC]&gt;0, C65-Table_1463457141940485664728088[DRC], 0)</f>
        <v>0</v>
      </c>
      <c r="F65" s="29">
        <f>IF(C65-Table_1463457141940485664728088[Egypt]&gt;0, C65-Table_1463457141940485664728088[Egypt], 0)</f>
        <v>39.322512493004439</v>
      </c>
      <c r="G65" s="29">
        <f>IF(C65-Table_1463457141940485664728088[Eritrea]&gt;0, C65-Table_1463457141940485664728088[Eritrea], 0)</f>
        <v>0</v>
      </c>
      <c r="H65" s="29">
        <f>IF(C65-Table_1463457141940485664728088[Ethiopia]&gt;0, C65-Table_1463457141940485664728088[Ethiopia], 0)</f>
        <v>114.65504359486459</v>
      </c>
      <c r="I65" s="29">
        <f>IF(C65-Table_1463457141940485664728088[Kenya]&gt;0, C65-Table_1463457141940485664728088[Kenya], 0)</f>
        <v>0</v>
      </c>
      <c r="J65" s="29">
        <f>IF(C65-Table_1463457141940485664728088[Rwanda]&gt;0, C65-Table_1463457141940485664728088[Rwanda], 0)</f>
        <v>0</v>
      </c>
      <c r="K65" s="29">
        <f>IF(C65-Table_1463457141940485664728088[Sudan]&gt;0, C65-Table_1463457141940485664728088[Sudan], 0)</f>
        <v>17.45171399296364</v>
      </c>
      <c r="L65" s="29">
        <f>IF(C65-Table_1463457141940485664728088[S. Sudan]&gt;0, C65-Table_1463457141940485664728088[S. Sudan], 0)</f>
        <v>7.5938129382072912</v>
      </c>
      <c r="M65" s="29">
        <f>IF(C65-Table_1463457141940485664728088[Tanzania]&gt;0, C65-Table_1463457141940485664728088[Tanzania], 0)</f>
        <v>11.920355558776832</v>
      </c>
      <c r="N65" s="29">
        <f>IF(C65-Table_1463457141940485664728088[Uganda]&gt;0, C65-Table_1463457141940485664728088[Uganda], 0)</f>
        <v>26.937013304791371</v>
      </c>
      <c r="P65" s="21" t="s">
        <v>6</v>
      </c>
      <c r="Q65" s="97">
        <f t="shared" si="8"/>
        <v>-9.6286086586920942E-3</v>
      </c>
      <c r="R65" s="97">
        <f t="shared" si="7"/>
        <v>-9.6286086586920942E-3</v>
      </c>
      <c r="S65" s="97">
        <f t="shared" si="7"/>
        <v>0.37656229429756155</v>
      </c>
      <c r="T65" s="97">
        <f t="shared" si="7"/>
        <v>-9.6286086586920942E-3</v>
      </c>
      <c r="U65" s="97">
        <f t="shared" si="7"/>
        <v>0.95968622707118445</v>
      </c>
      <c r="V65" s="97">
        <f t="shared" si="7"/>
        <v>7.2179874165464522E-2</v>
      </c>
      <c r="W65" s="97">
        <f t="shared" si="7"/>
        <v>-9.6286086586920942E-3</v>
      </c>
      <c r="X65" s="97">
        <f t="shared" si="7"/>
        <v>0.20726775649690179</v>
      </c>
      <c r="Y65" s="97">
        <f t="shared" si="7"/>
        <v>0.13096104082090582</v>
      </c>
      <c r="Z65" s="97">
        <f t="shared" si="7"/>
        <v>0.16445136049180442</v>
      </c>
      <c r="AA65" s="97">
        <f t="shared" si="7"/>
        <v>0.28069028667538592</v>
      </c>
    </row>
    <row r="66" spans="1:31" ht="12.75" customHeight="1" x14ac:dyDescent="0.25">
      <c r="B66" s="21" t="s">
        <v>6</v>
      </c>
      <c r="C66" s="95">
        <f>Annual_sorted!P59</f>
        <v>-5.142802270076773</v>
      </c>
      <c r="D66" s="29">
        <f>IF(C66-Table_1463457141940485664728088[Burundi]&gt;0, C66-Table_1463457141940485664728088[Burundi], 0)</f>
        <v>0</v>
      </c>
      <c r="E66" s="29">
        <f>IF(C66-Table_1463457141940485664728088[DRC]&gt;0, C66-Table_1463457141940485664728088[DRC], 0)</f>
        <v>0</v>
      </c>
      <c r="F66" s="29">
        <f>IF(C66-Table_1463457141940485664728088[Egypt]&gt;0, C66-Table_1463457141940485664728088[Egypt], 0)</f>
        <v>49.891175054037198</v>
      </c>
      <c r="G66" s="29">
        <f>IF(C66-Table_1463457141940485664728088[Eritrea]&gt;0, C66-Table_1463457141940485664728088[Eritrea], 0)</f>
        <v>0</v>
      </c>
      <c r="H66" s="29">
        <f>IF(C66-Table_1463457141940485664728088[Ethiopia]&gt;0, C66-Table_1463457141940485664728088[Ethiopia], 0)</f>
        <v>125.22370615589736</v>
      </c>
      <c r="I66" s="29">
        <f>IF(C66-Table_1463457141940485664728088[Kenya]&gt;0, C66-Table_1463457141940485664728088[Kenya], 0)</f>
        <v>10.56866256103276</v>
      </c>
      <c r="J66" s="29">
        <f>IF(C66-Table_1463457141940485664728088[Rwanda]&gt;0, C66-Table_1463457141940485664728088[Rwanda], 0)</f>
        <v>0</v>
      </c>
      <c r="K66" s="29">
        <f>IF(C66-Table_1463457141940485664728088[Sudan]&gt;0, C66-Table_1463457141940485664728088[Sudan], 0)</f>
        <v>28.0203765539964</v>
      </c>
      <c r="L66" s="29">
        <f>IF(C66-Table_1463457141940485664728088[S. Sudan]&gt;0, C66-Table_1463457141940485664728088[S. Sudan], 0)</f>
        <v>18.162475499240053</v>
      </c>
      <c r="M66" s="29">
        <f>IF(C66-Table_1463457141940485664728088[Tanzania]&gt;0, C66-Table_1463457141940485664728088[Tanzania], 0)</f>
        <v>22.489018119809593</v>
      </c>
      <c r="N66" s="29">
        <f>IF(C66-Table_1463457141940485664728088[Uganda]&gt;0, C66-Table_1463457141940485664728088[Uganda], 0)</f>
        <v>37.505675865824131</v>
      </c>
      <c r="P66" s="21" t="s">
        <v>7</v>
      </c>
      <c r="Q66" s="97">
        <f t="shared" si="8"/>
        <v>-9.6286086586920942E-3</v>
      </c>
      <c r="R66" s="97">
        <f t="shared" si="7"/>
        <v>-9.6286086586920942E-3</v>
      </c>
      <c r="S66" s="97">
        <f t="shared" si="7"/>
        <v>0.15966592914196764</v>
      </c>
      <c r="T66" s="97">
        <f t="shared" si="7"/>
        <v>-9.6286086586920942E-3</v>
      </c>
      <c r="U66" s="97">
        <f t="shared" si="7"/>
        <v>0.7427898619155906</v>
      </c>
      <c r="V66" s="97">
        <f t="shared" si="7"/>
        <v>-9.6286086586920942E-3</v>
      </c>
      <c r="W66" s="97">
        <f t="shared" si="7"/>
        <v>-9.6286086586920942E-3</v>
      </c>
      <c r="X66" s="97">
        <f t="shared" si="7"/>
        <v>-9.6286086586920942E-3</v>
      </c>
      <c r="Y66" s="97">
        <f t="shared" si="7"/>
        <v>-9.6286086586920942E-3</v>
      </c>
      <c r="Z66" s="97">
        <f t="shared" si="7"/>
        <v>-9.6286086586920942E-3</v>
      </c>
      <c r="AA66" s="97">
        <f t="shared" si="7"/>
        <v>6.3793921519792074E-2</v>
      </c>
    </row>
    <row r="67" spans="1:31" ht="12.75" customHeight="1" x14ac:dyDescent="0.25">
      <c r="B67" s="21" t="s">
        <v>7</v>
      </c>
      <c r="C67" s="95">
        <f>Annual_sorted!P60</f>
        <v>-33.163178824073171</v>
      </c>
      <c r="D67" s="29">
        <f>IF(C67-Table_1463457141940485664728088[Burundi]&gt;0, C67-Table_1463457141940485664728088[Burundi], 0)</f>
        <v>0</v>
      </c>
      <c r="E67" s="29">
        <f>IF(C67-Table_1463457141940485664728088[DRC]&gt;0, C67-Table_1463457141940485664728088[DRC], 0)</f>
        <v>0</v>
      </c>
      <c r="F67" s="29">
        <f>IF(C67-Table_1463457141940485664728088[Egypt]&gt;0, C67-Table_1463457141940485664728088[Egypt], 0)</f>
        <v>21.870798500040799</v>
      </c>
      <c r="G67" s="29">
        <f>IF(C67-Table_1463457141940485664728088[Eritrea]&gt;0, C67-Table_1463457141940485664728088[Eritrea], 0)</f>
        <v>0</v>
      </c>
      <c r="H67" s="29">
        <f>IF(C67-Table_1463457141940485664728088[Ethiopia]&gt;0, C67-Table_1463457141940485664728088[Ethiopia], 0)</f>
        <v>97.203329601900961</v>
      </c>
      <c r="I67" s="29">
        <f>IF(C67-Table_1463457141940485664728088[Kenya]&gt;0, C67-Table_1463457141940485664728088[Kenya], 0)</f>
        <v>0</v>
      </c>
      <c r="J67" s="29">
        <f>IF(C67-Table_1463457141940485664728088[Rwanda]&gt;0, C67-Table_1463457141940485664728088[Rwanda], 0)</f>
        <v>0</v>
      </c>
      <c r="K67" s="29">
        <f>IF(C67-Table_1463457141940485664728088[Sudan]&gt;0, C67-Table_1463457141940485664728088[Sudan], 0)</f>
        <v>0</v>
      </c>
      <c r="L67" s="29">
        <f>IF(C67-Table_1463457141940485664728088[S. Sudan]&gt;0, C67-Table_1463457141940485664728088[S. Sudan], 0)</f>
        <v>0</v>
      </c>
      <c r="M67" s="29">
        <f>IF(C67-Table_1463457141940485664728088[Tanzania]&gt;0, C67-Table_1463457141940485664728088[Tanzania], 0)</f>
        <v>0</v>
      </c>
      <c r="N67" s="29">
        <f>IF(C67-Table_1463457141940485664728088[Uganda]&gt;0, C67-Table_1463457141940485664728088[Uganda], 0)</f>
        <v>9.4852993118277311</v>
      </c>
      <c r="P67" s="21" t="s">
        <v>8</v>
      </c>
      <c r="Q67" s="97">
        <f t="shared" si="8"/>
        <v>-9.6286086586920942E-3</v>
      </c>
      <c r="R67" s="97">
        <f t="shared" si="7"/>
        <v>-9.6286086586920942E-3</v>
      </c>
      <c r="S67" s="97">
        <f t="shared" si="7"/>
        <v>0.23597264481796362</v>
      </c>
      <c r="T67" s="97">
        <f t="shared" si="7"/>
        <v>-9.6286086586920942E-3</v>
      </c>
      <c r="U67" s="97">
        <f t="shared" si="7"/>
        <v>0.81909657759158649</v>
      </c>
      <c r="V67" s="97">
        <f t="shared" si="7"/>
        <v>-9.6286086586920942E-3</v>
      </c>
      <c r="W67" s="97">
        <f t="shared" si="7"/>
        <v>-9.6286086586920942E-3</v>
      </c>
      <c r="X67" s="97">
        <f t="shared" si="7"/>
        <v>6.6678107017303867E-2</v>
      </c>
      <c r="Y67" s="97">
        <f t="shared" si="7"/>
        <v>-9.6286086586920942E-3</v>
      </c>
      <c r="Z67" s="97">
        <f t="shared" si="7"/>
        <v>2.386171101220649E-2</v>
      </c>
      <c r="AA67" s="97">
        <f>$AE$59+(N68-$AE$57)*($AE$60-$AE$59)/($AE$58-$AE$57)</f>
        <v>0.14010063719578802</v>
      </c>
    </row>
    <row r="68" spans="1:31" ht="12.75" customHeight="1" x14ac:dyDescent="0.25">
      <c r="B68" s="21" t="s">
        <v>8</v>
      </c>
      <c r="C68" s="95">
        <f>Annual_sorted!P61</f>
        <v>-23.305277769316824</v>
      </c>
      <c r="D68" s="29">
        <f>IF(C68-Table_1463457141940485664728088[Burundi]&gt;0, C68-Table_1463457141940485664728088[Burundi], 0)</f>
        <v>0</v>
      </c>
      <c r="E68" s="29">
        <f>IF(C68-Table_1463457141940485664728088[DRC]&gt;0, C68-Table_1463457141940485664728088[DRC], 0)</f>
        <v>0</v>
      </c>
      <c r="F68" s="29">
        <f>IF(C68-Table_1463457141940485664728088[Egypt]&gt;0, C68-Table_1463457141940485664728088[Egypt], 0)</f>
        <v>31.728699554797146</v>
      </c>
      <c r="G68" s="29">
        <f>IF(C68-Table_1463457141940485664728088[Eritrea]&gt;0, C68-Table_1463457141940485664728088[Eritrea], 0)</f>
        <v>0</v>
      </c>
      <c r="H68" s="29">
        <f>IF(C68-Table_1463457141940485664728088[Ethiopia]&gt;0, C68-Table_1463457141940485664728088[Ethiopia], 0)</f>
        <v>107.0612306566573</v>
      </c>
      <c r="I68" s="29">
        <f>IF(C68-Table_1463457141940485664728088[Kenya]&gt;0, C68-Table_1463457141940485664728088[Kenya], 0)</f>
        <v>0</v>
      </c>
      <c r="J68" s="29">
        <f>IF(C68-Table_1463457141940485664728088[Rwanda]&gt;0, C68-Table_1463457141940485664728088[Rwanda], 0)</f>
        <v>0</v>
      </c>
      <c r="K68" s="29">
        <f>IF(C68-Table_1463457141940485664728088[Sudan]&gt;0, C68-Table_1463457141940485664728088[Sudan], 0)</f>
        <v>9.857901054756347</v>
      </c>
      <c r="L68" s="29">
        <f>IF(C68-Table_1463457141940485664728088[S. Sudan]&gt;0, C68-Table_1463457141940485664728088[S. Sudan], 0)</f>
        <v>0</v>
      </c>
      <c r="M68" s="29">
        <f>IF(C68-Table_1463457141940485664728088[Tanzania]&gt;0, C68-Table_1463457141940485664728088[Tanzania], 0)</f>
        <v>4.3265426205695405</v>
      </c>
      <c r="N68" s="29">
        <f>IF(C68-Table_1463457141940485664728088[Uganda]&gt;0, C68-Table_1463457141940485664728088[Uganda], 0)</f>
        <v>19.343200366584078</v>
      </c>
      <c r="P68" s="21" t="s">
        <v>9</v>
      </c>
      <c r="Q68" s="97">
        <f t="shared" si="8"/>
        <v>-9.6286086586920942E-3</v>
      </c>
      <c r="R68" s="97">
        <f t="shared" si="7"/>
        <v>-9.6286086586920942E-3</v>
      </c>
      <c r="S68" s="97">
        <f t="shared" si="7"/>
        <v>0.20248232514706502</v>
      </c>
      <c r="T68" s="97">
        <f t="shared" si="7"/>
        <v>-9.6286086586920942E-3</v>
      </c>
      <c r="U68" s="97">
        <f t="shared" si="7"/>
        <v>0.78560625792068794</v>
      </c>
      <c r="V68" s="97">
        <f t="shared" si="7"/>
        <v>-9.6286086586920942E-3</v>
      </c>
      <c r="W68" s="97">
        <f t="shared" si="7"/>
        <v>-9.6286086586920942E-3</v>
      </c>
      <c r="X68" s="97">
        <f t="shared" si="7"/>
        <v>3.3187787346405276E-2</v>
      </c>
      <c r="Y68" s="97">
        <f t="shared" si="7"/>
        <v>-9.6286086586920942E-3</v>
      </c>
      <c r="Z68" s="97">
        <f t="shared" si="7"/>
        <v>-9.6286086586920942E-3</v>
      </c>
      <c r="AA68" s="97">
        <f t="shared" si="7"/>
        <v>0.10661031752488945</v>
      </c>
    </row>
    <row r="69" spans="1:31" ht="12.75" customHeight="1" thickBot="1" x14ac:dyDescent="0.3">
      <c r="B69" s="21" t="s">
        <v>9</v>
      </c>
      <c r="C69" s="95">
        <f>Annual_sorted!P62</f>
        <v>-27.631820389886364</v>
      </c>
      <c r="D69" s="29">
        <f>IF(C69-Table_1463457141940485664728088[Burundi]&gt;0, C69-Table_1463457141940485664728088[Burundi], 0)</f>
        <v>0</v>
      </c>
      <c r="E69" s="29">
        <f>IF(C69-Table_1463457141940485664728088[DRC]&gt;0, C69-Table_1463457141940485664728088[DRC], 0)</f>
        <v>0</v>
      </c>
      <c r="F69" s="29">
        <f>IF(C69-Table_1463457141940485664728088[Egypt]&gt;0, C69-Table_1463457141940485664728088[Egypt], 0)</f>
        <v>27.402156934227605</v>
      </c>
      <c r="G69" s="29">
        <f>IF(C69-Table_1463457141940485664728088[Eritrea]&gt;0, C69-Table_1463457141940485664728088[Eritrea], 0)</f>
        <v>0</v>
      </c>
      <c r="H69" s="29">
        <f>IF(C69-Table_1463457141940485664728088[Ethiopia]&gt;0, C69-Table_1463457141940485664728088[Ethiopia], 0)</f>
        <v>102.73468803608776</v>
      </c>
      <c r="I69" s="29">
        <f>IF(C69-Table_1463457141940485664728088[Kenya]&gt;0, C69-Table_1463457141940485664728088[Kenya], 0)</f>
        <v>0</v>
      </c>
      <c r="J69" s="29">
        <f>IF(C69-Table_1463457141940485664728088[Rwanda]&gt;0, C69-Table_1463457141940485664728088[Rwanda], 0)</f>
        <v>0</v>
      </c>
      <c r="K69" s="29">
        <f>IF(C69-Table_1463457141940485664728088[Sudan]&gt;0, C69-Table_1463457141940485664728088[Sudan], 0)</f>
        <v>5.5313584341868065</v>
      </c>
      <c r="L69" s="29">
        <f>IF(C69-Table_1463457141940485664728088[S. Sudan]&gt;0, C69-Table_1463457141940485664728088[S. Sudan], 0)</f>
        <v>0</v>
      </c>
      <c r="M69" s="29">
        <f>IF(C69-Table_1463457141940485664728088[Tanzania]&gt;0, C69-Table_1463457141940485664728088[Tanzania], 0)</f>
        <v>0</v>
      </c>
      <c r="N69" s="29">
        <f>IF(C69-Table_1463457141940485664728088[Uganda]&gt;0, C69-Table_1463457141940485664728088[Uganda], 0)</f>
        <v>15.016657746014538</v>
      </c>
      <c r="P69" s="22" t="s">
        <v>10</v>
      </c>
      <c r="Q69" s="98">
        <f t="shared" si="8"/>
        <v>-9.6286086586920942E-3</v>
      </c>
      <c r="R69" s="98">
        <f t="shared" si="7"/>
        <v>-9.6286086586920942E-3</v>
      </c>
      <c r="S69" s="98">
        <f t="shared" si="7"/>
        <v>8.62433989634835E-2</v>
      </c>
      <c r="T69" s="98">
        <f t="shared" si="7"/>
        <v>-9.6286086586920942E-3</v>
      </c>
      <c r="U69" s="98">
        <f t="shared" si="7"/>
        <v>0.66936733173710639</v>
      </c>
      <c r="V69" s="98">
        <f t="shared" si="7"/>
        <v>-9.6286086586920942E-3</v>
      </c>
      <c r="W69" s="98">
        <f t="shared" si="7"/>
        <v>-9.6286086586920942E-3</v>
      </c>
      <c r="X69" s="98">
        <f t="shared" si="7"/>
        <v>-9.6286086586920942E-3</v>
      </c>
      <c r="Y69" s="98">
        <f t="shared" si="7"/>
        <v>-9.6286086586920942E-3</v>
      </c>
      <c r="Z69" s="98">
        <f t="shared" si="7"/>
        <v>-9.6286086586920942E-3</v>
      </c>
      <c r="AA69" s="98">
        <f t="shared" si="7"/>
        <v>-9.6286086586920942E-3</v>
      </c>
      <c r="AB69" s="186">
        <f>SUM(Q59:AA69)</f>
        <v>15.104704966753127</v>
      </c>
    </row>
    <row r="70" spans="1:31" ht="12.75" customHeight="1" thickBot="1" x14ac:dyDescent="0.3">
      <c r="B70" s="22" t="s">
        <v>10</v>
      </c>
      <c r="C70" s="96">
        <f>Annual_sorted!P63</f>
        <v>-42.648478135900902</v>
      </c>
      <c r="D70" s="32">
        <f>IF(C70-Table_1463457141940485664728088[Burundi]&gt;0, C70-Table_1463457141940485664728088[Burundi], 0)</f>
        <v>0</v>
      </c>
      <c r="E70" s="32">
        <f>IF(C70-Table_1463457141940485664728088[DRC]&gt;0, C70-Table_1463457141940485664728088[DRC], 0)</f>
        <v>0</v>
      </c>
      <c r="F70" s="32">
        <f>IF(C70-Table_1463457141940485664728088[Egypt]&gt;0, C70-Table_1463457141940485664728088[Egypt], 0)</f>
        <v>12.385499188213068</v>
      </c>
      <c r="G70" s="32">
        <f>IF(C70-Table_1463457141940485664728088[Eritrea]&gt;0, C70-Table_1463457141940485664728088[Eritrea], 0)</f>
        <v>0</v>
      </c>
      <c r="H70" s="32">
        <f>IF(C70-Table_1463457141940485664728088[Ethiopia]&gt;0, C70-Table_1463457141940485664728088[Ethiopia], 0)</f>
        <v>87.71803029007323</v>
      </c>
      <c r="I70" s="32">
        <f>IF(C70-Table_1463457141940485664728088[Kenya]&gt;0, C70-Table_1463457141940485664728088[Kenya], 0)</f>
        <v>0</v>
      </c>
      <c r="J70" s="32">
        <f>IF(C70-Table_1463457141940485664728088[Rwanda]&gt;0, C70-Table_1463457141940485664728088[Rwanda], 0)</f>
        <v>0</v>
      </c>
      <c r="K70" s="32">
        <f>IF(C70-Table_1463457141940485664728088[Sudan]&gt;0, C70-Table_1463457141940485664728088[Sudan], 0)</f>
        <v>0</v>
      </c>
      <c r="L70" s="32">
        <f>IF(C70-Table_1463457141940485664728088[S. Sudan]&gt;0, C70-Table_1463457141940485664728088[S. Sudan], 0)</f>
        <v>0</v>
      </c>
      <c r="M70" s="32">
        <f>IF(C70-Table_1463457141940485664728088[Tanzania]&gt;0, C70-Table_1463457141940485664728088[Tanzania], 0)</f>
        <v>0</v>
      </c>
      <c r="N70" s="32">
        <f>IF(C70-Table_1463457141940485664728088[Uganda]&gt;0, C70-Table_1463457141940485664728088[Uganda], 0)</f>
        <v>0</v>
      </c>
    </row>
    <row r="71" spans="1:31" ht="12.75" customHeight="1" x14ac:dyDescent="0.25"/>
    <row r="72" spans="1:31" ht="12.75" customHeight="1" x14ac:dyDescent="0.25"/>
    <row r="73" spans="1:31" ht="12.75" customHeight="1" x14ac:dyDescent="0.25"/>
    <row r="74" spans="1:31" ht="24" customHeight="1" x14ac:dyDescent="0.25">
      <c r="A74" s="252" t="s">
        <v>82</v>
      </c>
      <c r="B74" s="252"/>
      <c r="C74" s="252"/>
      <c r="D74" s="252"/>
      <c r="E74" s="252"/>
      <c r="F74" s="252"/>
    </row>
    <row r="75" spans="1:31" ht="12.75" customHeight="1" x14ac:dyDescent="0.25"/>
    <row r="76" spans="1:31" ht="12.75" customHeight="1" x14ac:dyDescent="0.25">
      <c r="B76" s="5"/>
      <c r="C76" s="5"/>
      <c r="D76" s="5"/>
      <c r="E76" s="5"/>
      <c r="F76" s="5"/>
      <c r="G76" s="5"/>
      <c r="H76" s="5"/>
      <c r="I76" s="5"/>
      <c r="J76" s="5"/>
      <c r="K76" s="5"/>
      <c r="L76" s="5"/>
      <c r="M76" s="5"/>
      <c r="N76" s="5"/>
      <c r="O76" s="5"/>
      <c r="P76" s="5"/>
      <c r="Q76" s="5"/>
      <c r="R76" s="5"/>
      <c r="S76" s="5"/>
      <c r="T76" s="5"/>
      <c r="U76" s="5"/>
      <c r="V76" s="5"/>
      <c r="W76" s="5"/>
      <c r="X76" s="5"/>
      <c r="Y76" s="5"/>
      <c r="Z76" s="5"/>
      <c r="AA76" s="5"/>
    </row>
    <row r="77" spans="1:31" ht="12.75" customHeight="1" thickBot="1" x14ac:dyDescent="0.3">
      <c r="B77" s="253" t="s">
        <v>83</v>
      </c>
      <c r="C77" s="253"/>
      <c r="D77" s="253"/>
      <c r="E77" s="253"/>
      <c r="F77" s="253"/>
      <c r="G77" s="253"/>
      <c r="H77" s="253"/>
      <c r="I77" s="253"/>
      <c r="J77" s="253"/>
      <c r="K77" s="253"/>
      <c r="L77" s="253"/>
      <c r="M77" s="253"/>
      <c r="N77" s="253"/>
      <c r="O77" s="5"/>
      <c r="P77" s="253" t="s">
        <v>84</v>
      </c>
      <c r="Q77" s="253"/>
      <c r="R77" s="253"/>
      <c r="S77" s="253"/>
      <c r="T77" s="253"/>
      <c r="U77" s="253"/>
      <c r="V77" s="253"/>
      <c r="W77" s="253"/>
      <c r="X77" s="253"/>
      <c r="Y77" s="253"/>
      <c r="Z77" s="253"/>
      <c r="AA77" s="253"/>
      <c r="AB77" s="10"/>
      <c r="AC77" s="3" t="s">
        <v>22</v>
      </c>
      <c r="AD77" s="13" t="s">
        <v>23</v>
      </c>
      <c r="AE77" s="74">
        <f t="array" ref="AE77">MIN(IF(D80:N90&gt;0,D80:N90))</f>
        <v>14.083713263466194</v>
      </c>
    </row>
    <row r="78" spans="1:31" ht="12.75" customHeight="1" thickBot="1" x14ac:dyDescent="0.3">
      <c r="B78" s="75" t="s">
        <v>13</v>
      </c>
      <c r="C78" s="66" t="s">
        <v>14</v>
      </c>
      <c r="D78" s="67" t="s">
        <v>1</v>
      </c>
      <c r="E78" s="67" t="s">
        <v>195</v>
      </c>
      <c r="F78" s="67" t="s">
        <v>2</v>
      </c>
      <c r="G78" s="67" t="s">
        <v>3</v>
      </c>
      <c r="H78" s="67" t="s">
        <v>4</v>
      </c>
      <c r="I78" s="67" t="s">
        <v>5</v>
      </c>
      <c r="J78" s="67" t="s">
        <v>6</v>
      </c>
      <c r="K78" s="67" t="s">
        <v>7</v>
      </c>
      <c r="L78" s="67" t="s">
        <v>295</v>
      </c>
      <c r="M78" s="67" t="s">
        <v>9</v>
      </c>
      <c r="N78" s="67" t="s">
        <v>10</v>
      </c>
      <c r="P78" s="76" t="s">
        <v>19</v>
      </c>
      <c r="Q78" s="77" t="s">
        <v>1</v>
      </c>
      <c r="R78" s="77" t="s">
        <v>195</v>
      </c>
      <c r="S78" s="77" t="s">
        <v>2</v>
      </c>
      <c r="T78" s="77" t="s">
        <v>3</v>
      </c>
      <c r="U78" s="77" t="s">
        <v>4</v>
      </c>
      <c r="V78" s="77" t="s">
        <v>5</v>
      </c>
      <c r="W78" s="77" t="s">
        <v>6</v>
      </c>
      <c r="X78" s="77" t="s">
        <v>7</v>
      </c>
      <c r="Y78" s="77" t="s">
        <v>295</v>
      </c>
      <c r="Z78" s="77" t="s">
        <v>9</v>
      </c>
      <c r="AA78" s="77" t="s">
        <v>10</v>
      </c>
      <c r="AB78" s="254" t="s">
        <v>26</v>
      </c>
      <c r="AC78" s="254"/>
      <c r="AD78" s="13" t="s">
        <v>24</v>
      </c>
      <c r="AE78" s="20">
        <f>MAX(D80:N90)</f>
        <v>1632.5168729527845</v>
      </c>
    </row>
    <row r="79" spans="1:31" ht="12.75" customHeight="1" x14ac:dyDescent="0.25">
      <c r="B79" s="93"/>
      <c r="C79" s="94" t="s">
        <v>261</v>
      </c>
      <c r="D79" s="95">
        <f>C80</f>
        <v>59.21933682439176</v>
      </c>
      <c r="E79" s="95">
        <f>C81</f>
        <v>17.23448829454459</v>
      </c>
      <c r="F79" s="95">
        <f>C82</f>
        <v>-3.0180919025756205</v>
      </c>
      <c r="G79" s="95">
        <f>C83</f>
        <v>31.318201558010784</v>
      </c>
      <c r="H79" s="95">
        <f>C84</f>
        <v>1004.3900621455532</v>
      </c>
      <c r="I79" s="95">
        <f>C85</f>
        <v>270.83723162674653</v>
      </c>
      <c r="J79" s="95">
        <f>C86</f>
        <v>104.59506600751823</v>
      </c>
      <c r="K79" s="95">
        <f>C87</f>
        <v>1085.2318296519857</v>
      </c>
      <c r="L79" s="95">
        <f>C88</f>
        <v>-547.28504330079875</v>
      </c>
      <c r="M79" s="95">
        <f>C89</f>
        <v>298.9986874206129</v>
      </c>
      <c r="N79" s="95">
        <f>C90</f>
        <v>383.90295930500702</v>
      </c>
      <c r="P79" s="21" t="s">
        <v>1</v>
      </c>
      <c r="Q79" s="97">
        <f>$AE$79+(D80-$AE$77)*($AE$80-$AE$79)/($AE$78-$AE$77)</f>
        <v>-7.6933646075959044E-3</v>
      </c>
      <c r="R79" s="97">
        <f t="shared" ref="R79:AA89" si="9">$AE$79+(E80-$AE$77)*($AE$80-$AE$79)/($AE$78-$AE$77)</f>
        <v>1.8222357293065639E-2</v>
      </c>
      <c r="S79" s="97">
        <f t="shared" si="9"/>
        <v>3.0723539375127638E-2</v>
      </c>
      <c r="T79" s="97">
        <f t="shared" si="9"/>
        <v>9.5289926854697365E-3</v>
      </c>
      <c r="U79" s="97">
        <f t="shared" si="9"/>
        <v>-7.6933646075959044E-3</v>
      </c>
      <c r="V79" s="97">
        <f t="shared" si="9"/>
        <v>-7.6933646075959044E-3</v>
      </c>
      <c r="W79" s="97">
        <f t="shared" si="9"/>
        <v>-7.6933646075959044E-3</v>
      </c>
      <c r="X79" s="97">
        <f t="shared" si="9"/>
        <v>-7.6933646075959044E-3</v>
      </c>
      <c r="Y79" s="97">
        <f t="shared" si="9"/>
        <v>0.366679758012665</v>
      </c>
      <c r="Z79" s="97">
        <f t="shared" si="9"/>
        <v>-7.6933646075959044E-3</v>
      </c>
      <c r="AA79" s="97">
        <f t="shared" si="9"/>
        <v>-7.6933646075959044E-3</v>
      </c>
      <c r="AD79" s="3" t="s">
        <v>25</v>
      </c>
      <c r="AE79" s="2">
        <v>1E-3</v>
      </c>
    </row>
    <row r="80" spans="1:31" ht="12.75" customHeight="1" x14ac:dyDescent="0.25">
      <c r="B80" s="21" t="s">
        <v>1</v>
      </c>
      <c r="C80" s="95">
        <f>Annual_sorted!F53</f>
        <v>59.21933682439176</v>
      </c>
      <c r="D80" s="29">
        <f>IF(C80-Table_14634578132445536169778593[Burundi]&gt;0, C80-Table_14634578132445536169778593[Burundi], 0)</f>
        <v>0</v>
      </c>
      <c r="E80" s="29">
        <f>IF(C80-Table_14634578132445536169778593[DRC]&gt;0, C80-Table_14634578132445536169778593[DRC], 0)</f>
        <v>41.98484852984717</v>
      </c>
      <c r="F80" s="29">
        <f>IF(C80-Table_14634578132445536169778593[Egypt]&gt;0, C80-Table_14634578132445536169778593[Egypt], 0)</f>
        <v>62.23742872696738</v>
      </c>
      <c r="G80" s="29">
        <f>IF(C80-Table_14634578132445536169778593[Eritrea]&gt;0, C80-Table_14634578132445536169778593[Eritrea], 0)</f>
        <v>27.901135266380976</v>
      </c>
      <c r="H80" s="29">
        <f>IF(C80-Table_14634578132445536169778593[Ethiopia]&gt;0, C80-Table_14634578132445536169778593[Ethiopia], 0)</f>
        <v>0</v>
      </c>
      <c r="I80" s="29">
        <f>IF(C80-Table_14634578132445536169778593[Kenya]&gt;0, C80-Table_14634578132445536169778593[Kenya], 0)</f>
        <v>0</v>
      </c>
      <c r="J80" s="29">
        <f>IF(C80-Table_14634578132445536169778593[Rwanda]&gt;0, C80-Table_14634578132445536169778593[Rwanda], 0)</f>
        <v>0</v>
      </c>
      <c r="K80" s="29">
        <f>IF(C80-Table_14634578132445536169778593[Sudan]&gt;0, C80-Table_14634578132445536169778593[Sudan], 0)</f>
        <v>0</v>
      </c>
      <c r="L80" s="29">
        <f>IF(C80-Table_14634578132445536169778593[S. Sudan]&gt;0, C80-Table_14634578132445536169778593[S. Sudan], 0)</f>
        <v>606.50438012519055</v>
      </c>
      <c r="M80" s="29">
        <f>IF(C80-Table_14634578132445536169778593[Tanzania]&gt;0, C80-Table_14634578132445536169778593[Tanzania], 0)</f>
        <v>0</v>
      </c>
      <c r="N80" s="29">
        <f>IF(C80-Table_14634578132445536169778593[Uganda]&gt;0, C80-Table_14634578132445536169778593[Uganda], 0)</f>
        <v>0</v>
      </c>
      <c r="P80" s="21" t="s">
        <v>195</v>
      </c>
      <c r="Q80" s="97">
        <f t="shared" ref="Q80:Q89" si="10">$AE$79+(D81-$AE$77)*($AE$80-$AE$79)/($AE$78-$AE$77)</f>
        <v>-7.6933646075959044E-3</v>
      </c>
      <c r="R80" s="97">
        <f t="shared" si="9"/>
        <v>-7.6933646075959044E-3</v>
      </c>
      <c r="S80" s="97">
        <f t="shared" si="9"/>
        <v>4.8078174744660947E-3</v>
      </c>
      <c r="T80" s="97">
        <f t="shared" si="9"/>
        <v>-7.6933646075959044E-3</v>
      </c>
      <c r="U80" s="97">
        <f t="shared" si="9"/>
        <v>-7.6933646075959044E-3</v>
      </c>
      <c r="V80" s="97">
        <f t="shared" si="9"/>
        <v>-7.6933646075959044E-3</v>
      </c>
      <c r="W80" s="97">
        <f t="shared" si="9"/>
        <v>-7.6933646075959044E-3</v>
      </c>
      <c r="X80" s="97">
        <f t="shared" si="9"/>
        <v>-7.6933646075959044E-3</v>
      </c>
      <c r="Y80" s="97">
        <f t="shared" si="9"/>
        <v>0.3407640361120034</v>
      </c>
      <c r="Z80" s="97">
        <f t="shared" si="9"/>
        <v>-7.6933646075959044E-3</v>
      </c>
      <c r="AA80" s="97">
        <f t="shared" si="9"/>
        <v>-7.6933646075959044E-3</v>
      </c>
      <c r="AD80" s="3" t="s">
        <v>70</v>
      </c>
      <c r="AE80" s="2">
        <v>1</v>
      </c>
    </row>
    <row r="81" spans="2:31" ht="12.75" customHeight="1" x14ac:dyDescent="0.25">
      <c r="B81" s="21" t="s">
        <v>195</v>
      </c>
      <c r="C81" s="95">
        <f>Annual_sorted!F54</f>
        <v>17.23448829454459</v>
      </c>
      <c r="D81" s="29">
        <f>IF(C81-Table_14634578132445536169778593[Burundi]&gt;0, C81-Table_14634578132445536169778593[Burundi], 0)</f>
        <v>0</v>
      </c>
      <c r="E81" s="29">
        <f>IF(C81-Table_14634578132445536169778593[DRC]&gt;0, C81-Table_14634578132445536169778593[DRC], 0)</f>
        <v>0</v>
      </c>
      <c r="F81" s="29">
        <f>IF(C81-Table_14634578132445536169778593[Egypt]&gt;0, C81-Table_14634578132445536169778593[Egypt], 0)</f>
        <v>20.25258019712021</v>
      </c>
      <c r="G81" s="29">
        <f>IF(C81-Table_14634578132445536169778593[Eritrea]&gt;0, C81-Table_14634578132445536169778593[Eritrea], 0)</f>
        <v>0</v>
      </c>
      <c r="H81" s="29">
        <f>IF(C81-Table_14634578132445536169778593[Ethiopia]&gt;0, C81-Table_14634578132445536169778593[Ethiopia], 0)</f>
        <v>0</v>
      </c>
      <c r="I81" s="29">
        <f>IF(C81-Table_14634578132445536169778593[Kenya]&gt;0, C81-Table_14634578132445536169778593[Kenya], 0)</f>
        <v>0</v>
      </c>
      <c r="J81" s="29">
        <f>IF(C81-Table_14634578132445536169778593[Rwanda]&gt;0, C81-Table_14634578132445536169778593[Rwanda], 0)</f>
        <v>0</v>
      </c>
      <c r="K81" s="29">
        <f>IF(C81-Table_14634578132445536169778593[Sudan]&gt;0, C81-Table_14634578132445536169778593[Sudan], 0)</f>
        <v>0</v>
      </c>
      <c r="L81" s="29">
        <f>IF(C81-Table_14634578132445536169778593[S. Sudan]&gt;0, C81-Table_14634578132445536169778593[S. Sudan], 0)</f>
        <v>564.51953159534332</v>
      </c>
      <c r="M81" s="29">
        <f>IF(C81-Table_14634578132445536169778593[Tanzania]&gt;0, C81-Table_14634578132445536169778593[Tanzania], 0)</f>
        <v>0</v>
      </c>
      <c r="N81" s="29">
        <f>IF(C81-Table_14634578132445536169778593[Uganda]&gt;0, C81-Table_14634578132445536169778593[Uganda], 0)</f>
        <v>0</v>
      </c>
      <c r="P81" s="21" t="s">
        <v>2</v>
      </c>
      <c r="Q81" s="97">
        <f t="shared" si="10"/>
        <v>-7.6933646075959044E-3</v>
      </c>
      <c r="R81" s="97">
        <f t="shared" si="9"/>
        <v>-7.6933646075959044E-3</v>
      </c>
      <c r="S81" s="97">
        <f t="shared" si="9"/>
        <v>-7.6933646075959044E-3</v>
      </c>
      <c r="T81" s="97">
        <f t="shared" si="9"/>
        <v>-7.6933646075959044E-3</v>
      </c>
      <c r="U81" s="97">
        <f t="shared" si="9"/>
        <v>-7.6933646075959044E-3</v>
      </c>
      <c r="V81" s="97">
        <f t="shared" si="9"/>
        <v>-7.6933646075959044E-3</v>
      </c>
      <c r="W81" s="97">
        <f t="shared" si="9"/>
        <v>-7.6933646075959044E-3</v>
      </c>
      <c r="X81" s="97">
        <f t="shared" si="9"/>
        <v>-7.6933646075959044E-3</v>
      </c>
      <c r="Y81" s="97">
        <f t="shared" si="9"/>
        <v>0.32826285402994138</v>
      </c>
      <c r="Z81" s="97">
        <f t="shared" si="9"/>
        <v>-7.6933646075959044E-3</v>
      </c>
      <c r="AA81" s="97">
        <f t="shared" si="9"/>
        <v>-7.6933646075959044E-3</v>
      </c>
    </row>
    <row r="82" spans="2:31" ht="12.75" customHeight="1" x14ac:dyDescent="0.25">
      <c r="B82" s="21" t="s">
        <v>2</v>
      </c>
      <c r="C82" s="95">
        <f>Annual_sorted!F55</f>
        <v>-3.0180919025756205</v>
      </c>
      <c r="D82" s="29">
        <f>IF(C82-Table_14634578132445536169778593[Burundi]&gt;0, C82-Table_14634578132445536169778593[Burundi], 0)</f>
        <v>0</v>
      </c>
      <c r="E82" s="29">
        <f>IF(C82-Table_14634578132445536169778593[DRC]&gt;0, C82-Table_14634578132445536169778593[DRC], 0)</f>
        <v>0</v>
      </c>
      <c r="F82" s="29">
        <f>IF(C82-Table_14634578132445536169778593[Egypt]&gt;0, C82-Table_14634578132445536169778593[Egypt], 0)</f>
        <v>0</v>
      </c>
      <c r="G82" s="29">
        <f>IF(C82-Table_14634578132445536169778593[Eritrea]&gt;0, C82-Table_14634578132445536169778593[Eritrea], 0)</f>
        <v>0</v>
      </c>
      <c r="H82" s="29">
        <f>IF(C82-Table_14634578132445536169778593[Ethiopia]&gt;0, C82-Table_14634578132445536169778593[Ethiopia], 0)</f>
        <v>0</v>
      </c>
      <c r="I82" s="29">
        <f>IF(C82-Table_14634578132445536169778593[Kenya]&gt;0, C82-Table_14634578132445536169778593[Kenya], 0)</f>
        <v>0</v>
      </c>
      <c r="J82" s="29">
        <f>IF(C82-Table_14634578132445536169778593[Rwanda]&gt;0, C82-Table_14634578132445536169778593[Rwanda], 0)</f>
        <v>0</v>
      </c>
      <c r="K82" s="29">
        <f>IF(C82-Table_14634578132445536169778593[Sudan]&gt;0, C82-Table_14634578132445536169778593[Sudan], 0)</f>
        <v>0</v>
      </c>
      <c r="L82" s="29">
        <f>IF(C82-Table_14634578132445536169778593[S. Sudan]&gt;0, C82-Table_14634578132445536169778593[S. Sudan], 0)</f>
        <v>544.26695139822311</v>
      </c>
      <c r="M82" s="29">
        <f>IF(C82-Table_14634578132445536169778593[Tanzania]&gt;0, C82-Table_14634578132445536169778593[Tanzania], 0)</f>
        <v>0</v>
      </c>
      <c r="N82" s="29">
        <f>IF(C82-Table_14634578132445536169778593[Uganda]&gt;0, C82-Table_14634578132445536169778593[Uganda], 0)</f>
        <v>0</v>
      </c>
      <c r="P82" s="21" t="s">
        <v>3</v>
      </c>
      <c r="Q82" s="97">
        <f t="shared" si="10"/>
        <v>-7.6933646075959044E-3</v>
      </c>
      <c r="R82" s="97">
        <f t="shared" si="9"/>
        <v>1E-3</v>
      </c>
      <c r="S82" s="97">
        <f t="shared" si="9"/>
        <v>1.3501182082062E-2</v>
      </c>
      <c r="T82" s="97">
        <f t="shared" si="9"/>
        <v>-7.6933646075959044E-3</v>
      </c>
      <c r="U82" s="97">
        <f t="shared" si="9"/>
        <v>-7.6933646075959044E-3</v>
      </c>
      <c r="V82" s="97">
        <f t="shared" si="9"/>
        <v>-7.6933646075959044E-3</v>
      </c>
      <c r="W82" s="97">
        <f t="shared" si="9"/>
        <v>-7.6933646075959044E-3</v>
      </c>
      <c r="X82" s="97">
        <f t="shared" si="9"/>
        <v>-7.6933646075959044E-3</v>
      </c>
      <c r="Y82" s="97">
        <f t="shared" si="9"/>
        <v>0.3494574007195993</v>
      </c>
      <c r="Z82" s="97">
        <f t="shared" si="9"/>
        <v>-7.6933646075959044E-3</v>
      </c>
      <c r="AA82" s="97">
        <f t="shared" si="9"/>
        <v>-7.6933646075959044E-3</v>
      </c>
    </row>
    <row r="83" spans="2:31" ht="12.75" customHeight="1" x14ac:dyDescent="0.25">
      <c r="B83" s="21" t="s">
        <v>3</v>
      </c>
      <c r="C83" s="95">
        <f>Annual_sorted!F56</f>
        <v>31.318201558010784</v>
      </c>
      <c r="D83" s="29">
        <f>IF(C83-Table_14634578132445536169778593[Burundi]&gt;0, C83-Table_14634578132445536169778593[Burundi], 0)</f>
        <v>0</v>
      </c>
      <c r="E83" s="29">
        <f>IF(C83-Table_14634578132445536169778593[DRC]&gt;0, C83-Table_14634578132445536169778593[DRC], 0)</f>
        <v>14.083713263466194</v>
      </c>
      <c r="F83" s="29">
        <f>IF(C83-Table_14634578132445536169778593[Egypt]&gt;0, C83-Table_14634578132445536169778593[Egypt], 0)</f>
        <v>34.336293460586404</v>
      </c>
      <c r="G83" s="29">
        <f>IF(C83-Table_14634578132445536169778593[Eritrea]&gt;0, C83-Table_14634578132445536169778593[Eritrea], 0)</f>
        <v>0</v>
      </c>
      <c r="H83" s="29">
        <f>IF(C83-Table_14634578132445536169778593[Ethiopia]&gt;0, C83-Table_14634578132445536169778593[Ethiopia], 0)</f>
        <v>0</v>
      </c>
      <c r="I83" s="29">
        <f>IF(C83-Table_14634578132445536169778593[Kenya]&gt;0, C83-Table_14634578132445536169778593[Kenya], 0)</f>
        <v>0</v>
      </c>
      <c r="J83" s="29">
        <f>IF(C83-Table_14634578132445536169778593[Rwanda]&gt;0, C83-Table_14634578132445536169778593[Rwanda], 0)</f>
        <v>0</v>
      </c>
      <c r="K83" s="29">
        <f>IF(C83-Table_14634578132445536169778593[Sudan]&gt;0, C83-Table_14634578132445536169778593[Sudan], 0)</f>
        <v>0</v>
      </c>
      <c r="L83" s="29">
        <f>IF(C83-Table_14634578132445536169778593[S. Sudan]&gt;0, C83-Table_14634578132445536169778593[S. Sudan], 0)</f>
        <v>578.60324485880949</v>
      </c>
      <c r="M83" s="29">
        <f>IF(C83-Table_14634578132445536169778593[Tanzania]&gt;0, C83-Table_14634578132445536169778593[Tanzania], 0)</f>
        <v>0</v>
      </c>
      <c r="N83" s="29">
        <f>IF(C83-Table_14634578132445536169778593[Uganda]&gt;0, C83-Table_14634578132445536169778593[Uganda], 0)</f>
        <v>0</v>
      </c>
      <c r="P83" s="21" t="s">
        <v>4</v>
      </c>
      <c r="Q83" s="97">
        <f t="shared" si="10"/>
        <v>0.57572619086981291</v>
      </c>
      <c r="R83" s="97">
        <f t="shared" si="9"/>
        <v>0.60164191277047452</v>
      </c>
      <c r="S83" s="97">
        <f t="shared" si="9"/>
        <v>0.61414309485253649</v>
      </c>
      <c r="T83" s="97">
        <f t="shared" si="9"/>
        <v>0.59294854816287867</v>
      </c>
      <c r="U83" s="97">
        <f t="shared" si="9"/>
        <v>-7.6933646075959044E-3</v>
      </c>
      <c r="V83" s="97">
        <f t="shared" si="9"/>
        <v>0.44510215141418602</v>
      </c>
      <c r="W83" s="97">
        <f t="shared" si="9"/>
        <v>0.54771740151539494</v>
      </c>
      <c r="X83" s="97">
        <f t="shared" si="9"/>
        <v>-7.6933646075959044E-3</v>
      </c>
      <c r="Y83" s="97">
        <f t="shared" si="9"/>
        <v>0.95009931349007382</v>
      </c>
      <c r="Z83" s="97">
        <f t="shared" si="9"/>
        <v>0.42771910771562943</v>
      </c>
      <c r="AA83" s="97">
        <f t="shared" si="9"/>
        <v>0.37531078482338714</v>
      </c>
    </row>
    <row r="84" spans="2:31" ht="12.75" customHeight="1" x14ac:dyDescent="0.25">
      <c r="B84" s="21" t="s">
        <v>4</v>
      </c>
      <c r="C84" s="95">
        <f>Annual_sorted!F57</f>
        <v>1004.3900621455532</v>
      </c>
      <c r="D84" s="29">
        <f>IF(C84-Table_14634578132445536169778593[Burundi]&gt;0, C84-Table_14634578132445536169778593[Burundi], 0)</f>
        <v>945.1707253211614</v>
      </c>
      <c r="E84" s="29">
        <f>IF(C84-Table_14634578132445536169778593[DRC]&gt;0, C84-Table_14634578132445536169778593[DRC], 0)</f>
        <v>987.15557385100863</v>
      </c>
      <c r="F84" s="29">
        <f>IF(C84-Table_14634578132445536169778593[Egypt]&gt;0, C84-Table_14634578132445536169778593[Egypt], 0)</f>
        <v>1007.4081540481288</v>
      </c>
      <c r="G84" s="29">
        <f>IF(C84-Table_14634578132445536169778593[Eritrea]&gt;0, C84-Table_14634578132445536169778593[Eritrea], 0)</f>
        <v>973.07186058754246</v>
      </c>
      <c r="H84" s="29">
        <f>IF(C84-Table_14634578132445536169778593[Ethiopia]&gt;0, C84-Table_14634578132445536169778593[Ethiopia], 0)</f>
        <v>0</v>
      </c>
      <c r="I84" s="29">
        <f>IF(C84-Table_14634578132445536169778593[Kenya]&gt;0, C84-Table_14634578132445536169778593[Kenya], 0)</f>
        <v>733.55283051880667</v>
      </c>
      <c r="J84" s="29">
        <f>IF(C84-Table_14634578132445536169778593[Rwanda]&gt;0, C84-Table_14634578132445536169778593[Rwanda], 0)</f>
        <v>899.794996138035</v>
      </c>
      <c r="K84" s="29">
        <f>IF(C84-Table_14634578132445536169778593[Sudan]&gt;0, C84-Table_14634578132445536169778593[Sudan], 0)</f>
        <v>0</v>
      </c>
      <c r="L84" s="29">
        <f>IF(C84-Table_14634578132445536169778593[S. Sudan]&gt;0, C84-Table_14634578132445536169778593[S. Sudan], 0)</f>
        <v>1551.6751054463521</v>
      </c>
      <c r="M84" s="29">
        <f>IF(C84-Table_14634578132445536169778593[Tanzania]&gt;0, C84-Table_14634578132445536169778593[Tanzania], 0)</f>
        <v>705.39137472494031</v>
      </c>
      <c r="N84" s="29">
        <f>IF(C84-Table_14634578132445536169778593[Uganda]&gt;0, C84-Table_14634578132445536169778593[Uganda], 0)</f>
        <v>620.48710284054619</v>
      </c>
      <c r="P84" s="21" t="s">
        <v>5</v>
      </c>
      <c r="Q84" s="97">
        <f t="shared" si="10"/>
        <v>0.12293067484803101</v>
      </c>
      <c r="R84" s="97">
        <f t="shared" si="9"/>
        <v>0.14884639674869254</v>
      </c>
      <c r="S84" s="97">
        <f t="shared" si="9"/>
        <v>0.16134757883075457</v>
      </c>
      <c r="T84" s="97">
        <f t="shared" si="9"/>
        <v>0.14015303214109662</v>
      </c>
      <c r="U84" s="97">
        <f t="shared" si="9"/>
        <v>-7.6933646075959044E-3</v>
      </c>
      <c r="V84" s="97">
        <f t="shared" si="9"/>
        <v>-7.6933646075959044E-3</v>
      </c>
      <c r="W84" s="97">
        <f t="shared" si="9"/>
        <v>9.4921885493612954E-2</v>
      </c>
      <c r="X84" s="97">
        <f t="shared" si="9"/>
        <v>-7.6933646075959044E-3</v>
      </c>
      <c r="Y84" s="97">
        <f t="shared" si="9"/>
        <v>0.49730379746829179</v>
      </c>
      <c r="Z84" s="97">
        <f t="shared" si="9"/>
        <v>-7.6933646075959044E-3</v>
      </c>
      <c r="AA84" s="97">
        <f t="shared" si="9"/>
        <v>-7.6933646075959044E-3</v>
      </c>
    </row>
    <row r="85" spans="2:31" ht="12.75" customHeight="1" x14ac:dyDescent="0.25">
      <c r="B85" s="21" t="s">
        <v>5</v>
      </c>
      <c r="C85" s="95">
        <f>Annual_sorted!F58</f>
        <v>270.83723162674653</v>
      </c>
      <c r="D85" s="29">
        <f>IF(C85-Table_14634578132445536169778593[Burundi]&gt;0, C85-Table_14634578132445536169778593[Burundi], 0)</f>
        <v>211.61789480235478</v>
      </c>
      <c r="E85" s="29">
        <f>IF(C85-Table_14634578132445536169778593[DRC]&gt;0, C85-Table_14634578132445536169778593[DRC], 0)</f>
        <v>253.60274333220195</v>
      </c>
      <c r="F85" s="29">
        <f>IF(C85-Table_14634578132445536169778593[Egypt]&gt;0, C85-Table_14634578132445536169778593[Egypt], 0)</f>
        <v>273.85532352932216</v>
      </c>
      <c r="G85" s="29">
        <f>IF(C85-Table_14634578132445536169778593[Eritrea]&gt;0, C85-Table_14634578132445536169778593[Eritrea], 0)</f>
        <v>239.51903006873573</v>
      </c>
      <c r="H85" s="29">
        <f>IF(C85-Table_14634578132445536169778593[Ethiopia]&gt;0, C85-Table_14634578132445536169778593[Ethiopia], 0)</f>
        <v>0</v>
      </c>
      <c r="I85" s="29">
        <f>IF(C85-Table_14634578132445536169778593[Kenya]&gt;0, C85-Table_14634578132445536169778593[Kenya], 0)</f>
        <v>0</v>
      </c>
      <c r="J85" s="29">
        <f>IF(C85-Table_14634578132445536169778593[Rwanda]&gt;0, C85-Table_14634578132445536169778593[Rwanda], 0)</f>
        <v>166.2421656192283</v>
      </c>
      <c r="K85" s="29">
        <f>IF(C85-Table_14634578132445536169778593[Sudan]&gt;0, C85-Table_14634578132445536169778593[Sudan], 0)</f>
        <v>0</v>
      </c>
      <c r="L85" s="29">
        <f>IF(C85-Table_14634578132445536169778593[S. Sudan]&gt;0, C85-Table_14634578132445536169778593[S. Sudan], 0)</f>
        <v>818.12227492754528</v>
      </c>
      <c r="M85" s="29">
        <f>IF(C85-Table_14634578132445536169778593[Tanzania]&gt;0, C85-Table_14634578132445536169778593[Tanzania], 0)</f>
        <v>0</v>
      </c>
      <c r="N85" s="29">
        <f>IF(C85-Table_14634578132445536169778593[Uganda]&gt;0, C85-Table_14634578132445536169778593[Uganda], 0)</f>
        <v>0</v>
      </c>
      <c r="P85" s="21" t="s">
        <v>6</v>
      </c>
      <c r="Q85" s="97">
        <f t="shared" si="10"/>
        <v>2.0315424746822144E-2</v>
      </c>
      <c r="R85" s="97">
        <f t="shared" si="9"/>
        <v>4.6231146647483685E-2</v>
      </c>
      <c r="S85" s="97">
        <f t="shared" si="9"/>
        <v>5.8732328729545681E-2</v>
      </c>
      <c r="T85" s="97">
        <f t="shared" si="9"/>
        <v>3.7537782039887779E-2</v>
      </c>
      <c r="U85" s="97">
        <f t="shared" si="9"/>
        <v>-7.6933646075959044E-3</v>
      </c>
      <c r="V85" s="97">
        <f t="shared" si="9"/>
        <v>-7.6933646075959044E-3</v>
      </c>
      <c r="W85" s="97">
        <f t="shared" si="9"/>
        <v>-7.6933646075959044E-3</v>
      </c>
      <c r="X85" s="97">
        <f t="shared" si="9"/>
        <v>-7.6933646075959044E-3</v>
      </c>
      <c r="Y85" s="97">
        <f t="shared" si="9"/>
        <v>0.39468854736708292</v>
      </c>
      <c r="Z85" s="97">
        <f t="shared" si="9"/>
        <v>-7.6933646075959044E-3</v>
      </c>
      <c r="AA85" s="97">
        <f t="shared" si="9"/>
        <v>-7.6933646075959044E-3</v>
      </c>
    </row>
    <row r="86" spans="2:31" ht="12.75" customHeight="1" x14ac:dyDescent="0.25">
      <c r="B86" s="21" t="s">
        <v>6</v>
      </c>
      <c r="C86" s="95">
        <f>Annual_sorted!F59</f>
        <v>104.59506600751823</v>
      </c>
      <c r="D86" s="29">
        <f>IF(C86-Table_14634578132445536169778593[Burundi]&gt;0, C86-Table_14634578132445536169778593[Burundi], 0)</f>
        <v>45.375729183126467</v>
      </c>
      <c r="E86" s="29">
        <f>IF(C86-Table_14634578132445536169778593[DRC]&gt;0, C86-Table_14634578132445536169778593[DRC], 0)</f>
        <v>87.360577712973637</v>
      </c>
      <c r="F86" s="29">
        <f>IF(C86-Table_14634578132445536169778593[Egypt]&gt;0, C86-Table_14634578132445536169778593[Egypt], 0)</f>
        <v>107.61315791009385</v>
      </c>
      <c r="G86" s="29">
        <f>IF(C86-Table_14634578132445536169778593[Eritrea]&gt;0, C86-Table_14634578132445536169778593[Eritrea], 0)</f>
        <v>73.276864449507443</v>
      </c>
      <c r="H86" s="29">
        <f>IF(C86-Table_14634578132445536169778593[Ethiopia]&gt;0, C86-Table_14634578132445536169778593[Ethiopia], 0)</f>
        <v>0</v>
      </c>
      <c r="I86" s="29">
        <f>IF(C86-Table_14634578132445536169778593[Kenya]&gt;0, C86-Table_14634578132445536169778593[Kenya], 0)</f>
        <v>0</v>
      </c>
      <c r="J86" s="29">
        <f>IF(C86-Table_14634578132445536169778593[Rwanda]&gt;0, C86-Table_14634578132445536169778593[Rwanda], 0)</f>
        <v>0</v>
      </c>
      <c r="K86" s="29">
        <f>IF(C86-Table_14634578132445536169778593[Sudan]&gt;0, C86-Table_14634578132445536169778593[Sudan], 0)</f>
        <v>0</v>
      </c>
      <c r="L86" s="29">
        <f>IF(C86-Table_14634578132445536169778593[S. Sudan]&gt;0, C86-Table_14634578132445536169778593[S. Sudan], 0)</f>
        <v>651.88010930831695</v>
      </c>
      <c r="M86" s="29">
        <f>IF(C86-Table_14634578132445536169778593[Tanzania]&gt;0, C86-Table_14634578132445536169778593[Tanzania], 0)</f>
        <v>0</v>
      </c>
      <c r="N86" s="29">
        <f>IF(C86-Table_14634578132445536169778593[Uganda]&gt;0, C86-Table_14634578132445536169778593[Uganda], 0)</f>
        <v>0</v>
      </c>
      <c r="P86" s="21" t="s">
        <v>7</v>
      </c>
      <c r="Q86" s="97">
        <f t="shared" si="10"/>
        <v>0.62562687737973921</v>
      </c>
      <c r="R86" s="97">
        <f t="shared" si="9"/>
        <v>0.65154259928040048</v>
      </c>
      <c r="S86" s="97">
        <f t="shared" si="9"/>
        <v>0.66404378136246267</v>
      </c>
      <c r="T86" s="97">
        <f t="shared" si="9"/>
        <v>0.64284923467280475</v>
      </c>
      <c r="U86" s="97">
        <f t="shared" si="9"/>
        <v>4.2207321902330314E-2</v>
      </c>
      <c r="V86" s="97">
        <f t="shared" si="9"/>
        <v>0.49500283792411226</v>
      </c>
      <c r="W86" s="97">
        <f t="shared" si="9"/>
        <v>0.59761808802532113</v>
      </c>
      <c r="X86" s="97">
        <f t="shared" si="9"/>
        <v>-7.6933646075959044E-3</v>
      </c>
      <c r="Y86" s="97">
        <f t="shared" si="9"/>
        <v>1</v>
      </c>
      <c r="Z86" s="97">
        <f t="shared" si="9"/>
        <v>0.47761979422555562</v>
      </c>
      <c r="AA86" s="97">
        <f t="shared" si="9"/>
        <v>0.42521147133331333</v>
      </c>
    </row>
    <row r="87" spans="2:31" ht="12.75" customHeight="1" x14ac:dyDescent="0.25">
      <c r="B87" s="21" t="s">
        <v>7</v>
      </c>
      <c r="C87" s="95">
        <f>Annual_sorted!F60</f>
        <v>1085.2318296519857</v>
      </c>
      <c r="D87" s="29">
        <f>IF(C87-Table_14634578132445536169778593[Burundi]&gt;0, C87-Table_14634578132445536169778593[Burundi], 0)</f>
        <v>1026.0124928275939</v>
      </c>
      <c r="E87" s="29">
        <f>IF(C87-Table_14634578132445536169778593[DRC]&gt;0, C87-Table_14634578132445536169778593[DRC], 0)</f>
        <v>1067.997341357441</v>
      </c>
      <c r="F87" s="29">
        <f>IF(C87-Table_14634578132445536169778593[Egypt]&gt;0, C87-Table_14634578132445536169778593[Egypt], 0)</f>
        <v>1088.2499215545613</v>
      </c>
      <c r="G87" s="29">
        <f>IF(C87-Table_14634578132445536169778593[Eritrea]&gt;0, C87-Table_14634578132445536169778593[Eritrea], 0)</f>
        <v>1053.9136280939749</v>
      </c>
      <c r="H87" s="29">
        <f>IF(C87-Table_14634578132445536169778593[Ethiopia]&gt;0, C87-Table_14634578132445536169778593[Ethiopia], 0)</f>
        <v>80.841767506432461</v>
      </c>
      <c r="I87" s="29">
        <f>IF(C87-Table_14634578132445536169778593[Kenya]&gt;0, C87-Table_14634578132445536169778593[Kenya], 0)</f>
        <v>814.39459802523913</v>
      </c>
      <c r="J87" s="29">
        <f>IF(C87-Table_14634578132445536169778593[Rwanda]&gt;0, C87-Table_14634578132445536169778593[Rwanda], 0)</f>
        <v>980.63676364446746</v>
      </c>
      <c r="K87" s="29">
        <f>IF(C87-Table_14634578132445536169778593[Sudan]&gt;0, C87-Table_14634578132445536169778593[Sudan], 0)</f>
        <v>0</v>
      </c>
      <c r="L87" s="29">
        <f>IF(C87-Table_14634578132445536169778593[S. Sudan]&gt;0, C87-Table_14634578132445536169778593[S. Sudan], 0)</f>
        <v>1632.5168729527845</v>
      </c>
      <c r="M87" s="29">
        <f>IF(C87-Table_14634578132445536169778593[Tanzania]&gt;0, C87-Table_14634578132445536169778593[Tanzania], 0)</f>
        <v>786.23314223137277</v>
      </c>
      <c r="N87" s="29">
        <f>IF(C87-Table_14634578132445536169778593[Uganda]&gt;0, C87-Table_14634578132445536169778593[Uganda], 0)</f>
        <v>701.32887034697865</v>
      </c>
      <c r="P87" s="21" t="s">
        <v>8</v>
      </c>
      <c r="Q87" s="97">
        <f t="shared" si="10"/>
        <v>-7.6933646075959044E-3</v>
      </c>
      <c r="R87" s="97">
        <f t="shared" si="9"/>
        <v>-7.6933646075959044E-3</v>
      </c>
      <c r="S87" s="97">
        <f t="shared" si="9"/>
        <v>-7.6933646075959044E-3</v>
      </c>
      <c r="T87" s="97">
        <f t="shared" si="9"/>
        <v>-7.6933646075959044E-3</v>
      </c>
      <c r="U87" s="97">
        <f t="shared" si="9"/>
        <v>-7.6933646075959044E-3</v>
      </c>
      <c r="V87" s="97">
        <f t="shared" si="9"/>
        <v>-7.6933646075959044E-3</v>
      </c>
      <c r="W87" s="97">
        <f t="shared" si="9"/>
        <v>-7.6933646075959044E-3</v>
      </c>
      <c r="X87" s="97">
        <f t="shared" si="9"/>
        <v>-7.6933646075959044E-3</v>
      </c>
      <c r="Y87" s="97">
        <f t="shared" si="9"/>
        <v>-7.6933646075959044E-3</v>
      </c>
      <c r="Z87" s="97">
        <f t="shared" si="9"/>
        <v>-7.6933646075959044E-3</v>
      </c>
      <c r="AA87" s="97">
        <f t="shared" si="9"/>
        <v>-7.6933646075959044E-3</v>
      </c>
    </row>
    <row r="88" spans="2:31" ht="12.75" customHeight="1" x14ac:dyDescent="0.25">
      <c r="B88" s="21" t="s">
        <v>8</v>
      </c>
      <c r="C88" s="95">
        <f>Annual_sorted!F61</f>
        <v>-547.28504330079875</v>
      </c>
      <c r="D88" s="29">
        <f>IF(C88-Table_14634578132445536169778593[Burundi]&gt;0, C88-Table_14634578132445536169778593[Burundi], 0)</f>
        <v>0</v>
      </c>
      <c r="E88" s="29">
        <f>IF(C88-Table_14634578132445536169778593[DRC]&gt;0, C88-Table_14634578132445536169778593[DRC], 0)</f>
        <v>0</v>
      </c>
      <c r="F88" s="29">
        <f>IF(C88-Table_14634578132445536169778593[Egypt]&gt;0, C88-Table_14634578132445536169778593[Egypt], 0)</f>
        <v>0</v>
      </c>
      <c r="G88" s="29">
        <f>IF(C88-Table_14634578132445536169778593[Eritrea]&gt;0, C88-Table_14634578132445536169778593[Eritrea], 0)</f>
        <v>0</v>
      </c>
      <c r="H88" s="29">
        <f>IF(C88-Table_14634578132445536169778593[Ethiopia]&gt;0, C88-Table_14634578132445536169778593[Ethiopia], 0)</f>
        <v>0</v>
      </c>
      <c r="I88" s="29">
        <f>IF(C88-Table_14634578132445536169778593[Kenya]&gt;0, C88-Table_14634578132445536169778593[Kenya], 0)</f>
        <v>0</v>
      </c>
      <c r="J88" s="29">
        <f>IF(C88-Table_14634578132445536169778593[Rwanda]&gt;0, C88-Table_14634578132445536169778593[Rwanda], 0)</f>
        <v>0</v>
      </c>
      <c r="K88" s="29">
        <f>IF(C88-Table_14634578132445536169778593[Sudan]&gt;0, C88-Table_14634578132445536169778593[Sudan], 0)</f>
        <v>0</v>
      </c>
      <c r="L88" s="29">
        <f>IF(C88-Table_14634578132445536169778593[S. Sudan]&gt;0, C88-Table_14634578132445536169778593[S. Sudan], 0)</f>
        <v>0</v>
      </c>
      <c r="M88" s="29">
        <f>IF(C88-Table_14634578132445536169778593[Tanzania]&gt;0, C88-Table_14634578132445536169778593[Tanzania], 0)</f>
        <v>0</v>
      </c>
      <c r="N88" s="29">
        <f>IF(C88-Table_14634578132445536169778593[Uganda]&gt;0, C88-Table_14634578132445536169778593[Uganda], 0)</f>
        <v>0</v>
      </c>
      <c r="P88" s="21" t="s">
        <v>9</v>
      </c>
      <c r="Q88" s="97">
        <f t="shared" si="10"/>
        <v>0.14031371854658764</v>
      </c>
      <c r="R88" s="97">
        <f t="shared" si="9"/>
        <v>0.16622944044724919</v>
      </c>
      <c r="S88" s="97">
        <f t="shared" si="9"/>
        <v>0.17873062252931118</v>
      </c>
      <c r="T88" s="97">
        <f t="shared" si="9"/>
        <v>0.15753607583965326</v>
      </c>
      <c r="U88" s="97">
        <f t="shared" si="9"/>
        <v>-7.6933646075959044E-3</v>
      </c>
      <c r="V88" s="97">
        <f t="shared" si="9"/>
        <v>9.6896790909607282E-3</v>
      </c>
      <c r="W88" s="97">
        <f t="shared" si="9"/>
        <v>0.11230492919216957</v>
      </c>
      <c r="X88" s="97">
        <f t="shared" si="9"/>
        <v>-7.6933646075959044E-3</v>
      </c>
      <c r="Y88" s="97">
        <f t="shared" si="9"/>
        <v>0.51468684116684849</v>
      </c>
      <c r="Z88" s="97">
        <f t="shared" si="9"/>
        <v>-7.6933646075959044E-3</v>
      </c>
      <c r="AA88" s="97">
        <f t="shared" si="9"/>
        <v>-7.6933646075959044E-3</v>
      </c>
      <c r="AB88" s="186">
        <f>SUM(Q79:AA89)</f>
        <v>16.400880812620695</v>
      </c>
    </row>
    <row r="89" spans="2:31" ht="12.75" customHeight="1" thickBot="1" x14ac:dyDescent="0.3">
      <c r="B89" s="21" t="s">
        <v>9</v>
      </c>
      <c r="C89" s="95">
        <f>Annual_sorted!F62</f>
        <v>298.9986874206129</v>
      </c>
      <c r="D89" s="29">
        <f>IF(C89-Table_14634578132445536169778593[Burundi]&gt;0, C89-Table_14634578132445536169778593[Burundi], 0)</f>
        <v>239.77935059622115</v>
      </c>
      <c r="E89" s="29">
        <f>IF(C89-Table_14634578132445536169778593[DRC]&gt;0, C89-Table_14634578132445536169778593[DRC], 0)</f>
        <v>281.76419912606832</v>
      </c>
      <c r="F89" s="29">
        <f>IF(C89-Table_14634578132445536169778593[Egypt]&gt;0, C89-Table_14634578132445536169778593[Egypt], 0)</f>
        <v>302.01677932318853</v>
      </c>
      <c r="G89" s="29">
        <f>IF(C89-Table_14634578132445536169778593[Eritrea]&gt;0, C89-Table_14634578132445536169778593[Eritrea], 0)</f>
        <v>267.6804858626021</v>
      </c>
      <c r="H89" s="29">
        <f>IF(C89-Table_14634578132445536169778593[Ethiopia]&gt;0, C89-Table_14634578132445536169778593[Ethiopia], 0)</f>
        <v>0</v>
      </c>
      <c r="I89" s="29">
        <f>IF(C89-Table_14634578132445536169778593[Kenya]&gt;0, C89-Table_14634578132445536169778593[Kenya], 0)</f>
        <v>28.161455793866367</v>
      </c>
      <c r="J89" s="29">
        <f>IF(C89-Table_14634578132445536169778593[Rwanda]&gt;0, C89-Table_14634578132445536169778593[Rwanda], 0)</f>
        <v>194.40362141309467</v>
      </c>
      <c r="K89" s="29">
        <f>IF(C89-Table_14634578132445536169778593[Sudan]&gt;0, C89-Table_14634578132445536169778593[Sudan], 0)</f>
        <v>0</v>
      </c>
      <c r="L89" s="29">
        <f>IF(C89-Table_14634578132445536169778593[S. Sudan]&gt;0, C89-Table_14634578132445536169778593[S. Sudan], 0)</f>
        <v>846.28373072141164</v>
      </c>
      <c r="M89" s="29">
        <f>IF(C89-Table_14634578132445536169778593[Tanzania]&gt;0, C89-Table_14634578132445536169778593[Tanzania], 0)</f>
        <v>0</v>
      </c>
      <c r="N89" s="29">
        <f>IF(C89-Table_14634578132445536169778593[Uganda]&gt;0, C89-Table_14634578132445536169778593[Uganda], 0)</f>
        <v>0</v>
      </c>
      <c r="P89" s="22" t="s">
        <v>10</v>
      </c>
      <c r="Q89" s="98">
        <f t="shared" si="10"/>
        <v>0.1927220414388299</v>
      </c>
      <c r="R89" s="98">
        <f t="shared" si="9"/>
        <v>0.21863776333949148</v>
      </c>
      <c r="S89" s="98">
        <f t="shared" si="9"/>
        <v>0.23113894542155347</v>
      </c>
      <c r="T89" s="98">
        <f t="shared" si="9"/>
        <v>0.20994439873189555</v>
      </c>
      <c r="U89" s="98">
        <f t="shared" si="9"/>
        <v>-7.6933646075959044E-3</v>
      </c>
      <c r="V89" s="98">
        <f t="shared" si="9"/>
        <v>6.2098001983203019E-2</v>
      </c>
      <c r="W89" s="98">
        <f t="shared" si="9"/>
        <v>0.16471325208441193</v>
      </c>
      <c r="X89" s="98">
        <f t="shared" si="9"/>
        <v>-7.6933646075959044E-3</v>
      </c>
      <c r="Y89" s="98">
        <f t="shared" si="9"/>
        <v>0.56709516405909077</v>
      </c>
      <c r="Z89" s="98">
        <f t="shared" si="9"/>
        <v>4.4714958284646396E-2</v>
      </c>
      <c r="AA89" s="98">
        <f t="shared" si="9"/>
        <v>-7.6933646075959044E-3</v>
      </c>
    </row>
    <row r="90" spans="2:31" ht="12.75" customHeight="1" thickBot="1" x14ac:dyDescent="0.3">
      <c r="B90" s="22" t="s">
        <v>10</v>
      </c>
      <c r="C90" s="96">
        <f>Annual_sorted!F63</f>
        <v>383.90295930500702</v>
      </c>
      <c r="D90" s="32">
        <f>IF(C90-Table_14634578132445536169778593[Burundi]&gt;0, C90-Table_14634578132445536169778593[Burundi], 0)</f>
        <v>324.68362248061527</v>
      </c>
      <c r="E90" s="32">
        <f>IF(C90-Table_14634578132445536169778593[DRC]&gt;0, C90-Table_14634578132445536169778593[DRC], 0)</f>
        <v>366.66847101046244</v>
      </c>
      <c r="F90" s="32">
        <f>IF(C90-Table_14634578132445536169778593[Egypt]&gt;0, C90-Table_14634578132445536169778593[Egypt], 0)</f>
        <v>386.92105120758265</v>
      </c>
      <c r="G90" s="32">
        <f>IF(C90-Table_14634578132445536169778593[Eritrea]&gt;0, C90-Table_14634578132445536169778593[Eritrea], 0)</f>
        <v>352.58475774699622</v>
      </c>
      <c r="H90" s="32">
        <f>IF(C90-Table_14634578132445536169778593[Ethiopia]&gt;0, C90-Table_14634578132445536169778593[Ethiopia], 0)</f>
        <v>0</v>
      </c>
      <c r="I90" s="32">
        <f>IF(C90-Table_14634578132445536169778593[Kenya]&gt;0, C90-Table_14634578132445536169778593[Kenya], 0)</f>
        <v>113.06572767826049</v>
      </c>
      <c r="J90" s="32">
        <f>IF(C90-Table_14634578132445536169778593[Rwanda]&gt;0, C90-Table_14634578132445536169778593[Rwanda], 0)</f>
        <v>279.30789329748882</v>
      </c>
      <c r="K90" s="32">
        <f>IF(C90-Table_14634578132445536169778593[Sudan]&gt;0, C90-Table_14634578132445536169778593[Sudan], 0)</f>
        <v>0</v>
      </c>
      <c r="L90" s="32">
        <f>IF(C90-Table_14634578132445536169778593[S. Sudan]&gt;0, C90-Table_14634578132445536169778593[S. Sudan], 0)</f>
        <v>931.18800260580576</v>
      </c>
      <c r="M90" s="32">
        <f>IF(C90-Table_14634578132445536169778593[Tanzania]&gt;0, C90-Table_14634578132445536169778593[Tanzania], 0)</f>
        <v>84.90427188439412</v>
      </c>
      <c r="N90" s="32">
        <f>IF(C90-Table_14634578132445536169778593[Uganda]&gt;0, C90-Table_14634578132445536169778593[Uganda], 0)</f>
        <v>0</v>
      </c>
    </row>
    <row r="91" spans="2:31" ht="12.75" customHeight="1" x14ac:dyDescent="0.25"/>
    <row r="92" spans="2:31" ht="12.75" customHeight="1" x14ac:dyDescent="0.25"/>
    <row r="93" spans="2:31" ht="12.75" customHeight="1" x14ac:dyDescent="0.25">
      <c r="B93" s="5"/>
      <c r="C93" s="5"/>
      <c r="D93" s="5"/>
      <c r="E93" s="5"/>
      <c r="F93" s="5"/>
      <c r="G93" s="5"/>
      <c r="H93" s="5"/>
      <c r="I93" s="5"/>
      <c r="J93" s="5"/>
      <c r="K93" s="5"/>
      <c r="L93" s="5"/>
      <c r="M93" s="5"/>
      <c r="N93" s="5"/>
      <c r="O93" s="5"/>
      <c r="P93" s="5"/>
      <c r="Q93" s="5"/>
      <c r="R93" s="5"/>
      <c r="S93" s="5"/>
      <c r="T93" s="5"/>
      <c r="U93" s="5"/>
      <c r="V93" s="5"/>
      <c r="W93" s="5"/>
      <c r="X93" s="5"/>
      <c r="Y93" s="5"/>
      <c r="Z93" s="5"/>
      <c r="AA93" s="5"/>
    </row>
    <row r="94" spans="2:31" ht="12.75" customHeight="1" x14ac:dyDescent="0.25">
      <c r="B94" s="5"/>
      <c r="C94" s="5"/>
      <c r="D94" s="5"/>
      <c r="E94" s="5"/>
      <c r="F94" s="5"/>
      <c r="G94" s="5"/>
      <c r="H94" s="5"/>
      <c r="I94" s="5"/>
      <c r="J94" s="5"/>
      <c r="K94" s="5"/>
      <c r="L94" s="5"/>
      <c r="M94" s="5"/>
      <c r="N94" s="5"/>
      <c r="O94" s="5"/>
      <c r="P94" s="5"/>
      <c r="Q94" s="5"/>
      <c r="R94" s="5"/>
      <c r="S94" s="5"/>
      <c r="T94" s="5"/>
      <c r="U94" s="5"/>
      <c r="V94" s="5"/>
      <c r="W94" s="5"/>
      <c r="X94" s="5"/>
      <c r="Y94" s="5"/>
      <c r="Z94" s="5"/>
      <c r="AA94" s="5"/>
    </row>
    <row r="95" spans="2:31" ht="12.75" customHeight="1" thickBot="1" x14ac:dyDescent="0.3">
      <c r="B95" s="253" t="s">
        <v>85</v>
      </c>
      <c r="C95" s="253"/>
      <c r="D95" s="253"/>
      <c r="E95" s="253"/>
      <c r="F95" s="253"/>
      <c r="G95" s="253"/>
      <c r="H95" s="253"/>
      <c r="I95" s="253"/>
      <c r="J95" s="253"/>
      <c r="K95" s="253"/>
      <c r="L95" s="253"/>
      <c r="M95" s="253"/>
      <c r="N95" s="253"/>
      <c r="O95" s="5"/>
      <c r="P95" s="253" t="s">
        <v>87</v>
      </c>
      <c r="Q95" s="253"/>
      <c r="R95" s="253"/>
      <c r="S95" s="253"/>
      <c r="T95" s="253"/>
      <c r="U95" s="253"/>
      <c r="V95" s="253"/>
      <c r="W95" s="253"/>
      <c r="X95" s="253"/>
      <c r="Y95" s="253"/>
      <c r="Z95" s="253"/>
      <c r="AA95" s="253"/>
      <c r="AB95" s="10"/>
      <c r="AC95" s="3" t="s">
        <v>22</v>
      </c>
      <c r="AD95" s="13" t="s">
        <v>23</v>
      </c>
      <c r="AE95" s="74">
        <f t="array" ref="AE95">MIN(IF(D98:N108&gt;0,D98:N108))</f>
        <v>0.97598967750156262</v>
      </c>
    </row>
    <row r="96" spans="2:31" ht="12.75" customHeight="1" thickBot="1" x14ac:dyDescent="0.3">
      <c r="B96" s="75" t="s">
        <v>13</v>
      </c>
      <c r="C96" s="66" t="s">
        <v>14</v>
      </c>
      <c r="D96" s="67" t="s">
        <v>1</v>
      </c>
      <c r="E96" s="67" t="s">
        <v>195</v>
      </c>
      <c r="F96" s="67" t="s">
        <v>2</v>
      </c>
      <c r="G96" s="67" t="s">
        <v>3</v>
      </c>
      <c r="H96" s="67" t="s">
        <v>4</v>
      </c>
      <c r="I96" s="67" t="s">
        <v>5</v>
      </c>
      <c r="J96" s="67" t="s">
        <v>6</v>
      </c>
      <c r="K96" s="67" t="s">
        <v>7</v>
      </c>
      <c r="L96" s="67" t="s">
        <v>295</v>
      </c>
      <c r="M96" s="67" t="s">
        <v>9</v>
      </c>
      <c r="N96" s="67" t="s">
        <v>10</v>
      </c>
      <c r="P96" s="76" t="s">
        <v>19</v>
      </c>
      <c r="Q96" s="77" t="s">
        <v>1</v>
      </c>
      <c r="R96" s="77" t="s">
        <v>195</v>
      </c>
      <c r="S96" s="77" t="s">
        <v>2</v>
      </c>
      <c r="T96" s="77" t="s">
        <v>3</v>
      </c>
      <c r="U96" s="77" t="s">
        <v>4</v>
      </c>
      <c r="V96" s="77" t="s">
        <v>5</v>
      </c>
      <c r="W96" s="77" t="s">
        <v>6</v>
      </c>
      <c r="X96" s="77" t="s">
        <v>7</v>
      </c>
      <c r="Y96" s="77" t="s">
        <v>295</v>
      </c>
      <c r="Z96" s="77" t="s">
        <v>9</v>
      </c>
      <c r="AA96" s="77" t="s">
        <v>10</v>
      </c>
      <c r="AB96" s="254" t="s">
        <v>26</v>
      </c>
      <c r="AC96" s="254"/>
      <c r="AD96" s="13" t="s">
        <v>24</v>
      </c>
      <c r="AE96" s="20">
        <f>MAX(D98:N108)</f>
        <v>934.4234062545072</v>
      </c>
    </row>
    <row r="97" spans="2:31" ht="12.75" customHeight="1" x14ac:dyDescent="0.25">
      <c r="B97" s="93"/>
      <c r="C97" s="94" t="s">
        <v>262</v>
      </c>
      <c r="D97" s="95">
        <f>C98</f>
        <v>-15.416353490638812</v>
      </c>
      <c r="E97" s="95">
        <f>C99</f>
        <v>-19.192311530346021</v>
      </c>
      <c r="F97" s="95">
        <f>C100</f>
        <v>323.94931355333472</v>
      </c>
      <c r="G97" s="95">
        <f>C101</f>
        <v>-12.723453491752378</v>
      </c>
      <c r="H97" s="95">
        <f>C102</f>
        <v>-474.78481467674129</v>
      </c>
      <c r="I97" s="95">
        <f>C103</f>
        <v>-71.366545231284306</v>
      </c>
      <c r="J97" s="95">
        <f>C104</f>
        <v>-20.168301207847584</v>
      </c>
      <c r="K97" s="95">
        <f>C105</f>
        <v>-104.4350641378166</v>
      </c>
      <c r="L97" s="95">
        <f>C106</f>
        <v>-610.47409270117248</v>
      </c>
      <c r="M97" s="95">
        <f>C107</f>
        <v>-127.48100254301011</v>
      </c>
      <c r="N97" s="95">
        <f>C108</f>
        <v>-275.12863865489561</v>
      </c>
      <c r="P97" s="21" t="s">
        <v>1</v>
      </c>
      <c r="Q97" s="97">
        <f>$AE$97+(D98-$AE$95)*($AE$98-$AE$97)/($AE$96-$AE$95)</f>
        <v>-4.4529847647423789E-5</v>
      </c>
      <c r="R97" s="97">
        <f t="shared" ref="R97:AA107" si="11">$AE$97+(E98-$AE$95)*($AE$98-$AE$97)/($AE$96-$AE$95)</f>
        <v>3.9965998557270482E-3</v>
      </c>
      <c r="S97" s="97">
        <f t="shared" si="11"/>
        <v>-4.4529847647423789E-5</v>
      </c>
      <c r="T97" s="97">
        <f t="shared" si="11"/>
        <v>-4.4529847647423789E-5</v>
      </c>
      <c r="U97" s="97">
        <f t="shared" si="11"/>
        <v>0.49158369106248917</v>
      </c>
      <c r="V97" s="97">
        <f t="shared" si="11"/>
        <v>5.9834838348444004E-2</v>
      </c>
      <c r="W97" s="97">
        <f t="shared" si="11"/>
        <v>5.0411297033744725E-3</v>
      </c>
      <c r="X97" s="97">
        <f t="shared" si="11"/>
        <v>9.5225637873893723E-2</v>
      </c>
      <c r="Y97" s="97">
        <f t="shared" si="11"/>
        <v>0.63680192868265195</v>
      </c>
      <c r="Z97" s="97">
        <f t="shared" si="11"/>
        <v>0.11989000788330927</v>
      </c>
      <c r="AA97" s="97">
        <f t="shared" si="11"/>
        <v>0.27790639515519527</v>
      </c>
      <c r="AD97" s="3" t="s">
        <v>25</v>
      </c>
      <c r="AE97" s="2">
        <v>1E-3</v>
      </c>
    </row>
    <row r="98" spans="2:31" ht="12.75" customHeight="1" x14ac:dyDescent="0.25">
      <c r="B98" s="21" t="s">
        <v>1</v>
      </c>
      <c r="C98" s="95">
        <f>Annual_sorted!G53</f>
        <v>-15.416353490638812</v>
      </c>
      <c r="D98" s="29">
        <f>IF(C98-Table_1463457811162344526068768492[Burundi]&gt;0, C98-Table_1463457811162344526068768492[Burundi], 0)</f>
        <v>0</v>
      </c>
      <c r="E98" s="29">
        <f>IF(C98-Table_1463457811162344526068768492[DRC]&gt;0, C98-Table_1463457811162344526068768492[DRC], 0)</f>
        <v>3.7759580397072092</v>
      </c>
      <c r="F98" s="29">
        <f>IF(C98-Table_1463457811162344526068768492[Egypt]&gt;0, C98-Table_1463457811162344526068768492[Egypt], 0)</f>
        <v>0</v>
      </c>
      <c r="G98" s="29">
        <f>IF(C98-Table_1463457811162344526068768492[Eritrea]&gt;0, C98-Table_1463457811162344526068768492[Eritrea], 0)</f>
        <v>0</v>
      </c>
      <c r="H98" s="29">
        <f>IF(C98-Table_1463457811162344526068768492[Ethiopia]&gt;0, C98-Table_1463457811162344526068768492[Ethiopia], 0)</f>
        <v>459.36846118610248</v>
      </c>
      <c r="I98" s="29">
        <f>IF(C98-Table_1463457811162344526068768492[Kenya]&gt;0, C98-Table_1463457811162344526068768492[Kenya], 0)</f>
        <v>55.950191740645494</v>
      </c>
      <c r="J98" s="29">
        <f>IF(C98-Table_1463457811162344526068768492[Rwanda]&gt;0, C98-Table_1463457811162344526068768492[Rwanda], 0)</f>
        <v>4.7519477172087718</v>
      </c>
      <c r="K98" s="29">
        <f>IF(C98-Table_1463457811162344526068768492[Sudan]&gt;0, C98-Table_1463457811162344526068768492[Sudan], 0)</f>
        <v>89.018710647177784</v>
      </c>
      <c r="L98" s="29">
        <f>IF(C98-Table_1463457811162344526068768492[S. Sudan]&gt;0, C98-Table_1463457811162344526068768492[S. Sudan], 0)</f>
        <v>595.05773921053367</v>
      </c>
      <c r="M98" s="29">
        <f>IF(C98-Table_1463457811162344526068768492[Tanzania]&gt;0, C98-Table_1463457811162344526068768492[Tanzania], 0)</f>
        <v>112.06464905237129</v>
      </c>
      <c r="N98" s="29">
        <f>IF(C98-Table_1463457811162344526068768492[Uganda]&gt;0, C98-Table_1463457811162344526068768492[Uganda], 0)</f>
        <v>259.7122851642568</v>
      </c>
      <c r="P98" s="21" t="s">
        <v>195</v>
      </c>
      <c r="Q98" s="97">
        <f t="shared" ref="Q98:Q107" si="12">$AE$97+(D99-$AE$95)*($AE$98-$AE$97)/($AE$96-$AE$95)</f>
        <v>-4.4529847647423789E-5</v>
      </c>
      <c r="R98" s="97">
        <f t="shared" si="11"/>
        <v>-4.4529847647423789E-5</v>
      </c>
      <c r="S98" s="97">
        <f t="shared" si="11"/>
        <v>-4.4529847647423789E-5</v>
      </c>
      <c r="T98" s="97">
        <f t="shared" si="11"/>
        <v>-4.4529847647423789E-5</v>
      </c>
      <c r="U98" s="97">
        <f t="shared" si="11"/>
        <v>0.48754256135911461</v>
      </c>
      <c r="V98" s="97">
        <f t="shared" si="11"/>
        <v>5.579370864506953E-2</v>
      </c>
      <c r="W98" s="97">
        <f t="shared" si="11"/>
        <v>1E-3</v>
      </c>
      <c r="X98" s="97">
        <f t="shared" si="11"/>
        <v>9.1184508170519249E-2</v>
      </c>
      <c r="Y98" s="97">
        <f t="shared" si="11"/>
        <v>0.63276079897927751</v>
      </c>
      <c r="Z98" s="97">
        <f t="shared" si="11"/>
        <v>0.11584887817993481</v>
      </c>
      <c r="AA98" s="97">
        <f t="shared" si="11"/>
        <v>0.27386526545182083</v>
      </c>
      <c r="AD98" s="3" t="s">
        <v>70</v>
      </c>
      <c r="AE98" s="2">
        <v>1</v>
      </c>
    </row>
    <row r="99" spans="2:31" ht="12.75" customHeight="1" x14ac:dyDescent="0.25">
      <c r="B99" s="21" t="s">
        <v>195</v>
      </c>
      <c r="C99" s="95">
        <f>Annual_sorted!G54</f>
        <v>-19.192311530346021</v>
      </c>
      <c r="D99" s="29">
        <f>IF(C99-Table_1463457811162344526068768492[Burundi]&gt;0, C99-Table_1463457811162344526068768492[Burundi], 0)</f>
        <v>0</v>
      </c>
      <c r="E99" s="29">
        <f>IF(C99-Table_1463457811162344526068768492[DRC]&gt;0, C99-Table_1463457811162344526068768492[DRC], 0)</f>
        <v>0</v>
      </c>
      <c r="F99" s="29">
        <f>IF(C99-Table_1463457811162344526068768492[Egypt]&gt;0, C99-Table_1463457811162344526068768492[Egypt], 0)</f>
        <v>0</v>
      </c>
      <c r="G99" s="29">
        <f>IF(C99-Table_1463457811162344526068768492[Eritrea]&gt;0, C99-Table_1463457811162344526068768492[Eritrea], 0)</f>
        <v>0</v>
      </c>
      <c r="H99" s="29">
        <f>IF(C99-Table_1463457811162344526068768492[Ethiopia]&gt;0, C99-Table_1463457811162344526068768492[Ethiopia], 0)</f>
        <v>455.59250314639525</v>
      </c>
      <c r="I99" s="29">
        <f>IF(C99-Table_1463457811162344526068768492[Kenya]&gt;0, C99-Table_1463457811162344526068768492[Kenya], 0)</f>
        <v>52.174233700938288</v>
      </c>
      <c r="J99" s="29">
        <f>IF(C99-Table_1463457811162344526068768492[Rwanda]&gt;0, C99-Table_1463457811162344526068768492[Rwanda], 0)</f>
        <v>0.97598967750156262</v>
      </c>
      <c r="K99" s="29">
        <f>IF(C99-Table_1463457811162344526068768492[Sudan]&gt;0, C99-Table_1463457811162344526068768492[Sudan], 0)</f>
        <v>85.242752607470578</v>
      </c>
      <c r="L99" s="29">
        <f>IF(C99-Table_1463457811162344526068768492[S. Sudan]&gt;0, C99-Table_1463457811162344526068768492[S. Sudan], 0)</f>
        <v>591.28178117082643</v>
      </c>
      <c r="M99" s="29">
        <f>IF(C99-Table_1463457811162344526068768492[Tanzania]&gt;0, C99-Table_1463457811162344526068768492[Tanzania], 0)</f>
        <v>108.28869101266409</v>
      </c>
      <c r="N99" s="29">
        <f>IF(C99-Table_1463457811162344526068768492[Uganda]&gt;0, C99-Table_1463457811162344526068768492[Uganda], 0)</f>
        <v>255.93632712454959</v>
      </c>
      <c r="P99" s="21" t="s">
        <v>2</v>
      </c>
      <c r="Q99" s="97">
        <f t="shared" si="12"/>
        <v>0.36315354146970064</v>
      </c>
      <c r="R99" s="97">
        <f t="shared" si="11"/>
        <v>0.36719467117307514</v>
      </c>
      <c r="S99" s="97">
        <f t="shared" si="11"/>
        <v>-4.4529847647423789E-5</v>
      </c>
      <c r="T99" s="97">
        <f t="shared" si="11"/>
        <v>0.36027152899517617</v>
      </c>
      <c r="U99" s="97">
        <f t="shared" si="11"/>
        <v>0.85478176237983716</v>
      </c>
      <c r="V99" s="97">
        <f t="shared" si="11"/>
        <v>0.42303290966579205</v>
      </c>
      <c r="W99" s="97">
        <f t="shared" si="11"/>
        <v>0.36823920102072255</v>
      </c>
      <c r="X99" s="97">
        <f t="shared" si="11"/>
        <v>0.45842370919124176</v>
      </c>
      <c r="Y99" s="97">
        <f t="shared" si="11"/>
        <v>1</v>
      </c>
      <c r="Z99" s="97">
        <f t="shared" si="11"/>
        <v>0.48308807920065733</v>
      </c>
      <c r="AA99" s="97">
        <f t="shared" si="11"/>
        <v>0.64110446647254327</v>
      </c>
    </row>
    <row r="100" spans="2:31" ht="12.75" customHeight="1" x14ac:dyDescent="0.25">
      <c r="B100" s="21" t="s">
        <v>2</v>
      </c>
      <c r="C100" s="95">
        <f>Annual_sorted!G55</f>
        <v>323.94931355333472</v>
      </c>
      <c r="D100" s="29">
        <f>IF(C100-Table_1463457811162344526068768492[Burundi]&gt;0, C100-Table_1463457811162344526068768492[Burundi], 0)</f>
        <v>339.36566704397353</v>
      </c>
      <c r="E100" s="29">
        <f>IF(C100-Table_1463457811162344526068768492[DRC]&gt;0, C100-Table_1463457811162344526068768492[DRC], 0)</f>
        <v>343.14162508368076</v>
      </c>
      <c r="F100" s="29">
        <f>IF(C100-Table_1463457811162344526068768492[Egypt]&gt;0, C100-Table_1463457811162344526068768492[Egypt], 0)</f>
        <v>0</v>
      </c>
      <c r="G100" s="29">
        <f>IF(C100-Table_1463457811162344526068768492[Eritrea]&gt;0, C100-Table_1463457811162344526068768492[Eritrea], 0)</f>
        <v>336.67276704508708</v>
      </c>
      <c r="H100" s="29">
        <f>IF(C100-Table_1463457811162344526068768492[Ethiopia]&gt;0, C100-Table_1463457811162344526068768492[Ethiopia], 0)</f>
        <v>798.73412823007607</v>
      </c>
      <c r="I100" s="29">
        <f>IF(C100-Table_1463457811162344526068768492[Kenya]&gt;0, C100-Table_1463457811162344526068768492[Kenya], 0)</f>
        <v>395.31585878461902</v>
      </c>
      <c r="J100" s="29">
        <f>IF(C100-Table_1463457811162344526068768492[Rwanda]&gt;0, C100-Table_1463457811162344526068768492[Rwanda], 0)</f>
        <v>344.11761476118232</v>
      </c>
      <c r="K100" s="29">
        <f>IF(C100-Table_1463457811162344526068768492[Sudan]&gt;0, C100-Table_1463457811162344526068768492[Sudan], 0)</f>
        <v>428.38437769115131</v>
      </c>
      <c r="L100" s="29">
        <f>IF(C100-Table_1463457811162344526068768492[S. Sudan]&gt;0, C100-Table_1463457811162344526068768492[S. Sudan], 0)</f>
        <v>934.4234062545072</v>
      </c>
      <c r="M100" s="29">
        <f>IF(C100-Table_1463457811162344526068768492[Tanzania]&gt;0, C100-Table_1463457811162344526068768492[Tanzania], 0)</f>
        <v>451.43031609634482</v>
      </c>
      <c r="N100" s="29">
        <f>IF(C100-Table_1463457811162344526068768492[Uganda]&gt;0, C100-Table_1463457811162344526068768492[Uganda], 0)</f>
        <v>599.07795220823027</v>
      </c>
      <c r="P100" s="21" t="s">
        <v>3</v>
      </c>
      <c r="Q100" s="97">
        <f t="shared" si="12"/>
        <v>2.8374826268770222E-3</v>
      </c>
      <c r="R100" s="97">
        <f t="shared" si="11"/>
        <v>6.8786123302514946E-3</v>
      </c>
      <c r="S100" s="97">
        <f t="shared" si="11"/>
        <v>-4.4529847647423789E-5</v>
      </c>
      <c r="T100" s="97">
        <f t="shared" si="11"/>
        <v>-4.4529847647423789E-5</v>
      </c>
      <c r="U100" s="97">
        <f t="shared" si="11"/>
        <v>0.49446570353701363</v>
      </c>
      <c r="V100" s="97">
        <f t="shared" si="11"/>
        <v>6.2716850822968434E-2</v>
      </c>
      <c r="W100" s="97">
        <f t="shared" si="11"/>
        <v>7.9231421778989189E-3</v>
      </c>
      <c r="X100" s="97">
        <f t="shared" si="11"/>
        <v>9.8107650348418174E-2</v>
      </c>
      <c r="Y100" s="97">
        <f t="shared" si="11"/>
        <v>0.63968394115717642</v>
      </c>
      <c r="Z100" s="97">
        <f t="shared" si="11"/>
        <v>0.1227720203578337</v>
      </c>
      <c r="AA100" s="97">
        <f t="shared" si="11"/>
        <v>0.28078840762971974</v>
      </c>
    </row>
    <row r="101" spans="2:31" ht="12.75" customHeight="1" x14ac:dyDescent="0.25">
      <c r="B101" s="21" t="s">
        <v>3</v>
      </c>
      <c r="C101" s="95">
        <f>Annual_sorted!G56</f>
        <v>-12.723453491752378</v>
      </c>
      <c r="D101" s="29">
        <f>IF(C101-Table_1463457811162344526068768492[Burundi]&gt;0, C101-Table_1463457811162344526068768492[Burundi], 0)</f>
        <v>2.6928999988864337</v>
      </c>
      <c r="E101" s="29">
        <f>IF(C101-Table_1463457811162344526068768492[DRC]&gt;0, C101-Table_1463457811162344526068768492[DRC], 0)</f>
        <v>6.4688580385936429</v>
      </c>
      <c r="F101" s="29">
        <f>IF(C101-Table_1463457811162344526068768492[Egypt]&gt;0, C101-Table_1463457811162344526068768492[Egypt], 0)</f>
        <v>0</v>
      </c>
      <c r="G101" s="29">
        <f>IF(C101-Table_1463457811162344526068768492[Eritrea]&gt;0, C101-Table_1463457811162344526068768492[Eritrea], 0)</f>
        <v>0</v>
      </c>
      <c r="H101" s="29">
        <f>IF(C101-Table_1463457811162344526068768492[Ethiopia]&gt;0, C101-Table_1463457811162344526068768492[Ethiopia], 0)</f>
        <v>462.06136118498893</v>
      </c>
      <c r="I101" s="29">
        <f>IF(C101-Table_1463457811162344526068768492[Kenya]&gt;0, C101-Table_1463457811162344526068768492[Kenya], 0)</f>
        <v>58.643091739531926</v>
      </c>
      <c r="J101" s="29">
        <f>IF(C101-Table_1463457811162344526068768492[Rwanda]&gt;0, C101-Table_1463457811162344526068768492[Rwanda], 0)</f>
        <v>7.4448477160952056</v>
      </c>
      <c r="K101" s="29">
        <f>IF(C101-Table_1463457811162344526068768492[Sudan]&gt;0, C101-Table_1463457811162344526068768492[Sudan], 0)</f>
        <v>91.711610646064216</v>
      </c>
      <c r="L101" s="29">
        <f>IF(C101-Table_1463457811162344526068768492[S. Sudan]&gt;0, C101-Table_1463457811162344526068768492[S. Sudan], 0)</f>
        <v>597.75063920942011</v>
      </c>
      <c r="M101" s="29">
        <f>IF(C101-Table_1463457811162344526068768492[Tanzania]&gt;0, C101-Table_1463457811162344526068768492[Tanzania], 0)</f>
        <v>114.75754905125773</v>
      </c>
      <c r="N101" s="29">
        <f>IF(C101-Table_1463457811162344526068768492[Uganda]&gt;0, C101-Table_1463457811162344526068768492[Uganda], 0)</f>
        <v>262.40518516314324</v>
      </c>
      <c r="P101" s="21" t="s">
        <v>4</v>
      </c>
      <c r="Q101" s="97">
        <f t="shared" si="12"/>
        <v>-4.4529847647423789E-5</v>
      </c>
      <c r="R101" s="97">
        <f t="shared" si="11"/>
        <v>-4.4529847647423789E-5</v>
      </c>
      <c r="S101" s="97">
        <f t="shared" si="11"/>
        <v>-4.4529847647423789E-5</v>
      </c>
      <c r="T101" s="97">
        <f t="shared" si="11"/>
        <v>-4.4529847647423789E-5</v>
      </c>
      <c r="U101" s="97">
        <f t="shared" si="11"/>
        <v>-4.4529847647423789E-5</v>
      </c>
      <c r="V101" s="97">
        <f t="shared" si="11"/>
        <v>-4.4529847647423789E-5</v>
      </c>
      <c r="W101" s="97">
        <f t="shared" si="11"/>
        <v>-4.4529847647423789E-5</v>
      </c>
      <c r="X101" s="97">
        <f t="shared" si="11"/>
        <v>-4.4529847647423789E-5</v>
      </c>
      <c r="Y101" s="97">
        <f t="shared" si="11"/>
        <v>0.14517370777251548</v>
      </c>
      <c r="Z101" s="97">
        <f t="shared" si="11"/>
        <v>-4.4529847647423789E-5</v>
      </c>
      <c r="AA101" s="97">
        <f t="shared" si="11"/>
        <v>-4.4529847647423789E-5</v>
      </c>
    </row>
    <row r="102" spans="2:31" ht="12.75" customHeight="1" x14ac:dyDescent="0.25">
      <c r="B102" s="21" t="s">
        <v>4</v>
      </c>
      <c r="C102" s="95">
        <f>Annual_sorted!G57</f>
        <v>-474.78481467674129</v>
      </c>
      <c r="D102" s="29">
        <f>IF(C102-Table_1463457811162344526068768492[Burundi]&gt;0, C102-Table_1463457811162344526068768492[Burundi], 0)</f>
        <v>0</v>
      </c>
      <c r="E102" s="29">
        <f>IF(C102-Table_1463457811162344526068768492[DRC]&gt;0, C102-Table_1463457811162344526068768492[DRC], 0)</f>
        <v>0</v>
      </c>
      <c r="F102" s="29">
        <f>IF(C102-Table_1463457811162344526068768492[Egypt]&gt;0, C102-Table_1463457811162344526068768492[Egypt], 0)</f>
        <v>0</v>
      </c>
      <c r="G102" s="29">
        <f>IF(C102-Table_1463457811162344526068768492[Eritrea]&gt;0, C102-Table_1463457811162344526068768492[Eritrea], 0)</f>
        <v>0</v>
      </c>
      <c r="H102" s="29">
        <f>IF(C102-Table_1463457811162344526068768492[Ethiopia]&gt;0, C102-Table_1463457811162344526068768492[Ethiopia], 0)</f>
        <v>0</v>
      </c>
      <c r="I102" s="29">
        <f>IF(C102-Table_1463457811162344526068768492[Kenya]&gt;0, C102-Table_1463457811162344526068768492[Kenya], 0)</f>
        <v>0</v>
      </c>
      <c r="J102" s="29">
        <f>IF(C102-Table_1463457811162344526068768492[Rwanda]&gt;0, C102-Table_1463457811162344526068768492[Rwanda], 0)</f>
        <v>0</v>
      </c>
      <c r="K102" s="29">
        <f>IF(C102-Table_1463457811162344526068768492[Sudan]&gt;0, C102-Table_1463457811162344526068768492[Sudan], 0)</f>
        <v>0</v>
      </c>
      <c r="L102" s="29">
        <f>IF(C102-Table_1463457811162344526068768492[S. Sudan]&gt;0, C102-Table_1463457811162344526068768492[S. Sudan], 0)</f>
        <v>135.68927802443119</v>
      </c>
      <c r="M102" s="29">
        <f>IF(C102-Table_1463457811162344526068768492[Tanzania]&gt;0, C102-Table_1463457811162344526068768492[Tanzania], 0)</f>
        <v>0</v>
      </c>
      <c r="N102" s="29">
        <f>IF(C102-Table_1463457811162344526068768492[Uganda]&gt;0, C102-Table_1463457811162344526068768492[Uganda], 0)</f>
        <v>0</v>
      </c>
      <c r="P102" s="21" t="s">
        <v>5</v>
      </c>
      <c r="Q102" s="97">
        <f t="shared" si="12"/>
        <v>-4.4529847647423789E-5</v>
      </c>
      <c r="R102" s="97">
        <f t="shared" si="11"/>
        <v>-4.4529847647423789E-5</v>
      </c>
      <c r="S102" s="97">
        <f t="shared" si="11"/>
        <v>-4.4529847647423789E-5</v>
      </c>
      <c r="T102" s="97">
        <f t="shared" si="11"/>
        <v>-4.4529847647423789E-5</v>
      </c>
      <c r="U102" s="97">
        <f t="shared" si="11"/>
        <v>0.43170432286639771</v>
      </c>
      <c r="V102" s="97">
        <f t="shared" si="11"/>
        <v>-4.4529847647423789E-5</v>
      </c>
      <c r="W102" s="97">
        <f t="shared" si="11"/>
        <v>-4.4529847647423789E-5</v>
      </c>
      <c r="X102" s="97">
        <f t="shared" si="11"/>
        <v>3.53462696778023E-2</v>
      </c>
      <c r="Y102" s="97">
        <f t="shared" si="11"/>
        <v>0.57692256048656054</v>
      </c>
      <c r="Z102" s="97">
        <f t="shared" si="11"/>
        <v>6.001063968721785E-2</v>
      </c>
      <c r="AA102" s="97">
        <f t="shared" si="11"/>
        <v>0.21802702695910384</v>
      </c>
    </row>
    <row r="103" spans="2:31" ht="12.75" customHeight="1" x14ac:dyDescent="0.25">
      <c r="B103" s="21" t="s">
        <v>5</v>
      </c>
      <c r="C103" s="95">
        <f>Annual_sorted!G58</f>
        <v>-71.366545231284306</v>
      </c>
      <c r="D103" s="29">
        <f>IF(C103-Table_1463457811162344526068768492[Burundi]&gt;0, C103-Table_1463457811162344526068768492[Burundi], 0)</f>
        <v>0</v>
      </c>
      <c r="E103" s="29">
        <f>IF(C103-Table_1463457811162344526068768492[DRC]&gt;0, C103-Table_1463457811162344526068768492[DRC], 0)</f>
        <v>0</v>
      </c>
      <c r="F103" s="29">
        <f>IF(C103-Table_1463457811162344526068768492[Egypt]&gt;0, C103-Table_1463457811162344526068768492[Egypt], 0)</f>
        <v>0</v>
      </c>
      <c r="G103" s="29">
        <f>IF(C103-Table_1463457811162344526068768492[Eritrea]&gt;0, C103-Table_1463457811162344526068768492[Eritrea], 0)</f>
        <v>0</v>
      </c>
      <c r="H103" s="29">
        <f>IF(C103-Table_1463457811162344526068768492[Ethiopia]&gt;0, C103-Table_1463457811162344526068768492[Ethiopia], 0)</f>
        <v>403.41826944545699</v>
      </c>
      <c r="I103" s="29">
        <f>IF(C103-Table_1463457811162344526068768492[Kenya]&gt;0, C103-Table_1463457811162344526068768492[Kenya], 0)</f>
        <v>0</v>
      </c>
      <c r="J103" s="29">
        <f>IF(C103-Table_1463457811162344526068768492[Rwanda]&gt;0, C103-Table_1463457811162344526068768492[Rwanda], 0)</f>
        <v>0</v>
      </c>
      <c r="K103" s="29">
        <f>IF(C103-Table_1463457811162344526068768492[Sudan]&gt;0, C103-Table_1463457811162344526068768492[Sudan], 0)</f>
        <v>33.06851890653229</v>
      </c>
      <c r="L103" s="29">
        <f>IF(C103-Table_1463457811162344526068768492[S. Sudan]&gt;0, C103-Table_1463457811162344526068768492[S. Sudan], 0)</f>
        <v>539.10754746988823</v>
      </c>
      <c r="M103" s="29">
        <f>IF(C103-Table_1463457811162344526068768492[Tanzania]&gt;0, C103-Table_1463457811162344526068768492[Tanzania], 0)</f>
        <v>56.114457311725801</v>
      </c>
      <c r="N103" s="29">
        <f>IF(C103-Table_1463457811162344526068768492[Uganda]&gt;0, C103-Table_1463457811162344526068768492[Uganda], 0)</f>
        <v>203.7620934236113</v>
      </c>
      <c r="P103" s="21" t="s">
        <v>6</v>
      </c>
      <c r="Q103" s="97">
        <f t="shared" si="12"/>
        <v>-4.4529847647423789E-5</v>
      </c>
      <c r="R103" s="97">
        <f t="shared" si="11"/>
        <v>-4.4529847647423789E-5</v>
      </c>
      <c r="S103" s="97">
        <f t="shared" si="11"/>
        <v>-4.4529847647423789E-5</v>
      </c>
      <c r="T103" s="97">
        <f t="shared" si="11"/>
        <v>-4.4529847647423789E-5</v>
      </c>
      <c r="U103" s="97">
        <f t="shared" si="11"/>
        <v>0.4864980315114672</v>
      </c>
      <c r="V103" s="97">
        <f t="shared" si="11"/>
        <v>5.4749178797422103E-2</v>
      </c>
      <c r="W103" s="97">
        <f t="shared" si="11"/>
        <v>-4.4529847647423789E-5</v>
      </c>
      <c r="X103" s="97">
        <f t="shared" si="11"/>
        <v>9.0139978322871836E-2</v>
      </c>
      <c r="Y103" s="97">
        <f t="shared" si="11"/>
        <v>0.63171626913163015</v>
      </c>
      <c r="Z103" s="97">
        <f t="shared" si="11"/>
        <v>0.11480434833228738</v>
      </c>
      <c r="AA103" s="97">
        <f t="shared" si="11"/>
        <v>0.27282073560417341</v>
      </c>
    </row>
    <row r="104" spans="2:31" ht="12.75" customHeight="1" x14ac:dyDescent="0.25">
      <c r="B104" s="21" t="s">
        <v>6</v>
      </c>
      <c r="C104" s="95">
        <f>Annual_sorted!G59</f>
        <v>-20.168301207847584</v>
      </c>
      <c r="D104" s="29">
        <f>IF(C104-Table_1463457811162344526068768492[Burundi]&gt;0, C104-Table_1463457811162344526068768492[Burundi], 0)</f>
        <v>0</v>
      </c>
      <c r="E104" s="29">
        <f>IF(C104-Table_1463457811162344526068768492[DRC]&gt;0, C104-Table_1463457811162344526068768492[DRC], 0)</f>
        <v>0</v>
      </c>
      <c r="F104" s="29">
        <f>IF(C104-Table_1463457811162344526068768492[Egypt]&gt;0, C104-Table_1463457811162344526068768492[Egypt], 0)</f>
        <v>0</v>
      </c>
      <c r="G104" s="29">
        <f>IF(C104-Table_1463457811162344526068768492[Eritrea]&gt;0, C104-Table_1463457811162344526068768492[Eritrea], 0)</f>
        <v>0</v>
      </c>
      <c r="H104" s="29">
        <f>IF(C104-Table_1463457811162344526068768492[Ethiopia]&gt;0, C104-Table_1463457811162344526068768492[Ethiopia], 0)</f>
        <v>454.61651346889369</v>
      </c>
      <c r="I104" s="29">
        <f>IF(C104-Table_1463457811162344526068768492[Kenya]&gt;0, C104-Table_1463457811162344526068768492[Kenya], 0)</f>
        <v>51.198244023436722</v>
      </c>
      <c r="J104" s="29">
        <f>IF(C104-Table_1463457811162344526068768492[Rwanda]&gt;0, C104-Table_1463457811162344526068768492[Rwanda], 0)</f>
        <v>0</v>
      </c>
      <c r="K104" s="29">
        <f>IF(C104-Table_1463457811162344526068768492[Sudan]&gt;0, C104-Table_1463457811162344526068768492[Sudan], 0)</f>
        <v>84.266762929969019</v>
      </c>
      <c r="L104" s="29">
        <f>IF(C104-Table_1463457811162344526068768492[S. Sudan]&gt;0, C104-Table_1463457811162344526068768492[S. Sudan], 0)</f>
        <v>590.30579149332493</v>
      </c>
      <c r="M104" s="29">
        <f>IF(C104-Table_1463457811162344526068768492[Tanzania]&gt;0, C104-Table_1463457811162344526068768492[Tanzania], 0)</f>
        <v>107.31270133516253</v>
      </c>
      <c r="N104" s="29">
        <f>IF(C104-Table_1463457811162344526068768492[Uganda]&gt;0, C104-Table_1463457811162344526068768492[Uganda], 0)</f>
        <v>254.96033744704803</v>
      </c>
      <c r="P104" s="21" t="s">
        <v>7</v>
      </c>
      <c r="Q104" s="97">
        <f t="shared" si="12"/>
        <v>-4.4529847647423789E-5</v>
      </c>
      <c r="R104" s="97">
        <f t="shared" si="11"/>
        <v>-4.4529847647423789E-5</v>
      </c>
      <c r="S104" s="97">
        <f t="shared" si="11"/>
        <v>-4.4529847647423789E-5</v>
      </c>
      <c r="T104" s="97">
        <f t="shared" si="11"/>
        <v>-4.4529847647423789E-5</v>
      </c>
      <c r="U104" s="97">
        <f t="shared" si="11"/>
        <v>0.39631352334094799</v>
      </c>
      <c r="V104" s="97">
        <f t="shared" si="11"/>
        <v>-4.4529847647423789E-5</v>
      </c>
      <c r="W104" s="97">
        <f t="shared" si="11"/>
        <v>-4.4529847647423789E-5</v>
      </c>
      <c r="X104" s="97">
        <f t="shared" si="11"/>
        <v>-4.4529847647423789E-5</v>
      </c>
      <c r="Y104" s="97">
        <f t="shared" si="11"/>
        <v>0.54153176096111089</v>
      </c>
      <c r="Z104" s="97">
        <f t="shared" si="11"/>
        <v>2.4619840161768124E-2</v>
      </c>
      <c r="AA104" s="97">
        <f t="shared" si="11"/>
        <v>0.18263622743365412</v>
      </c>
    </row>
    <row r="105" spans="2:31" ht="12.75" customHeight="1" x14ac:dyDescent="0.25">
      <c r="B105" s="21" t="s">
        <v>7</v>
      </c>
      <c r="C105" s="95">
        <f>Annual_sorted!G60</f>
        <v>-104.4350641378166</v>
      </c>
      <c r="D105" s="29">
        <f>IF(C105-Table_1463457811162344526068768492[Burundi]&gt;0, C105-Table_1463457811162344526068768492[Burundi], 0)</f>
        <v>0</v>
      </c>
      <c r="E105" s="29">
        <f>IF(C105-Table_1463457811162344526068768492[DRC]&gt;0, C105-Table_1463457811162344526068768492[DRC], 0)</f>
        <v>0</v>
      </c>
      <c r="F105" s="29">
        <f>IF(C105-Table_1463457811162344526068768492[Egypt]&gt;0, C105-Table_1463457811162344526068768492[Egypt], 0)</f>
        <v>0</v>
      </c>
      <c r="G105" s="29">
        <f>IF(C105-Table_1463457811162344526068768492[Eritrea]&gt;0, C105-Table_1463457811162344526068768492[Eritrea], 0)</f>
        <v>0</v>
      </c>
      <c r="H105" s="29">
        <f>IF(C105-Table_1463457811162344526068768492[Ethiopia]&gt;0, C105-Table_1463457811162344526068768492[Ethiopia], 0)</f>
        <v>370.3497505389247</v>
      </c>
      <c r="I105" s="29">
        <f>IF(C105-Table_1463457811162344526068768492[Kenya]&gt;0, C105-Table_1463457811162344526068768492[Kenya], 0)</f>
        <v>0</v>
      </c>
      <c r="J105" s="29">
        <f>IF(C105-Table_1463457811162344526068768492[Rwanda]&gt;0, C105-Table_1463457811162344526068768492[Rwanda], 0)</f>
        <v>0</v>
      </c>
      <c r="K105" s="29">
        <f>IF(C105-Table_1463457811162344526068768492[Sudan]&gt;0, C105-Table_1463457811162344526068768492[Sudan], 0)</f>
        <v>0</v>
      </c>
      <c r="L105" s="29">
        <f>IF(C105-Table_1463457811162344526068768492[S. Sudan]&gt;0, C105-Table_1463457811162344526068768492[S. Sudan], 0)</f>
        <v>506.03902856335588</v>
      </c>
      <c r="M105" s="29">
        <f>IF(C105-Table_1463457811162344526068768492[Tanzania]&gt;0, C105-Table_1463457811162344526068768492[Tanzania], 0)</f>
        <v>23.04593840519351</v>
      </c>
      <c r="N105" s="29">
        <f>IF(C105-Table_1463457811162344526068768492[Uganda]&gt;0, C105-Table_1463457811162344526068768492[Uganda], 0)</f>
        <v>170.69357451707901</v>
      </c>
      <c r="P105" s="21" t="s">
        <v>8</v>
      </c>
      <c r="Q105" s="97">
        <f t="shared" si="12"/>
        <v>-4.4529847647423789E-5</v>
      </c>
      <c r="R105" s="97">
        <f t="shared" si="11"/>
        <v>-4.4529847647423789E-5</v>
      </c>
      <c r="S105" s="97">
        <f t="shared" si="11"/>
        <v>-4.4529847647423789E-5</v>
      </c>
      <c r="T105" s="97">
        <f t="shared" si="11"/>
        <v>-4.4529847647423789E-5</v>
      </c>
      <c r="U105" s="97">
        <f t="shared" si="11"/>
        <v>-4.4529847647423789E-5</v>
      </c>
      <c r="V105" s="97">
        <f t="shared" si="11"/>
        <v>-4.4529847647423789E-5</v>
      </c>
      <c r="W105" s="97">
        <f t="shared" si="11"/>
        <v>-4.4529847647423789E-5</v>
      </c>
      <c r="X105" s="97">
        <f t="shared" si="11"/>
        <v>-4.4529847647423789E-5</v>
      </c>
      <c r="Y105" s="97">
        <f t="shared" si="11"/>
        <v>-4.4529847647423789E-5</v>
      </c>
      <c r="Z105" s="97">
        <f t="shared" si="11"/>
        <v>-4.4529847647423789E-5</v>
      </c>
      <c r="AA105" s="97">
        <f t="shared" si="11"/>
        <v>-4.4529847647423789E-5</v>
      </c>
    </row>
    <row r="106" spans="2:31" ht="12.75" customHeight="1" x14ac:dyDescent="0.25">
      <c r="B106" s="21" t="s">
        <v>8</v>
      </c>
      <c r="C106" s="95">
        <f>Annual_sorted!G61</f>
        <v>-610.47409270117248</v>
      </c>
      <c r="D106" s="29">
        <f>IF(C106-Table_1463457811162344526068768492[Burundi]&gt;0, C106-Table_1463457811162344526068768492[Burundi], 0)</f>
        <v>0</v>
      </c>
      <c r="E106" s="29">
        <f>IF(C106-Table_1463457811162344526068768492[DRC]&gt;0, C106-Table_1463457811162344526068768492[DRC], 0)</f>
        <v>0</v>
      </c>
      <c r="F106" s="29">
        <f>IF(C106-Table_1463457811162344526068768492[Egypt]&gt;0, C106-Table_1463457811162344526068768492[Egypt], 0)</f>
        <v>0</v>
      </c>
      <c r="G106" s="29">
        <f>IF(C106-Table_1463457811162344526068768492[Eritrea]&gt;0, C106-Table_1463457811162344526068768492[Eritrea], 0)</f>
        <v>0</v>
      </c>
      <c r="H106" s="29">
        <f>IF(C106-Table_1463457811162344526068768492[Ethiopia]&gt;0, C106-Table_1463457811162344526068768492[Ethiopia], 0)</f>
        <v>0</v>
      </c>
      <c r="I106" s="29">
        <f>IF(C106-Table_1463457811162344526068768492[Kenya]&gt;0, C106-Table_1463457811162344526068768492[Kenya], 0)</f>
        <v>0</v>
      </c>
      <c r="J106" s="29">
        <f>IF(C106-Table_1463457811162344526068768492[Rwanda]&gt;0, C106-Table_1463457811162344526068768492[Rwanda], 0)</f>
        <v>0</v>
      </c>
      <c r="K106" s="29">
        <f>IF(C106-Table_1463457811162344526068768492[Sudan]&gt;0, C106-Table_1463457811162344526068768492[Sudan], 0)</f>
        <v>0</v>
      </c>
      <c r="L106" s="29">
        <f>IF(C106-Table_1463457811162344526068768492[S. Sudan]&gt;0, C106-Table_1463457811162344526068768492[S. Sudan], 0)</f>
        <v>0</v>
      </c>
      <c r="M106" s="29">
        <f>IF(C106-Table_1463457811162344526068768492[Tanzania]&gt;0, C106-Table_1463457811162344526068768492[Tanzania], 0)</f>
        <v>0</v>
      </c>
      <c r="N106" s="29">
        <f>IF(C106-Table_1463457811162344526068768492[Uganda]&gt;0, C106-Table_1463457811162344526068768492[Uganda], 0)</f>
        <v>0</v>
      </c>
      <c r="P106" s="21" t="s">
        <v>9</v>
      </c>
      <c r="Q106" s="97">
        <f t="shared" si="12"/>
        <v>-4.4529847647423789E-5</v>
      </c>
      <c r="R106" s="97">
        <f t="shared" si="11"/>
        <v>-4.4529847647423789E-5</v>
      </c>
      <c r="S106" s="97">
        <f t="shared" si="11"/>
        <v>-4.4529847647423789E-5</v>
      </c>
      <c r="T106" s="97">
        <f t="shared" si="11"/>
        <v>-4.4529847647423789E-5</v>
      </c>
      <c r="U106" s="97">
        <f t="shared" si="11"/>
        <v>0.37164915333153248</v>
      </c>
      <c r="V106" s="97">
        <f t="shared" si="11"/>
        <v>-4.4529847647423789E-5</v>
      </c>
      <c r="W106" s="97">
        <f t="shared" si="11"/>
        <v>-4.4529847647423789E-5</v>
      </c>
      <c r="X106" s="97">
        <f t="shared" si="11"/>
        <v>-4.4529847647423789E-5</v>
      </c>
      <c r="Y106" s="97">
        <f t="shared" si="11"/>
        <v>0.51686739095169532</v>
      </c>
      <c r="Z106" s="97">
        <f t="shared" si="11"/>
        <v>-4.4529847647423789E-5</v>
      </c>
      <c r="AA106" s="97">
        <f t="shared" si="11"/>
        <v>0.15797185742423858</v>
      </c>
    </row>
    <row r="107" spans="2:31" ht="12.75" customHeight="1" thickBot="1" x14ac:dyDescent="0.3">
      <c r="B107" s="21" t="s">
        <v>9</v>
      </c>
      <c r="C107" s="95">
        <f>Annual_sorted!G62</f>
        <v>-127.48100254301011</v>
      </c>
      <c r="D107" s="29">
        <f>IF(C107-Table_1463457811162344526068768492[Burundi]&gt;0, C107-Table_1463457811162344526068768492[Burundi], 0)</f>
        <v>0</v>
      </c>
      <c r="E107" s="29">
        <f>IF(C107-Table_1463457811162344526068768492[DRC]&gt;0, C107-Table_1463457811162344526068768492[DRC], 0)</f>
        <v>0</v>
      </c>
      <c r="F107" s="29">
        <f>IF(C107-Table_1463457811162344526068768492[Egypt]&gt;0, C107-Table_1463457811162344526068768492[Egypt], 0)</f>
        <v>0</v>
      </c>
      <c r="G107" s="29">
        <f>IF(C107-Table_1463457811162344526068768492[Eritrea]&gt;0, C107-Table_1463457811162344526068768492[Eritrea], 0)</f>
        <v>0</v>
      </c>
      <c r="H107" s="29">
        <f>IF(C107-Table_1463457811162344526068768492[Ethiopia]&gt;0, C107-Table_1463457811162344526068768492[Ethiopia], 0)</f>
        <v>347.30381213373118</v>
      </c>
      <c r="I107" s="29">
        <f>IF(C107-Table_1463457811162344526068768492[Kenya]&gt;0, C107-Table_1463457811162344526068768492[Kenya], 0)</f>
        <v>0</v>
      </c>
      <c r="J107" s="29">
        <f>IF(C107-Table_1463457811162344526068768492[Rwanda]&gt;0, C107-Table_1463457811162344526068768492[Rwanda], 0)</f>
        <v>0</v>
      </c>
      <c r="K107" s="29">
        <f>IF(C107-Table_1463457811162344526068768492[Sudan]&gt;0, C107-Table_1463457811162344526068768492[Sudan], 0)</f>
        <v>0</v>
      </c>
      <c r="L107" s="29">
        <f>IF(C107-Table_1463457811162344526068768492[S. Sudan]&gt;0, C107-Table_1463457811162344526068768492[S. Sudan], 0)</f>
        <v>482.99309015816237</v>
      </c>
      <c r="M107" s="29">
        <f>IF(C107-Table_1463457811162344526068768492[Tanzania]&gt;0, C107-Table_1463457811162344526068768492[Tanzania], 0)</f>
        <v>0</v>
      </c>
      <c r="N107" s="29">
        <f>IF(C107-Table_1463457811162344526068768492[Uganda]&gt;0, C107-Table_1463457811162344526068768492[Uganda], 0)</f>
        <v>147.6476361118855</v>
      </c>
      <c r="P107" s="22" t="s">
        <v>10</v>
      </c>
      <c r="Q107" s="98">
        <f t="shared" si="12"/>
        <v>-4.4529847647423789E-5</v>
      </c>
      <c r="R107" s="98">
        <f t="shared" si="11"/>
        <v>-4.4529847647423789E-5</v>
      </c>
      <c r="S107" s="98">
        <f t="shared" si="11"/>
        <v>-4.4529847647423789E-5</v>
      </c>
      <c r="T107" s="98">
        <f t="shared" si="11"/>
        <v>-4.4529847647423789E-5</v>
      </c>
      <c r="U107" s="98">
        <f t="shared" si="11"/>
        <v>0.21363276605964646</v>
      </c>
      <c r="V107" s="98">
        <f t="shared" si="11"/>
        <v>-4.4529847647423789E-5</v>
      </c>
      <c r="W107" s="98">
        <f t="shared" si="11"/>
        <v>-4.4529847647423789E-5</v>
      </c>
      <c r="X107" s="98">
        <f t="shared" si="11"/>
        <v>-4.4529847647423789E-5</v>
      </c>
      <c r="Y107" s="98">
        <f t="shared" si="11"/>
        <v>0.35885100367980932</v>
      </c>
      <c r="Z107" s="98">
        <f t="shared" si="11"/>
        <v>-4.4529847647423789E-5</v>
      </c>
      <c r="AA107" s="98">
        <f t="shared" si="11"/>
        <v>-4.4529847647423789E-5</v>
      </c>
      <c r="AB107" s="186">
        <f>SUM(Q97:AA107)</f>
        <v>16.262787252456846</v>
      </c>
    </row>
    <row r="108" spans="2:31" ht="12.75" customHeight="1" thickBot="1" x14ac:dyDescent="0.3">
      <c r="B108" s="22" t="s">
        <v>10</v>
      </c>
      <c r="C108" s="96">
        <f>Annual_sorted!G63</f>
        <v>-275.12863865489561</v>
      </c>
      <c r="D108" s="32">
        <f>IF(C108-Table_1463457811162344526068768492[Burundi]&gt;0, C108-Table_1463457811162344526068768492[Burundi], 0)</f>
        <v>0</v>
      </c>
      <c r="E108" s="32">
        <f>IF(C108-Table_1463457811162344526068768492[DRC]&gt;0, C108-Table_1463457811162344526068768492[DRC], 0)</f>
        <v>0</v>
      </c>
      <c r="F108" s="32">
        <f>IF(C108-Table_1463457811162344526068768492[Egypt]&gt;0, C108-Table_1463457811162344526068768492[Egypt], 0)</f>
        <v>0</v>
      </c>
      <c r="G108" s="32">
        <f>IF(C108-Table_1463457811162344526068768492[Eritrea]&gt;0, C108-Table_1463457811162344526068768492[Eritrea], 0)</f>
        <v>0</v>
      </c>
      <c r="H108" s="32">
        <f>IF(C108-Table_1463457811162344526068768492[Ethiopia]&gt;0, C108-Table_1463457811162344526068768492[Ethiopia], 0)</f>
        <v>199.65617602184568</v>
      </c>
      <c r="I108" s="32">
        <f>IF(C108-Table_1463457811162344526068768492[Kenya]&gt;0, C108-Table_1463457811162344526068768492[Kenya], 0)</f>
        <v>0</v>
      </c>
      <c r="J108" s="32">
        <f>IF(C108-Table_1463457811162344526068768492[Rwanda]&gt;0, C108-Table_1463457811162344526068768492[Rwanda], 0)</f>
        <v>0</v>
      </c>
      <c r="K108" s="32">
        <f>IF(C108-Table_1463457811162344526068768492[Sudan]&gt;0, C108-Table_1463457811162344526068768492[Sudan], 0)</f>
        <v>0</v>
      </c>
      <c r="L108" s="32">
        <f>IF(C108-Table_1463457811162344526068768492[S. Sudan]&gt;0, C108-Table_1463457811162344526068768492[S. Sudan], 0)</f>
        <v>335.34545404627687</v>
      </c>
      <c r="M108" s="32">
        <f>IF(C108-Table_1463457811162344526068768492[Tanzania]&gt;0, C108-Table_1463457811162344526068768492[Tanzania], 0)</f>
        <v>0</v>
      </c>
      <c r="N108" s="32">
        <f>IF(C108-Table_1463457811162344526068768492[Uganda]&gt;0, C108-Table_1463457811162344526068768492[Uganda], 0)</f>
        <v>0</v>
      </c>
      <c r="Y108" s="186">
        <f>SUM(Y97:Y107)</f>
        <v>5.6802648319547799</v>
      </c>
    </row>
    <row r="109" spans="2:31" ht="12.75" customHeight="1" x14ac:dyDescent="0.25"/>
    <row r="110" spans="2:31" ht="12.75" customHeight="1" x14ac:dyDescent="0.25"/>
    <row r="111" spans="2:31" ht="12.75" customHeight="1" x14ac:dyDescent="0.25">
      <c r="B111" s="5"/>
      <c r="C111" s="5"/>
      <c r="D111" s="5"/>
      <c r="E111" s="5"/>
      <c r="F111" s="5"/>
      <c r="G111" s="5"/>
      <c r="H111" s="5"/>
      <c r="I111" s="5"/>
      <c r="J111" s="5"/>
      <c r="K111" s="5"/>
      <c r="L111" s="5"/>
      <c r="M111" s="5"/>
      <c r="N111" s="5"/>
    </row>
    <row r="112" spans="2:31" ht="12.75" customHeight="1" x14ac:dyDescent="0.25">
      <c r="B112" s="5"/>
      <c r="C112" s="5"/>
      <c r="D112" s="5"/>
      <c r="E112" s="5"/>
      <c r="F112" s="5"/>
      <c r="G112" s="5"/>
      <c r="H112" s="5"/>
      <c r="I112" s="5"/>
      <c r="J112" s="5"/>
      <c r="K112" s="5"/>
      <c r="L112" s="5"/>
      <c r="M112" s="5"/>
      <c r="N112" s="5"/>
      <c r="P112" s="5"/>
      <c r="Q112" s="5"/>
      <c r="R112" s="5"/>
      <c r="S112" s="5"/>
      <c r="T112" s="5"/>
      <c r="U112" s="5"/>
      <c r="V112" s="5"/>
      <c r="W112" s="5"/>
      <c r="X112" s="5"/>
      <c r="Y112" s="5"/>
      <c r="Z112" s="5"/>
      <c r="AA112" s="5"/>
    </row>
    <row r="113" spans="2:31" ht="12.75" customHeight="1" thickBot="1" x14ac:dyDescent="0.3">
      <c r="B113" s="253" t="s">
        <v>86</v>
      </c>
      <c r="C113" s="253"/>
      <c r="D113" s="253"/>
      <c r="E113" s="253"/>
      <c r="F113" s="253"/>
      <c r="G113" s="253"/>
      <c r="H113" s="253"/>
      <c r="I113" s="253"/>
      <c r="J113" s="253"/>
      <c r="K113" s="253"/>
      <c r="L113" s="253"/>
      <c r="M113" s="253"/>
      <c r="N113" s="253"/>
      <c r="P113" s="253" t="s">
        <v>88</v>
      </c>
      <c r="Q113" s="253"/>
      <c r="R113" s="253"/>
      <c r="S113" s="253"/>
      <c r="T113" s="253"/>
      <c r="U113" s="253"/>
      <c r="V113" s="253"/>
      <c r="W113" s="253"/>
      <c r="X113" s="253"/>
      <c r="Y113" s="253"/>
      <c r="Z113" s="253"/>
      <c r="AA113" s="253"/>
      <c r="AB113" s="10"/>
      <c r="AC113" s="3" t="s">
        <v>22</v>
      </c>
      <c r="AD113" s="13" t="s">
        <v>23</v>
      </c>
      <c r="AE113" s="74">
        <f t="array" ref="AE113">MIN(IF(D116:N126&gt;0,D116:N126))</f>
        <v>0.21153076988337549</v>
      </c>
    </row>
    <row r="114" spans="2:31" ht="12.75" customHeight="1" thickBot="1" x14ac:dyDescent="0.3">
      <c r="B114" s="75" t="s">
        <v>13</v>
      </c>
      <c r="C114" s="66" t="s">
        <v>14</v>
      </c>
      <c r="D114" s="67" t="s">
        <v>1</v>
      </c>
      <c r="E114" s="67" t="s">
        <v>195</v>
      </c>
      <c r="F114" s="67" t="s">
        <v>2</v>
      </c>
      <c r="G114" s="67" t="s">
        <v>3</v>
      </c>
      <c r="H114" s="67" t="s">
        <v>4</v>
      </c>
      <c r="I114" s="67" t="s">
        <v>5</v>
      </c>
      <c r="J114" s="67" t="s">
        <v>6</v>
      </c>
      <c r="K114" s="67" t="s">
        <v>7</v>
      </c>
      <c r="L114" s="67" t="s">
        <v>295</v>
      </c>
      <c r="M114" s="67" t="s">
        <v>9</v>
      </c>
      <c r="N114" s="67" t="s">
        <v>10</v>
      </c>
      <c r="P114" s="76" t="s">
        <v>19</v>
      </c>
      <c r="Q114" s="77" t="s">
        <v>1</v>
      </c>
      <c r="R114" s="77" t="s">
        <v>195</v>
      </c>
      <c r="S114" s="77" t="s">
        <v>2</v>
      </c>
      <c r="T114" s="77" t="s">
        <v>3</v>
      </c>
      <c r="U114" s="77" t="s">
        <v>4</v>
      </c>
      <c r="V114" s="77" t="s">
        <v>5</v>
      </c>
      <c r="W114" s="77" t="s">
        <v>6</v>
      </c>
      <c r="X114" s="77" t="s">
        <v>7</v>
      </c>
      <c r="Y114" s="77" t="s">
        <v>295</v>
      </c>
      <c r="Z114" s="77" t="s">
        <v>9</v>
      </c>
      <c r="AA114" s="77" t="s">
        <v>10</v>
      </c>
      <c r="AB114" s="254" t="s">
        <v>26</v>
      </c>
      <c r="AC114" s="254"/>
      <c r="AD114" s="13" t="s">
        <v>24</v>
      </c>
      <c r="AE114" s="20">
        <f>MAX(D116:N126)</f>
        <v>449.08139134059144</v>
      </c>
    </row>
    <row r="115" spans="2:31" ht="12.75" customHeight="1" x14ac:dyDescent="0.25">
      <c r="B115" s="93"/>
      <c r="C115" s="94" t="s">
        <v>263</v>
      </c>
      <c r="D115" s="95">
        <f>C116</f>
        <v>-1.8099391741890873</v>
      </c>
      <c r="E115" s="95">
        <f>C117</f>
        <v>4.53170561047249</v>
      </c>
      <c r="F115" s="95">
        <f>C118</f>
        <v>327.32968091907202</v>
      </c>
      <c r="G115" s="95">
        <f>C119</f>
        <v>-1.5984084043057118</v>
      </c>
      <c r="H115" s="95">
        <f>C120</f>
        <v>-121.75171042151943</v>
      </c>
      <c r="I115" s="95">
        <f>C121</f>
        <v>-14.439035606693112</v>
      </c>
      <c r="J115" s="95">
        <f>C122</f>
        <v>-0.37504703908570591</v>
      </c>
      <c r="K115" s="95">
        <f>C123</f>
        <v>299.65584925157799</v>
      </c>
      <c r="L115" s="95">
        <f>C124</f>
        <v>10.468507913800099</v>
      </c>
      <c r="M115" s="95">
        <f>C125</f>
        <v>-24.940230234035152</v>
      </c>
      <c r="N115" s="95">
        <f>C126</f>
        <v>-4.7132841157394445</v>
      </c>
      <c r="P115" s="21" t="s">
        <v>1</v>
      </c>
      <c r="Q115" s="97">
        <f>$AE$115+(D116-$AE$113)*($AE$116-$AE$115)/($AE$114-$AE$113)</f>
        <v>5.2921936250116281E-4</v>
      </c>
      <c r="R115" s="97">
        <f t="shared" ref="R115:AA125" si="13">$AE$115+(E116-$AE$113)*($AE$116-$AE$115)/($AE$114-$AE$113)</f>
        <v>5.2921936250116281E-4</v>
      </c>
      <c r="S115" s="97">
        <f t="shared" si="13"/>
        <v>5.2921936250116281E-4</v>
      </c>
      <c r="T115" s="97">
        <f t="shared" si="13"/>
        <v>5.2921936250116281E-4</v>
      </c>
      <c r="U115" s="97">
        <f t="shared" si="13"/>
        <v>0.2674703530882932</v>
      </c>
      <c r="V115" s="97">
        <f t="shared" si="13"/>
        <v>2.8636402411125826E-2</v>
      </c>
      <c r="W115" s="97">
        <f t="shared" si="13"/>
        <v>5.2921936250116281E-4</v>
      </c>
      <c r="X115" s="97">
        <f t="shared" si="13"/>
        <v>5.2921936250116281E-4</v>
      </c>
      <c r="Y115" s="97">
        <f t="shared" si="13"/>
        <v>5.2921936250116281E-4</v>
      </c>
      <c r="Z115" s="97">
        <f t="shared" si="13"/>
        <v>5.2007749775318385E-2</v>
      </c>
      <c r="AA115" s="97">
        <f t="shared" si="13"/>
        <v>6.9908730652494143E-3</v>
      </c>
      <c r="AD115" s="3" t="s">
        <v>25</v>
      </c>
      <c r="AE115" s="2">
        <v>1E-3</v>
      </c>
    </row>
    <row r="116" spans="2:31" ht="12.75" customHeight="1" x14ac:dyDescent="0.25">
      <c r="B116" s="21" t="s">
        <v>1</v>
      </c>
      <c r="C116" s="95">
        <f>Annual_sorted!H53</f>
        <v>-1.8099391741890873</v>
      </c>
      <c r="D116" s="29">
        <f>IF(C116-Table_14634578112172243515967758391[Burundi]&gt;0, C116-Table_14634578112172243515967758391[Burundi], 0)</f>
        <v>0</v>
      </c>
      <c r="E116" s="29">
        <f>IF(C116-Table_14634578112172243515967758391[DRC]&gt;0, C116-Table_14634578112172243515967758391[DRC], 0)</f>
        <v>0</v>
      </c>
      <c r="F116" s="29">
        <f>IF(C116-Table_14634578112172243515967758391[Egypt]&gt;0, C116-Table_14634578112172243515967758391[Egypt], 0)</f>
        <v>0</v>
      </c>
      <c r="G116" s="29">
        <f>IF(C116-Table_14634578112172243515967758391[Eritrea]&gt;0, C116-Table_14634578112172243515967758391[Eritrea], 0)</f>
        <v>0</v>
      </c>
      <c r="H116" s="29">
        <f>IF(C116-Table_14634578112172243515967758391[Ethiopia]&gt;0, C116-Table_14634578112172243515967758391[Ethiopia], 0)</f>
        <v>119.94177124733035</v>
      </c>
      <c r="I116" s="29">
        <f>IF(C116-Table_14634578112172243515967758391[Kenya]&gt;0, C116-Table_14634578112172243515967758391[Kenya], 0)</f>
        <v>12.629096432504024</v>
      </c>
      <c r="J116" s="29">
        <f>IF(C116-Table_14634578112172243515967758391[Rwanda]&gt;0, C116-Table_14634578112172243515967758391[Rwanda], 0)</f>
        <v>0</v>
      </c>
      <c r="K116" s="29">
        <f>IF(C116-Table_14634578112172243515967758391[Sudan]&gt;0, C116-Table_14634578112172243515967758391[Sudan], 0)</f>
        <v>0</v>
      </c>
      <c r="L116" s="29">
        <f>IF(C116-Table_14634578112172243515967758391[S. Sudan]&gt;0, C116-Table_14634578112172243515967758391[S. Sudan], 0)</f>
        <v>0</v>
      </c>
      <c r="M116" s="29">
        <f>IF(C116-Table_14634578112172243515967758391[Tanzania]&gt;0, C116-Table_14634578112172243515967758391[Tanzania], 0)</f>
        <v>23.130291059846066</v>
      </c>
      <c r="N116" s="29">
        <f>IF(C116-Table_14634578112172243515967758391[Uganda]&gt;0, C116-Table_14634578112172243515967758391[Uganda], 0)</f>
        <v>2.9033449415503574</v>
      </c>
      <c r="P116" s="21" t="s">
        <v>195</v>
      </c>
      <c r="Q116" s="97">
        <f t="shared" ref="Q116:Q125" si="14">$AE$115+(D117-$AE$113)*($AE$116-$AE$115)/($AE$114-$AE$113)</f>
        <v>1.4643116722020916E-2</v>
      </c>
      <c r="R116" s="97">
        <f t="shared" si="13"/>
        <v>5.2921936250116281E-4</v>
      </c>
      <c r="S116" s="97">
        <f t="shared" si="13"/>
        <v>5.2921936250116281E-4</v>
      </c>
      <c r="T116" s="97">
        <f t="shared" si="13"/>
        <v>1.4172336084522077E-2</v>
      </c>
      <c r="U116" s="97">
        <f t="shared" si="13"/>
        <v>0.28158425044781293</v>
      </c>
      <c r="V116" s="97">
        <f t="shared" si="13"/>
        <v>4.2750299770645581E-2</v>
      </c>
      <c r="W116" s="97">
        <f t="shared" si="13"/>
        <v>1.144963600770935E-2</v>
      </c>
      <c r="X116" s="97">
        <f t="shared" si="13"/>
        <v>5.2921936250116281E-4</v>
      </c>
      <c r="Y116" s="97">
        <f t="shared" si="13"/>
        <v>5.2921936250116281E-4</v>
      </c>
      <c r="Z116" s="97">
        <f t="shared" si="13"/>
        <v>6.6121647134838132E-2</v>
      </c>
      <c r="AA116" s="97">
        <f t="shared" si="13"/>
        <v>2.1104770424769166E-2</v>
      </c>
      <c r="AD116" s="3" t="s">
        <v>70</v>
      </c>
      <c r="AE116" s="2">
        <v>1</v>
      </c>
    </row>
    <row r="117" spans="2:31" ht="12.75" customHeight="1" x14ac:dyDescent="0.25">
      <c r="B117" s="21" t="s">
        <v>195</v>
      </c>
      <c r="C117" s="95">
        <f>Annual_sorted!H54</f>
        <v>4.53170561047249</v>
      </c>
      <c r="D117" s="29">
        <f>IF(C117-Table_14634578112172243515967758391[Burundi]&gt;0, C117-Table_14634578112172243515967758391[Burundi], 0)</f>
        <v>6.3416447846615771</v>
      </c>
      <c r="E117" s="29">
        <f>IF(C117-Table_14634578112172243515967758391[DRC]&gt;0, C117-Table_14634578112172243515967758391[DRC], 0)</f>
        <v>0</v>
      </c>
      <c r="F117" s="29">
        <f>IF(C117-Table_14634578112172243515967758391[Egypt]&gt;0, C117-Table_14634578112172243515967758391[Egypt], 0)</f>
        <v>0</v>
      </c>
      <c r="G117" s="29">
        <f>IF(C117-Table_14634578112172243515967758391[Eritrea]&gt;0, C117-Table_14634578112172243515967758391[Eritrea], 0)</f>
        <v>6.1301140147782016</v>
      </c>
      <c r="H117" s="29">
        <f>IF(C117-Table_14634578112172243515967758391[Ethiopia]&gt;0, C117-Table_14634578112172243515967758391[Ethiopia], 0)</f>
        <v>126.28341603199192</v>
      </c>
      <c r="I117" s="29">
        <f>IF(C117-Table_14634578112172243515967758391[Kenya]&gt;0, C117-Table_14634578112172243515967758391[Kenya], 0)</f>
        <v>18.970741217165603</v>
      </c>
      <c r="J117" s="29">
        <f>IF(C117-Table_14634578112172243515967758391[Rwanda]&gt;0, C117-Table_14634578112172243515967758391[Rwanda], 0)</f>
        <v>4.9067526495581957</v>
      </c>
      <c r="K117" s="29">
        <f>IF(C117-Table_14634578112172243515967758391[Sudan]&gt;0, C117-Table_14634578112172243515967758391[Sudan], 0)</f>
        <v>0</v>
      </c>
      <c r="L117" s="29">
        <f>IF(C117-Table_14634578112172243515967758391[S. Sudan]&gt;0, C117-Table_14634578112172243515967758391[S. Sudan], 0)</f>
        <v>0</v>
      </c>
      <c r="M117" s="29">
        <f>IF(C117-Table_14634578112172243515967758391[Tanzania]&gt;0, C117-Table_14634578112172243515967758391[Tanzania], 0)</f>
        <v>29.471935844507641</v>
      </c>
      <c r="N117" s="29">
        <f>IF(C117-Table_14634578112172243515967758391[Uganda]&gt;0, C117-Table_14634578112172243515967758391[Uganda], 0)</f>
        <v>9.2449897262119336</v>
      </c>
      <c r="P117" s="21" t="s">
        <v>2</v>
      </c>
      <c r="Q117" s="97">
        <f t="shared" si="14"/>
        <v>0.73305886627420802</v>
      </c>
      <c r="R117" s="97">
        <f t="shared" si="13"/>
        <v>0.71894496891468818</v>
      </c>
      <c r="S117" s="97">
        <f t="shared" si="13"/>
        <v>5.2921936250116281E-4</v>
      </c>
      <c r="T117" s="97">
        <f t="shared" si="13"/>
        <v>0.73258808563670919</v>
      </c>
      <c r="U117" s="97">
        <f t="shared" si="13"/>
        <v>1</v>
      </c>
      <c r="V117" s="97">
        <f t="shared" si="13"/>
        <v>0.76116604932283261</v>
      </c>
      <c r="W117" s="97">
        <f t="shared" si="13"/>
        <v>0.72986538555989633</v>
      </c>
      <c r="X117" s="97">
        <f t="shared" si="13"/>
        <v>6.2119805553064927E-2</v>
      </c>
      <c r="Y117" s="97">
        <f t="shared" si="13"/>
        <v>0.70573208468698889</v>
      </c>
      <c r="Z117" s="97">
        <f t="shared" si="13"/>
        <v>0.78453739668702527</v>
      </c>
      <c r="AA117" s="97">
        <f t="shared" si="13"/>
        <v>0.73952051997695623</v>
      </c>
    </row>
    <row r="118" spans="2:31" ht="12.75" customHeight="1" x14ac:dyDescent="0.25">
      <c r="B118" s="21" t="s">
        <v>2</v>
      </c>
      <c r="C118" s="95">
        <f>Annual_sorted!H55</f>
        <v>327.32968091907202</v>
      </c>
      <c r="D118" s="29">
        <f>IF(C118-Table_14634578112172243515967758391[Burundi]&gt;0, C118-Table_14634578112172243515967758391[Burundi], 0)</f>
        <v>329.1396200932611</v>
      </c>
      <c r="E118" s="29">
        <f>IF(C118-Table_14634578112172243515967758391[DRC]&gt;0, C118-Table_14634578112172243515967758391[DRC], 0)</f>
        <v>322.79797530859952</v>
      </c>
      <c r="F118" s="29">
        <f>IF(C118-Table_14634578112172243515967758391[Egypt]&gt;0, C118-Table_14634578112172243515967758391[Egypt], 0)</f>
        <v>0</v>
      </c>
      <c r="G118" s="29">
        <f>IF(C118-Table_14634578112172243515967758391[Eritrea]&gt;0, C118-Table_14634578112172243515967758391[Eritrea], 0)</f>
        <v>328.92808932337772</v>
      </c>
      <c r="H118" s="29">
        <f>IF(C118-Table_14634578112172243515967758391[Ethiopia]&gt;0, C118-Table_14634578112172243515967758391[Ethiopia], 0)</f>
        <v>449.08139134059144</v>
      </c>
      <c r="I118" s="29">
        <f>IF(C118-Table_14634578112172243515967758391[Kenya]&gt;0, C118-Table_14634578112172243515967758391[Kenya], 0)</f>
        <v>341.76871652576511</v>
      </c>
      <c r="J118" s="29">
        <f>IF(C118-Table_14634578112172243515967758391[Rwanda]&gt;0, C118-Table_14634578112172243515967758391[Rwanda], 0)</f>
        <v>327.70472795815772</v>
      </c>
      <c r="K118" s="29">
        <f>IF(C118-Table_14634578112172243515967758391[Sudan]&gt;0, C118-Table_14634578112172243515967758391[Sudan], 0)</f>
        <v>27.673831667494028</v>
      </c>
      <c r="L118" s="29">
        <f>IF(C118-Table_14634578112172243515967758391[S. Sudan]&gt;0, C118-Table_14634578112172243515967758391[S. Sudan], 0)</f>
        <v>316.86117300527189</v>
      </c>
      <c r="M118" s="29">
        <f>IF(C118-Table_14634578112172243515967758391[Tanzania]&gt;0, C118-Table_14634578112172243515967758391[Tanzania], 0)</f>
        <v>352.26991115310716</v>
      </c>
      <c r="N118" s="29">
        <f>IF(C118-Table_14634578112172243515967758391[Uganda]&gt;0, C118-Table_14634578112172243515967758391[Uganda], 0)</f>
        <v>332.04296503481146</v>
      </c>
      <c r="P118" s="21" t="s">
        <v>3</v>
      </c>
      <c r="Q118" s="97">
        <f t="shared" si="14"/>
        <v>1E-3</v>
      </c>
      <c r="R118" s="97">
        <f t="shared" si="13"/>
        <v>5.2921936250116281E-4</v>
      </c>
      <c r="S118" s="97">
        <f t="shared" si="13"/>
        <v>5.2921936250116281E-4</v>
      </c>
      <c r="T118" s="97">
        <f t="shared" si="13"/>
        <v>5.2921936250116281E-4</v>
      </c>
      <c r="U118" s="97">
        <f t="shared" si="13"/>
        <v>0.26794113372579204</v>
      </c>
      <c r="V118" s="97">
        <f t="shared" si="13"/>
        <v>2.9107183048624662E-2</v>
      </c>
      <c r="W118" s="97">
        <f t="shared" si="13"/>
        <v>5.2921936250116281E-4</v>
      </c>
      <c r="X118" s="97">
        <f t="shared" si="13"/>
        <v>5.2921936250116281E-4</v>
      </c>
      <c r="Y118" s="97">
        <f t="shared" si="13"/>
        <v>5.2921936250116281E-4</v>
      </c>
      <c r="Z118" s="97">
        <f t="shared" si="13"/>
        <v>5.247853041281722E-2</v>
      </c>
      <c r="AA118" s="97">
        <f t="shared" si="13"/>
        <v>7.4616537027482515E-3</v>
      </c>
    </row>
    <row r="119" spans="2:31" ht="12.75" customHeight="1" x14ac:dyDescent="0.25">
      <c r="B119" s="21" t="s">
        <v>3</v>
      </c>
      <c r="C119" s="95">
        <f>Annual_sorted!H56</f>
        <v>-1.5984084043057118</v>
      </c>
      <c r="D119" s="29">
        <f>IF(C119-Table_14634578112172243515967758391[Burundi]&gt;0, C119-Table_14634578112172243515967758391[Burundi], 0)</f>
        <v>0.21153076988337549</v>
      </c>
      <c r="E119" s="29">
        <f>IF(C119-Table_14634578112172243515967758391[DRC]&gt;0, C119-Table_14634578112172243515967758391[DRC], 0)</f>
        <v>0</v>
      </c>
      <c r="F119" s="29">
        <f>IF(C119-Table_14634578112172243515967758391[Egypt]&gt;0, C119-Table_14634578112172243515967758391[Egypt], 0)</f>
        <v>0</v>
      </c>
      <c r="G119" s="29">
        <f>IF(C119-Table_14634578112172243515967758391[Eritrea]&gt;0, C119-Table_14634578112172243515967758391[Eritrea], 0)</f>
        <v>0</v>
      </c>
      <c r="H119" s="29">
        <f>IF(C119-Table_14634578112172243515967758391[Ethiopia]&gt;0, C119-Table_14634578112172243515967758391[Ethiopia], 0)</f>
        <v>120.15330201721372</v>
      </c>
      <c r="I119" s="29">
        <f>IF(C119-Table_14634578112172243515967758391[Kenya]&gt;0, C119-Table_14634578112172243515967758391[Kenya], 0)</f>
        <v>12.840627202387401</v>
      </c>
      <c r="J119" s="29">
        <f>IF(C119-Table_14634578112172243515967758391[Rwanda]&gt;0, C119-Table_14634578112172243515967758391[Rwanda], 0)</f>
        <v>0</v>
      </c>
      <c r="K119" s="29">
        <f>IF(C119-Table_14634578112172243515967758391[Sudan]&gt;0, C119-Table_14634578112172243515967758391[Sudan], 0)</f>
        <v>0</v>
      </c>
      <c r="L119" s="29">
        <f>IF(C119-Table_14634578112172243515967758391[S. Sudan]&gt;0, C119-Table_14634578112172243515967758391[S. Sudan], 0)</f>
        <v>0</v>
      </c>
      <c r="M119" s="29">
        <f>IF(C119-Table_14634578112172243515967758391[Tanzania]&gt;0, C119-Table_14634578112172243515967758391[Tanzania], 0)</f>
        <v>23.34182182972944</v>
      </c>
      <c r="N119" s="29">
        <f>IF(C119-Table_14634578112172243515967758391[Uganda]&gt;0, C119-Table_14634578112172243515967758391[Uganda], 0)</f>
        <v>3.1148757114337329</v>
      </c>
      <c r="P119" s="21" t="s">
        <v>4</v>
      </c>
      <c r="Q119" s="97">
        <f t="shared" si="14"/>
        <v>5.2921936250116281E-4</v>
      </c>
      <c r="R119" s="97">
        <f t="shared" si="13"/>
        <v>5.2921936250116281E-4</v>
      </c>
      <c r="S119" s="97">
        <f t="shared" si="13"/>
        <v>5.2921936250116281E-4</v>
      </c>
      <c r="T119" s="97">
        <f t="shared" si="13"/>
        <v>5.2921936250116281E-4</v>
      </c>
      <c r="U119" s="97">
        <f t="shared" si="13"/>
        <v>5.2921936250116281E-4</v>
      </c>
      <c r="V119" s="97">
        <f t="shared" si="13"/>
        <v>5.2921936250116281E-4</v>
      </c>
      <c r="W119" s="97">
        <f t="shared" si="13"/>
        <v>5.2921936250116281E-4</v>
      </c>
      <c r="X119" s="97">
        <f t="shared" si="13"/>
        <v>5.2921936250116281E-4</v>
      </c>
      <c r="Y119" s="97">
        <f t="shared" si="13"/>
        <v>5.2921936250116281E-4</v>
      </c>
      <c r="Z119" s="97">
        <f t="shared" si="13"/>
        <v>5.2921936250116281E-4</v>
      </c>
      <c r="AA119" s="97">
        <f t="shared" si="13"/>
        <v>5.2921936250116281E-4</v>
      </c>
    </row>
    <row r="120" spans="2:31" ht="12.75" customHeight="1" x14ac:dyDescent="0.25">
      <c r="B120" s="21" t="s">
        <v>4</v>
      </c>
      <c r="C120" s="95">
        <f>Annual_sorted!H57</f>
        <v>-121.75171042151943</v>
      </c>
      <c r="D120" s="29">
        <f>IF(C120-Table_14634578112172243515967758391[Burundi]&gt;0, C120-Table_14634578112172243515967758391[Burundi], 0)</f>
        <v>0</v>
      </c>
      <c r="E120" s="29">
        <f>IF(C120-Table_14634578112172243515967758391[DRC]&gt;0, C120-Table_14634578112172243515967758391[DRC], 0)</f>
        <v>0</v>
      </c>
      <c r="F120" s="29">
        <f>IF(C120-Table_14634578112172243515967758391[Egypt]&gt;0, C120-Table_14634578112172243515967758391[Egypt], 0)</f>
        <v>0</v>
      </c>
      <c r="G120" s="29">
        <f>IF(C120-Table_14634578112172243515967758391[Eritrea]&gt;0, C120-Table_14634578112172243515967758391[Eritrea], 0)</f>
        <v>0</v>
      </c>
      <c r="H120" s="29">
        <f>IF(C120-Table_14634578112172243515967758391[Ethiopia]&gt;0, C120-Table_14634578112172243515967758391[Ethiopia], 0)</f>
        <v>0</v>
      </c>
      <c r="I120" s="29">
        <f>IF(C120-Table_14634578112172243515967758391[Kenya]&gt;0, C120-Table_14634578112172243515967758391[Kenya], 0)</f>
        <v>0</v>
      </c>
      <c r="J120" s="29">
        <f>IF(C120-Table_14634578112172243515967758391[Rwanda]&gt;0, C120-Table_14634578112172243515967758391[Rwanda], 0)</f>
        <v>0</v>
      </c>
      <c r="K120" s="29">
        <f>IF(C120-Table_14634578112172243515967758391[Sudan]&gt;0, C120-Table_14634578112172243515967758391[Sudan], 0)</f>
        <v>0</v>
      </c>
      <c r="L120" s="29">
        <f>IF(C120-Table_14634578112172243515967758391[S. Sudan]&gt;0, C120-Table_14634578112172243515967758391[S. Sudan], 0)</f>
        <v>0</v>
      </c>
      <c r="M120" s="29">
        <f>IF(C120-Table_14634578112172243515967758391[Tanzania]&gt;0, C120-Table_14634578112172243515967758391[Tanzania], 0)</f>
        <v>0</v>
      </c>
      <c r="N120" s="29">
        <f>IF(C120-Table_14634578112172243515967758391[Uganda]&gt;0, C120-Table_14634578112172243515967758391[Uganda], 0)</f>
        <v>0</v>
      </c>
      <c r="P120" s="21" t="s">
        <v>5</v>
      </c>
      <c r="Q120" s="97">
        <f t="shared" si="14"/>
        <v>5.2921936250116281E-4</v>
      </c>
      <c r="R120" s="97">
        <f t="shared" si="13"/>
        <v>5.2921936250116281E-4</v>
      </c>
      <c r="S120" s="97">
        <f t="shared" si="13"/>
        <v>5.2921936250116281E-4</v>
      </c>
      <c r="T120" s="97">
        <f t="shared" si="13"/>
        <v>5.2921936250116281E-4</v>
      </c>
      <c r="U120" s="97">
        <f t="shared" si="13"/>
        <v>0.23936317003966853</v>
      </c>
      <c r="V120" s="97">
        <f t="shared" si="13"/>
        <v>5.2921936250116281E-4</v>
      </c>
      <c r="W120" s="97">
        <f t="shared" si="13"/>
        <v>5.2921936250116281E-4</v>
      </c>
      <c r="X120" s="97">
        <f t="shared" si="13"/>
        <v>5.2921936250116281E-4</v>
      </c>
      <c r="Y120" s="97">
        <f t="shared" si="13"/>
        <v>5.2921936250116281E-4</v>
      </c>
      <c r="Z120" s="97">
        <f t="shared" si="13"/>
        <v>2.3900566726693717E-2</v>
      </c>
      <c r="AA120" s="97">
        <f t="shared" si="13"/>
        <v>5.2921936250116281E-4</v>
      </c>
    </row>
    <row r="121" spans="2:31" ht="12.75" customHeight="1" x14ac:dyDescent="0.25">
      <c r="B121" s="21" t="s">
        <v>5</v>
      </c>
      <c r="C121" s="95">
        <f>Annual_sorted!H58</f>
        <v>-14.439035606693112</v>
      </c>
      <c r="D121" s="29">
        <f>IF(C121-Table_14634578112172243515967758391[Burundi]&gt;0, C121-Table_14634578112172243515967758391[Burundi], 0)</f>
        <v>0</v>
      </c>
      <c r="E121" s="29">
        <f>IF(C121-Table_14634578112172243515967758391[DRC]&gt;0, C121-Table_14634578112172243515967758391[DRC], 0)</f>
        <v>0</v>
      </c>
      <c r="F121" s="29">
        <f>IF(C121-Table_14634578112172243515967758391[Egypt]&gt;0, C121-Table_14634578112172243515967758391[Egypt], 0)</f>
        <v>0</v>
      </c>
      <c r="G121" s="29">
        <f>IF(C121-Table_14634578112172243515967758391[Eritrea]&gt;0, C121-Table_14634578112172243515967758391[Eritrea], 0)</f>
        <v>0</v>
      </c>
      <c r="H121" s="29">
        <f>IF(C121-Table_14634578112172243515967758391[Ethiopia]&gt;0, C121-Table_14634578112172243515967758391[Ethiopia], 0)</f>
        <v>107.31267481482632</v>
      </c>
      <c r="I121" s="29">
        <f>IF(C121-Table_14634578112172243515967758391[Kenya]&gt;0, C121-Table_14634578112172243515967758391[Kenya], 0)</f>
        <v>0</v>
      </c>
      <c r="J121" s="29">
        <f>IF(C121-Table_14634578112172243515967758391[Rwanda]&gt;0, C121-Table_14634578112172243515967758391[Rwanda], 0)</f>
        <v>0</v>
      </c>
      <c r="K121" s="29">
        <f>IF(C121-Table_14634578112172243515967758391[Sudan]&gt;0, C121-Table_14634578112172243515967758391[Sudan], 0)</f>
        <v>0</v>
      </c>
      <c r="L121" s="29">
        <f>IF(C121-Table_14634578112172243515967758391[S. Sudan]&gt;0, C121-Table_14634578112172243515967758391[S. Sudan], 0)</f>
        <v>0</v>
      </c>
      <c r="M121" s="29">
        <f>IF(C121-Table_14634578112172243515967758391[Tanzania]&gt;0, C121-Table_14634578112172243515967758391[Tanzania], 0)</f>
        <v>10.50119462734204</v>
      </c>
      <c r="N121" s="29">
        <f>IF(C121-Table_14634578112172243515967758391[Uganda]&gt;0, C121-Table_14634578112172243515967758391[Uganda], 0)</f>
        <v>0</v>
      </c>
      <c r="P121" s="21" t="s">
        <v>6</v>
      </c>
      <c r="Q121" s="97">
        <f t="shared" si="14"/>
        <v>3.7227000768127296E-3</v>
      </c>
      <c r="R121" s="97">
        <f t="shared" si="13"/>
        <v>5.2921936250116281E-4</v>
      </c>
      <c r="S121" s="97">
        <f t="shared" si="13"/>
        <v>5.2921936250116281E-4</v>
      </c>
      <c r="T121" s="97">
        <f t="shared" si="13"/>
        <v>3.2519194393138924E-3</v>
      </c>
      <c r="U121" s="97">
        <f t="shared" si="13"/>
        <v>0.27066383380260478</v>
      </c>
      <c r="V121" s="97">
        <f t="shared" si="13"/>
        <v>3.1829883125437393E-2</v>
      </c>
      <c r="W121" s="97">
        <f t="shared" si="13"/>
        <v>5.2921936250116281E-4</v>
      </c>
      <c r="X121" s="97">
        <f t="shared" si="13"/>
        <v>5.2921936250116281E-4</v>
      </c>
      <c r="Y121" s="97">
        <f t="shared" si="13"/>
        <v>5.2921936250116281E-4</v>
      </c>
      <c r="Z121" s="97">
        <f t="shared" si="13"/>
        <v>5.5201230489629945E-2</v>
      </c>
      <c r="AA121" s="97">
        <f t="shared" si="13"/>
        <v>1.0184353779560978E-2</v>
      </c>
    </row>
    <row r="122" spans="2:31" ht="12.75" customHeight="1" x14ac:dyDescent="0.25">
      <c r="B122" s="21" t="s">
        <v>6</v>
      </c>
      <c r="C122" s="95">
        <f>Annual_sorted!H59</f>
        <v>-0.37504703908570591</v>
      </c>
      <c r="D122" s="29">
        <f>IF(C122-Table_14634578112172243515967758391[Burundi]&gt;0, C122-Table_14634578112172243515967758391[Burundi], 0)</f>
        <v>1.4348921351033814</v>
      </c>
      <c r="E122" s="29">
        <f>IF(C122-Table_14634578112172243515967758391[DRC]&gt;0, C122-Table_14634578112172243515967758391[DRC], 0)</f>
        <v>0</v>
      </c>
      <c r="F122" s="29">
        <f>IF(C122-Table_14634578112172243515967758391[Egypt]&gt;0, C122-Table_14634578112172243515967758391[Egypt], 0)</f>
        <v>0</v>
      </c>
      <c r="G122" s="29">
        <f>IF(C122-Table_14634578112172243515967758391[Eritrea]&gt;0, C122-Table_14634578112172243515967758391[Eritrea], 0)</f>
        <v>1.2233613652200059</v>
      </c>
      <c r="H122" s="29">
        <f>IF(C122-Table_14634578112172243515967758391[Ethiopia]&gt;0, C122-Table_14634578112172243515967758391[Ethiopia], 0)</f>
        <v>121.37666338243373</v>
      </c>
      <c r="I122" s="29">
        <f>IF(C122-Table_14634578112172243515967758391[Kenya]&gt;0, C122-Table_14634578112172243515967758391[Kenya], 0)</f>
        <v>14.063988567607407</v>
      </c>
      <c r="J122" s="29">
        <f>IF(C122-Table_14634578112172243515967758391[Rwanda]&gt;0, C122-Table_14634578112172243515967758391[Rwanda], 0)</f>
        <v>0</v>
      </c>
      <c r="K122" s="29">
        <f>IF(C122-Table_14634578112172243515967758391[Sudan]&gt;0, C122-Table_14634578112172243515967758391[Sudan], 0)</f>
        <v>0</v>
      </c>
      <c r="L122" s="29">
        <f>IF(C122-Table_14634578112172243515967758391[S. Sudan]&gt;0, C122-Table_14634578112172243515967758391[S. Sudan], 0)</f>
        <v>0</v>
      </c>
      <c r="M122" s="29">
        <f>IF(C122-Table_14634578112172243515967758391[Tanzania]&gt;0, C122-Table_14634578112172243515967758391[Tanzania], 0)</f>
        <v>24.565183194949444</v>
      </c>
      <c r="N122" s="29">
        <f>IF(C122-Table_14634578112172243515967758391[Uganda]&gt;0, C122-Table_14634578112172243515967758391[Uganda], 0)</f>
        <v>4.3382370766537388</v>
      </c>
      <c r="P122" s="21" t="s">
        <v>7</v>
      </c>
      <c r="Q122" s="97">
        <f t="shared" si="14"/>
        <v>0.67146828008364412</v>
      </c>
      <c r="R122" s="97">
        <f t="shared" si="13"/>
        <v>0.6573543827241245</v>
      </c>
      <c r="S122" s="97">
        <f t="shared" si="13"/>
        <v>5.2921936250116281E-4</v>
      </c>
      <c r="T122" s="97">
        <f t="shared" si="13"/>
        <v>0.67099749944614528</v>
      </c>
      <c r="U122" s="97">
        <f t="shared" si="13"/>
        <v>0.93840941380943621</v>
      </c>
      <c r="V122" s="97">
        <f t="shared" si="13"/>
        <v>0.69957546313226882</v>
      </c>
      <c r="W122" s="97">
        <f t="shared" si="13"/>
        <v>0.66827479936933265</v>
      </c>
      <c r="X122" s="97">
        <f t="shared" si="13"/>
        <v>5.2921936250116281E-4</v>
      </c>
      <c r="Y122" s="97">
        <f>$AE$115+(L123-$AE$113)*($AE$116-$AE$115)/($AE$114-$AE$113)</f>
        <v>0.64414149849642521</v>
      </c>
      <c r="Z122" s="97">
        <f t="shared" si="13"/>
        <v>0.72294681049646137</v>
      </c>
      <c r="AA122" s="97">
        <f t="shared" si="13"/>
        <v>0.67792993378639244</v>
      </c>
    </row>
    <row r="123" spans="2:31" ht="12.75" customHeight="1" x14ac:dyDescent="0.25">
      <c r="B123" s="21" t="s">
        <v>7</v>
      </c>
      <c r="C123" s="95">
        <f>Annual_sorted!H60</f>
        <v>299.65584925157799</v>
      </c>
      <c r="D123" s="29">
        <f>IF(C123-Table_14634578112172243515967758391[Burundi]&gt;0, C123-Table_14634578112172243515967758391[Burundi], 0)</f>
        <v>301.46578842576707</v>
      </c>
      <c r="E123" s="29">
        <f>IF(C123-Table_14634578112172243515967758391[DRC]&gt;0, C123-Table_14634578112172243515967758391[DRC], 0)</f>
        <v>295.12414364110549</v>
      </c>
      <c r="F123" s="29">
        <f>IF(C123-Table_14634578112172243515967758391[Egypt]&gt;0, C123-Table_14634578112172243515967758391[Egypt], 0)</f>
        <v>0</v>
      </c>
      <c r="G123" s="29">
        <f>IF(C123-Table_14634578112172243515967758391[Eritrea]&gt;0, C123-Table_14634578112172243515967758391[Eritrea], 0)</f>
        <v>301.25425765588369</v>
      </c>
      <c r="H123" s="29">
        <f>IF(C123-Table_14634578112172243515967758391[Ethiopia]&gt;0, C123-Table_14634578112172243515967758391[Ethiopia], 0)</f>
        <v>421.40755967309741</v>
      </c>
      <c r="I123" s="29">
        <f>IF(C123-Table_14634578112172243515967758391[Kenya]&gt;0, C123-Table_14634578112172243515967758391[Kenya], 0)</f>
        <v>314.09488485827109</v>
      </c>
      <c r="J123" s="29">
        <f>IF(C123-Table_14634578112172243515967758391[Rwanda]&gt;0, C123-Table_14634578112172243515967758391[Rwanda], 0)</f>
        <v>300.03089629066369</v>
      </c>
      <c r="K123" s="29">
        <f>IF(C123-Table_14634578112172243515967758391[Sudan]&gt;0, C123-Table_14634578112172243515967758391[Sudan], 0)</f>
        <v>0</v>
      </c>
      <c r="L123" s="29">
        <f>IF(C123-Table_14634578112172243515967758391[S. Sudan]&gt;0, C123-Table_14634578112172243515967758391[S. Sudan], 0)</f>
        <v>289.18734133777787</v>
      </c>
      <c r="M123" s="29">
        <f>IF(C123-Table_14634578112172243515967758391[Tanzania]&gt;0, C123-Table_14634578112172243515967758391[Tanzania], 0)</f>
        <v>324.59607948561313</v>
      </c>
      <c r="N123" s="29">
        <f>IF(C123-Table_14634578112172243515967758391[Uganda]&gt;0, C123-Table_14634578112172243515967758391[Uganda], 0)</f>
        <v>304.36913336731743</v>
      </c>
      <c r="P123" s="21" t="s">
        <v>8</v>
      </c>
      <c r="Q123" s="97">
        <f t="shared" si="14"/>
        <v>2.785600094972019E-2</v>
      </c>
      <c r="R123" s="97">
        <f t="shared" si="13"/>
        <v>1.3742103590200439E-2</v>
      </c>
      <c r="S123" s="97">
        <f t="shared" si="13"/>
        <v>5.2921936250116281E-4</v>
      </c>
      <c r="T123" s="97">
        <f t="shared" si="13"/>
        <v>2.7385220312221355E-2</v>
      </c>
      <c r="U123" s="97">
        <f t="shared" si="13"/>
        <v>0.29479713467551222</v>
      </c>
      <c r="V123" s="97">
        <f t="shared" si="13"/>
        <v>5.5963183998344858E-2</v>
      </c>
      <c r="W123" s="97">
        <f t="shared" si="13"/>
        <v>2.4662520235408623E-2</v>
      </c>
      <c r="X123" s="97">
        <f t="shared" si="13"/>
        <v>5.2921936250116281E-4</v>
      </c>
      <c r="Y123" s="97">
        <f t="shared" si="13"/>
        <v>5.2921936250116281E-4</v>
      </c>
      <c r="Z123" s="97">
        <f t="shared" si="13"/>
        <v>7.9334531362537403E-2</v>
      </c>
      <c r="AA123" s="97">
        <f t="shared" si="13"/>
        <v>3.4317654652468443E-2</v>
      </c>
    </row>
    <row r="124" spans="2:31" ht="12.75" customHeight="1" x14ac:dyDescent="0.25">
      <c r="B124" s="21" t="s">
        <v>8</v>
      </c>
      <c r="C124" s="95">
        <f>Annual_sorted!H61</f>
        <v>10.468507913800099</v>
      </c>
      <c r="D124" s="29">
        <f>IF(C124-Table_14634578112172243515967758391[Burundi]&gt;0, C124-Table_14634578112172243515967758391[Burundi], 0)</f>
        <v>12.278447087989187</v>
      </c>
      <c r="E124" s="29">
        <f>IF(C124-Table_14634578112172243515967758391[DRC]&gt;0, C124-Table_14634578112172243515967758391[DRC], 0)</f>
        <v>5.9368023033276094</v>
      </c>
      <c r="F124" s="29">
        <f>IF(C124-Table_14634578112172243515967758391[Egypt]&gt;0, C124-Table_14634578112172243515967758391[Egypt], 0)</f>
        <v>0</v>
      </c>
      <c r="G124" s="29">
        <f>IF(C124-Table_14634578112172243515967758391[Eritrea]&gt;0, C124-Table_14634578112172243515967758391[Eritrea], 0)</f>
        <v>12.066916318105811</v>
      </c>
      <c r="H124" s="29">
        <f>IF(C124-Table_14634578112172243515967758391[Ethiopia]&gt;0, C124-Table_14634578112172243515967758391[Ethiopia], 0)</f>
        <v>132.22021833531954</v>
      </c>
      <c r="I124" s="29">
        <f>IF(C124-Table_14634578112172243515967758391[Kenya]&gt;0, C124-Table_14634578112172243515967758391[Kenya], 0)</f>
        <v>24.907543520493213</v>
      </c>
      <c r="J124" s="29">
        <f>IF(C124-Table_14634578112172243515967758391[Rwanda]&gt;0, C124-Table_14634578112172243515967758391[Rwanda], 0)</f>
        <v>10.843554952885805</v>
      </c>
      <c r="K124" s="29">
        <f>IF(C124-Table_14634578112172243515967758391[Sudan]&gt;0, C124-Table_14634578112172243515967758391[Sudan], 0)</f>
        <v>0</v>
      </c>
      <c r="L124" s="29">
        <f>IF(C124-Table_14634578112172243515967758391[S. Sudan]&gt;0, C124-Table_14634578112172243515967758391[S. Sudan], 0)</f>
        <v>0</v>
      </c>
      <c r="M124" s="29">
        <f>IF(C124-Table_14634578112172243515967758391[Tanzania]&gt;0, C124-Table_14634578112172243515967758391[Tanzania], 0)</f>
        <v>35.408738147835251</v>
      </c>
      <c r="N124" s="29">
        <f>IF(C124-Table_14634578112172243515967758391[Uganda]&gt;0, C124-Table_14634578112172243515967758391[Uganda], 0)</f>
        <v>15.181792029539544</v>
      </c>
      <c r="P124" s="21" t="s">
        <v>9</v>
      </c>
      <c r="Q124" s="97">
        <f t="shared" si="14"/>
        <v>5.2921936250116281E-4</v>
      </c>
      <c r="R124" s="97">
        <f t="shared" si="13"/>
        <v>5.2921936250116281E-4</v>
      </c>
      <c r="S124" s="97">
        <f t="shared" si="13"/>
        <v>5.2921936250116281E-4</v>
      </c>
      <c r="T124" s="97">
        <f t="shared" si="13"/>
        <v>5.2921936250116281E-4</v>
      </c>
      <c r="U124" s="97">
        <f t="shared" si="13"/>
        <v>0.21599182267547601</v>
      </c>
      <c r="V124" s="97">
        <f t="shared" si="13"/>
        <v>5.2921936250116281E-4</v>
      </c>
      <c r="W124" s="97">
        <f t="shared" si="13"/>
        <v>5.2921936250116281E-4</v>
      </c>
      <c r="X124" s="97">
        <f t="shared" si="13"/>
        <v>5.2921936250116281E-4</v>
      </c>
      <c r="Y124" s="97">
        <f t="shared" si="13"/>
        <v>5.2921936250116281E-4</v>
      </c>
      <c r="Z124" s="97">
        <f t="shared" si="13"/>
        <v>5.2921936250116281E-4</v>
      </c>
      <c r="AA124" s="97">
        <f t="shared" si="13"/>
        <v>5.2921936250116281E-4</v>
      </c>
    </row>
    <row r="125" spans="2:31" ht="12.75" customHeight="1" thickBot="1" x14ac:dyDescent="0.3">
      <c r="B125" s="21" t="s">
        <v>9</v>
      </c>
      <c r="C125" s="95">
        <f>Annual_sorted!H62</f>
        <v>-24.940230234035152</v>
      </c>
      <c r="D125" s="29">
        <f>IF(C125-Table_14634578112172243515967758391[Burundi]&gt;0, C125-Table_14634578112172243515967758391[Burundi], 0)</f>
        <v>0</v>
      </c>
      <c r="E125" s="29">
        <f>IF(C125-Table_14634578112172243515967758391[DRC]&gt;0, C125-Table_14634578112172243515967758391[DRC], 0)</f>
        <v>0</v>
      </c>
      <c r="F125" s="29">
        <f>IF(C125-Table_14634578112172243515967758391[Egypt]&gt;0, C125-Table_14634578112172243515967758391[Egypt], 0)</f>
        <v>0</v>
      </c>
      <c r="G125" s="29">
        <f>IF(C125-Table_14634578112172243515967758391[Eritrea]&gt;0, C125-Table_14634578112172243515967758391[Eritrea], 0)</f>
        <v>0</v>
      </c>
      <c r="H125" s="29">
        <f>IF(C125-Table_14634578112172243515967758391[Ethiopia]&gt;0, C125-Table_14634578112172243515967758391[Ethiopia], 0)</f>
        <v>96.811480187484278</v>
      </c>
      <c r="I125" s="29">
        <f>IF(C125-Table_14634578112172243515967758391[Kenya]&gt;0, C125-Table_14634578112172243515967758391[Kenya], 0)</f>
        <v>0</v>
      </c>
      <c r="J125" s="29">
        <f>IF(C125-Table_14634578112172243515967758391[Rwanda]&gt;0, C125-Table_14634578112172243515967758391[Rwanda], 0)</f>
        <v>0</v>
      </c>
      <c r="K125" s="29">
        <f>IF(C125-Table_14634578112172243515967758391[Sudan]&gt;0, C125-Table_14634578112172243515967758391[Sudan], 0)</f>
        <v>0</v>
      </c>
      <c r="L125" s="29">
        <f>IF(C125-Table_14634578112172243515967758391[S. Sudan]&gt;0, C125-Table_14634578112172243515967758391[S. Sudan], 0)</f>
        <v>0</v>
      </c>
      <c r="M125" s="29">
        <f>IF(C125-Table_14634578112172243515967758391[Tanzania]&gt;0, C125-Table_14634578112172243515967758391[Tanzania], 0)</f>
        <v>0</v>
      </c>
      <c r="N125" s="29">
        <f>IF(C125-Table_14634578112172243515967758391[Uganda]&gt;0, C125-Table_14634578112172243515967758391[Uganda], 0)</f>
        <v>0</v>
      </c>
      <c r="P125" s="22" t="s">
        <v>10</v>
      </c>
      <c r="Q125" s="98">
        <f t="shared" si="14"/>
        <v>5.2921936250116281E-4</v>
      </c>
      <c r="R125" s="98">
        <f t="shared" si="13"/>
        <v>5.2921936250116281E-4</v>
      </c>
      <c r="S125" s="98">
        <f t="shared" si="13"/>
        <v>5.2921936250116281E-4</v>
      </c>
      <c r="T125" s="98">
        <f t="shared" si="13"/>
        <v>5.2921936250116281E-4</v>
      </c>
      <c r="U125" s="98">
        <f t="shared" si="13"/>
        <v>0.261008699385545</v>
      </c>
      <c r="V125" s="98">
        <f t="shared" si="13"/>
        <v>2.2174748708377569E-2</v>
      </c>
      <c r="W125" s="98">
        <f t="shared" si="13"/>
        <v>5.2921936250116281E-4</v>
      </c>
      <c r="X125" s="98">
        <f t="shared" si="13"/>
        <v>5.2921936250116281E-4</v>
      </c>
      <c r="Y125" s="98">
        <f t="shared" si="13"/>
        <v>5.2921936250116281E-4</v>
      </c>
      <c r="Z125" s="98">
        <f t="shared" si="13"/>
        <v>4.5546096072570139E-2</v>
      </c>
      <c r="AA125" s="98">
        <f t="shared" si="13"/>
        <v>5.2921936250116281E-4</v>
      </c>
    </row>
    <row r="126" spans="2:31" ht="12.75" customHeight="1" thickBot="1" x14ac:dyDescent="0.3">
      <c r="B126" s="22" t="s">
        <v>10</v>
      </c>
      <c r="C126" s="96">
        <f>Annual_sorted!H63</f>
        <v>-4.7132841157394445</v>
      </c>
      <c r="D126" s="32">
        <f>IF(C126-Table_14634578112172243515967758391[Burundi]&gt;0, C126-Table_14634578112172243515967758391[Burundi], 0)</f>
        <v>0</v>
      </c>
      <c r="E126" s="32">
        <f>IF(C126-Table_14634578112172243515967758391[DRC]&gt;0, C126-Table_14634578112172243515967758391[DRC], 0)</f>
        <v>0</v>
      </c>
      <c r="F126" s="32">
        <f>IF(C126-Table_14634578112172243515967758391[Egypt]&gt;0, C126-Table_14634578112172243515967758391[Egypt], 0)</f>
        <v>0</v>
      </c>
      <c r="G126" s="32">
        <f>IF(C126-Table_14634578112172243515967758391[Eritrea]&gt;0, C126-Table_14634578112172243515967758391[Eritrea], 0)</f>
        <v>0</v>
      </c>
      <c r="H126" s="32">
        <f>IF(C126-Table_14634578112172243515967758391[Ethiopia]&gt;0, C126-Table_14634578112172243515967758391[Ethiopia], 0)</f>
        <v>117.03842630577999</v>
      </c>
      <c r="I126" s="32">
        <f>IF(C126-Table_14634578112172243515967758391[Kenya]&gt;0, C126-Table_14634578112172243515967758391[Kenya], 0)</f>
        <v>9.7257514909536678</v>
      </c>
      <c r="J126" s="32">
        <f>IF(C126-Table_14634578112172243515967758391[Rwanda]&gt;0, C126-Table_14634578112172243515967758391[Rwanda], 0)</f>
        <v>0</v>
      </c>
      <c r="K126" s="32">
        <f>IF(C126-Table_14634578112172243515967758391[Sudan]&gt;0, C126-Table_14634578112172243515967758391[Sudan], 0)</f>
        <v>0</v>
      </c>
      <c r="L126" s="32">
        <f>IF(C126-Table_14634578112172243515967758391[S. Sudan]&gt;0, C126-Table_14634578112172243515967758391[S. Sudan], 0)</f>
        <v>0</v>
      </c>
      <c r="M126" s="32">
        <f>IF(C126-Table_14634578112172243515967758391[Tanzania]&gt;0, C126-Table_14634578112172243515967758391[Tanzania], 0)</f>
        <v>20.226946118295707</v>
      </c>
      <c r="N126" s="32">
        <f>IF(C126-Table_14634578112172243515967758391[Uganda]&gt;0, C126-Table_14634578112172243515967758391[Uganda], 0)</f>
        <v>0</v>
      </c>
      <c r="Z126" s="186"/>
    </row>
    <row r="127" spans="2:31" ht="12.75" customHeight="1" x14ac:dyDescent="0.25"/>
    <row r="128" spans="2:31" ht="12.75" customHeight="1" x14ac:dyDescent="0.25"/>
    <row r="129" spans="2:31" ht="12.75" customHeight="1" x14ac:dyDescent="0.25">
      <c r="P129" s="5"/>
      <c r="Q129" s="5"/>
      <c r="R129" s="5"/>
      <c r="S129" s="5"/>
      <c r="T129" s="5"/>
      <c r="U129" s="5"/>
      <c r="V129" s="5"/>
      <c r="W129" s="5"/>
      <c r="X129" s="5"/>
      <c r="Y129" s="5"/>
      <c r="Z129" s="5"/>
      <c r="AA129" s="5"/>
    </row>
    <row r="130" spans="2:31" ht="12.75" customHeight="1" x14ac:dyDescent="0.25">
      <c r="B130" s="5"/>
      <c r="C130" s="5"/>
      <c r="D130" s="5"/>
      <c r="E130" s="5"/>
      <c r="F130" s="5"/>
      <c r="G130" s="5"/>
      <c r="H130" s="5"/>
      <c r="I130" s="5"/>
      <c r="J130" s="5"/>
      <c r="K130" s="5"/>
      <c r="L130" s="5"/>
      <c r="M130" s="5"/>
      <c r="N130" s="5"/>
      <c r="P130" s="5"/>
      <c r="Q130" s="5"/>
      <c r="R130" s="5"/>
      <c r="S130" s="5"/>
      <c r="T130" s="5"/>
      <c r="U130" s="5"/>
      <c r="V130" s="5"/>
      <c r="W130" s="5"/>
      <c r="X130" s="5"/>
      <c r="Y130" s="5"/>
      <c r="Z130" s="5"/>
      <c r="AA130" s="5"/>
    </row>
    <row r="131" spans="2:31" ht="12.75" customHeight="1" thickBot="1" x14ac:dyDescent="0.3">
      <c r="B131" s="253" t="s">
        <v>89</v>
      </c>
      <c r="C131" s="253"/>
      <c r="D131" s="253"/>
      <c r="E131" s="253"/>
      <c r="F131" s="253"/>
      <c r="G131" s="253"/>
      <c r="H131" s="253"/>
      <c r="I131" s="253"/>
      <c r="J131" s="253"/>
      <c r="K131" s="253"/>
      <c r="L131" s="253"/>
      <c r="M131" s="253"/>
      <c r="N131" s="253"/>
      <c r="P131" s="253" t="s">
        <v>90</v>
      </c>
      <c r="Q131" s="253"/>
      <c r="R131" s="253"/>
      <c r="S131" s="253"/>
      <c r="T131" s="253"/>
      <c r="U131" s="253"/>
      <c r="V131" s="253"/>
      <c r="W131" s="253"/>
      <c r="X131" s="253"/>
      <c r="Y131" s="253"/>
      <c r="Z131" s="253"/>
      <c r="AA131" s="253"/>
      <c r="AB131" s="10"/>
      <c r="AC131" s="3" t="s">
        <v>22</v>
      </c>
      <c r="AD131" s="13" t="s">
        <v>23</v>
      </c>
      <c r="AE131" s="74">
        <f t="array" ref="AE131">MIN(IF(D134:N144&gt;0,D134:N144))</f>
        <v>0.21153076988337549</v>
      </c>
    </row>
    <row r="132" spans="2:31" ht="12.75" customHeight="1" thickBot="1" x14ac:dyDescent="0.3">
      <c r="B132" s="75" t="s">
        <v>13</v>
      </c>
      <c r="C132" s="66" t="s">
        <v>14</v>
      </c>
      <c r="D132" s="67" t="s">
        <v>1</v>
      </c>
      <c r="E132" s="67" t="s">
        <v>195</v>
      </c>
      <c r="F132" s="67" t="s">
        <v>2</v>
      </c>
      <c r="G132" s="67" t="s">
        <v>3</v>
      </c>
      <c r="H132" s="67" t="s">
        <v>4</v>
      </c>
      <c r="I132" s="67" t="s">
        <v>5</v>
      </c>
      <c r="J132" s="67" t="s">
        <v>6</v>
      </c>
      <c r="K132" s="67" t="s">
        <v>7</v>
      </c>
      <c r="L132" s="67" t="s">
        <v>295</v>
      </c>
      <c r="M132" s="67" t="s">
        <v>9</v>
      </c>
      <c r="N132" s="67" t="s">
        <v>10</v>
      </c>
      <c r="P132" s="76" t="s">
        <v>19</v>
      </c>
      <c r="Q132" s="77" t="s">
        <v>1</v>
      </c>
      <c r="R132" s="77" t="s">
        <v>195</v>
      </c>
      <c r="S132" s="77" t="s">
        <v>2</v>
      </c>
      <c r="T132" s="77" t="s">
        <v>3</v>
      </c>
      <c r="U132" s="77" t="s">
        <v>4</v>
      </c>
      <c r="V132" s="77" t="s">
        <v>5</v>
      </c>
      <c r="W132" s="77" t="s">
        <v>6</v>
      </c>
      <c r="X132" s="77" t="s">
        <v>7</v>
      </c>
      <c r="Y132" s="77" t="s">
        <v>295</v>
      </c>
      <c r="Z132" s="77" t="s">
        <v>9</v>
      </c>
      <c r="AA132" s="77" t="s">
        <v>10</v>
      </c>
      <c r="AB132" s="254" t="s">
        <v>26</v>
      </c>
      <c r="AC132" s="254"/>
      <c r="AD132" s="13" t="s">
        <v>24</v>
      </c>
      <c r="AE132" s="20">
        <f>MAX(D134:N144)</f>
        <v>392.58139134059144</v>
      </c>
    </row>
    <row r="133" spans="2:31" ht="12.75" customHeight="1" x14ac:dyDescent="0.25">
      <c r="B133" s="93"/>
      <c r="C133" s="94" t="s">
        <v>264</v>
      </c>
      <c r="D133" s="95">
        <f>C134</f>
        <v>-1.8099391741890873</v>
      </c>
      <c r="E133" s="95">
        <f>C135</f>
        <v>4.53170561047249</v>
      </c>
      <c r="F133" s="95">
        <f>C136</f>
        <v>270.82968091907202</v>
      </c>
      <c r="G133" s="95">
        <f>C137</f>
        <v>-1.5984084043057118</v>
      </c>
      <c r="H133" s="95">
        <f>C138</f>
        <v>-121.75171042151943</v>
      </c>
      <c r="I133" s="95">
        <f>C139</f>
        <v>-14.439035606693112</v>
      </c>
      <c r="J133" s="95">
        <f>C140</f>
        <v>-4.1750470390857064</v>
      </c>
      <c r="K133" s="95">
        <f>C141</f>
        <v>265.85584925157798</v>
      </c>
      <c r="L133" s="95">
        <f>C142</f>
        <v>-13.031492086199901</v>
      </c>
      <c r="M133" s="95">
        <f>C143</f>
        <v>-24.940230234035152</v>
      </c>
      <c r="N133" s="95">
        <f>C144</f>
        <v>-25.813284115739442</v>
      </c>
      <c r="P133" s="21" t="s">
        <v>1</v>
      </c>
      <c r="Q133" s="97">
        <f>$AE$133+(D134-$AE$131)*($AE$134-$AE$133)/($AE$132-$AE$131)</f>
        <v>4.6142846240502524E-4</v>
      </c>
      <c r="R133" s="97">
        <f t="shared" ref="R133:AA143" si="15">$AE$133+(E134-$AE$131)*($AE$134-$AE$133)/($AE$132-$AE$131)</f>
        <v>4.6142846240502524E-4</v>
      </c>
      <c r="S133" s="97">
        <f t="shared" si="15"/>
        <v>4.6142846240502524E-4</v>
      </c>
      <c r="T133" s="97">
        <f t="shared" si="15"/>
        <v>4.6142846240502524E-4</v>
      </c>
      <c r="U133" s="97">
        <f t="shared" si="15"/>
        <v>0.30584122828138272</v>
      </c>
      <c r="V133" s="97">
        <f t="shared" si="15"/>
        <v>3.2615955616250823E-2</v>
      </c>
      <c r="W133" s="97">
        <f t="shared" si="15"/>
        <v>6.4831518271789568E-3</v>
      </c>
      <c r="X133" s="97">
        <f t="shared" si="15"/>
        <v>4.6142846240502524E-4</v>
      </c>
      <c r="Y133" s="97">
        <f t="shared" si="15"/>
        <v>2.9032255341903877E-2</v>
      </c>
      <c r="Z133" s="97">
        <f t="shared" si="15"/>
        <v>5.9352701954146971E-2</v>
      </c>
      <c r="AA133" s="97">
        <f t="shared" si="15"/>
        <v>6.1575555734388873E-2</v>
      </c>
      <c r="AD133" s="3" t="s">
        <v>25</v>
      </c>
      <c r="AE133" s="2">
        <v>1E-3</v>
      </c>
    </row>
    <row r="134" spans="2:31" ht="12.75" customHeight="1" x14ac:dyDescent="0.25">
      <c r="B134" s="21" t="s">
        <v>1</v>
      </c>
      <c r="C134" s="95">
        <f>Annual_sorted!I53</f>
        <v>-1.8099391741890873</v>
      </c>
      <c r="D134" s="29">
        <f>IF(C134-Table_146345781129182142505866748290[Burundi]&gt;0, C134-Table_146345781129182142505866748290[Burundi], 0)</f>
        <v>0</v>
      </c>
      <c r="E134" s="29">
        <f>IF(C134-Table_146345781129182142505866748290[DRC]&gt;0, C134-Table_146345781129182142505866748290[DRC], 0)</f>
        <v>0</v>
      </c>
      <c r="F134" s="29">
        <f>IF(C134-Table_146345781129182142505866748290[Egypt]&gt;0, C134-Table_146345781129182142505866748290[Egypt], 0)</f>
        <v>0</v>
      </c>
      <c r="G134" s="29">
        <f>IF(C134-Table_146345781129182142505866748290[Eritrea]&gt;0, C134-Table_146345781129182142505866748290[Eritrea], 0)</f>
        <v>0</v>
      </c>
      <c r="H134" s="29">
        <f>IF(C134-Table_146345781129182142505866748290[Ethiopia]&gt;0, C134-Table_146345781129182142505866748290[Ethiopia], 0)</f>
        <v>119.94177124733035</v>
      </c>
      <c r="I134" s="29">
        <f>IF(C134-Table_146345781129182142505866748290[Kenya]&gt;0, C134-Table_146345781129182142505866748290[Kenya], 0)</f>
        <v>12.629096432504024</v>
      </c>
      <c r="J134" s="29">
        <f>IF(C134-Table_146345781129182142505866748290[Rwanda]&gt;0, C134-Table_146345781129182142505866748290[Rwanda], 0)</f>
        <v>2.3651078648966193</v>
      </c>
      <c r="K134" s="29">
        <f>IF(C134-Table_146345781129182142505866748290[Sudan]&gt;0, C134-Table_146345781129182142505866748290[Sudan], 0)</f>
        <v>0</v>
      </c>
      <c r="L134" s="29">
        <f>IF(C134-Table_146345781129182142505866748290[S. Sudan]&gt;0, C134-Table_146345781129182142505866748290[S. Sudan], 0)</f>
        <v>11.221552912010813</v>
      </c>
      <c r="M134" s="29">
        <f>IF(C134-Table_146345781129182142505866748290[Tanzania]&gt;0, C134-Table_146345781129182142505866748290[Tanzania], 0)</f>
        <v>23.130291059846066</v>
      </c>
      <c r="N134" s="29">
        <f>IF(C134-Table_146345781129182142505866748290[Uganda]&gt;0, C134-Table_146345781129182142505866748290[Uganda], 0)</f>
        <v>24.003344941550356</v>
      </c>
      <c r="P134" s="21" t="s">
        <v>195</v>
      </c>
      <c r="Q134" s="97">
        <f t="shared" ref="Q134:Q143" si="16">$AE$133+(D135-$AE$131)*($AE$134-$AE$133)/($AE$132-$AE$131)</f>
        <v>1.6607681721159707E-2</v>
      </c>
      <c r="R134" s="97">
        <f t="shared" si="15"/>
        <v>4.6142846240502524E-4</v>
      </c>
      <c r="S134" s="97">
        <f t="shared" si="15"/>
        <v>4.6142846240502524E-4</v>
      </c>
      <c r="T134" s="97">
        <f t="shared" si="15"/>
        <v>1.6069110183564734E-2</v>
      </c>
      <c r="U134" s="97">
        <f t="shared" si="15"/>
        <v>0.3219874815401374</v>
      </c>
      <c r="V134" s="97">
        <f t="shared" si="15"/>
        <v>4.8762208875005507E-2</v>
      </c>
      <c r="W134" s="97">
        <f t="shared" si="15"/>
        <v>2.2629405085933644E-2</v>
      </c>
      <c r="X134" s="97">
        <f t="shared" si="15"/>
        <v>4.6142846240502524E-4</v>
      </c>
      <c r="Y134" s="97">
        <f t="shared" si="15"/>
        <v>4.5178508600658564E-2</v>
      </c>
      <c r="Z134" s="97">
        <f t="shared" si="15"/>
        <v>7.5498955212901647E-2</v>
      </c>
      <c r="AA134" s="97">
        <f t="shared" si="15"/>
        <v>7.7721808993143543E-2</v>
      </c>
      <c r="AD134" s="3" t="s">
        <v>70</v>
      </c>
      <c r="AE134" s="2">
        <v>1</v>
      </c>
    </row>
    <row r="135" spans="2:31" ht="12.75" customHeight="1" x14ac:dyDescent="0.25">
      <c r="B135" s="21" t="s">
        <v>195</v>
      </c>
      <c r="C135" s="95">
        <f>Annual_sorted!I54</f>
        <v>4.53170561047249</v>
      </c>
      <c r="D135" s="29">
        <f>IF(C135-Table_146345781129182142505866748290[Burundi]&gt;0, C135-Table_146345781129182142505866748290[Burundi], 0)</f>
        <v>6.3416447846615771</v>
      </c>
      <c r="E135" s="29">
        <f>IF(C135-Table_146345781129182142505866748290[DRC]&gt;0, C135-Table_146345781129182142505866748290[DRC], 0)</f>
        <v>0</v>
      </c>
      <c r="F135" s="29">
        <f>IF(C135-Table_146345781129182142505866748290[Egypt]&gt;0, C135-Table_146345781129182142505866748290[Egypt], 0)</f>
        <v>0</v>
      </c>
      <c r="G135" s="29">
        <f>IF(C135-Table_146345781129182142505866748290[Eritrea]&gt;0, C135-Table_146345781129182142505866748290[Eritrea], 0)</f>
        <v>6.1301140147782016</v>
      </c>
      <c r="H135" s="29">
        <f>IF(C135-Table_146345781129182142505866748290[Ethiopia]&gt;0, C135-Table_146345781129182142505866748290[Ethiopia], 0)</f>
        <v>126.28341603199192</v>
      </c>
      <c r="I135" s="29">
        <f>IF(C135-Table_146345781129182142505866748290[Kenya]&gt;0, C135-Table_146345781129182142505866748290[Kenya], 0)</f>
        <v>18.970741217165603</v>
      </c>
      <c r="J135" s="29">
        <f>IF(C135-Table_146345781129182142505866748290[Rwanda]&gt;0, C135-Table_146345781129182142505866748290[Rwanda], 0)</f>
        <v>8.7067526495581973</v>
      </c>
      <c r="K135" s="29">
        <f>IF(C135-Table_146345781129182142505866748290[Sudan]&gt;0, C135-Table_146345781129182142505866748290[Sudan], 0)</f>
        <v>0</v>
      </c>
      <c r="L135" s="29">
        <f>IF(C135-Table_146345781129182142505866748290[S. Sudan]&gt;0, C135-Table_146345781129182142505866748290[S. Sudan], 0)</f>
        <v>17.56319769667239</v>
      </c>
      <c r="M135" s="29">
        <f>IF(C135-Table_146345781129182142505866748290[Tanzania]&gt;0, C135-Table_146345781129182142505866748290[Tanzania], 0)</f>
        <v>29.471935844507641</v>
      </c>
      <c r="N135" s="29">
        <f>IF(C135-Table_146345781129182142505866748290[Uganda]&gt;0, C135-Table_146345781129182142505866748290[Uganda], 0)</f>
        <v>30.344989726211931</v>
      </c>
      <c r="P135" s="21" t="s">
        <v>2</v>
      </c>
      <c r="Q135" s="97">
        <f t="shared" si="16"/>
        <v>0.69462020018102233</v>
      </c>
      <c r="R135" s="97">
        <f t="shared" si="15"/>
        <v>0.6784739469222677</v>
      </c>
      <c r="S135" s="97">
        <f t="shared" si="15"/>
        <v>4.6142846240502524E-4</v>
      </c>
      <c r="T135" s="97">
        <f t="shared" si="15"/>
        <v>0.69408162864342726</v>
      </c>
      <c r="U135" s="97">
        <f t="shared" si="15"/>
        <v>1</v>
      </c>
      <c r="V135" s="97">
        <f t="shared" si="15"/>
        <v>0.72677472733486814</v>
      </c>
      <c r="W135" s="97">
        <f t="shared" si="15"/>
        <v>0.70064192354579624</v>
      </c>
      <c r="X135" s="97">
        <f t="shared" si="15"/>
        <v>1.3125137720295693E-2</v>
      </c>
      <c r="Y135" s="97">
        <f t="shared" si="15"/>
        <v>0.72319102706052107</v>
      </c>
      <c r="Z135" s="97">
        <f t="shared" si="15"/>
        <v>0.75351147367276428</v>
      </c>
      <c r="AA135" s="97">
        <f t="shared" si="15"/>
        <v>0.75573432745300617</v>
      </c>
    </row>
    <row r="136" spans="2:31" ht="12.75" customHeight="1" x14ac:dyDescent="0.25">
      <c r="B136" s="21" t="s">
        <v>2</v>
      </c>
      <c r="C136" s="95">
        <f>Annual_sorted!I55</f>
        <v>270.82968091907202</v>
      </c>
      <c r="D136" s="29">
        <f>IF(C136-Table_146345781129182142505866748290[Burundi]&gt;0, C136-Table_146345781129182142505866748290[Burundi], 0)</f>
        <v>272.6396200932611</v>
      </c>
      <c r="E136" s="29">
        <f>IF(C136-Table_146345781129182142505866748290[DRC]&gt;0, C136-Table_146345781129182142505866748290[DRC], 0)</f>
        <v>266.29797530859952</v>
      </c>
      <c r="F136" s="29">
        <f>IF(C136-Table_146345781129182142505866748290[Egypt]&gt;0, C136-Table_146345781129182142505866748290[Egypt], 0)</f>
        <v>0</v>
      </c>
      <c r="G136" s="29">
        <f>IF(C136-Table_146345781129182142505866748290[Eritrea]&gt;0, C136-Table_146345781129182142505866748290[Eritrea], 0)</f>
        <v>272.42808932337772</v>
      </c>
      <c r="H136" s="29">
        <f>IF(C136-Table_146345781129182142505866748290[Ethiopia]&gt;0, C136-Table_146345781129182142505866748290[Ethiopia], 0)</f>
        <v>392.58139134059144</v>
      </c>
      <c r="I136" s="29">
        <f>IF(C136-Table_146345781129182142505866748290[Kenya]&gt;0, C136-Table_146345781129182142505866748290[Kenya], 0)</f>
        <v>285.26871652576511</v>
      </c>
      <c r="J136" s="29">
        <f>IF(C136-Table_146345781129182142505866748290[Rwanda]&gt;0, C136-Table_146345781129182142505866748290[Rwanda], 0)</f>
        <v>275.00472795815773</v>
      </c>
      <c r="K136" s="29">
        <f>IF(C136-Table_146345781129182142505866748290[Sudan]&gt;0, C136-Table_146345781129182142505866748290[Sudan], 0)</f>
        <v>4.9738316674940393</v>
      </c>
      <c r="L136" s="29">
        <f>IF(C136-Table_146345781129182142505866748290[S. Sudan]&gt;0, C136-Table_146345781129182142505866748290[S. Sudan], 0)</f>
        <v>283.86117300527189</v>
      </c>
      <c r="M136" s="29">
        <f>IF(C136-Table_146345781129182142505866748290[Tanzania]&gt;0, C136-Table_146345781129182142505866748290[Tanzania], 0)</f>
        <v>295.76991115310716</v>
      </c>
      <c r="N136" s="29">
        <f>IF(C136-Table_146345781129182142505866748290[Uganda]&gt;0, C136-Table_146345781129182142505866748290[Uganda], 0)</f>
        <v>296.64296503481148</v>
      </c>
      <c r="P136" s="21" t="s">
        <v>3</v>
      </c>
      <c r="Q136" s="97">
        <f t="shared" si="16"/>
        <v>1E-3</v>
      </c>
      <c r="R136" s="97">
        <f t="shared" si="15"/>
        <v>4.6142846240502524E-4</v>
      </c>
      <c r="S136" s="97">
        <f t="shared" si="15"/>
        <v>4.6142846240502524E-4</v>
      </c>
      <c r="T136" s="97">
        <f t="shared" si="15"/>
        <v>4.6142846240502524E-4</v>
      </c>
      <c r="U136" s="97">
        <f t="shared" si="15"/>
        <v>0.30637979981897767</v>
      </c>
      <c r="V136" s="97">
        <f t="shared" si="15"/>
        <v>3.3154527153845793E-2</v>
      </c>
      <c r="W136" s="97">
        <f t="shared" si="15"/>
        <v>7.0217233647739321E-3</v>
      </c>
      <c r="X136" s="97">
        <f t="shared" si="15"/>
        <v>4.6142846240502524E-4</v>
      </c>
      <c r="Y136" s="97">
        <f t="shared" si="15"/>
        <v>2.9570826879498857E-2</v>
      </c>
      <c r="Z136" s="97">
        <f t="shared" si="15"/>
        <v>5.9891273491741941E-2</v>
      </c>
      <c r="AA136" s="97">
        <f t="shared" si="15"/>
        <v>6.2114127271983836E-2</v>
      </c>
    </row>
    <row r="137" spans="2:31" ht="12.75" customHeight="1" x14ac:dyDescent="0.25">
      <c r="B137" s="21" t="s">
        <v>3</v>
      </c>
      <c r="C137" s="95">
        <f>Annual_sorted!I56</f>
        <v>-1.5984084043057118</v>
      </c>
      <c r="D137" s="29">
        <f>IF(C137-Table_146345781129182142505866748290[Burundi]&gt;0, C137-Table_146345781129182142505866748290[Burundi], 0)</f>
        <v>0.21153076988337549</v>
      </c>
      <c r="E137" s="29">
        <f>IF(C137-Table_146345781129182142505866748290[DRC]&gt;0, C137-Table_146345781129182142505866748290[DRC], 0)</f>
        <v>0</v>
      </c>
      <c r="F137" s="29">
        <f>IF(C137-Table_146345781129182142505866748290[Egypt]&gt;0, C137-Table_146345781129182142505866748290[Egypt], 0)</f>
        <v>0</v>
      </c>
      <c r="G137" s="29">
        <f>IF(C137-Table_146345781129182142505866748290[Eritrea]&gt;0, C137-Table_146345781129182142505866748290[Eritrea], 0)</f>
        <v>0</v>
      </c>
      <c r="H137" s="29">
        <f>IF(C137-Table_146345781129182142505866748290[Ethiopia]&gt;0, C137-Table_146345781129182142505866748290[Ethiopia], 0)</f>
        <v>120.15330201721372</v>
      </c>
      <c r="I137" s="29">
        <f>IF(C137-Table_146345781129182142505866748290[Kenya]&gt;0, C137-Table_146345781129182142505866748290[Kenya], 0)</f>
        <v>12.840627202387401</v>
      </c>
      <c r="J137" s="29">
        <f>IF(C137-Table_146345781129182142505866748290[Rwanda]&gt;0, C137-Table_146345781129182142505866748290[Rwanda], 0)</f>
        <v>2.5766386347799948</v>
      </c>
      <c r="K137" s="29">
        <f>IF(C137-Table_146345781129182142505866748290[Sudan]&gt;0, C137-Table_146345781129182142505866748290[Sudan], 0)</f>
        <v>0</v>
      </c>
      <c r="L137" s="29">
        <f>IF(C137-Table_146345781129182142505866748290[S. Sudan]&gt;0, C137-Table_146345781129182142505866748290[S. Sudan], 0)</f>
        <v>11.433083681894189</v>
      </c>
      <c r="M137" s="29">
        <f>IF(C137-Table_146345781129182142505866748290[Tanzania]&gt;0, C137-Table_146345781129182142505866748290[Tanzania], 0)</f>
        <v>23.34182182972944</v>
      </c>
      <c r="N137" s="29">
        <f>IF(C137-Table_146345781129182142505866748290[Uganda]&gt;0, C137-Table_146345781129182142505866748290[Uganda], 0)</f>
        <v>24.214875711433731</v>
      </c>
      <c r="P137" s="21" t="s">
        <v>4</v>
      </c>
      <c r="Q137" s="97">
        <f t="shared" si="16"/>
        <v>4.6142846240502524E-4</v>
      </c>
      <c r="R137" s="97">
        <f t="shared" si="15"/>
        <v>4.6142846240502524E-4</v>
      </c>
      <c r="S137" s="97">
        <f t="shared" si="15"/>
        <v>4.6142846240502524E-4</v>
      </c>
      <c r="T137" s="97">
        <f t="shared" si="15"/>
        <v>4.6142846240502524E-4</v>
      </c>
      <c r="U137" s="97">
        <f t="shared" si="15"/>
        <v>4.6142846240502524E-4</v>
      </c>
      <c r="V137" s="97">
        <f t="shared" si="15"/>
        <v>4.6142846240502524E-4</v>
      </c>
      <c r="W137" s="97">
        <f t="shared" si="15"/>
        <v>4.6142846240502524E-4</v>
      </c>
      <c r="X137" s="97">
        <f t="shared" si="15"/>
        <v>4.6142846240502524E-4</v>
      </c>
      <c r="Y137" s="97">
        <f t="shared" si="15"/>
        <v>4.6142846240502524E-4</v>
      </c>
      <c r="Z137" s="97">
        <f t="shared" si="15"/>
        <v>4.6142846240502524E-4</v>
      </c>
      <c r="AA137" s="97">
        <f t="shared" si="15"/>
        <v>4.6142846240502524E-4</v>
      </c>
    </row>
    <row r="138" spans="2:31" ht="12.75" customHeight="1" x14ac:dyDescent="0.25">
      <c r="B138" s="21" t="s">
        <v>4</v>
      </c>
      <c r="C138" s="95">
        <f>Annual_sorted!I57</f>
        <v>-121.75171042151943</v>
      </c>
      <c r="D138" s="29">
        <f>IF(C138-Table_146345781129182142505866748290[Burundi]&gt;0, C138-Table_146345781129182142505866748290[Burundi], 0)</f>
        <v>0</v>
      </c>
      <c r="E138" s="29">
        <f>IF(C138-Table_146345781129182142505866748290[DRC]&gt;0, C138-Table_146345781129182142505866748290[DRC], 0)</f>
        <v>0</v>
      </c>
      <c r="F138" s="29">
        <f>IF(C138-Table_146345781129182142505866748290[Egypt]&gt;0, C138-Table_146345781129182142505866748290[Egypt], 0)</f>
        <v>0</v>
      </c>
      <c r="G138" s="29">
        <f>IF(C138-Table_146345781129182142505866748290[Eritrea]&gt;0, C138-Table_146345781129182142505866748290[Eritrea], 0)</f>
        <v>0</v>
      </c>
      <c r="H138" s="29">
        <f>IF(C138-Table_146345781129182142505866748290[Ethiopia]&gt;0, C138-Table_146345781129182142505866748290[Ethiopia], 0)</f>
        <v>0</v>
      </c>
      <c r="I138" s="29">
        <f>IF(C138-Table_146345781129182142505866748290[Kenya]&gt;0, C138-Table_146345781129182142505866748290[Kenya], 0)</f>
        <v>0</v>
      </c>
      <c r="J138" s="29">
        <f>IF(C138-Table_146345781129182142505866748290[Rwanda]&gt;0, C138-Table_146345781129182142505866748290[Rwanda], 0)</f>
        <v>0</v>
      </c>
      <c r="K138" s="29">
        <f>IF(C138-Table_146345781129182142505866748290[Sudan]&gt;0, C138-Table_146345781129182142505866748290[Sudan], 0)</f>
        <v>0</v>
      </c>
      <c r="L138" s="29">
        <f>IF(C138-Table_146345781129182142505866748290[S. Sudan]&gt;0, C138-Table_146345781129182142505866748290[S. Sudan], 0)</f>
        <v>0</v>
      </c>
      <c r="M138" s="29">
        <f>IF(C138-Table_146345781129182142505866748290[Tanzania]&gt;0, C138-Table_146345781129182142505866748290[Tanzania], 0)</f>
        <v>0</v>
      </c>
      <c r="N138" s="29">
        <f>IF(C138-Table_146345781129182142505866748290[Uganda]&gt;0, C138-Table_146345781129182142505866748290[Uganda], 0)</f>
        <v>0</v>
      </c>
      <c r="P138" s="21" t="s">
        <v>5</v>
      </c>
      <c r="Q138" s="97">
        <f t="shared" si="16"/>
        <v>4.6142846240502524E-4</v>
      </c>
      <c r="R138" s="97">
        <f t="shared" si="15"/>
        <v>4.6142846240502524E-4</v>
      </c>
      <c r="S138" s="97">
        <f t="shared" si="15"/>
        <v>4.6142846240502524E-4</v>
      </c>
      <c r="T138" s="97">
        <f t="shared" si="15"/>
        <v>4.6142846240502524E-4</v>
      </c>
      <c r="U138" s="97">
        <f t="shared" si="15"/>
        <v>0.2736867011275369</v>
      </c>
      <c r="V138" s="97">
        <f t="shared" si="15"/>
        <v>4.6142846240502524E-4</v>
      </c>
      <c r="W138" s="97">
        <f t="shared" si="15"/>
        <v>4.6142846240502524E-4</v>
      </c>
      <c r="X138" s="97">
        <f t="shared" si="15"/>
        <v>4.6142846240502524E-4</v>
      </c>
      <c r="Y138" s="97">
        <f t="shared" si="15"/>
        <v>4.6142846240502524E-4</v>
      </c>
      <c r="Z138" s="97">
        <f t="shared" si="15"/>
        <v>2.7198174800301164E-2</v>
      </c>
      <c r="AA138" s="97">
        <f t="shared" si="15"/>
        <v>2.9421028580543067E-2</v>
      </c>
    </row>
    <row r="139" spans="2:31" ht="12.75" customHeight="1" x14ac:dyDescent="0.25">
      <c r="B139" s="21" t="s">
        <v>5</v>
      </c>
      <c r="C139" s="95">
        <f>Annual_sorted!I58</f>
        <v>-14.439035606693112</v>
      </c>
      <c r="D139" s="29">
        <f>IF(C139-Table_146345781129182142505866748290[Burundi]&gt;0, C139-Table_146345781129182142505866748290[Burundi], 0)</f>
        <v>0</v>
      </c>
      <c r="E139" s="29">
        <f>IF(C139-Table_146345781129182142505866748290[DRC]&gt;0, C139-Table_146345781129182142505866748290[DRC], 0)</f>
        <v>0</v>
      </c>
      <c r="F139" s="29">
        <f>IF(C139-Table_146345781129182142505866748290[Egypt]&gt;0, C139-Table_146345781129182142505866748290[Egypt], 0)</f>
        <v>0</v>
      </c>
      <c r="G139" s="29">
        <f>IF(C139-Table_146345781129182142505866748290[Eritrea]&gt;0, C139-Table_146345781129182142505866748290[Eritrea], 0)</f>
        <v>0</v>
      </c>
      <c r="H139" s="29">
        <f>IF(C139-Table_146345781129182142505866748290[Ethiopia]&gt;0, C139-Table_146345781129182142505866748290[Ethiopia], 0)</f>
        <v>107.31267481482632</v>
      </c>
      <c r="I139" s="29">
        <f>IF(C139-Table_146345781129182142505866748290[Kenya]&gt;0, C139-Table_146345781129182142505866748290[Kenya], 0)</f>
        <v>0</v>
      </c>
      <c r="J139" s="29">
        <f>IF(C139-Table_146345781129182142505866748290[Rwanda]&gt;0, C139-Table_146345781129182142505866748290[Rwanda], 0)</f>
        <v>0</v>
      </c>
      <c r="K139" s="29">
        <f>IF(C139-Table_146345781129182142505866748290[Sudan]&gt;0, C139-Table_146345781129182142505866748290[Sudan], 0)</f>
        <v>0</v>
      </c>
      <c r="L139" s="29">
        <f>IF(C139-Table_146345781129182142505866748290[S. Sudan]&gt;0, C139-Table_146345781129182142505866748290[S. Sudan], 0)</f>
        <v>0</v>
      </c>
      <c r="M139" s="29">
        <f>IF(C139-Table_146345781129182142505866748290[Tanzania]&gt;0, C139-Table_146345781129182142505866748290[Tanzania], 0)</f>
        <v>10.50119462734204</v>
      </c>
      <c r="N139" s="29">
        <f>IF(C139-Table_146345781129182142505866748290[Uganda]&gt;0, C139-Table_146345781129182142505866748290[Uganda], 0)</f>
        <v>11.37424850904633</v>
      </c>
      <c r="P139" s="21" t="s">
        <v>6</v>
      </c>
      <c r="Q139" s="97">
        <f t="shared" si="16"/>
        <v>4.6142846240502524E-4</v>
      </c>
      <c r="R139" s="97">
        <f t="shared" si="15"/>
        <v>4.6142846240502524E-4</v>
      </c>
      <c r="S139" s="97">
        <f t="shared" si="15"/>
        <v>4.6142846240502524E-4</v>
      </c>
      <c r="T139" s="97">
        <f t="shared" si="15"/>
        <v>4.6142846240502524E-4</v>
      </c>
      <c r="U139" s="97">
        <f t="shared" si="15"/>
        <v>0.29981950491660875</v>
      </c>
      <c r="V139" s="97">
        <f t="shared" si="15"/>
        <v>2.6594232251476894E-2</v>
      </c>
      <c r="W139" s="97">
        <f t="shared" si="15"/>
        <v>4.6142846240502524E-4</v>
      </c>
      <c r="X139" s="97">
        <f t="shared" si="15"/>
        <v>4.6142846240502524E-4</v>
      </c>
      <c r="Y139" s="97">
        <f t="shared" si="15"/>
        <v>2.3010531977129947E-2</v>
      </c>
      <c r="Z139" s="97">
        <f t="shared" si="15"/>
        <v>5.3330978589373031E-2</v>
      </c>
      <c r="AA139" s="97">
        <f t="shared" si="15"/>
        <v>5.555383236961494E-2</v>
      </c>
    </row>
    <row r="140" spans="2:31" ht="12.75" customHeight="1" x14ac:dyDescent="0.25">
      <c r="B140" s="21" t="s">
        <v>6</v>
      </c>
      <c r="C140" s="95">
        <f>Annual_sorted!I59</f>
        <v>-4.1750470390857064</v>
      </c>
      <c r="D140" s="29">
        <f>IF(C140-Table_146345781129182142505866748290[Burundi]&gt;0, C140-Table_146345781129182142505866748290[Burundi], 0)</f>
        <v>0</v>
      </c>
      <c r="E140" s="29">
        <f>IF(C140-Table_146345781129182142505866748290[DRC]&gt;0, C140-Table_146345781129182142505866748290[DRC], 0)</f>
        <v>0</v>
      </c>
      <c r="F140" s="29">
        <f>IF(C140-Table_146345781129182142505866748290[Egypt]&gt;0, C140-Table_146345781129182142505866748290[Egypt], 0)</f>
        <v>0</v>
      </c>
      <c r="G140" s="29">
        <f>IF(C140-Table_146345781129182142505866748290[Eritrea]&gt;0, C140-Table_146345781129182142505866748290[Eritrea], 0)</f>
        <v>0</v>
      </c>
      <c r="H140" s="29">
        <f>IF(C140-Table_146345781129182142505866748290[Ethiopia]&gt;0, C140-Table_146345781129182142505866748290[Ethiopia], 0)</f>
        <v>117.57666338243372</v>
      </c>
      <c r="I140" s="29">
        <f>IF(C140-Table_146345781129182142505866748290[Kenya]&gt;0, C140-Table_146345781129182142505866748290[Kenya], 0)</f>
        <v>10.263988567607406</v>
      </c>
      <c r="J140" s="29">
        <f>IF(C140-Table_146345781129182142505866748290[Rwanda]&gt;0, C140-Table_146345781129182142505866748290[Rwanda], 0)</f>
        <v>0</v>
      </c>
      <c r="K140" s="29">
        <f>IF(C140-Table_146345781129182142505866748290[Sudan]&gt;0, C140-Table_146345781129182142505866748290[Sudan], 0)</f>
        <v>0</v>
      </c>
      <c r="L140" s="29">
        <f>IF(C140-Table_146345781129182142505866748290[S. Sudan]&gt;0, C140-Table_146345781129182142505866748290[S. Sudan], 0)</f>
        <v>8.8564450471141942</v>
      </c>
      <c r="M140" s="29">
        <f>IF(C140-Table_146345781129182142505866748290[Tanzania]&gt;0, C140-Table_146345781129182142505866748290[Tanzania], 0)</f>
        <v>20.765183194949444</v>
      </c>
      <c r="N140" s="29">
        <f>IF(C140-Table_146345781129182142505866748290[Uganda]&gt;0, C140-Table_146345781129182142505866748290[Uganda], 0)</f>
        <v>21.638237076653738</v>
      </c>
      <c r="P140" s="21" t="s">
        <v>7</v>
      </c>
      <c r="Q140" s="97">
        <f t="shared" si="16"/>
        <v>0.68195649092313171</v>
      </c>
      <c r="R140" s="97">
        <f t="shared" si="15"/>
        <v>0.66581023766437697</v>
      </c>
      <c r="S140" s="97">
        <f t="shared" si="15"/>
        <v>4.6142846240502524E-4</v>
      </c>
      <c r="T140" s="97">
        <f t="shared" si="15"/>
        <v>0.68141791938553664</v>
      </c>
      <c r="U140" s="97">
        <f t="shared" si="15"/>
        <v>0.98733629074210938</v>
      </c>
      <c r="V140" s="97">
        <f t="shared" si="15"/>
        <v>0.71411101807697741</v>
      </c>
      <c r="W140" s="97">
        <f t="shared" si="15"/>
        <v>0.68797821428790562</v>
      </c>
      <c r="X140" s="97">
        <f t="shared" si="15"/>
        <v>4.6142846240502524E-4</v>
      </c>
      <c r="Y140" s="97">
        <f t="shared" si="15"/>
        <v>0.71052731780263045</v>
      </c>
      <c r="Z140" s="97">
        <f t="shared" si="15"/>
        <v>0.74084776441487354</v>
      </c>
      <c r="AA140" s="97">
        <f t="shared" si="15"/>
        <v>0.74307061819511555</v>
      </c>
    </row>
    <row r="141" spans="2:31" ht="12.75" customHeight="1" x14ac:dyDescent="0.25">
      <c r="B141" s="21" t="s">
        <v>7</v>
      </c>
      <c r="C141" s="95">
        <f>Annual_sorted!I60</f>
        <v>265.85584925157798</v>
      </c>
      <c r="D141" s="29">
        <f>IF(C141-Table_146345781129182142505866748290[Burundi]&gt;0, C141-Table_146345781129182142505866748290[Burundi], 0)</f>
        <v>267.66578842576706</v>
      </c>
      <c r="E141" s="29">
        <f>IF(C141-Table_146345781129182142505866748290[DRC]&gt;0, C141-Table_146345781129182142505866748290[DRC], 0)</f>
        <v>261.32414364110548</v>
      </c>
      <c r="F141" s="29">
        <f>IF(C141-Table_146345781129182142505866748290[Egypt]&gt;0, C141-Table_146345781129182142505866748290[Egypt], 0)</f>
        <v>0</v>
      </c>
      <c r="G141" s="29">
        <f>IF(C141-Table_146345781129182142505866748290[Eritrea]&gt;0, C141-Table_146345781129182142505866748290[Eritrea], 0)</f>
        <v>267.45425765588368</v>
      </c>
      <c r="H141" s="29">
        <f>IF(C141-Table_146345781129182142505866748290[Ethiopia]&gt;0, C141-Table_146345781129182142505866748290[Ethiopia], 0)</f>
        <v>387.6075596730974</v>
      </c>
      <c r="I141" s="29">
        <f>IF(C141-Table_146345781129182142505866748290[Kenya]&gt;0, C141-Table_146345781129182142505866748290[Kenya], 0)</f>
        <v>280.29488485827108</v>
      </c>
      <c r="J141" s="29">
        <f>IF(C141-Table_146345781129182142505866748290[Rwanda]&gt;0, C141-Table_146345781129182142505866748290[Rwanda], 0)</f>
        <v>270.03089629066369</v>
      </c>
      <c r="K141" s="29">
        <f>IF(C141-Table_146345781129182142505866748290[Sudan]&gt;0, C141-Table_146345781129182142505866748290[Sudan], 0)</f>
        <v>0</v>
      </c>
      <c r="L141" s="29">
        <f>IF(C141-Table_146345781129182142505866748290[S. Sudan]&gt;0, C141-Table_146345781129182142505866748290[S. Sudan], 0)</f>
        <v>278.88734133777785</v>
      </c>
      <c r="M141" s="29">
        <f>IF(C141-Table_146345781129182142505866748290[Tanzania]&gt;0, C141-Table_146345781129182142505866748290[Tanzania], 0)</f>
        <v>290.79607948561312</v>
      </c>
      <c r="N141" s="29">
        <f>IF(C141-Table_146345781129182142505866748290[Uganda]&gt;0, C141-Table_146345781129182142505866748290[Uganda], 0)</f>
        <v>291.66913336731744</v>
      </c>
      <c r="P141" s="21" t="s">
        <v>8</v>
      </c>
      <c r="Q141" s="97">
        <f t="shared" si="16"/>
        <v>4.6142846240502524E-4</v>
      </c>
      <c r="R141" s="97">
        <f t="shared" si="15"/>
        <v>4.6142846240502524E-4</v>
      </c>
      <c r="S141" s="97">
        <f t="shared" si="15"/>
        <v>4.6142846240502524E-4</v>
      </c>
      <c r="T141" s="97">
        <f t="shared" si="15"/>
        <v>4.6142846240502524E-4</v>
      </c>
      <c r="U141" s="97">
        <f t="shared" si="15"/>
        <v>0.27727040140188386</v>
      </c>
      <c r="V141" s="97">
        <f t="shared" si="15"/>
        <v>4.0451287367519687E-3</v>
      </c>
      <c r="W141" s="97">
        <f t="shared" si="15"/>
        <v>4.6142846240502524E-4</v>
      </c>
      <c r="X141" s="97">
        <f t="shared" si="15"/>
        <v>4.6142846240502524E-4</v>
      </c>
      <c r="Y141" s="97">
        <f t="shared" si="15"/>
        <v>4.6142846240502524E-4</v>
      </c>
      <c r="Z141" s="97">
        <f t="shared" si="15"/>
        <v>3.0781875074648114E-2</v>
      </c>
      <c r="AA141" s="97">
        <f t="shared" si="15"/>
        <v>3.3004728854890017E-2</v>
      </c>
    </row>
    <row r="142" spans="2:31" ht="12.75" customHeight="1" x14ac:dyDescent="0.25">
      <c r="B142" s="21" t="s">
        <v>8</v>
      </c>
      <c r="C142" s="95">
        <f>Annual_sorted!I61</f>
        <v>-13.031492086199901</v>
      </c>
      <c r="D142" s="29">
        <f>IF(C142-Table_146345781129182142505866748290[Burundi]&gt;0, C142-Table_146345781129182142505866748290[Burundi], 0)</f>
        <v>0</v>
      </c>
      <c r="E142" s="29">
        <f>IF(C142-Table_146345781129182142505866748290[DRC]&gt;0, C142-Table_146345781129182142505866748290[DRC], 0)</f>
        <v>0</v>
      </c>
      <c r="F142" s="29">
        <f>IF(C142-Table_146345781129182142505866748290[Egypt]&gt;0, C142-Table_146345781129182142505866748290[Egypt], 0)</f>
        <v>0</v>
      </c>
      <c r="G142" s="29">
        <f>IF(C142-Table_146345781129182142505866748290[Eritrea]&gt;0, C142-Table_146345781129182142505866748290[Eritrea], 0)</f>
        <v>0</v>
      </c>
      <c r="H142" s="29">
        <f>IF(C142-Table_146345781129182142505866748290[Ethiopia]&gt;0, C142-Table_146345781129182142505866748290[Ethiopia], 0)</f>
        <v>108.72021833531953</v>
      </c>
      <c r="I142" s="29">
        <f>IF(C142-Table_146345781129182142505866748290[Kenya]&gt;0, C142-Table_146345781129182142505866748290[Kenya], 0)</f>
        <v>1.4075435204932116</v>
      </c>
      <c r="J142" s="29">
        <f>IF(C142-Table_146345781129182142505866748290[Rwanda]&gt;0, C142-Table_146345781129182142505866748290[Rwanda], 0)</f>
        <v>0</v>
      </c>
      <c r="K142" s="29">
        <f>IF(C142-Table_146345781129182142505866748290[Sudan]&gt;0, C142-Table_146345781129182142505866748290[Sudan], 0)</f>
        <v>0</v>
      </c>
      <c r="L142" s="29">
        <f>IF(C142-Table_146345781129182142505866748290[S. Sudan]&gt;0, C142-Table_146345781129182142505866748290[S. Sudan], 0)</f>
        <v>0</v>
      </c>
      <c r="M142" s="29">
        <f>IF(C142-Table_146345781129182142505866748290[Tanzania]&gt;0, C142-Table_146345781129182142505866748290[Tanzania], 0)</f>
        <v>11.908738147835251</v>
      </c>
      <c r="N142" s="29">
        <f>IF(C142-Table_146345781129182142505866748290[Uganda]&gt;0, C142-Table_146345781129182142505866748290[Uganda], 0)</f>
        <v>12.781792029539542</v>
      </c>
      <c r="P142" s="21" t="s">
        <v>9</v>
      </c>
      <c r="Q142" s="97">
        <f t="shared" si="16"/>
        <v>4.6142846240502524E-4</v>
      </c>
      <c r="R142" s="97">
        <f t="shared" si="15"/>
        <v>4.6142846240502524E-4</v>
      </c>
      <c r="S142" s="97">
        <f t="shared" si="15"/>
        <v>4.6142846240502524E-4</v>
      </c>
      <c r="T142" s="97">
        <f t="shared" si="15"/>
        <v>4.6142846240502524E-4</v>
      </c>
      <c r="U142" s="97">
        <f t="shared" si="15"/>
        <v>0.24694995478964077</v>
      </c>
      <c r="V142" s="97">
        <f t="shared" si="15"/>
        <v>4.6142846240502524E-4</v>
      </c>
      <c r="W142" s="97">
        <f t="shared" si="15"/>
        <v>4.6142846240502524E-4</v>
      </c>
      <c r="X142" s="97">
        <f t="shared" si="15"/>
        <v>4.6142846240502524E-4</v>
      </c>
      <c r="Y142" s="97">
        <f t="shared" si="15"/>
        <v>4.6142846240502524E-4</v>
      </c>
      <c r="Z142" s="97">
        <f t="shared" si="15"/>
        <v>4.6142846240502524E-4</v>
      </c>
      <c r="AA142" s="97">
        <f t="shared" si="15"/>
        <v>2.6842822426469269E-3</v>
      </c>
    </row>
    <row r="143" spans="2:31" ht="12.75" customHeight="1" thickBot="1" x14ac:dyDescent="0.3">
      <c r="B143" s="21" t="s">
        <v>9</v>
      </c>
      <c r="C143" s="95">
        <f>Annual_sorted!I62</f>
        <v>-24.940230234035152</v>
      </c>
      <c r="D143" s="29">
        <f>IF(C143-Table_146345781129182142505866748290[Burundi]&gt;0, C143-Table_146345781129182142505866748290[Burundi], 0)</f>
        <v>0</v>
      </c>
      <c r="E143" s="29">
        <f>IF(C143-Table_146345781129182142505866748290[DRC]&gt;0, C143-Table_146345781129182142505866748290[DRC], 0)</f>
        <v>0</v>
      </c>
      <c r="F143" s="29">
        <f>IF(C143-Table_146345781129182142505866748290[Egypt]&gt;0, C143-Table_146345781129182142505866748290[Egypt], 0)</f>
        <v>0</v>
      </c>
      <c r="G143" s="29">
        <f>IF(C143-Table_146345781129182142505866748290[Eritrea]&gt;0, C143-Table_146345781129182142505866748290[Eritrea], 0)</f>
        <v>0</v>
      </c>
      <c r="H143" s="29">
        <f>IF(C143-Table_146345781129182142505866748290[Ethiopia]&gt;0, C143-Table_146345781129182142505866748290[Ethiopia], 0)</f>
        <v>96.811480187484278</v>
      </c>
      <c r="I143" s="29">
        <f>IF(C143-Table_146345781129182142505866748290[Kenya]&gt;0, C143-Table_146345781129182142505866748290[Kenya], 0)</f>
        <v>0</v>
      </c>
      <c r="J143" s="29">
        <f>IF(C143-Table_146345781129182142505866748290[Rwanda]&gt;0, C143-Table_146345781129182142505866748290[Rwanda], 0)</f>
        <v>0</v>
      </c>
      <c r="K143" s="29">
        <f>IF(C143-Table_146345781129182142505866748290[Sudan]&gt;0, C143-Table_146345781129182142505866748290[Sudan], 0)</f>
        <v>0</v>
      </c>
      <c r="L143" s="29">
        <f>IF(C143-Table_146345781129182142505866748290[S. Sudan]&gt;0, C143-Table_146345781129182142505866748290[S. Sudan], 0)</f>
        <v>0</v>
      </c>
      <c r="M143" s="29">
        <f>IF(C143-Table_146345781129182142505866748290[Tanzania]&gt;0, C143-Table_146345781129182142505866748290[Tanzania], 0)</f>
        <v>0</v>
      </c>
      <c r="N143" s="29">
        <f>IF(C143-Table_146345781129182142505866748290[Uganda]&gt;0, C143-Table_146345781129182142505866748290[Uganda], 0)</f>
        <v>0.87305388170429055</v>
      </c>
      <c r="P143" s="22" t="s">
        <v>10</v>
      </c>
      <c r="Q143" s="98">
        <f t="shared" si="16"/>
        <v>4.6142846240502524E-4</v>
      </c>
      <c r="R143" s="98">
        <f t="shared" si="15"/>
        <v>4.6142846240502524E-4</v>
      </c>
      <c r="S143" s="98">
        <f t="shared" si="15"/>
        <v>4.6142846240502524E-4</v>
      </c>
      <c r="T143" s="98">
        <f t="shared" si="15"/>
        <v>4.6142846240502524E-4</v>
      </c>
      <c r="U143" s="98">
        <f t="shared" si="15"/>
        <v>0.24472710100939887</v>
      </c>
      <c r="V143" s="98">
        <f t="shared" si="15"/>
        <v>4.6142846240502524E-4</v>
      </c>
      <c r="W143" s="98">
        <f t="shared" si="15"/>
        <v>4.6142846240502524E-4</v>
      </c>
      <c r="X143" s="98">
        <f t="shared" si="15"/>
        <v>4.6142846240502524E-4</v>
      </c>
      <c r="Y143" s="98">
        <f t="shared" si="15"/>
        <v>4.6142846240502524E-4</v>
      </c>
      <c r="Z143" s="98">
        <f t="shared" si="15"/>
        <v>4.6142846240502524E-4</v>
      </c>
      <c r="AA143" s="98">
        <f t="shared" si="15"/>
        <v>4.6142846240502524E-4</v>
      </c>
      <c r="AB143" s="186">
        <f>SUM(Q133:AA143)</f>
        <v>16.630231286216368</v>
      </c>
    </row>
    <row r="144" spans="2:31" ht="12.75" customHeight="1" thickBot="1" x14ac:dyDescent="0.3">
      <c r="B144" s="22" t="s">
        <v>10</v>
      </c>
      <c r="C144" s="96">
        <f>Annual_sorted!I63</f>
        <v>-25.813284115739442</v>
      </c>
      <c r="D144" s="32">
        <f>IF(C144-Table_146345781129182142505866748290[Burundi]&gt;0, C144-Table_146345781129182142505866748290[Burundi], 0)</f>
        <v>0</v>
      </c>
      <c r="E144" s="32">
        <f>IF(C144-Table_146345781129182142505866748290[DRC]&gt;0, C144-Table_146345781129182142505866748290[DRC], 0)</f>
        <v>0</v>
      </c>
      <c r="F144" s="32">
        <f>IF(C144-Table_146345781129182142505866748290[Egypt]&gt;0, C144-Table_146345781129182142505866748290[Egypt], 0)</f>
        <v>0</v>
      </c>
      <c r="G144" s="32">
        <f>IF(C144-Table_146345781129182142505866748290[Eritrea]&gt;0, C144-Table_146345781129182142505866748290[Eritrea], 0)</f>
        <v>0</v>
      </c>
      <c r="H144" s="32">
        <f>IF(C144-Table_146345781129182142505866748290[Ethiopia]&gt;0, C144-Table_146345781129182142505866748290[Ethiopia], 0)</f>
        <v>95.938426305779984</v>
      </c>
      <c r="I144" s="32">
        <f>IF(C144-Table_146345781129182142505866748290[Kenya]&gt;0, C144-Table_146345781129182142505866748290[Kenya], 0)</f>
        <v>0</v>
      </c>
      <c r="J144" s="32">
        <f>IF(C144-Table_146345781129182142505866748290[Rwanda]&gt;0, C144-Table_146345781129182142505866748290[Rwanda], 0)</f>
        <v>0</v>
      </c>
      <c r="K144" s="32">
        <f>IF(C144-Table_146345781129182142505866748290[Sudan]&gt;0, C144-Table_146345781129182142505866748290[Sudan], 0)</f>
        <v>0</v>
      </c>
      <c r="L144" s="32">
        <f>IF(C144-Table_146345781129182142505866748290[S. Sudan]&gt;0, C144-Table_146345781129182142505866748290[S. Sudan], 0)</f>
        <v>0</v>
      </c>
      <c r="M144" s="32">
        <f>IF(C144-Table_146345781129182142505866748290[Tanzania]&gt;0, C144-Table_146345781129182142505866748290[Tanzania], 0)</f>
        <v>0</v>
      </c>
      <c r="N144" s="32">
        <f>IF(C144-Table_146345781129182142505866748290[Uganda]&gt;0, C144-Table_146345781129182142505866748290[Uganda], 0)</f>
        <v>0</v>
      </c>
    </row>
    <row r="145" ht="12.75" customHeight="1" x14ac:dyDescent="0.25"/>
    <row r="146" ht="12.75" customHeight="1" x14ac:dyDescent="0.25"/>
    <row r="147" ht="12.75" customHeight="1" x14ac:dyDescent="0.25"/>
    <row r="148" ht="12.75" customHeight="1" x14ac:dyDescent="0.25"/>
    <row r="149" ht="12.75" customHeight="1" x14ac:dyDescent="0.25"/>
    <row r="150" ht="12.75" customHeight="1" x14ac:dyDescent="0.25"/>
    <row r="151" ht="12.75" customHeight="1" x14ac:dyDescent="0.25"/>
    <row r="152" ht="12.75" customHeight="1" x14ac:dyDescent="0.25"/>
    <row r="153" ht="12.75" customHeight="1" x14ac:dyDescent="0.25"/>
    <row r="154" ht="12.75" customHeight="1" x14ac:dyDescent="0.25"/>
    <row r="155" ht="12.75" customHeight="1" x14ac:dyDescent="0.25"/>
    <row r="156" ht="12.75" customHeight="1" x14ac:dyDescent="0.25"/>
    <row r="157" ht="12.75" customHeight="1" x14ac:dyDescent="0.25"/>
    <row r="158" ht="12.75" customHeight="1" x14ac:dyDescent="0.25"/>
    <row r="159" ht="12.75" customHeight="1" x14ac:dyDescent="0.25"/>
    <row r="160" ht="12.75" customHeight="1" x14ac:dyDescent="0.25"/>
    <row r="161" ht="12.75" customHeight="1" x14ac:dyDescent="0.25"/>
    <row r="162" ht="12.75" customHeight="1" x14ac:dyDescent="0.25"/>
    <row r="163" ht="12.75" customHeight="1" x14ac:dyDescent="0.25"/>
    <row r="164" ht="12.75" customHeight="1" x14ac:dyDescent="0.25"/>
    <row r="165" ht="12.75" customHeight="1" x14ac:dyDescent="0.25"/>
    <row r="166" ht="12.75" customHeight="1" x14ac:dyDescent="0.25"/>
    <row r="167" ht="12.75" customHeight="1" x14ac:dyDescent="0.25"/>
    <row r="168" ht="12.75" customHeight="1" x14ac:dyDescent="0.25"/>
    <row r="169" ht="12.75" customHeight="1" x14ac:dyDescent="0.25"/>
    <row r="170" ht="12.75" customHeight="1" x14ac:dyDescent="0.25"/>
    <row r="171" ht="12.75" customHeight="1" x14ac:dyDescent="0.25"/>
    <row r="172" ht="12.75" customHeight="1" x14ac:dyDescent="0.25"/>
    <row r="173" ht="12.75" customHeight="1" x14ac:dyDescent="0.25"/>
    <row r="174" ht="12.75" customHeight="1" x14ac:dyDescent="0.25"/>
    <row r="175" ht="12.75" customHeight="1" x14ac:dyDescent="0.25"/>
    <row r="176" ht="12.75" customHeight="1" x14ac:dyDescent="0.25"/>
    <row r="177" ht="12.75" customHeight="1" x14ac:dyDescent="0.25"/>
    <row r="178" ht="12.75" customHeight="1" x14ac:dyDescent="0.25"/>
    <row r="179" ht="12.75" customHeight="1" x14ac:dyDescent="0.25"/>
    <row r="180" ht="12.75" customHeight="1" x14ac:dyDescent="0.25"/>
    <row r="181" ht="12.75" customHeight="1" x14ac:dyDescent="0.25"/>
    <row r="182" ht="12.75" customHeight="1" x14ac:dyDescent="0.25"/>
    <row r="183" ht="12.75" customHeight="1" x14ac:dyDescent="0.25"/>
    <row r="184" ht="12.75" customHeight="1" x14ac:dyDescent="0.25"/>
    <row r="185" ht="12.75" customHeight="1" x14ac:dyDescent="0.25"/>
    <row r="186" ht="12.75" customHeight="1" x14ac:dyDescent="0.25"/>
    <row r="187" ht="12.75" customHeight="1" x14ac:dyDescent="0.25"/>
    <row r="188" ht="12.75" customHeight="1" x14ac:dyDescent="0.25"/>
    <row r="189" ht="12.75" customHeight="1" x14ac:dyDescent="0.25"/>
    <row r="190" ht="12.75" customHeight="1" x14ac:dyDescent="0.25"/>
    <row r="191" ht="12.75" customHeight="1" x14ac:dyDescent="0.25"/>
    <row r="192" ht="12.75" customHeight="1" x14ac:dyDescent="0.25"/>
    <row r="193" ht="12.75" customHeight="1" x14ac:dyDescent="0.25"/>
    <row r="194" ht="12.75" customHeight="1" x14ac:dyDescent="0.25"/>
    <row r="195" ht="12.75" customHeight="1" x14ac:dyDescent="0.25"/>
    <row r="196" ht="12.75" customHeight="1" x14ac:dyDescent="0.25"/>
    <row r="197" ht="12.75" customHeight="1" x14ac:dyDescent="0.25"/>
    <row r="198" ht="12.75" customHeight="1" x14ac:dyDescent="0.25"/>
    <row r="199" ht="12.75" customHeight="1" x14ac:dyDescent="0.25"/>
    <row r="200" ht="12.75" customHeight="1" x14ac:dyDescent="0.25"/>
    <row r="201" ht="12.75" customHeight="1" x14ac:dyDescent="0.25"/>
    <row r="202" ht="12.75" customHeight="1" x14ac:dyDescent="0.25"/>
    <row r="203" ht="12.75" customHeight="1" x14ac:dyDescent="0.25"/>
    <row r="204" ht="12.75" customHeight="1" x14ac:dyDescent="0.25"/>
    <row r="205" ht="12.75" customHeight="1" x14ac:dyDescent="0.25"/>
    <row r="206" ht="12.75" customHeight="1" x14ac:dyDescent="0.25"/>
    <row r="207" ht="12.75" customHeight="1" x14ac:dyDescent="0.25"/>
    <row r="208" ht="12.75" customHeight="1" x14ac:dyDescent="0.25"/>
    <row r="209" ht="12.75" customHeight="1" x14ac:dyDescent="0.25"/>
    <row r="210" ht="12.75" customHeight="1" x14ac:dyDescent="0.25"/>
    <row r="211" ht="12.75" customHeight="1" x14ac:dyDescent="0.25"/>
    <row r="212" ht="12.75" customHeight="1" x14ac:dyDescent="0.25"/>
    <row r="213" ht="12.75" customHeight="1" x14ac:dyDescent="0.25"/>
    <row r="214" ht="12.75" customHeight="1" x14ac:dyDescent="0.25"/>
    <row r="215" ht="12.75" customHeight="1" x14ac:dyDescent="0.25"/>
    <row r="216" ht="12.75" customHeight="1" x14ac:dyDescent="0.25"/>
    <row r="217" ht="12.75" customHeight="1" x14ac:dyDescent="0.25"/>
    <row r="218" ht="12.75" customHeight="1" x14ac:dyDescent="0.25"/>
    <row r="219" ht="12.75" customHeight="1" x14ac:dyDescent="0.25"/>
    <row r="220" ht="12.75" customHeight="1" x14ac:dyDescent="0.25"/>
    <row r="221" ht="12.75" customHeight="1" x14ac:dyDescent="0.25"/>
    <row r="222" ht="12.75" customHeight="1" x14ac:dyDescent="0.25"/>
    <row r="223" ht="12.75" customHeight="1" x14ac:dyDescent="0.25"/>
    <row r="224" ht="12.75" customHeight="1" x14ac:dyDescent="0.25"/>
    <row r="225" ht="12.75" customHeight="1" x14ac:dyDescent="0.25"/>
    <row r="226" ht="12.75" customHeight="1" x14ac:dyDescent="0.25"/>
    <row r="227" ht="12.75" customHeight="1" x14ac:dyDescent="0.25"/>
    <row r="228" ht="12.75" customHeight="1" x14ac:dyDescent="0.25"/>
    <row r="229" ht="12.75" customHeight="1" x14ac:dyDescent="0.25"/>
    <row r="230" ht="12.75" customHeight="1" x14ac:dyDescent="0.25"/>
    <row r="231" ht="12.75" customHeight="1" x14ac:dyDescent="0.25"/>
    <row r="232" ht="12.75" customHeight="1" x14ac:dyDescent="0.25"/>
    <row r="233" ht="12.75" customHeight="1" x14ac:dyDescent="0.25"/>
    <row r="234" ht="12.75" customHeight="1" x14ac:dyDescent="0.25"/>
    <row r="235" ht="12.75" customHeight="1" x14ac:dyDescent="0.25"/>
    <row r="236" ht="12.75" customHeight="1" x14ac:dyDescent="0.25"/>
    <row r="237" ht="12.75" customHeight="1" x14ac:dyDescent="0.25"/>
    <row r="238" ht="12.75" customHeight="1" x14ac:dyDescent="0.25"/>
    <row r="239" ht="12.75" customHeight="1" x14ac:dyDescent="0.25"/>
    <row r="240" ht="12.75" customHeight="1" x14ac:dyDescent="0.25"/>
    <row r="241" ht="12.75" customHeight="1" x14ac:dyDescent="0.25"/>
    <row r="242" ht="12.75" customHeight="1" x14ac:dyDescent="0.25"/>
    <row r="243" ht="12.75" customHeight="1" x14ac:dyDescent="0.25"/>
    <row r="244" ht="12.75" customHeight="1" x14ac:dyDescent="0.25"/>
    <row r="245" ht="12.75" customHeight="1" x14ac:dyDescent="0.25"/>
    <row r="246" ht="12.75" customHeight="1" x14ac:dyDescent="0.25"/>
    <row r="247" ht="12.75" customHeight="1" x14ac:dyDescent="0.25"/>
    <row r="248" ht="12.75" customHeight="1" x14ac:dyDescent="0.25"/>
    <row r="249" ht="12.75" customHeight="1" x14ac:dyDescent="0.25"/>
    <row r="250" ht="12.75" customHeight="1" x14ac:dyDescent="0.25"/>
    <row r="251" ht="12.75" customHeight="1" x14ac:dyDescent="0.25"/>
    <row r="252" ht="12.75" customHeight="1" x14ac:dyDescent="0.25"/>
    <row r="253" ht="12.75" customHeight="1" x14ac:dyDescent="0.25"/>
    <row r="254" ht="12.75" customHeight="1" x14ac:dyDescent="0.25"/>
    <row r="255" ht="12.75" customHeight="1" x14ac:dyDescent="0.25"/>
    <row r="256" ht="12.75" customHeight="1" x14ac:dyDescent="0.25"/>
    <row r="257" ht="12.75" customHeight="1" x14ac:dyDescent="0.25"/>
    <row r="258" ht="12.75" customHeight="1" x14ac:dyDescent="0.25"/>
    <row r="259" ht="12.75" customHeight="1" x14ac:dyDescent="0.25"/>
    <row r="260" ht="12.75" customHeight="1" x14ac:dyDescent="0.25"/>
    <row r="261" ht="12.75" customHeight="1" x14ac:dyDescent="0.25"/>
    <row r="262" ht="12.75" customHeight="1" x14ac:dyDescent="0.25"/>
    <row r="263" ht="12.75" customHeight="1" x14ac:dyDescent="0.25"/>
    <row r="264" ht="12.75" customHeight="1" x14ac:dyDescent="0.25"/>
    <row r="265" ht="12.75" customHeight="1" x14ac:dyDescent="0.25"/>
    <row r="266" ht="12.75" customHeight="1" x14ac:dyDescent="0.25"/>
    <row r="267" ht="12.75" customHeight="1" x14ac:dyDescent="0.25"/>
    <row r="268" ht="12.75" customHeight="1" x14ac:dyDescent="0.25"/>
    <row r="269" ht="12.75" customHeight="1" x14ac:dyDescent="0.25"/>
    <row r="270" ht="12.75" customHeight="1" x14ac:dyDescent="0.25"/>
    <row r="271" ht="12.75" customHeight="1" x14ac:dyDescent="0.25"/>
    <row r="272" ht="12.75" customHeight="1" x14ac:dyDescent="0.25"/>
    <row r="273" ht="12.75" customHeight="1" x14ac:dyDescent="0.25"/>
    <row r="274" ht="12.75" customHeight="1" x14ac:dyDescent="0.25"/>
    <row r="275" ht="12.75" customHeight="1" x14ac:dyDescent="0.25"/>
    <row r="276" ht="12.75" customHeight="1" x14ac:dyDescent="0.25"/>
    <row r="277" ht="12.75" customHeight="1" x14ac:dyDescent="0.25"/>
    <row r="278" ht="12.75" customHeight="1" x14ac:dyDescent="0.25"/>
    <row r="279" ht="12.75" customHeight="1" x14ac:dyDescent="0.25"/>
    <row r="280" ht="12.75" customHeight="1" x14ac:dyDescent="0.25"/>
    <row r="281" ht="12.75" customHeight="1" x14ac:dyDescent="0.25"/>
    <row r="282" ht="12.75" customHeight="1" x14ac:dyDescent="0.25"/>
    <row r="283" ht="12.75" customHeight="1" x14ac:dyDescent="0.25"/>
    <row r="284" ht="12.75" customHeight="1" x14ac:dyDescent="0.25"/>
    <row r="285" ht="12.75" customHeight="1" x14ac:dyDescent="0.25"/>
    <row r="286" ht="12.75" customHeight="1" x14ac:dyDescent="0.25"/>
    <row r="287" ht="12.75" customHeight="1" x14ac:dyDescent="0.25"/>
    <row r="288" ht="12.75" customHeight="1" x14ac:dyDescent="0.25"/>
    <row r="289" ht="12.75" customHeight="1" x14ac:dyDescent="0.25"/>
    <row r="290" ht="12.75" customHeight="1" x14ac:dyDescent="0.25"/>
    <row r="291" ht="12.75" customHeight="1" x14ac:dyDescent="0.25"/>
    <row r="292" ht="12.75" customHeight="1" x14ac:dyDescent="0.25"/>
    <row r="293" ht="12.75" customHeight="1" x14ac:dyDescent="0.25"/>
    <row r="294" ht="12.75" customHeight="1" x14ac:dyDescent="0.25"/>
    <row r="295" ht="12.75" customHeight="1" x14ac:dyDescent="0.25"/>
    <row r="296" ht="12.75" customHeight="1" x14ac:dyDescent="0.25"/>
    <row r="297" ht="12.75" customHeight="1" x14ac:dyDescent="0.25"/>
    <row r="298" ht="12.75" customHeight="1" x14ac:dyDescent="0.25"/>
    <row r="299" ht="12.75" customHeight="1" x14ac:dyDescent="0.25"/>
    <row r="300" ht="12.75" customHeight="1" x14ac:dyDescent="0.25"/>
    <row r="301" ht="12.75" customHeight="1" x14ac:dyDescent="0.25"/>
    <row r="302" ht="12.75" customHeight="1" x14ac:dyDescent="0.25"/>
    <row r="303" ht="12.75" customHeight="1" x14ac:dyDescent="0.25"/>
    <row r="304" ht="12.75" customHeight="1" x14ac:dyDescent="0.25"/>
    <row r="305" ht="12.75" customHeight="1" x14ac:dyDescent="0.25"/>
    <row r="306" ht="12.75" customHeight="1" x14ac:dyDescent="0.25"/>
    <row r="307" ht="12.75" customHeight="1" x14ac:dyDescent="0.25"/>
    <row r="308" ht="12.75" customHeight="1" x14ac:dyDescent="0.25"/>
    <row r="309" ht="12.75" customHeight="1" x14ac:dyDescent="0.25"/>
    <row r="310" ht="12.75" customHeight="1" x14ac:dyDescent="0.25"/>
    <row r="311" ht="12.75" customHeight="1" x14ac:dyDescent="0.25"/>
    <row r="312" ht="12.75" customHeight="1" x14ac:dyDescent="0.25"/>
    <row r="313" ht="12.75" customHeight="1" x14ac:dyDescent="0.25"/>
    <row r="314" ht="12.75" customHeight="1" x14ac:dyDescent="0.25"/>
    <row r="315" ht="12.75" customHeight="1" x14ac:dyDescent="0.25"/>
    <row r="316" ht="12.75" customHeight="1" x14ac:dyDescent="0.25"/>
    <row r="317" ht="12.75" customHeight="1" x14ac:dyDescent="0.25"/>
    <row r="318" ht="12.75" customHeight="1" x14ac:dyDescent="0.25"/>
    <row r="319" ht="12.75" customHeight="1" x14ac:dyDescent="0.25"/>
    <row r="320" ht="12.75" customHeight="1" x14ac:dyDescent="0.25"/>
    <row r="321" ht="12.75" customHeight="1" x14ac:dyDescent="0.25"/>
    <row r="322" ht="12.75" customHeight="1" x14ac:dyDescent="0.25"/>
    <row r="323" ht="12.75" customHeight="1" x14ac:dyDescent="0.25"/>
    <row r="324" ht="12.75" customHeight="1" x14ac:dyDescent="0.25"/>
    <row r="325" ht="12.75" customHeight="1" x14ac:dyDescent="0.25"/>
    <row r="326" ht="12.75" customHeight="1" x14ac:dyDescent="0.25"/>
    <row r="327" ht="12.75" customHeight="1" x14ac:dyDescent="0.25"/>
    <row r="328" ht="12.75" customHeight="1" x14ac:dyDescent="0.25"/>
    <row r="329" ht="12.75" customHeight="1" x14ac:dyDescent="0.25"/>
    <row r="330" ht="12.75" customHeight="1" x14ac:dyDescent="0.25"/>
    <row r="331" ht="12.75" customHeight="1" x14ac:dyDescent="0.25"/>
    <row r="332" ht="12.75" customHeight="1" x14ac:dyDescent="0.25"/>
    <row r="333" ht="12.75" customHeight="1" x14ac:dyDescent="0.25"/>
    <row r="334" ht="12.75" customHeight="1" x14ac:dyDescent="0.25"/>
    <row r="335" ht="12.75" customHeight="1" x14ac:dyDescent="0.25"/>
    <row r="336" ht="12.75" customHeight="1" x14ac:dyDescent="0.25"/>
    <row r="337" ht="12.75" customHeight="1" x14ac:dyDescent="0.25"/>
    <row r="338" ht="12.75" customHeight="1" x14ac:dyDescent="0.25"/>
    <row r="339" ht="12.75" customHeight="1" x14ac:dyDescent="0.25"/>
    <row r="340" ht="12.75" customHeight="1" x14ac:dyDescent="0.25"/>
    <row r="341" ht="12.75" customHeight="1" x14ac:dyDescent="0.25"/>
    <row r="342" ht="12.75" customHeight="1" x14ac:dyDescent="0.25"/>
    <row r="343" ht="12.75" customHeight="1" x14ac:dyDescent="0.25"/>
    <row r="344" ht="12.75" customHeight="1" x14ac:dyDescent="0.25"/>
    <row r="345" ht="12.75" customHeight="1" x14ac:dyDescent="0.25"/>
    <row r="346" ht="12.75" customHeight="1" x14ac:dyDescent="0.25"/>
    <row r="347" ht="12.75" customHeight="1" x14ac:dyDescent="0.25"/>
    <row r="348" ht="12.75" customHeight="1" x14ac:dyDescent="0.25"/>
    <row r="349" ht="12.75" customHeight="1" x14ac:dyDescent="0.25"/>
    <row r="350" ht="12.75" customHeight="1" x14ac:dyDescent="0.25"/>
    <row r="351" ht="12.75" customHeight="1" x14ac:dyDescent="0.25"/>
    <row r="352" ht="12.75" customHeight="1" x14ac:dyDescent="0.25"/>
    <row r="353" ht="12.75" customHeight="1" x14ac:dyDescent="0.25"/>
    <row r="354" ht="12.75" customHeight="1" x14ac:dyDescent="0.25"/>
    <row r="355" ht="12.75" customHeight="1" x14ac:dyDescent="0.25"/>
    <row r="356" ht="12.75" customHeight="1" x14ac:dyDescent="0.25"/>
    <row r="357" ht="12.75" customHeight="1" x14ac:dyDescent="0.25"/>
    <row r="358" ht="12.75" customHeight="1" x14ac:dyDescent="0.25"/>
    <row r="359" ht="12.75" customHeight="1" x14ac:dyDescent="0.25"/>
    <row r="360" ht="12.75" customHeight="1" x14ac:dyDescent="0.25"/>
    <row r="361" ht="12.75" customHeight="1" x14ac:dyDescent="0.25"/>
    <row r="362" ht="12.75" customHeight="1" x14ac:dyDescent="0.25"/>
    <row r="363" ht="12.75" customHeight="1" x14ac:dyDescent="0.25"/>
    <row r="364" ht="12.75" customHeight="1" x14ac:dyDescent="0.25"/>
    <row r="365" ht="12.75" customHeight="1" x14ac:dyDescent="0.25"/>
    <row r="366" ht="12.75" customHeight="1" x14ac:dyDescent="0.25"/>
    <row r="367" ht="12.75" customHeight="1" x14ac:dyDescent="0.25"/>
    <row r="368" ht="12.75" customHeight="1" x14ac:dyDescent="0.25"/>
    <row r="369" ht="12.75" customHeight="1" x14ac:dyDescent="0.25"/>
    <row r="370" ht="12.75" customHeight="1" x14ac:dyDescent="0.25"/>
    <row r="371" ht="12.75" customHeight="1" x14ac:dyDescent="0.25"/>
    <row r="372" ht="12.75" customHeight="1" x14ac:dyDescent="0.25"/>
    <row r="373" ht="12.75" customHeight="1" x14ac:dyDescent="0.25"/>
    <row r="374" ht="12.75" customHeight="1" x14ac:dyDescent="0.25"/>
    <row r="375" ht="12.75" customHeight="1" x14ac:dyDescent="0.25"/>
    <row r="376" ht="12.75" customHeight="1" x14ac:dyDescent="0.25"/>
    <row r="377" ht="12.75" customHeight="1" x14ac:dyDescent="0.25"/>
    <row r="378" ht="12.75" customHeight="1" x14ac:dyDescent="0.25"/>
    <row r="379" ht="12.75" customHeight="1" x14ac:dyDescent="0.25"/>
    <row r="380" ht="12.75" customHeight="1" x14ac:dyDescent="0.25"/>
    <row r="381" ht="12.75" customHeight="1" x14ac:dyDescent="0.25"/>
    <row r="382" ht="12.75" customHeight="1" x14ac:dyDescent="0.25"/>
    <row r="383" ht="12.75" customHeight="1" x14ac:dyDescent="0.25"/>
    <row r="384" ht="12.75" customHeight="1" x14ac:dyDescent="0.25"/>
    <row r="385" ht="12.75" customHeight="1" x14ac:dyDescent="0.25"/>
    <row r="386" ht="12.75" customHeight="1" x14ac:dyDescent="0.25"/>
    <row r="387" ht="12.75" customHeight="1" x14ac:dyDescent="0.25"/>
    <row r="388" ht="12.75" customHeight="1" x14ac:dyDescent="0.25"/>
    <row r="389" ht="12.75" customHeight="1" x14ac:dyDescent="0.25"/>
    <row r="390" ht="12.75" customHeight="1" x14ac:dyDescent="0.25"/>
    <row r="391" ht="12.75" customHeight="1" x14ac:dyDescent="0.25"/>
    <row r="392" ht="12.75" customHeight="1" x14ac:dyDescent="0.25"/>
    <row r="393" ht="12.75" customHeight="1" x14ac:dyDescent="0.25"/>
    <row r="394" ht="12.75" customHeight="1" x14ac:dyDescent="0.25"/>
    <row r="395" ht="12.75" customHeight="1" x14ac:dyDescent="0.25"/>
    <row r="396" ht="12.75" customHeight="1" x14ac:dyDescent="0.25"/>
    <row r="397" ht="12.75" customHeight="1" x14ac:dyDescent="0.25"/>
    <row r="398" ht="12.75" customHeight="1" x14ac:dyDescent="0.25"/>
    <row r="399" ht="12.75" customHeight="1" x14ac:dyDescent="0.25"/>
    <row r="400" ht="12.75" customHeight="1" x14ac:dyDescent="0.25"/>
    <row r="401" ht="12.75" customHeight="1" x14ac:dyDescent="0.25"/>
    <row r="402" ht="12.75" customHeight="1" x14ac:dyDescent="0.25"/>
    <row r="403" ht="12.75" customHeight="1" x14ac:dyDescent="0.25"/>
    <row r="404" ht="12.75" customHeight="1" x14ac:dyDescent="0.25"/>
    <row r="405" ht="12.75" customHeight="1" x14ac:dyDescent="0.25"/>
    <row r="406" ht="12.75" customHeight="1" x14ac:dyDescent="0.25"/>
    <row r="407" ht="12.75" customHeight="1" x14ac:dyDescent="0.25"/>
    <row r="408" ht="12.75" customHeight="1" x14ac:dyDescent="0.25"/>
    <row r="409" ht="12.75" customHeight="1" x14ac:dyDescent="0.25"/>
    <row r="410" ht="12.75" customHeight="1" x14ac:dyDescent="0.25"/>
    <row r="411" ht="12.75" customHeight="1" x14ac:dyDescent="0.25"/>
    <row r="412" ht="12.75" customHeight="1" x14ac:dyDescent="0.25"/>
    <row r="413" ht="12.75" customHeight="1" x14ac:dyDescent="0.25"/>
    <row r="414" ht="12.75" customHeight="1" x14ac:dyDescent="0.25"/>
    <row r="415" ht="12.75" customHeight="1" x14ac:dyDescent="0.25"/>
    <row r="416" ht="12.75" customHeight="1" x14ac:dyDescent="0.25"/>
    <row r="417" ht="12.75" customHeight="1" x14ac:dyDescent="0.25"/>
    <row r="418" ht="12.75" customHeight="1" x14ac:dyDescent="0.25"/>
    <row r="419" ht="12.75" customHeight="1" x14ac:dyDescent="0.25"/>
    <row r="420" ht="12.75" customHeight="1" x14ac:dyDescent="0.25"/>
    <row r="421" ht="12.75" customHeight="1" x14ac:dyDescent="0.25"/>
    <row r="422" ht="12.75" customHeight="1" x14ac:dyDescent="0.25"/>
    <row r="423" ht="12.75" customHeight="1" x14ac:dyDescent="0.25"/>
    <row r="424" ht="12.75" customHeight="1" x14ac:dyDescent="0.25"/>
    <row r="425" ht="12.75" customHeight="1" x14ac:dyDescent="0.25"/>
    <row r="426" ht="12.75" customHeight="1" x14ac:dyDescent="0.25"/>
    <row r="427" ht="12.75" customHeight="1" x14ac:dyDescent="0.25"/>
    <row r="428" ht="12.75" customHeight="1" x14ac:dyDescent="0.25"/>
    <row r="429" ht="12.75" customHeight="1" x14ac:dyDescent="0.25"/>
    <row r="430" ht="12.75" customHeight="1" x14ac:dyDescent="0.25"/>
    <row r="431" ht="12.75" customHeight="1" x14ac:dyDescent="0.25"/>
    <row r="432" ht="12.75" customHeight="1" x14ac:dyDescent="0.25"/>
    <row r="433" ht="12.75" customHeight="1" x14ac:dyDescent="0.25"/>
    <row r="434" ht="12.75" customHeight="1" x14ac:dyDescent="0.25"/>
    <row r="435" ht="12.75" customHeight="1" x14ac:dyDescent="0.25"/>
    <row r="436" ht="12.75" customHeight="1" x14ac:dyDescent="0.25"/>
    <row r="437" ht="12.75" customHeight="1" x14ac:dyDescent="0.25"/>
    <row r="438" ht="12.75" customHeight="1" x14ac:dyDescent="0.25"/>
    <row r="439" ht="12.75" customHeight="1" x14ac:dyDescent="0.25"/>
    <row r="440" ht="12.75" customHeight="1" x14ac:dyDescent="0.25"/>
    <row r="441" ht="12.75" customHeight="1" x14ac:dyDescent="0.25"/>
    <row r="442" ht="12.75" customHeight="1" x14ac:dyDescent="0.25"/>
    <row r="443" ht="12.75" customHeight="1" x14ac:dyDescent="0.25"/>
    <row r="444" ht="12.75" customHeight="1" x14ac:dyDescent="0.25"/>
    <row r="445" ht="12.75" customHeight="1" x14ac:dyDescent="0.25"/>
    <row r="446" ht="12.75" customHeight="1" x14ac:dyDescent="0.25"/>
    <row r="447" ht="12.75" customHeight="1" x14ac:dyDescent="0.25"/>
    <row r="448" ht="12.75" customHeight="1" x14ac:dyDescent="0.25"/>
    <row r="449" ht="12.75" customHeight="1" x14ac:dyDescent="0.25"/>
    <row r="450" ht="12.75" customHeight="1" x14ac:dyDescent="0.25"/>
    <row r="451" ht="12.75" customHeight="1" x14ac:dyDescent="0.25"/>
    <row r="452" ht="12.75" customHeight="1" x14ac:dyDescent="0.25"/>
    <row r="453" ht="12.75" customHeight="1" x14ac:dyDescent="0.25"/>
    <row r="454" ht="12.75" customHeight="1" x14ac:dyDescent="0.25"/>
    <row r="455" ht="12.75" customHeight="1" x14ac:dyDescent="0.25"/>
    <row r="456" ht="12.75" customHeight="1" x14ac:dyDescent="0.25"/>
    <row r="457" ht="12.75" customHeight="1" x14ac:dyDescent="0.25"/>
    <row r="458" ht="12.75" customHeight="1" x14ac:dyDescent="0.25"/>
    <row r="459" ht="12.75" customHeight="1" x14ac:dyDescent="0.25"/>
    <row r="460" ht="12.75" customHeight="1" x14ac:dyDescent="0.25"/>
    <row r="461" ht="12.75" customHeight="1" x14ac:dyDescent="0.25"/>
    <row r="462" ht="12.75" customHeight="1" x14ac:dyDescent="0.25"/>
    <row r="463" ht="12.75" customHeight="1" x14ac:dyDescent="0.25"/>
    <row r="464" ht="12.75" customHeight="1" x14ac:dyDescent="0.25"/>
    <row r="465" ht="12.75" customHeight="1" x14ac:dyDescent="0.25"/>
    <row r="466" ht="12.75" customHeight="1" x14ac:dyDescent="0.25"/>
    <row r="467" ht="12.75" customHeight="1" x14ac:dyDescent="0.25"/>
    <row r="468" ht="12.75" customHeight="1" x14ac:dyDescent="0.25"/>
    <row r="469" ht="12.75" customHeight="1" x14ac:dyDescent="0.25"/>
    <row r="470" ht="12.75" customHeight="1" x14ac:dyDescent="0.25"/>
    <row r="471" ht="12.75" customHeight="1" x14ac:dyDescent="0.25"/>
    <row r="472" ht="12.75" customHeight="1" x14ac:dyDescent="0.25"/>
    <row r="473" ht="12.75" customHeight="1" x14ac:dyDescent="0.25"/>
    <row r="474" ht="12.75" customHeight="1" x14ac:dyDescent="0.25"/>
    <row r="475" ht="12.75" customHeight="1" x14ac:dyDescent="0.25"/>
    <row r="476" ht="12.75" customHeight="1" x14ac:dyDescent="0.25"/>
    <row r="477" ht="12.75" customHeight="1" x14ac:dyDescent="0.25"/>
    <row r="478" ht="12.75" customHeight="1" x14ac:dyDescent="0.25"/>
    <row r="479" ht="12.75" customHeight="1" x14ac:dyDescent="0.25"/>
    <row r="480" ht="12.75" customHeight="1" x14ac:dyDescent="0.25"/>
    <row r="481" ht="12.75" customHeight="1" x14ac:dyDescent="0.25"/>
    <row r="482" ht="12.75" customHeight="1" x14ac:dyDescent="0.25"/>
    <row r="483" ht="12.75" customHeight="1" x14ac:dyDescent="0.25"/>
    <row r="484" ht="12.75" customHeight="1" x14ac:dyDescent="0.25"/>
    <row r="485" ht="12.75" customHeight="1" x14ac:dyDescent="0.25"/>
    <row r="486" ht="12.75" customHeight="1" x14ac:dyDescent="0.25"/>
    <row r="487" ht="12.75" customHeight="1" x14ac:dyDescent="0.25"/>
    <row r="488" ht="12.75" customHeight="1" x14ac:dyDescent="0.25"/>
    <row r="489" ht="12.75" customHeight="1" x14ac:dyDescent="0.25"/>
    <row r="490" ht="12.75" customHeight="1" x14ac:dyDescent="0.25"/>
    <row r="491" ht="12.75" customHeight="1" x14ac:dyDescent="0.25"/>
    <row r="492" ht="12.75" customHeight="1" x14ac:dyDescent="0.25"/>
    <row r="493" ht="12.75" customHeight="1" x14ac:dyDescent="0.25"/>
    <row r="494" ht="12.75" customHeight="1" x14ac:dyDescent="0.25"/>
    <row r="495" ht="12.75" customHeight="1" x14ac:dyDescent="0.25"/>
    <row r="496" ht="12.75" customHeight="1" x14ac:dyDescent="0.25"/>
    <row r="497" ht="12.75" customHeight="1" x14ac:dyDescent="0.25"/>
    <row r="498" ht="12.75" customHeight="1" x14ac:dyDescent="0.25"/>
    <row r="499" ht="12.75" customHeight="1" x14ac:dyDescent="0.25"/>
    <row r="500" ht="12.75" customHeight="1" x14ac:dyDescent="0.25"/>
    <row r="501" ht="12.75" customHeight="1" x14ac:dyDescent="0.25"/>
    <row r="502" ht="12.75" customHeight="1" x14ac:dyDescent="0.25"/>
    <row r="503" ht="12.75" customHeight="1" x14ac:dyDescent="0.25"/>
    <row r="504" ht="12.75" customHeight="1" x14ac:dyDescent="0.25"/>
    <row r="505" ht="12.75" customHeight="1" x14ac:dyDescent="0.25"/>
    <row r="506" ht="12.75" customHeight="1" x14ac:dyDescent="0.25"/>
    <row r="507" ht="12.75" customHeight="1" x14ac:dyDescent="0.25"/>
    <row r="508" ht="12.75" customHeight="1" x14ac:dyDescent="0.25"/>
    <row r="509" ht="12.75" customHeight="1" x14ac:dyDescent="0.25"/>
    <row r="510" ht="12.75" customHeight="1" x14ac:dyDescent="0.25"/>
    <row r="511" ht="12.75" customHeight="1" x14ac:dyDescent="0.25"/>
    <row r="512" ht="12.75" customHeight="1" x14ac:dyDescent="0.25"/>
    <row r="513" ht="12.75" customHeight="1" x14ac:dyDescent="0.25"/>
    <row r="514" ht="12.75" customHeight="1" x14ac:dyDescent="0.25"/>
    <row r="515" ht="12.75" customHeight="1" x14ac:dyDescent="0.25"/>
    <row r="516" ht="12.75" customHeight="1" x14ac:dyDescent="0.25"/>
    <row r="517" ht="12.75" customHeight="1" x14ac:dyDescent="0.25"/>
    <row r="518" ht="12.75" customHeight="1" x14ac:dyDescent="0.25"/>
    <row r="519" ht="12.75" customHeight="1" x14ac:dyDescent="0.25"/>
    <row r="520" ht="12.75" customHeight="1" x14ac:dyDescent="0.25"/>
    <row r="521" ht="12.75" customHeight="1" x14ac:dyDescent="0.25"/>
    <row r="522" ht="12.75" customHeight="1" x14ac:dyDescent="0.25"/>
    <row r="523" ht="12.75" customHeight="1" x14ac:dyDescent="0.25"/>
    <row r="524" ht="12.75" customHeight="1" x14ac:dyDescent="0.25"/>
    <row r="525" ht="12.75" customHeight="1" x14ac:dyDescent="0.25"/>
    <row r="526" ht="12.75" customHeight="1" x14ac:dyDescent="0.25"/>
    <row r="527" ht="12.75" customHeight="1" x14ac:dyDescent="0.25"/>
    <row r="528" ht="12.75" customHeight="1" x14ac:dyDescent="0.25"/>
    <row r="529" ht="12.75" customHeight="1" x14ac:dyDescent="0.25"/>
    <row r="530" ht="12.75" customHeight="1" x14ac:dyDescent="0.25"/>
    <row r="531" ht="12.75" customHeight="1" x14ac:dyDescent="0.25"/>
    <row r="532" ht="12.75" customHeight="1" x14ac:dyDescent="0.25"/>
    <row r="533" ht="12.75" customHeight="1" x14ac:dyDescent="0.25"/>
    <row r="534" ht="12.75" customHeight="1" x14ac:dyDescent="0.25"/>
    <row r="535" ht="12.75" customHeight="1" x14ac:dyDescent="0.25"/>
    <row r="536" ht="12.75" customHeight="1" x14ac:dyDescent="0.25"/>
    <row r="537" ht="12.75" customHeight="1" x14ac:dyDescent="0.25"/>
    <row r="538" ht="12.75" customHeight="1" x14ac:dyDescent="0.25"/>
    <row r="539" ht="12.75" customHeight="1" x14ac:dyDescent="0.25"/>
    <row r="540" ht="12.75" customHeight="1" x14ac:dyDescent="0.25"/>
    <row r="541" ht="12.75" customHeight="1" x14ac:dyDescent="0.25"/>
    <row r="542" ht="12.75" customHeight="1" x14ac:dyDescent="0.25"/>
    <row r="543" ht="12.75" customHeight="1" x14ac:dyDescent="0.25"/>
    <row r="544" ht="12.75" customHeight="1" x14ac:dyDescent="0.25"/>
    <row r="545" ht="12.75" customHeight="1" x14ac:dyDescent="0.25"/>
    <row r="546" ht="12.75" customHeight="1" x14ac:dyDescent="0.25"/>
    <row r="547" ht="12.75" customHeight="1" x14ac:dyDescent="0.25"/>
    <row r="548" ht="12.75" customHeight="1" x14ac:dyDescent="0.25"/>
    <row r="549" ht="12.75" customHeight="1" x14ac:dyDescent="0.25"/>
    <row r="550" ht="12.75" customHeight="1" x14ac:dyDescent="0.25"/>
    <row r="551" ht="12.75" customHeight="1" x14ac:dyDescent="0.25"/>
    <row r="552" ht="12.75" customHeight="1" x14ac:dyDescent="0.25"/>
    <row r="553" ht="12.75" customHeight="1" x14ac:dyDescent="0.25"/>
    <row r="554" ht="12.75" customHeight="1" x14ac:dyDescent="0.25"/>
    <row r="555" ht="12.75" customHeight="1" x14ac:dyDescent="0.25"/>
    <row r="556" ht="12.75" customHeight="1" x14ac:dyDescent="0.25"/>
    <row r="557" ht="12.75" customHeight="1" x14ac:dyDescent="0.25"/>
    <row r="558" ht="12.75" customHeight="1" x14ac:dyDescent="0.25"/>
    <row r="559" ht="12.75" customHeight="1" x14ac:dyDescent="0.25"/>
    <row r="560" ht="12.75" customHeight="1" x14ac:dyDescent="0.25"/>
    <row r="561" ht="12.75" customHeight="1" x14ac:dyDescent="0.25"/>
    <row r="562" ht="12.75" customHeight="1" x14ac:dyDescent="0.25"/>
    <row r="563" ht="12.75" customHeight="1" x14ac:dyDescent="0.25"/>
    <row r="564" ht="12.75" customHeight="1" x14ac:dyDescent="0.25"/>
    <row r="565" ht="12.75" customHeight="1" x14ac:dyDescent="0.25"/>
    <row r="566" ht="12.75" customHeight="1" x14ac:dyDescent="0.25"/>
    <row r="567" ht="12.75" customHeight="1" x14ac:dyDescent="0.25"/>
    <row r="568" ht="12.75" customHeight="1" x14ac:dyDescent="0.25"/>
    <row r="569" ht="12.75" customHeight="1" x14ac:dyDescent="0.25"/>
    <row r="570" ht="12.75" customHeight="1" x14ac:dyDescent="0.25"/>
    <row r="571" ht="12.75" customHeight="1" x14ac:dyDescent="0.25"/>
    <row r="572" ht="12.75" customHeight="1" x14ac:dyDescent="0.25"/>
    <row r="573" ht="12.75" customHeight="1" x14ac:dyDescent="0.25"/>
    <row r="574" ht="12.75" customHeight="1" x14ac:dyDescent="0.25"/>
    <row r="575" ht="12.75" customHeight="1" x14ac:dyDescent="0.25"/>
    <row r="576" ht="12.75" customHeight="1" x14ac:dyDescent="0.25"/>
    <row r="577" ht="12.75" customHeight="1" x14ac:dyDescent="0.25"/>
    <row r="578" ht="12.75" customHeight="1" x14ac:dyDescent="0.25"/>
    <row r="579" ht="12.75" customHeight="1" x14ac:dyDescent="0.25"/>
    <row r="580" ht="12.75" customHeight="1" x14ac:dyDescent="0.25"/>
    <row r="581" ht="12.75" customHeight="1" x14ac:dyDescent="0.25"/>
    <row r="582" ht="12.75" customHeight="1" x14ac:dyDescent="0.25"/>
    <row r="583" ht="12.75" customHeight="1" x14ac:dyDescent="0.25"/>
    <row r="584" ht="12.75" customHeight="1" x14ac:dyDescent="0.25"/>
    <row r="585" ht="12.75" customHeight="1" x14ac:dyDescent="0.25"/>
    <row r="586" ht="12.75" customHeight="1" x14ac:dyDescent="0.25"/>
    <row r="587" ht="12.75" customHeight="1" x14ac:dyDescent="0.25"/>
    <row r="588" ht="12.75" customHeight="1" x14ac:dyDescent="0.25"/>
    <row r="589" ht="12.75" customHeight="1" x14ac:dyDescent="0.25"/>
    <row r="590" ht="12.75" customHeight="1" x14ac:dyDescent="0.25"/>
    <row r="591" ht="12.75" customHeight="1" x14ac:dyDescent="0.25"/>
    <row r="592" ht="12.75" customHeight="1" x14ac:dyDescent="0.25"/>
    <row r="593" ht="12.75" customHeight="1" x14ac:dyDescent="0.25"/>
    <row r="594" ht="12.75" customHeight="1" x14ac:dyDescent="0.25"/>
    <row r="595" ht="12.75" customHeight="1" x14ac:dyDescent="0.25"/>
    <row r="596" ht="12.75" customHeight="1" x14ac:dyDescent="0.25"/>
    <row r="597" ht="12.75" customHeight="1" x14ac:dyDescent="0.25"/>
    <row r="598" ht="12.75" customHeight="1" x14ac:dyDescent="0.25"/>
    <row r="599" ht="12.75" customHeight="1" x14ac:dyDescent="0.25"/>
    <row r="600" ht="12.75" customHeight="1" x14ac:dyDescent="0.25"/>
    <row r="601" ht="12.75" customHeight="1" x14ac:dyDescent="0.25"/>
    <row r="602" ht="12.75" customHeight="1" x14ac:dyDescent="0.25"/>
    <row r="603" ht="12.75" customHeight="1" x14ac:dyDescent="0.25"/>
    <row r="604" ht="12.75" customHeight="1" x14ac:dyDescent="0.25"/>
    <row r="605" ht="12.75" customHeight="1" x14ac:dyDescent="0.25"/>
    <row r="606" ht="12.75" customHeight="1" x14ac:dyDescent="0.25"/>
    <row r="607" ht="12.75" customHeight="1" x14ac:dyDescent="0.25"/>
    <row r="608" ht="12.75" customHeight="1" x14ac:dyDescent="0.25"/>
    <row r="609" ht="12.75" customHeight="1" x14ac:dyDescent="0.25"/>
    <row r="610" ht="12.75" customHeight="1" x14ac:dyDescent="0.25"/>
    <row r="611" ht="12.75" customHeight="1" x14ac:dyDescent="0.25"/>
    <row r="612" ht="12.75" customHeight="1" x14ac:dyDescent="0.25"/>
    <row r="613" ht="12.75" customHeight="1" x14ac:dyDescent="0.25"/>
    <row r="614" ht="12.75" customHeight="1" x14ac:dyDescent="0.25"/>
    <row r="615" ht="12.75" customHeight="1" x14ac:dyDescent="0.25"/>
    <row r="616" ht="12.75" customHeight="1" x14ac:dyDescent="0.25"/>
    <row r="617" ht="12.75" customHeight="1" x14ac:dyDescent="0.25"/>
    <row r="618" ht="12.75" customHeight="1" x14ac:dyDescent="0.25"/>
    <row r="619" ht="12.75" customHeight="1" x14ac:dyDescent="0.25"/>
    <row r="620" ht="12.75" customHeight="1" x14ac:dyDescent="0.25"/>
    <row r="621" ht="12.75" customHeight="1" x14ac:dyDescent="0.25"/>
    <row r="622" ht="12.75" customHeight="1" x14ac:dyDescent="0.25"/>
    <row r="623" ht="12.75" customHeight="1" x14ac:dyDescent="0.25"/>
    <row r="624" ht="12.75" customHeight="1" x14ac:dyDescent="0.25"/>
    <row r="625" ht="12.75" customHeight="1" x14ac:dyDescent="0.25"/>
    <row r="626" ht="12.75" customHeight="1" x14ac:dyDescent="0.25"/>
    <row r="627" ht="12.75" customHeight="1" x14ac:dyDescent="0.25"/>
    <row r="628" ht="12.75" customHeight="1" x14ac:dyDescent="0.25"/>
    <row r="629" ht="12.75" customHeight="1" x14ac:dyDescent="0.25"/>
    <row r="630" ht="12.75" customHeight="1" x14ac:dyDescent="0.25"/>
    <row r="631" ht="12.75" customHeight="1" x14ac:dyDescent="0.25"/>
    <row r="632" ht="12.75" customHeight="1" x14ac:dyDescent="0.25"/>
    <row r="633" ht="12.75" customHeight="1" x14ac:dyDescent="0.25"/>
    <row r="634" ht="12.75" customHeight="1" x14ac:dyDescent="0.25"/>
    <row r="635" ht="12.75" customHeight="1" x14ac:dyDescent="0.25"/>
    <row r="636" ht="12.75" customHeight="1" x14ac:dyDescent="0.25"/>
    <row r="637" ht="12.75" customHeight="1" x14ac:dyDescent="0.25"/>
    <row r="638" ht="12.75" customHeight="1" x14ac:dyDescent="0.25"/>
    <row r="639" ht="12.75" customHeight="1" x14ac:dyDescent="0.25"/>
    <row r="640" ht="12.75" customHeight="1" x14ac:dyDescent="0.25"/>
    <row r="641" ht="12.75" customHeight="1" x14ac:dyDescent="0.25"/>
    <row r="642" ht="12.75" customHeight="1" x14ac:dyDescent="0.25"/>
    <row r="643" ht="12.75" customHeight="1" x14ac:dyDescent="0.25"/>
    <row r="644" ht="12.75" customHeight="1" x14ac:dyDescent="0.25"/>
    <row r="645" ht="12.75" customHeight="1" x14ac:dyDescent="0.25"/>
    <row r="646" ht="12.75" customHeight="1" x14ac:dyDescent="0.25"/>
    <row r="647" ht="12.75" customHeight="1" x14ac:dyDescent="0.25"/>
    <row r="648" ht="12.75" customHeight="1" x14ac:dyDescent="0.25"/>
    <row r="649" ht="12.75" customHeight="1" x14ac:dyDescent="0.25"/>
    <row r="650" ht="12.75" customHeight="1" x14ac:dyDescent="0.25"/>
    <row r="651" ht="12.75" customHeight="1" x14ac:dyDescent="0.25"/>
    <row r="652" ht="12.75" customHeight="1" x14ac:dyDescent="0.25"/>
    <row r="653" ht="12.75" customHeight="1" x14ac:dyDescent="0.25"/>
    <row r="654" ht="12.75" customHeight="1" x14ac:dyDescent="0.25"/>
    <row r="655" ht="12.75" customHeight="1" x14ac:dyDescent="0.25"/>
    <row r="656" ht="12.75" customHeight="1" x14ac:dyDescent="0.25"/>
    <row r="657" ht="12.75" customHeight="1" x14ac:dyDescent="0.25"/>
    <row r="658" ht="12.75" customHeight="1" x14ac:dyDescent="0.25"/>
    <row r="659" ht="12.75" customHeight="1" x14ac:dyDescent="0.25"/>
    <row r="660" ht="12.75" customHeight="1" x14ac:dyDescent="0.25"/>
    <row r="661" ht="12.75" customHeight="1" x14ac:dyDescent="0.25"/>
    <row r="662" ht="12.75" customHeight="1" x14ac:dyDescent="0.25"/>
    <row r="663" ht="12.75" customHeight="1" x14ac:dyDescent="0.25"/>
    <row r="664" ht="12.75" customHeight="1" x14ac:dyDescent="0.25"/>
    <row r="665" ht="12.75" customHeight="1" x14ac:dyDescent="0.25"/>
    <row r="666" ht="12.75" customHeight="1" x14ac:dyDescent="0.25"/>
    <row r="667" ht="12.75" customHeight="1" x14ac:dyDescent="0.25"/>
    <row r="668" ht="12.75" customHeight="1" x14ac:dyDescent="0.25"/>
    <row r="669" ht="12.75" customHeight="1" x14ac:dyDescent="0.25"/>
    <row r="670" ht="12.75" customHeight="1" x14ac:dyDescent="0.25"/>
    <row r="671" ht="12.75" customHeight="1" x14ac:dyDescent="0.25"/>
    <row r="672" ht="12.75" customHeight="1" x14ac:dyDescent="0.25"/>
    <row r="673" ht="12.75" customHeight="1" x14ac:dyDescent="0.25"/>
    <row r="674" ht="12.75" customHeight="1" x14ac:dyDescent="0.25"/>
    <row r="675" ht="12.75" customHeight="1" x14ac:dyDescent="0.25"/>
    <row r="676" ht="12.75" customHeight="1" x14ac:dyDescent="0.25"/>
    <row r="677" ht="12.75" customHeight="1" x14ac:dyDescent="0.25"/>
    <row r="678" ht="12.75" customHeight="1" x14ac:dyDescent="0.25"/>
    <row r="679" ht="12.75" customHeight="1" x14ac:dyDescent="0.25"/>
    <row r="680" ht="12.75" customHeight="1" x14ac:dyDescent="0.25"/>
    <row r="681" ht="12.75" customHeight="1" x14ac:dyDescent="0.25"/>
    <row r="682" ht="12.75" customHeight="1" x14ac:dyDescent="0.25"/>
    <row r="683" ht="12.75" customHeight="1" x14ac:dyDescent="0.25"/>
    <row r="684" ht="12.75" customHeight="1" x14ac:dyDescent="0.25"/>
    <row r="685" ht="12.75" customHeight="1" x14ac:dyDescent="0.25"/>
    <row r="686" ht="12.75" customHeight="1" x14ac:dyDescent="0.25"/>
    <row r="687" ht="12.75" customHeight="1" x14ac:dyDescent="0.25"/>
    <row r="688" ht="12.75" customHeight="1" x14ac:dyDescent="0.25"/>
    <row r="689" ht="12.75" customHeight="1" x14ac:dyDescent="0.25"/>
    <row r="690" ht="12.75" customHeight="1" x14ac:dyDescent="0.25"/>
    <row r="691" ht="12.75" customHeight="1" x14ac:dyDescent="0.25"/>
    <row r="692" ht="12.75" customHeight="1" x14ac:dyDescent="0.25"/>
    <row r="693" ht="12.75" customHeight="1" x14ac:dyDescent="0.25"/>
    <row r="694" ht="12.75" customHeight="1" x14ac:dyDescent="0.25"/>
    <row r="695" ht="12.75" customHeight="1" x14ac:dyDescent="0.25"/>
    <row r="696" ht="12.75" customHeight="1" x14ac:dyDescent="0.25"/>
    <row r="697" ht="12.75" customHeight="1" x14ac:dyDescent="0.25"/>
    <row r="698" ht="12.75" customHeight="1" x14ac:dyDescent="0.25"/>
    <row r="699" ht="12.75" customHeight="1" x14ac:dyDescent="0.25"/>
    <row r="700" ht="12.75" customHeight="1" x14ac:dyDescent="0.25"/>
    <row r="701" ht="12.75" customHeight="1" x14ac:dyDescent="0.25"/>
    <row r="702" ht="12.75" customHeight="1" x14ac:dyDescent="0.25"/>
    <row r="703" ht="12.75" customHeight="1" x14ac:dyDescent="0.25"/>
    <row r="704" ht="12.75" customHeight="1" x14ac:dyDescent="0.25"/>
    <row r="705" ht="12.75" customHeight="1" x14ac:dyDescent="0.25"/>
    <row r="706" ht="12.75" customHeight="1" x14ac:dyDescent="0.25"/>
    <row r="707" ht="12.75" customHeight="1" x14ac:dyDescent="0.25"/>
    <row r="708" ht="12.75" customHeight="1" x14ac:dyDescent="0.25"/>
    <row r="709" ht="12.75" customHeight="1" x14ac:dyDescent="0.25"/>
    <row r="710" ht="12.75" customHeight="1" x14ac:dyDescent="0.25"/>
    <row r="711" ht="12.75" customHeight="1" x14ac:dyDescent="0.25"/>
    <row r="712" ht="12.75" customHeight="1" x14ac:dyDescent="0.25"/>
    <row r="713" ht="12.75" customHeight="1" x14ac:dyDescent="0.25"/>
    <row r="714" ht="12.75" customHeight="1" x14ac:dyDescent="0.25"/>
    <row r="715" ht="12.75" customHeight="1" x14ac:dyDescent="0.25"/>
    <row r="716" ht="12.75" customHeight="1" x14ac:dyDescent="0.25"/>
    <row r="717" ht="12.75" customHeight="1" x14ac:dyDescent="0.25"/>
    <row r="718" ht="12.75" customHeight="1" x14ac:dyDescent="0.25"/>
    <row r="719" ht="12.75" customHeight="1" x14ac:dyDescent="0.25"/>
    <row r="720" ht="12.75" customHeight="1" x14ac:dyDescent="0.25"/>
    <row r="721" ht="12.75" customHeight="1" x14ac:dyDescent="0.25"/>
    <row r="722" ht="12.75" customHeight="1" x14ac:dyDescent="0.25"/>
    <row r="723" ht="12.75" customHeight="1" x14ac:dyDescent="0.25"/>
    <row r="724" ht="12.75" customHeight="1" x14ac:dyDescent="0.25"/>
    <row r="725" ht="12.75" customHeight="1" x14ac:dyDescent="0.25"/>
    <row r="726" ht="12.75" customHeight="1" x14ac:dyDescent="0.25"/>
    <row r="727" ht="12.75" customHeight="1" x14ac:dyDescent="0.25"/>
    <row r="728" ht="12.75" customHeight="1" x14ac:dyDescent="0.25"/>
    <row r="729" ht="12.75" customHeight="1" x14ac:dyDescent="0.25"/>
    <row r="730" ht="12.75" customHeight="1" x14ac:dyDescent="0.25"/>
    <row r="731" ht="12.75" customHeight="1" x14ac:dyDescent="0.25"/>
    <row r="732" ht="12.75" customHeight="1" x14ac:dyDescent="0.25"/>
    <row r="733" ht="12.75" customHeight="1" x14ac:dyDescent="0.25"/>
    <row r="734" ht="12.75" customHeight="1" x14ac:dyDescent="0.25"/>
    <row r="735" ht="12.75" customHeight="1" x14ac:dyDescent="0.25"/>
    <row r="736" ht="12.75" customHeight="1" x14ac:dyDescent="0.25"/>
    <row r="737" ht="12.75" customHeight="1" x14ac:dyDescent="0.25"/>
    <row r="738" ht="12.75" customHeight="1" x14ac:dyDescent="0.25"/>
    <row r="739" ht="12.75" customHeight="1" x14ac:dyDescent="0.25"/>
    <row r="740" ht="12.75" customHeight="1" x14ac:dyDescent="0.25"/>
    <row r="741" ht="12.75" customHeight="1" x14ac:dyDescent="0.25"/>
    <row r="742" ht="12.75" customHeight="1" x14ac:dyDescent="0.25"/>
    <row r="743" ht="12.75" customHeight="1" x14ac:dyDescent="0.25"/>
    <row r="744" ht="12.75" customHeight="1" x14ac:dyDescent="0.25"/>
    <row r="745" ht="12.75" customHeight="1" x14ac:dyDescent="0.25"/>
    <row r="746" ht="12.75" customHeight="1" x14ac:dyDescent="0.25"/>
    <row r="747" ht="12.75" customHeight="1" x14ac:dyDescent="0.25"/>
    <row r="748" ht="12.75" customHeight="1" x14ac:dyDescent="0.25"/>
    <row r="749" ht="12.75" customHeight="1" x14ac:dyDescent="0.25"/>
    <row r="750" ht="12.75" customHeight="1" x14ac:dyDescent="0.25"/>
    <row r="751" ht="12.75" customHeight="1" x14ac:dyDescent="0.25"/>
    <row r="752" ht="12.75" customHeight="1" x14ac:dyDescent="0.25"/>
    <row r="753" ht="12.75" customHeight="1" x14ac:dyDescent="0.25"/>
    <row r="754" ht="12.75" customHeight="1" x14ac:dyDescent="0.25"/>
    <row r="755" ht="12.75" customHeight="1" x14ac:dyDescent="0.25"/>
    <row r="756" ht="12.75" customHeight="1" x14ac:dyDescent="0.25"/>
    <row r="757" ht="12.75" customHeight="1" x14ac:dyDescent="0.25"/>
    <row r="758" ht="12.75" customHeight="1" x14ac:dyDescent="0.25"/>
    <row r="759" ht="12.75" customHeight="1" x14ac:dyDescent="0.25"/>
    <row r="760" ht="12.75" customHeight="1" x14ac:dyDescent="0.25"/>
    <row r="761" ht="12.75" customHeight="1" x14ac:dyDescent="0.25"/>
    <row r="762" ht="12.75" customHeight="1" x14ac:dyDescent="0.25"/>
    <row r="763" ht="12.75" customHeight="1" x14ac:dyDescent="0.25"/>
    <row r="764" ht="12.75" customHeight="1" x14ac:dyDescent="0.25"/>
    <row r="765" ht="12.75" customHeight="1" x14ac:dyDescent="0.25"/>
    <row r="766" ht="12.75" customHeight="1" x14ac:dyDescent="0.25"/>
    <row r="767" ht="12.75" customHeight="1" x14ac:dyDescent="0.25"/>
    <row r="768" ht="12.75" customHeight="1" x14ac:dyDescent="0.25"/>
    <row r="769" ht="12.75" customHeight="1" x14ac:dyDescent="0.25"/>
    <row r="770" ht="12.75" customHeight="1" x14ac:dyDescent="0.25"/>
    <row r="771" ht="12.75" customHeight="1" x14ac:dyDescent="0.25"/>
    <row r="772" ht="12.75" customHeight="1" x14ac:dyDescent="0.25"/>
    <row r="773" ht="12.75" customHeight="1" x14ac:dyDescent="0.25"/>
    <row r="774" ht="12.75" customHeight="1" x14ac:dyDescent="0.25"/>
    <row r="775" ht="12.75" customHeight="1" x14ac:dyDescent="0.25"/>
    <row r="776" ht="12.75" customHeight="1" x14ac:dyDescent="0.25"/>
    <row r="777" ht="12.75" customHeight="1" x14ac:dyDescent="0.25"/>
    <row r="778" ht="12.75" customHeight="1" x14ac:dyDescent="0.25"/>
    <row r="779" ht="12.75" customHeight="1" x14ac:dyDescent="0.25"/>
    <row r="780" ht="12.75" customHeight="1" x14ac:dyDescent="0.25"/>
    <row r="781" ht="12.75" customHeight="1" x14ac:dyDescent="0.25"/>
    <row r="782" ht="12.75" customHeight="1" x14ac:dyDescent="0.25"/>
    <row r="783" ht="12.75" customHeight="1" x14ac:dyDescent="0.25"/>
    <row r="784" ht="12.75" customHeight="1" x14ac:dyDescent="0.25"/>
    <row r="785" ht="12.75" customHeight="1" x14ac:dyDescent="0.25"/>
    <row r="786" ht="12.75" customHeight="1" x14ac:dyDescent="0.25"/>
    <row r="787" ht="12.75" customHeight="1" x14ac:dyDescent="0.25"/>
    <row r="788" ht="12.75" customHeight="1" x14ac:dyDescent="0.25"/>
    <row r="789" ht="12.75" customHeight="1" x14ac:dyDescent="0.25"/>
    <row r="790" ht="12.75" customHeight="1" x14ac:dyDescent="0.25"/>
    <row r="791" ht="12.75" customHeight="1" x14ac:dyDescent="0.25"/>
    <row r="792" ht="12.75" customHeight="1" x14ac:dyDescent="0.25"/>
    <row r="793" ht="12.75" customHeight="1" x14ac:dyDescent="0.25"/>
    <row r="794" ht="12.75" customHeight="1" x14ac:dyDescent="0.25"/>
    <row r="795" ht="12.75" customHeight="1" x14ac:dyDescent="0.25"/>
    <row r="796" ht="12.75" customHeight="1" x14ac:dyDescent="0.25"/>
    <row r="797" ht="12.75" customHeight="1" x14ac:dyDescent="0.25"/>
    <row r="798" ht="12.75" customHeight="1" x14ac:dyDescent="0.25"/>
    <row r="799" ht="12.75" customHeight="1" x14ac:dyDescent="0.25"/>
    <row r="800" ht="12.75" customHeight="1" x14ac:dyDescent="0.25"/>
    <row r="801" ht="12.75" customHeight="1" x14ac:dyDescent="0.25"/>
    <row r="802" ht="12.75" customHeight="1" x14ac:dyDescent="0.25"/>
    <row r="803" ht="12.75" customHeight="1" x14ac:dyDescent="0.25"/>
    <row r="804" ht="12.75" customHeight="1" x14ac:dyDescent="0.25"/>
    <row r="805" ht="12.75" customHeight="1" x14ac:dyDescent="0.25"/>
    <row r="806" ht="12.75" customHeight="1" x14ac:dyDescent="0.25"/>
    <row r="807" ht="12.75" customHeight="1" x14ac:dyDescent="0.25"/>
    <row r="808" ht="12.75" customHeight="1" x14ac:dyDescent="0.25"/>
    <row r="809" ht="12.75" customHeight="1" x14ac:dyDescent="0.25"/>
    <row r="810" ht="12.75" customHeight="1" x14ac:dyDescent="0.25"/>
    <row r="811" ht="12.75" customHeight="1" x14ac:dyDescent="0.25"/>
    <row r="812" ht="12.75" customHeight="1" x14ac:dyDescent="0.25"/>
    <row r="813" ht="12.75" customHeight="1" x14ac:dyDescent="0.25"/>
    <row r="814" ht="12.75" customHeight="1" x14ac:dyDescent="0.25"/>
    <row r="815" ht="12.75" customHeight="1" x14ac:dyDescent="0.25"/>
    <row r="816" ht="12.75" customHeight="1" x14ac:dyDescent="0.25"/>
    <row r="817" ht="12.75" customHeight="1" x14ac:dyDescent="0.25"/>
    <row r="818" ht="12.75" customHeight="1" x14ac:dyDescent="0.25"/>
    <row r="819" ht="12.75" customHeight="1" x14ac:dyDescent="0.25"/>
    <row r="820" ht="12.75" customHeight="1" x14ac:dyDescent="0.25"/>
    <row r="821" ht="12.75" customHeight="1" x14ac:dyDescent="0.25"/>
    <row r="822" ht="12.75" customHeight="1" x14ac:dyDescent="0.25"/>
    <row r="823" ht="12.75" customHeight="1" x14ac:dyDescent="0.25"/>
    <row r="824" ht="12.75" customHeight="1" x14ac:dyDescent="0.25"/>
    <row r="825" ht="12.75" customHeight="1" x14ac:dyDescent="0.25"/>
    <row r="826" ht="12.75" customHeight="1" x14ac:dyDescent="0.25"/>
    <row r="827" ht="12.75" customHeight="1" x14ac:dyDescent="0.25"/>
    <row r="828" ht="12.75" customHeight="1" x14ac:dyDescent="0.25"/>
    <row r="829" ht="12.75" customHeight="1" x14ac:dyDescent="0.25"/>
    <row r="830" ht="12.75" customHeight="1" x14ac:dyDescent="0.25"/>
    <row r="831" ht="12.75" customHeight="1" x14ac:dyDescent="0.25"/>
    <row r="832" ht="12.75" customHeight="1" x14ac:dyDescent="0.25"/>
    <row r="833" ht="12.75" customHeight="1" x14ac:dyDescent="0.25"/>
    <row r="834" ht="12.75" customHeight="1" x14ac:dyDescent="0.25"/>
    <row r="835" ht="12.75" customHeight="1" x14ac:dyDescent="0.25"/>
    <row r="836" ht="12.75" customHeight="1" x14ac:dyDescent="0.25"/>
    <row r="837" ht="12.75" customHeight="1" x14ac:dyDescent="0.25"/>
    <row r="838" ht="12.75" customHeight="1" x14ac:dyDescent="0.25"/>
    <row r="839" ht="12.75" customHeight="1" x14ac:dyDescent="0.25"/>
    <row r="840" ht="12.75" customHeight="1" x14ac:dyDescent="0.25"/>
    <row r="841" ht="12.75" customHeight="1" x14ac:dyDescent="0.25"/>
    <row r="842" ht="12.75" customHeight="1" x14ac:dyDescent="0.25"/>
    <row r="843" ht="12.75" customHeight="1" x14ac:dyDescent="0.25"/>
    <row r="844" ht="12.75" customHeight="1" x14ac:dyDescent="0.25"/>
    <row r="845" ht="12.75" customHeight="1" x14ac:dyDescent="0.25"/>
    <row r="846" ht="12.75" customHeight="1" x14ac:dyDescent="0.25"/>
    <row r="847" ht="12.75" customHeight="1" x14ac:dyDescent="0.25"/>
    <row r="848" ht="12.75" customHeight="1" x14ac:dyDescent="0.25"/>
    <row r="849" ht="12.75" customHeight="1" x14ac:dyDescent="0.25"/>
    <row r="850" ht="12.75" customHeight="1" x14ac:dyDescent="0.25"/>
    <row r="851" ht="12.75" customHeight="1" x14ac:dyDescent="0.25"/>
    <row r="852" ht="12.75" customHeight="1" x14ac:dyDescent="0.25"/>
    <row r="853" ht="12.75" customHeight="1" x14ac:dyDescent="0.25"/>
    <row r="854" ht="12.75" customHeight="1" x14ac:dyDescent="0.25"/>
    <row r="855" ht="12.75" customHeight="1" x14ac:dyDescent="0.25"/>
    <row r="856" ht="12.75" customHeight="1" x14ac:dyDescent="0.25"/>
    <row r="857" ht="12.75" customHeight="1" x14ac:dyDescent="0.25"/>
    <row r="858" ht="12.75" customHeight="1" x14ac:dyDescent="0.25"/>
    <row r="859" ht="12.75" customHeight="1" x14ac:dyDescent="0.25"/>
    <row r="860" ht="12.75" customHeight="1" x14ac:dyDescent="0.25"/>
    <row r="861" ht="12.75" customHeight="1" x14ac:dyDescent="0.25"/>
    <row r="862" ht="12.75" customHeight="1" x14ac:dyDescent="0.25"/>
    <row r="863" ht="12.75" customHeight="1" x14ac:dyDescent="0.25"/>
    <row r="864" ht="12.75" customHeight="1" x14ac:dyDescent="0.25"/>
    <row r="865" ht="12.75" customHeight="1" x14ac:dyDescent="0.25"/>
    <row r="866" ht="12.75" customHeight="1" x14ac:dyDescent="0.25"/>
    <row r="867" ht="12.75" customHeight="1" x14ac:dyDescent="0.25"/>
    <row r="868" ht="12.75" customHeight="1" x14ac:dyDescent="0.25"/>
    <row r="869" ht="12.75" customHeight="1" x14ac:dyDescent="0.25"/>
    <row r="870" ht="12.75" customHeight="1" x14ac:dyDescent="0.25"/>
    <row r="871" ht="12.75" customHeight="1" x14ac:dyDescent="0.25"/>
    <row r="872" ht="12.75" customHeight="1" x14ac:dyDescent="0.25"/>
    <row r="873" ht="12.75" customHeight="1" x14ac:dyDescent="0.25"/>
    <row r="874" ht="12.75" customHeight="1" x14ac:dyDescent="0.25"/>
    <row r="875" ht="12.75" customHeight="1" x14ac:dyDescent="0.25"/>
    <row r="876" ht="12.75" customHeight="1" x14ac:dyDescent="0.25"/>
    <row r="877" ht="12.75" customHeight="1" x14ac:dyDescent="0.25"/>
    <row r="878" ht="12.75" customHeight="1" x14ac:dyDescent="0.25"/>
    <row r="879" ht="12.75" customHeight="1" x14ac:dyDescent="0.25"/>
    <row r="880" ht="12.75" customHeight="1" x14ac:dyDescent="0.25"/>
    <row r="881" ht="12.75" customHeight="1" x14ac:dyDescent="0.25"/>
    <row r="882" ht="12.75" customHeight="1" x14ac:dyDescent="0.25"/>
    <row r="883" ht="12.75" customHeight="1" x14ac:dyDescent="0.25"/>
    <row r="884" ht="12.75" customHeight="1" x14ac:dyDescent="0.25"/>
    <row r="885" ht="12.75" customHeight="1" x14ac:dyDescent="0.25"/>
    <row r="886" ht="12.75" customHeight="1" x14ac:dyDescent="0.25"/>
    <row r="887" ht="12.75" customHeight="1" x14ac:dyDescent="0.25"/>
    <row r="888" ht="12.75" customHeight="1" x14ac:dyDescent="0.25"/>
    <row r="889" ht="12.75" customHeight="1" x14ac:dyDescent="0.25"/>
    <row r="890" ht="12.75" customHeight="1" x14ac:dyDescent="0.25"/>
    <row r="891" ht="12.75" customHeight="1" x14ac:dyDescent="0.25"/>
    <row r="892" ht="12.75" customHeight="1" x14ac:dyDescent="0.25"/>
    <row r="893" ht="12.75" customHeight="1" x14ac:dyDescent="0.25"/>
    <row r="894" ht="12.75" customHeight="1" x14ac:dyDescent="0.25"/>
    <row r="895" ht="12.75" customHeight="1" x14ac:dyDescent="0.25"/>
    <row r="896" ht="12.75" customHeight="1" x14ac:dyDescent="0.25"/>
    <row r="897" ht="12.75" customHeight="1" x14ac:dyDescent="0.25"/>
    <row r="898" ht="12.75" customHeight="1" x14ac:dyDescent="0.25"/>
    <row r="899" ht="12.75" customHeight="1" x14ac:dyDescent="0.25"/>
    <row r="900" ht="12.75" customHeight="1" x14ac:dyDescent="0.25"/>
    <row r="901" ht="12.75" customHeight="1" x14ac:dyDescent="0.25"/>
    <row r="902" ht="12.75" customHeight="1" x14ac:dyDescent="0.25"/>
    <row r="903" ht="12.75" customHeight="1" x14ac:dyDescent="0.25"/>
    <row r="904" ht="12.75" customHeight="1" x14ac:dyDescent="0.25"/>
    <row r="905" ht="12.75" customHeight="1" x14ac:dyDescent="0.25"/>
    <row r="906" ht="12.75" customHeight="1" x14ac:dyDescent="0.25"/>
    <row r="907" ht="12.75" customHeight="1" x14ac:dyDescent="0.25"/>
    <row r="908" ht="12.75" customHeight="1" x14ac:dyDescent="0.25"/>
    <row r="909" ht="12.75" customHeight="1" x14ac:dyDescent="0.25"/>
    <row r="910" ht="12.75" customHeight="1" x14ac:dyDescent="0.25"/>
    <row r="911" ht="12.75" customHeight="1" x14ac:dyDescent="0.25"/>
    <row r="912" ht="12.75" customHeight="1" x14ac:dyDescent="0.25"/>
    <row r="913" ht="12.75" customHeight="1" x14ac:dyDescent="0.25"/>
    <row r="914" ht="12.75" customHeight="1" x14ac:dyDescent="0.25"/>
    <row r="915" ht="12.75" customHeight="1" x14ac:dyDescent="0.25"/>
    <row r="916" ht="12.75" customHeight="1" x14ac:dyDescent="0.25"/>
  </sheetData>
  <mergeCells count="26">
    <mergeCell ref="AB132:AC132"/>
    <mergeCell ref="AB96:AC96"/>
    <mergeCell ref="B113:N113"/>
    <mergeCell ref="P113:AA113"/>
    <mergeCell ref="AB114:AC114"/>
    <mergeCell ref="B131:N131"/>
    <mergeCell ref="P131:AA131"/>
    <mergeCell ref="B95:N95"/>
    <mergeCell ref="P95:AA95"/>
    <mergeCell ref="AB22:AC22"/>
    <mergeCell ref="B39:N39"/>
    <mergeCell ref="P39:AA39"/>
    <mergeCell ref="AB40:AC40"/>
    <mergeCell ref="B57:N57"/>
    <mergeCell ref="P57:AA57"/>
    <mergeCell ref="AB58:AC58"/>
    <mergeCell ref="A74:F74"/>
    <mergeCell ref="B77:N77"/>
    <mergeCell ref="P77:AA77"/>
    <mergeCell ref="AB78:AC78"/>
    <mergeCell ref="A1:F1"/>
    <mergeCell ref="B3:N3"/>
    <mergeCell ref="P3:AA3"/>
    <mergeCell ref="AB4:AC4"/>
    <mergeCell ref="B21:N21"/>
    <mergeCell ref="P21:AA21"/>
  </mergeCells>
  <conditionalFormatting sqref="Q5:AA15">
    <cfRule type="dataBar" priority="15">
      <dataBar>
        <cfvo type="min"/>
        <cfvo type="max"/>
        <color rgb="FFFFB628"/>
      </dataBar>
      <extLst>
        <ext xmlns:x14="http://schemas.microsoft.com/office/spreadsheetml/2009/9/main" uri="{B025F937-C7B1-47D3-B67F-A62EFF666E3E}">
          <x14:id>{7CA6D025-2DD4-43D4-9F20-E4B33D6C9572}</x14:id>
        </ext>
      </extLst>
    </cfRule>
    <cfRule type="dataBar" priority="16">
      <dataBar>
        <cfvo type="min"/>
        <cfvo type="max"/>
        <color rgb="FFFF555A"/>
      </dataBar>
      <extLst>
        <ext xmlns:x14="http://schemas.microsoft.com/office/spreadsheetml/2009/9/main" uri="{B025F937-C7B1-47D3-B67F-A62EFF666E3E}">
          <x14:id>{874C0007-E889-441E-8E4E-FC1C2CBB8741}</x14:id>
        </ext>
      </extLst>
    </cfRule>
  </conditionalFormatting>
  <conditionalFormatting sqref="Q23:AA33">
    <cfRule type="dataBar" priority="13">
      <dataBar>
        <cfvo type="min"/>
        <cfvo type="max"/>
        <color rgb="FFFFB628"/>
      </dataBar>
      <extLst>
        <ext xmlns:x14="http://schemas.microsoft.com/office/spreadsheetml/2009/9/main" uri="{B025F937-C7B1-47D3-B67F-A62EFF666E3E}">
          <x14:id>{C35004D2-DE51-471E-93D0-66A30940460B}</x14:id>
        </ext>
      </extLst>
    </cfRule>
    <cfRule type="dataBar" priority="14">
      <dataBar>
        <cfvo type="min"/>
        <cfvo type="max"/>
        <color rgb="FFFF555A"/>
      </dataBar>
      <extLst>
        <ext xmlns:x14="http://schemas.microsoft.com/office/spreadsheetml/2009/9/main" uri="{B025F937-C7B1-47D3-B67F-A62EFF666E3E}">
          <x14:id>{5C6E9681-C0C7-4327-AF27-7CCC70C59300}</x14:id>
        </ext>
      </extLst>
    </cfRule>
  </conditionalFormatting>
  <conditionalFormatting sqref="Q41:AA51">
    <cfRule type="dataBar" priority="11">
      <dataBar>
        <cfvo type="min"/>
        <cfvo type="max"/>
        <color rgb="FFFFB628"/>
      </dataBar>
      <extLst>
        <ext xmlns:x14="http://schemas.microsoft.com/office/spreadsheetml/2009/9/main" uri="{B025F937-C7B1-47D3-B67F-A62EFF666E3E}">
          <x14:id>{BC4FB950-79A3-4362-871C-929F0E260CDC}</x14:id>
        </ext>
      </extLst>
    </cfRule>
    <cfRule type="dataBar" priority="12">
      <dataBar>
        <cfvo type="min"/>
        <cfvo type="max"/>
        <color rgb="FFFF555A"/>
      </dataBar>
      <extLst>
        <ext xmlns:x14="http://schemas.microsoft.com/office/spreadsheetml/2009/9/main" uri="{B025F937-C7B1-47D3-B67F-A62EFF666E3E}">
          <x14:id>{E3177E74-58BA-4297-9C25-5F5672DEDFE0}</x14:id>
        </ext>
      </extLst>
    </cfRule>
  </conditionalFormatting>
  <conditionalFormatting sqref="Q59:AA69">
    <cfRule type="dataBar" priority="9">
      <dataBar>
        <cfvo type="min"/>
        <cfvo type="max"/>
        <color rgb="FFFFB628"/>
      </dataBar>
      <extLst>
        <ext xmlns:x14="http://schemas.microsoft.com/office/spreadsheetml/2009/9/main" uri="{B025F937-C7B1-47D3-B67F-A62EFF666E3E}">
          <x14:id>{846778E7-89FC-482C-91B2-00586424EED1}</x14:id>
        </ext>
      </extLst>
    </cfRule>
    <cfRule type="dataBar" priority="10">
      <dataBar>
        <cfvo type="min"/>
        <cfvo type="max"/>
        <color rgb="FFFF555A"/>
      </dataBar>
      <extLst>
        <ext xmlns:x14="http://schemas.microsoft.com/office/spreadsheetml/2009/9/main" uri="{B025F937-C7B1-47D3-B67F-A62EFF666E3E}">
          <x14:id>{F3A7ABD0-52CF-40FD-B9B4-9A38A2C76195}</x14:id>
        </ext>
      </extLst>
    </cfRule>
  </conditionalFormatting>
  <conditionalFormatting sqref="Q79:AA89">
    <cfRule type="dataBar" priority="7">
      <dataBar>
        <cfvo type="min"/>
        <cfvo type="max"/>
        <color rgb="FFFFB628"/>
      </dataBar>
      <extLst>
        <ext xmlns:x14="http://schemas.microsoft.com/office/spreadsheetml/2009/9/main" uri="{B025F937-C7B1-47D3-B67F-A62EFF666E3E}">
          <x14:id>{50CE29F0-6947-4CA0-9293-B55300B4AB7A}</x14:id>
        </ext>
      </extLst>
    </cfRule>
    <cfRule type="dataBar" priority="8">
      <dataBar>
        <cfvo type="min"/>
        <cfvo type="max"/>
        <color rgb="FFFF555A"/>
      </dataBar>
      <extLst>
        <ext xmlns:x14="http://schemas.microsoft.com/office/spreadsheetml/2009/9/main" uri="{B025F937-C7B1-47D3-B67F-A62EFF666E3E}">
          <x14:id>{B0CD0671-3E5A-40A1-8814-4387AFEB2AA2}</x14:id>
        </ext>
      </extLst>
    </cfRule>
  </conditionalFormatting>
  <conditionalFormatting sqref="Q97:AA107">
    <cfRule type="dataBar" priority="5">
      <dataBar>
        <cfvo type="min"/>
        <cfvo type="max"/>
        <color rgb="FFFFB628"/>
      </dataBar>
      <extLst>
        <ext xmlns:x14="http://schemas.microsoft.com/office/spreadsheetml/2009/9/main" uri="{B025F937-C7B1-47D3-B67F-A62EFF666E3E}">
          <x14:id>{B2F14C6E-AE9B-4D5E-A017-EEDF17509524}</x14:id>
        </ext>
      </extLst>
    </cfRule>
    <cfRule type="dataBar" priority="6">
      <dataBar>
        <cfvo type="min"/>
        <cfvo type="max"/>
        <color rgb="FFFF555A"/>
      </dataBar>
      <extLst>
        <ext xmlns:x14="http://schemas.microsoft.com/office/spreadsheetml/2009/9/main" uri="{B025F937-C7B1-47D3-B67F-A62EFF666E3E}">
          <x14:id>{AC1719BA-111F-4C6A-9231-0CB458298F9D}</x14:id>
        </ext>
      </extLst>
    </cfRule>
  </conditionalFormatting>
  <conditionalFormatting sqref="Q115:AA125">
    <cfRule type="dataBar" priority="3">
      <dataBar>
        <cfvo type="min"/>
        <cfvo type="max"/>
        <color rgb="FFFFB628"/>
      </dataBar>
      <extLst>
        <ext xmlns:x14="http://schemas.microsoft.com/office/spreadsheetml/2009/9/main" uri="{B025F937-C7B1-47D3-B67F-A62EFF666E3E}">
          <x14:id>{A98EEF66-2B14-4703-BBFA-2DC97A3498E0}</x14:id>
        </ext>
      </extLst>
    </cfRule>
    <cfRule type="dataBar" priority="4">
      <dataBar>
        <cfvo type="min"/>
        <cfvo type="max"/>
        <color rgb="FFFF555A"/>
      </dataBar>
      <extLst>
        <ext xmlns:x14="http://schemas.microsoft.com/office/spreadsheetml/2009/9/main" uri="{B025F937-C7B1-47D3-B67F-A62EFF666E3E}">
          <x14:id>{B67DBC63-6113-485D-8396-D50B3339B78F}</x14:id>
        </ext>
      </extLst>
    </cfRule>
  </conditionalFormatting>
  <conditionalFormatting sqref="Q133:AA143">
    <cfRule type="dataBar" priority="1">
      <dataBar>
        <cfvo type="min"/>
        <cfvo type="max"/>
        <color rgb="FFFFB628"/>
      </dataBar>
      <extLst>
        <ext xmlns:x14="http://schemas.microsoft.com/office/spreadsheetml/2009/9/main" uri="{B025F937-C7B1-47D3-B67F-A62EFF666E3E}">
          <x14:id>{1A4F21AA-A3BA-4AD9-A472-A588E82F4528}</x14:id>
        </ext>
      </extLst>
    </cfRule>
    <cfRule type="dataBar" priority="2">
      <dataBar>
        <cfvo type="min"/>
        <cfvo type="max"/>
        <color rgb="FFFF555A"/>
      </dataBar>
      <extLst>
        <ext xmlns:x14="http://schemas.microsoft.com/office/spreadsheetml/2009/9/main" uri="{B025F937-C7B1-47D3-B67F-A62EFF666E3E}">
          <x14:id>{3E785F79-6D25-45BB-8775-0A696933D754}</x14:id>
        </ext>
      </extLst>
    </cfRule>
  </conditionalFormatting>
  <pageMargins left="0.7" right="0.7" top="0.75" bottom="0.75" header="0" footer="0"/>
  <pageSetup paperSize="9" orientation="portrait" r:id="rId1"/>
  <tableParts count="8">
    <tablePart r:id="rId2"/>
    <tablePart r:id="rId3"/>
    <tablePart r:id="rId4"/>
    <tablePart r:id="rId5"/>
    <tablePart r:id="rId6"/>
    <tablePart r:id="rId7"/>
    <tablePart r:id="rId8"/>
    <tablePart r:id="rId9"/>
  </tableParts>
  <extLst>
    <ext xmlns:x14="http://schemas.microsoft.com/office/spreadsheetml/2009/9/main" uri="{78C0D931-6437-407d-A8EE-F0AAD7539E65}">
      <x14:conditionalFormattings>
        <x14:conditionalFormatting xmlns:xm="http://schemas.microsoft.com/office/excel/2006/main">
          <x14:cfRule type="dataBar" id="{7CA6D025-2DD4-43D4-9F20-E4B33D6C9572}">
            <x14:dataBar minLength="0" maxLength="100" gradient="0">
              <x14:cfvo type="autoMin"/>
              <x14:cfvo type="autoMax"/>
              <x14:negativeFillColor rgb="FFFF0000"/>
              <x14:axisColor rgb="FF000000"/>
            </x14:dataBar>
          </x14:cfRule>
          <x14:cfRule type="dataBar" id="{874C0007-E889-441E-8E4E-FC1C2CBB8741}">
            <x14:dataBar minLength="0" maxLength="100" border="1" negativeBarBorderColorSameAsPositive="0">
              <x14:cfvo type="autoMin"/>
              <x14:cfvo type="autoMax"/>
              <x14:borderColor rgb="FFFF555A"/>
              <x14:negativeFillColor rgb="FFFF0000"/>
              <x14:negativeBorderColor rgb="FFFF0000"/>
              <x14:axisColor rgb="FF000000"/>
            </x14:dataBar>
          </x14:cfRule>
          <xm:sqref>Q5:AA15</xm:sqref>
        </x14:conditionalFormatting>
        <x14:conditionalFormatting xmlns:xm="http://schemas.microsoft.com/office/excel/2006/main">
          <x14:cfRule type="dataBar" id="{C35004D2-DE51-471E-93D0-66A30940460B}">
            <x14:dataBar minLength="0" maxLength="100" gradient="0">
              <x14:cfvo type="autoMin"/>
              <x14:cfvo type="autoMax"/>
              <x14:negativeFillColor rgb="FFFF0000"/>
              <x14:axisColor rgb="FF000000"/>
            </x14:dataBar>
          </x14:cfRule>
          <x14:cfRule type="dataBar" id="{5C6E9681-C0C7-4327-AF27-7CCC70C59300}">
            <x14:dataBar minLength="0" maxLength="100" border="1" negativeBarBorderColorSameAsPositive="0">
              <x14:cfvo type="autoMin"/>
              <x14:cfvo type="autoMax"/>
              <x14:borderColor rgb="FFFF555A"/>
              <x14:negativeFillColor rgb="FFFF0000"/>
              <x14:negativeBorderColor rgb="FFFF0000"/>
              <x14:axisColor rgb="FF000000"/>
            </x14:dataBar>
          </x14:cfRule>
          <xm:sqref>Q23:AA33</xm:sqref>
        </x14:conditionalFormatting>
        <x14:conditionalFormatting xmlns:xm="http://schemas.microsoft.com/office/excel/2006/main">
          <x14:cfRule type="dataBar" id="{BC4FB950-79A3-4362-871C-929F0E260CDC}">
            <x14:dataBar minLength="0" maxLength="100" gradient="0">
              <x14:cfvo type="autoMin"/>
              <x14:cfvo type="autoMax"/>
              <x14:negativeFillColor rgb="FFFF0000"/>
              <x14:axisColor rgb="FF000000"/>
            </x14:dataBar>
          </x14:cfRule>
          <x14:cfRule type="dataBar" id="{E3177E74-58BA-4297-9C25-5F5672DEDFE0}">
            <x14:dataBar minLength="0" maxLength="100" border="1" negativeBarBorderColorSameAsPositive="0">
              <x14:cfvo type="autoMin"/>
              <x14:cfvo type="autoMax"/>
              <x14:borderColor rgb="FFFF555A"/>
              <x14:negativeFillColor rgb="FFFF0000"/>
              <x14:negativeBorderColor rgb="FFFF0000"/>
              <x14:axisColor rgb="FF000000"/>
            </x14:dataBar>
          </x14:cfRule>
          <xm:sqref>Q41:AA51</xm:sqref>
        </x14:conditionalFormatting>
        <x14:conditionalFormatting xmlns:xm="http://schemas.microsoft.com/office/excel/2006/main">
          <x14:cfRule type="dataBar" id="{846778E7-89FC-482C-91B2-00586424EED1}">
            <x14:dataBar minLength="0" maxLength="100" gradient="0">
              <x14:cfvo type="autoMin"/>
              <x14:cfvo type="autoMax"/>
              <x14:negativeFillColor rgb="FFFF0000"/>
              <x14:axisColor rgb="FF000000"/>
            </x14:dataBar>
          </x14:cfRule>
          <x14:cfRule type="dataBar" id="{F3A7ABD0-52CF-40FD-B9B4-9A38A2C76195}">
            <x14:dataBar minLength="0" maxLength="100" border="1" negativeBarBorderColorSameAsPositive="0">
              <x14:cfvo type="autoMin"/>
              <x14:cfvo type="autoMax"/>
              <x14:borderColor rgb="FFFF555A"/>
              <x14:negativeFillColor rgb="FFFF0000"/>
              <x14:negativeBorderColor rgb="FFFF0000"/>
              <x14:axisColor rgb="FF000000"/>
            </x14:dataBar>
          </x14:cfRule>
          <xm:sqref>Q59:AA69</xm:sqref>
        </x14:conditionalFormatting>
        <x14:conditionalFormatting xmlns:xm="http://schemas.microsoft.com/office/excel/2006/main">
          <x14:cfRule type="dataBar" id="{50CE29F0-6947-4CA0-9293-B55300B4AB7A}">
            <x14:dataBar minLength="0" maxLength="100" gradient="0">
              <x14:cfvo type="autoMin"/>
              <x14:cfvo type="autoMax"/>
              <x14:negativeFillColor rgb="FFFF0000"/>
              <x14:axisColor rgb="FF000000"/>
            </x14:dataBar>
          </x14:cfRule>
          <x14:cfRule type="dataBar" id="{B0CD0671-3E5A-40A1-8814-4387AFEB2AA2}">
            <x14:dataBar minLength="0" maxLength="100" border="1" negativeBarBorderColorSameAsPositive="0">
              <x14:cfvo type="autoMin"/>
              <x14:cfvo type="autoMax"/>
              <x14:borderColor rgb="FFFF555A"/>
              <x14:negativeFillColor rgb="FFFF0000"/>
              <x14:negativeBorderColor rgb="FFFF0000"/>
              <x14:axisColor rgb="FF000000"/>
            </x14:dataBar>
          </x14:cfRule>
          <xm:sqref>Q79:AA89</xm:sqref>
        </x14:conditionalFormatting>
        <x14:conditionalFormatting xmlns:xm="http://schemas.microsoft.com/office/excel/2006/main">
          <x14:cfRule type="dataBar" id="{B2F14C6E-AE9B-4D5E-A017-EEDF17509524}">
            <x14:dataBar minLength="0" maxLength="100" gradient="0">
              <x14:cfvo type="autoMin"/>
              <x14:cfvo type="autoMax"/>
              <x14:negativeFillColor rgb="FFFF0000"/>
              <x14:axisColor rgb="FF000000"/>
            </x14:dataBar>
          </x14:cfRule>
          <x14:cfRule type="dataBar" id="{AC1719BA-111F-4C6A-9231-0CB458298F9D}">
            <x14:dataBar minLength="0" maxLength="100" border="1" negativeBarBorderColorSameAsPositive="0">
              <x14:cfvo type="autoMin"/>
              <x14:cfvo type="autoMax"/>
              <x14:borderColor rgb="FFFF555A"/>
              <x14:negativeFillColor rgb="FFFF0000"/>
              <x14:negativeBorderColor rgb="FFFF0000"/>
              <x14:axisColor rgb="FF000000"/>
            </x14:dataBar>
          </x14:cfRule>
          <xm:sqref>Q97:AA107</xm:sqref>
        </x14:conditionalFormatting>
        <x14:conditionalFormatting xmlns:xm="http://schemas.microsoft.com/office/excel/2006/main">
          <x14:cfRule type="dataBar" id="{A98EEF66-2B14-4703-BBFA-2DC97A3498E0}">
            <x14:dataBar minLength="0" maxLength="100" gradient="0">
              <x14:cfvo type="autoMin"/>
              <x14:cfvo type="autoMax"/>
              <x14:negativeFillColor rgb="FFFF0000"/>
              <x14:axisColor rgb="FF000000"/>
            </x14:dataBar>
          </x14:cfRule>
          <x14:cfRule type="dataBar" id="{B67DBC63-6113-485D-8396-D50B3339B78F}">
            <x14:dataBar minLength="0" maxLength="100" border="1" negativeBarBorderColorSameAsPositive="0">
              <x14:cfvo type="autoMin"/>
              <x14:cfvo type="autoMax"/>
              <x14:borderColor rgb="FFFF555A"/>
              <x14:negativeFillColor rgb="FFFF0000"/>
              <x14:negativeBorderColor rgb="FFFF0000"/>
              <x14:axisColor rgb="FF000000"/>
            </x14:dataBar>
          </x14:cfRule>
          <xm:sqref>Q115:AA125</xm:sqref>
        </x14:conditionalFormatting>
        <x14:conditionalFormatting xmlns:xm="http://schemas.microsoft.com/office/excel/2006/main">
          <x14:cfRule type="dataBar" id="{1A4F21AA-A3BA-4AD9-A472-A588E82F4528}">
            <x14:dataBar minLength="0" maxLength="100" gradient="0">
              <x14:cfvo type="autoMin"/>
              <x14:cfvo type="autoMax"/>
              <x14:negativeFillColor rgb="FFFF0000"/>
              <x14:axisColor rgb="FF000000"/>
            </x14:dataBar>
          </x14:cfRule>
          <x14:cfRule type="dataBar" id="{3E785F79-6D25-45BB-8775-0A696933D754}">
            <x14:dataBar minLength="0" maxLength="100" border="1" negativeBarBorderColorSameAsPositive="0">
              <x14:cfvo type="autoMin"/>
              <x14:cfvo type="autoMax"/>
              <x14:borderColor rgb="FFFF555A"/>
              <x14:negativeFillColor rgb="FFFF0000"/>
              <x14:negativeBorderColor rgb="FFFF0000"/>
              <x14:axisColor rgb="FF000000"/>
            </x14:dataBar>
          </x14:cfRule>
          <xm:sqref>Q133:AA143</xm:sqref>
        </x14:conditionalFormatting>
      </x14:conditionalFormatting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E1009"/>
  <sheetViews>
    <sheetView showGridLines="0" topLeftCell="K109" zoomScale="55" zoomScaleNormal="55" workbookViewId="0">
      <selection activeCell="W237" sqref="W237"/>
    </sheetView>
  </sheetViews>
  <sheetFormatPr defaultColWidth="12.6640625" defaultRowHeight="15" customHeight="1" x14ac:dyDescent="0.25"/>
  <cols>
    <col min="1" max="1" width="8.6640625" style="2" customWidth="1"/>
    <col min="2" max="2" width="12.6640625" style="2" customWidth="1"/>
    <col min="3" max="3" width="29.88671875" style="2" bestFit="1" customWidth="1"/>
    <col min="4" max="4" width="9.88671875" style="2" bestFit="1" customWidth="1"/>
    <col min="5" max="6" width="8.77734375" style="2" bestFit="1" customWidth="1"/>
    <col min="7" max="7" width="9" style="2" bestFit="1" customWidth="1"/>
    <col min="8" max="8" width="10.5546875" style="2" bestFit="1" customWidth="1"/>
    <col min="9" max="9" width="9" style="2" bestFit="1" customWidth="1"/>
    <col min="10" max="10" width="9.88671875" style="2" bestFit="1" customWidth="1"/>
    <col min="11" max="11" width="10.6640625" style="2" customWidth="1"/>
    <col min="12" max="12" width="10.6640625" style="2" bestFit="1" customWidth="1"/>
    <col min="13" max="13" width="10.77734375" style="2" bestFit="1" customWidth="1"/>
    <col min="14" max="14" width="9.6640625" style="2" bestFit="1" customWidth="1"/>
    <col min="15" max="15" width="8.6640625" style="2" customWidth="1"/>
    <col min="16" max="16" width="14.6640625" style="2" customWidth="1"/>
    <col min="17" max="17" width="8.6640625" style="2" customWidth="1"/>
    <col min="18" max="18" width="6.77734375" style="2" customWidth="1"/>
    <col min="19" max="19" width="8.44140625" style="2" customWidth="1"/>
    <col min="20" max="20" width="8.33203125" style="2" bestFit="1" customWidth="1"/>
    <col min="21" max="21" width="10" style="2" customWidth="1"/>
    <col min="22" max="22" width="9.109375" style="2" customWidth="1"/>
    <col min="23" max="23" width="10.44140625" style="2" customWidth="1"/>
    <col min="24" max="24" width="9" style="2" customWidth="1"/>
    <col min="25" max="25" width="10.44140625" style="2" customWidth="1"/>
    <col min="26" max="26" width="10.77734375" style="2" bestFit="1" customWidth="1"/>
    <col min="27" max="27" width="9.21875" style="2" bestFit="1" customWidth="1"/>
    <col min="28" max="16384" width="12.6640625" style="2"/>
  </cols>
  <sheetData>
    <row r="1" spans="1:31" ht="25.05" customHeight="1" x14ac:dyDescent="0.25">
      <c r="A1" s="252" t="s">
        <v>81</v>
      </c>
      <c r="B1" s="252"/>
      <c r="C1" s="252"/>
      <c r="D1" s="252"/>
      <c r="E1" s="252"/>
      <c r="F1" s="252"/>
    </row>
    <row r="2" spans="1:31" ht="15" customHeight="1" x14ac:dyDescent="0.25">
      <c r="B2" s="5"/>
      <c r="C2" s="5"/>
      <c r="D2" s="5"/>
      <c r="E2" s="5"/>
      <c r="F2" s="5"/>
      <c r="G2" s="5"/>
      <c r="H2" s="5"/>
      <c r="I2" s="5"/>
      <c r="J2" s="5"/>
      <c r="K2" s="5"/>
      <c r="L2" s="5"/>
      <c r="M2" s="5"/>
      <c r="N2" s="5"/>
      <c r="O2" s="5"/>
      <c r="P2" s="5"/>
      <c r="Q2" s="5"/>
      <c r="R2" s="5"/>
      <c r="S2" s="5"/>
      <c r="T2" s="5"/>
      <c r="U2" s="5"/>
      <c r="V2" s="5"/>
      <c r="W2" s="5"/>
      <c r="X2" s="5"/>
      <c r="Y2" s="5"/>
      <c r="Z2" s="5"/>
      <c r="AA2" s="5"/>
    </row>
    <row r="3" spans="1:31" ht="15" customHeight="1" thickBot="1" x14ac:dyDescent="0.3">
      <c r="B3" s="253" t="s">
        <v>71</v>
      </c>
      <c r="C3" s="253"/>
      <c r="D3" s="253"/>
      <c r="E3" s="253"/>
      <c r="F3" s="253"/>
      <c r="G3" s="253"/>
      <c r="H3" s="253"/>
      <c r="I3" s="253"/>
      <c r="J3" s="253"/>
      <c r="K3" s="253"/>
      <c r="L3" s="253"/>
      <c r="M3" s="253"/>
      <c r="N3" s="253"/>
      <c r="P3" s="253" t="s">
        <v>76</v>
      </c>
      <c r="Q3" s="253"/>
      <c r="R3" s="253"/>
      <c r="S3" s="253"/>
      <c r="T3" s="253"/>
      <c r="U3" s="253"/>
      <c r="V3" s="253"/>
      <c r="W3" s="253"/>
      <c r="X3" s="253"/>
      <c r="Y3" s="253"/>
      <c r="Z3" s="253"/>
      <c r="AA3" s="253"/>
      <c r="AB3" s="10"/>
      <c r="AC3" s="3" t="s">
        <v>22</v>
      </c>
      <c r="AD3" s="13" t="s">
        <v>23</v>
      </c>
      <c r="AE3" s="15">
        <f t="array" ref="AE3">MIN(IF(D6:N16&gt;0,D6:N16))</f>
        <v>0.62316806640256317</v>
      </c>
    </row>
    <row r="4" spans="1:31" ht="15" customHeight="1" thickBot="1" x14ac:dyDescent="0.3">
      <c r="B4" s="75" t="s">
        <v>13</v>
      </c>
      <c r="C4" s="66" t="s">
        <v>14</v>
      </c>
      <c r="D4" s="67" t="s">
        <v>1</v>
      </c>
      <c r="E4" s="67" t="s">
        <v>195</v>
      </c>
      <c r="F4" s="67" t="s">
        <v>2</v>
      </c>
      <c r="G4" s="67" t="s">
        <v>3</v>
      </c>
      <c r="H4" s="67" t="s">
        <v>4</v>
      </c>
      <c r="I4" s="67" t="s">
        <v>5</v>
      </c>
      <c r="J4" s="67" t="s">
        <v>6</v>
      </c>
      <c r="K4" s="67" t="s">
        <v>7</v>
      </c>
      <c r="L4" s="67" t="s">
        <v>295</v>
      </c>
      <c r="M4" s="67" t="s">
        <v>9</v>
      </c>
      <c r="N4" s="67" t="s">
        <v>10</v>
      </c>
      <c r="P4" s="76" t="s">
        <v>19</v>
      </c>
      <c r="Q4" s="67" t="s">
        <v>1</v>
      </c>
      <c r="R4" s="67" t="s">
        <v>195</v>
      </c>
      <c r="S4" s="67" t="s">
        <v>2</v>
      </c>
      <c r="T4" s="67" t="s">
        <v>3</v>
      </c>
      <c r="U4" s="67" t="s">
        <v>4</v>
      </c>
      <c r="V4" s="67" t="s">
        <v>5</v>
      </c>
      <c r="W4" s="67" t="s">
        <v>6</v>
      </c>
      <c r="X4" s="67" t="s">
        <v>7</v>
      </c>
      <c r="Y4" s="67" t="s">
        <v>295</v>
      </c>
      <c r="Z4" s="67" t="s">
        <v>9</v>
      </c>
      <c r="AA4" s="67" t="s">
        <v>10</v>
      </c>
      <c r="AB4" s="254" t="s">
        <v>26</v>
      </c>
      <c r="AC4" s="254"/>
      <c r="AD4" s="13" t="s">
        <v>24</v>
      </c>
      <c r="AE4" s="20">
        <f>MAX(D6:N16)</f>
        <v>644.32037764807319</v>
      </c>
    </row>
    <row r="5" spans="1:31" ht="16.2" customHeight="1" x14ac:dyDescent="0.25">
      <c r="B5" s="93"/>
      <c r="C5" s="94" t="s">
        <v>69</v>
      </c>
      <c r="D5" s="95">
        <f>C6</f>
        <v>-19.6968679442788</v>
      </c>
      <c r="E5" s="95">
        <f>C7</f>
        <v>-26.928306839000001</v>
      </c>
      <c r="F5" s="95">
        <f>C8</f>
        <v>-2.9390687889717002</v>
      </c>
      <c r="G5" s="95">
        <f>C9</f>
        <v>-14.326051440935281</v>
      </c>
      <c r="H5" s="95">
        <f>C10</f>
        <v>-447.77756495911865</v>
      </c>
      <c r="I5" s="95">
        <f>C11</f>
        <v>-83.06312413925933</v>
      </c>
      <c r="J5" s="95">
        <f>C12</f>
        <v>-27.551474905402564</v>
      </c>
      <c r="K5" s="95">
        <f>C13</f>
        <v>-416.11890505817166</v>
      </c>
      <c r="L5" s="95">
        <f>C14</f>
        <v>-647.25944643704486</v>
      </c>
      <c r="M5" s="95">
        <f>C15</f>
        <v>-162.5357853090315</v>
      </c>
      <c r="N5" s="95">
        <f>C16</f>
        <v>-330.18670232397028</v>
      </c>
      <c r="P5" s="21" t="s">
        <v>1</v>
      </c>
      <c r="Q5" s="97">
        <f t="shared" ref="Q5:AA15" si="0">$AE$5+(D6-$AE$3)*($AE$6-$AE$5)/($AE$4-$AE$3)</f>
        <v>3.2860653938917455E-5</v>
      </c>
      <c r="R5" s="97">
        <f t="shared" si="0"/>
        <v>1.1255850824303932E-2</v>
      </c>
      <c r="S5" s="97">
        <f t="shared" si="0"/>
        <v>3.2860653938917455E-5</v>
      </c>
      <c r="T5" s="97">
        <f t="shared" si="0"/>
        <v>3.2860653938917455E-5</v>
      </c>
      <c r="U5" s="97">
        <f t="shared" si="0"/>
        <v>0.66440208573687842</v>
      </c>
      <c r="V5" s="97">
        <f t="shared" si="0"/>
        <v>9.8375511509805086E-2</v>
      </c>
      <c r="W5" s="97">
        <f t="shared" si="0"/>
        <v>1.2222990170365017E-2</v>
      </c>
      <c r="X5" s="97">
        <f t="shared" si="0"/>
        <v>0.615268734263132</v>
      </c>
      <c r="Y5" s="97">
        <f t="shared" si="0"/>
        <v>0.97399236612035089</v>
      </c>
      <c r="Z5" s="97">
        <f t="shared" si="0"/>
        <v>0.22171485076249323</v>
      </c>
      <c r="AA5" s="97">
        <f t="shared" si="0"/>
        <v>0.48190436782870638</v>
      </c>
      <c r="AD5" s="3" t="s">
        <v>25</v>
      </c>
      <c r="AE5" s="2">
        <v>1E-3</v>
      </c>
    </row>
    <row r="6" spans="1:31" ht="15" customHeight="1" x14ac:dyDescent="0.25">
      <c r="B6" s="21" t="s">
        <v>1</v>
      </c>
      <c r="C6" s="95">
        <f>Annual_sorted!M22</f>
        <v>-19.6968679442788</v>
      </c>
      <c r="D6" s="29">
        <f>IF(C6-Table_146310[Burundi]&gt;0, C6-Table_146310[Burundi], 0)</f>
        <v>0</v>
      </c>
      <c r="E6" s="29">
        <f>IF(C6-Table_146310[DRC]&gt;0, C6-Table_146310[DRC], 0)</f>
        <v>7.2314388947212009</v>
      </c>
      <c r="F6" s="29">
        <f>IF(C6-Table_146310[Egypt]&gt;0, C6-Table_146310[Egypt], 0)</f>
        <v>0</v>
      </c>
      <c r="G6" s="29">
        <f>IF(C6-Table_146310[Eritrea]&gt;0, C6-Table_146310[Eritrea], 0)</f>
        <v>0</v>
      </c>
      <c r="H6" s="29">
        <f>IF(C6-Table_146310[Ethiopia]&gt;0, C6-Table_146310[Ethiopia], 0)</f>
        <v>428.08069701483987</v>
      </c>
      <c r="I6" s="29">
        <f>IF(C6-Table_146310[Kenya]&gt;0, C6-Table_146310[Kenya], 0)</f>
        <v>63.366256194980529</v>
      </c>
      <c r="J6" s="29">
        <f>IF(C6-Table_146310[Rwanda]&gt;0, C6-Table_146310[Rwanda], 0)</f>
        <v>7.8546069611237641</v>
      </c>
      <c r="K6" s="29">
        <f>IF(C6-Table_146310[Sudan]&gt;0, C6-Table_146310[Sudan], 0)</f>
        <v>396.42203711389288</v>
      </c>
      <c r="L6" s="29">
        <f>IF(C6-Table_146310[S. Sudan]&gt;0, C6-Table_146310[S. Sudan], 0)</f>
        <v>627.56257849276608</v>
      </c>
      <c r="M6" s="29">
        <f>IF(C6-Table_146310[Tanzania]&gt;0, C6-Table_146310[Tanzania], 0)</f>
        <v>142.83891736475269</v>
      </c>
      <c r="N6" s="29">
        <f>IF(C6-Table_146310[Uganda]&gt;0, C6-Table_146310[Uganda], 0)</f>
        <v>310.4898343796915</v>
      </c>
      <c r="P6" s="21" t="s">
        <v>195</v>
      </c>
      <c r="Q6" s="97">
        <f t="shared" si="0"/>
        <v>3.2860653938917455E-5</v>
      </c>
      <c r="R6" s="97">
        <f t="shared" si="0"/>
        <v>3.2860653938917455E-5</v>
      </c>
      <c r="S6" s="97">
        <f t="shared" si="0"/>
        <v>3.2860653938917455E-5</v>
      </c>
      <c r="T6" s="97">
        <f t="shared" si="0"/>
        <v>3.2860653938917455E-5</v>
      </c>
      <c r="U6" s="97">
        <f t="shared" si="0"/>
        <v>0.65317909556651332</v>
      </c>
      <c r="V6" s="97">
        <f t="shared" si="0"/>
        <v>8.715252133944007E-2</v>
      </c>
      <c r="W6" s="97">
        <f t="shared" si="0"/>
        <v>1E-3</v>
      </c>
      <c r="X6" s="97">
        <f t="shared" si="0"/>
        <v>0.6040457440927669</v>
      </c>
      <c r="Y6" s="97">
        <f t="shared" si="0"/>
        <v>0.96276937594998591</v>
      </c>
      <c r="Z6" s="97">
        <f t="shared" si="0"/>
        <v>0.21049186059212818</v>
      </c>
      <c r="AA6" s="97">
        <f t="shared" si="0"/>
        <v>0.47068137765834123</v>
      </c>
      <c r="AD6" s="3" t="s">
        <v>70</v>
      </c>
      <c r="AE6" s="2">
        <v>1</v>
      </c>
    </row>
    <row r="7" spans="1:31" ht="15" customHeight="1" x14ac:dyDescent="0.25">
      <c r="B7" s="21" t="s">
        <v>195</v>
      </c>
      <c r="C7" s="95">
        <f>Annual_sorted!M23</f>
        <v>-26.928306839000001</v>
      </c>
      <c r="D7" s="29">
        <f>IF(C7-Table_146310[Burundi]&gt;0, C7-Table_146310[Burundi], 0)</f>
        <v>0</v>
      </c>
      <c r="E7" s="29">
        <f>IF(C7-Table_146310[DRC]&gt;0, C7-Table_146310[DRC], 0)</f>
        <v>0</v>
      </c>
      <c r="F7" s="29">
        <f>IF(C7-Table_146310[Egypt]&gt;0, C7-Table_146310[Egypt], 0)</f>
        <v>0</v>
      </c>
      <c r="G7" s="29">
        <f>IF(C7-Table_146310[Eritrea]&gt;0, C7-Table_146310[Eritrea], 0)</f>
        <v>0</v>
      </c>
      <c r="H7" s="29">
        <f>IF(C7-Table_146310[Ethiopia]&gt;0, C7-Table_146310[Ethiopia], 0)</f>
        <v>420.84925812011863</v>
      </c>
      <c r="I7" s="29">
        <f>IF(C7-Table_146310[Kenya]&gt;0, C7-Table_146310[Kenya], 0)</f>
        <v>56.134817300259328</v>
      </c>
      <c r="J7" s="29">
        <f>IF(C7-Table_146310[Rwanda]&gt;0, C7-Table_146310[Rwanda], 0)</f>
        <v>0.62316806640256317</v>
      </c>
      <c r="K7" s="29">
        <f>IF(C7-Table_146310[Sudan]&gt;0, C7-Table_146310[Sudan], 0)</f>
        <v>389.19059821917165</v>
      </c>
      <c r="L7" s="29">
        <f>IF(C7-Table_146310[S. Sudan]&gt;0, C7-Table_146310[S. Sudan], 0)</f>
        <v>620.33113959804484</v>
      </c>
      <c r="M7" s="29">
        <f>IF(C7-Table_146310[Tanzania]&gt;0, C7-Table_146310[Tanzania], 0)</f>
        <v>135.60747847003148</v>
      </c>
      <c r="N7" s="29">
        <f>IF(C7-Table_146310[Uganda]&gt;0, C7-Table_146310[Uganda], 0)</f>
        <v>303.25839548497026</v>
      </c>
      <c r="P7" s="21" t="s">
        <v>2</v>
      </c>
      <c r="Q7" s="97">
        <f t="shared" si="0"/>
        <v>2.6040494533587939E-2</v>
      </c>
      <c r="R7" s="97">
        <f t="shared" si="0"/>
        <v>3.7263484703952951E-2</v>
      </c>
      <c r="S7" s="97">
        <f t="shared" si="0"/>
        <v>3.2860653938917455E-5</v>
      </c>
      <c r="T7" s="97">
        <f t="shared" si="0"/>
        <v>1.7705138084975865E-2</v>
      </c>
      <c r="U7" s="97">
        <f t="shared" si="0"/>
        <v>0.69040971961652742</v>
      </c>
      <c r="V7" s="97">
        <f t="shared" si="0"/>
        <v>0.12438314538945412</v>
      </c>
      <c r="W7" s="97">
        <f t="shared" si="0"/>
        <v>3.8230624050014039E-2</v>
      </c>
      <c r="X7" s="97">
        <f t="shared" si="0"/>
        <v>0.64127636814278088</v>
      </c>
      <c r="Y7" s="97">
        <f t="shared" si="0"/>
        <v>1</v>
      </c>
      <c r="Z7" s="97">
        <f t="shared" si="0"/>
        <v>0.24772248464214228</v>
      </c>
      <c r="AA7" s="97">
        <f t="shared" si="0"/>
        <v>0.50791200170835538</v>
      </c>
    </row>
    <row r="8" spans="1:31" ht="15" customHeight="1" x14ac:dyDescent="0.25">
      <c r="B8" s="21" t="s">
        <v>2</v>
      </c>
      <c r="C8" s="95">
        <f>Annual_sorted!M24</f>
        <v>-2.9390687889717002</v>
      </c>
      <c r="D8" s="29">
        <f>IF(C8-Table_146310[Burundi]&gt;0, C8-Table_146310[Burundi], 0)</f>
        <v>16.757799155307101</v>
      </c>
      <c r="E8" s="29">
        <f>IF(C8-Table_146310[DRC]&gt;0, C8-Table_146310[DRC], 0)</f>
        <v>23.989238050028302</v>
      </c>
      <c r="F8" s="29">
        <f>IF(C8-Table_146310[Egypt]&gt;0, C8-Table_146310[Egypt], 0)</f>
        <v>0</v>
      </c>
      <c r="G8" s="29">
        <f>IF(C8-Table_146310[Eritrea]&gt;0, C8-Table_146310[Eritrea], 0)</f>
        <v>11.386982651963582</v>
      </c>
      <c r="H8" s="29">
        <f>IF(C8-Table_146310[Ethiopia]&gt;0, C8-Table_146310[Ethiopia], 0)</f>
        <v>444.83849617014693</v>
      </c>
      <c r="I8" s="29">
        <f>IF(C8-Table_146310[Kenya]&gt;0, C8-Table_146310[Kenya], 0)</f>
        <v>80.124055350287634</v>
      </c>
      <c r="J8" s="29">
        <f>IF(C8-Table_146310[Rwanda]&gt;0, C8-Table_146310[Rwanda], 0)</f>
        <v>24.612406116430865</v>
      </c>
      <c r="K8" s="29">
        <f>IF(C8-Table_146310[Sudan]&gt;0, C8-Table_146310[Sudan], 0)</f>
        <v>413.17983626919994</v>
      </c>
      <c r="L8" s="29">
        <f>IF(C8-Table_146310[S. Sudan]&gt;0, C8-Table_146310[S. Sudan], 0)</f>
        <v>644.32037764807319</v>
      </c>
      <c r="M8" s="29">
        <f>IF(C8-Table_146310[Tanzania]&gt;0, C8-Table_146310[Tanzania], 0)</f>
        <v>159.5967165200598</v>
      </c>
      <c r="N8" s="29">
        <f>IF(C8-Table_146310[Uganda]&gt;0, C8-Table_146310[Uganda], 0)</f>
        <v>327.24763353499856</v>
      </c>
      <c r="P8" s="21" t="s">
        <v>3</v>
      </c>
      <c r="Q8" s="97">
        <f t="shared" si="0"/>
        <v>8.368217102550991E-3</v>
      </c>
      <c r="R8" s="97">
        <f t="shared" si="0"/>
        <v>1.9591207272916009E-2</v>
      </c>
      <c r="S8" s="97">
        <f t="shared" si="0"/>
        <v>3.2860653938917455E-5</v>
      </c>
      <c r="T8" s="97">
        <f t="shared" si="0"/>
        <v>3.2860653938917455E-5</v>
      </c>
      <c r="U8" s="97">
        <f t="shared" si="0"/>
        <v>0.67273744218549048</v>
      </c>
      <c r="V8" s="97">
        <f t="shared" si="0"/>
        <v>0.10671086795841717</v>
      </c>
      <c r="W8" s="97">
        <f t="shared" si="0"/>
        <v>2.055834661897709E-2</v>
      </c>
      <c r="X8" s="97">
        <f t="shared" si="0"/>
        <v>0.62360409071174405</v>
      </c>
      <c r="Y8" s="97">
        <f t="shared" si="0"/>
        <v>0.98232772256896295</v>
      </c>
      <c r="Z8" s="97">
        <f t="shared" si="0"/>
        <v>0.23005020721110528</v>
      </c>
      <c r="AA8" s="97">
        <f t="shared" si="0"/>
        <v>0.49023972427731838</v>
      </c>
    </row>
    <row r="9" spans="1:31" ht="15" customHeight="1" x14ac:dyDescent="0.25">
      <c r="B9" s="21" t="s">
        <v>3</v>
      </c>
      <c r="C9" s="95">
        <f>Annual_sorted!M25</f>
        <v>-14.326051440935281</v>
      </c>
      <c r="D9" s="29">
        <f>IF(C9-Table_146310[Burundi]&gt;0, C9-Table_146310[Burundi], 0)</f>
        <v>5.3708165033435193</v>
      </c>
      <c r="E9" s="29">
        <f>IF(C9-Table_146310[DRC]&gt;0, C9-Table_146310[DRC], 0)</f>
        <v>12.60225539806472</v>
      </c>
      <c r="F9" s="29">
        <f>IF(C9-Table_146310[Egypt]&gt;0, C9-Table_146310[Egypt], 0)</f>
        <v>0</v>
      </c>
      <c r="G9" s="29">
        <f>IF(C9-Table_146310[Eritrea]&gt;0, C9-Table_146310[Eritrea], 0)</f>
        <v>0</v>
      </c>
      <c r="H9" s="29">
        <f>IF(C9-Table_146310[Ethiopia]&gt;0, C9-Table_146310[Ethiopia], 0)</f>
        <v>433.45151351818339</v>
      </c>
      <c r="I9" s="29">
        <f>IF(C9-Table_146310[Kenya]&gt;0, C9-Table_146310[Kenya], 0)</f>
        <v>68.737072698324056</v>
      </c>
      <c r="J9" s="29">
        <f>IF(C9-Table_146310[Rwanda]&gt;0, C9-Table_146310[Rwanda], 0)</f>
        <v>13.225423464467283</v>
      </c>
      <c r="K9" s="29">
        <f>IF(C9-Table_146310[Sudan]&gt;0, C9-Table_146310[Sudan], 0)</f>
        <v>401.7928536172364</v>
      </c>
      <c r="L9" s="29">
        <f>IF(C9-Table_146310[S. Sudan]&gt;0, C9-Table_146310[S. Sudan], 0)</f>
        <v>632.93339499610954</v>
      </c>
      <c r="M9" s="29">
        <f>IF(C9-Table_146310[Tanzania]&gt;0, C9-Table_146310[Tanzania], 0)</f>
        <v>148.20973386809621</v>
      </c>
      <c r="N9" s="29">
        <f>IF(C9-Table_146310[Uganda]&gt;0, C9-Table_146310[Uganda], 0)</f>
        <v>315.86065088303502</v>
      </c>
      <c r="P9" s="21" t="s">
        <v>4</v>
      </c>
      <c r="Q9" s="97">
        <f t="shared" si="0"/>
        <v>3.2860653938917455E-5</v>
      </c>
      <c r="R9" s="97">
        <f t="shared" si="0"/>
        <v>3.2860653938917455E-5</v>
      </c>
      <c r="S9" s="97">
        <f t="shared" si="0"/>
        <v>3.2860653938917455E-5</v>
      </c>
      <c r="T9" s="97">
        <f t="shared" si="0"/>
        <v>3.2860653938917455E-5</v>
      </c>
      <c r="U9" s="97">
        <f t="shared" si="0"/>
        <v>3.2860653938917455E-5</v>
      </c>
      <c r="V9" s="97">
        <f t="shared" si="0"/>
        <v>3.2860653938917455E-5</v>
      </c>
      <c r="W9" s="97">
        <f t="shared" si="0"/>
        <v>3.2860653938917455E-5</v>
      </c>
      <c r="X9" s="97">
        <f t="shared" si="0"/>
        <v>3.2860653938917455E-5</v>
      </c>
      <c r="Y9" s="97">
        <f t="shared" si="0"/>
        <v>0.3096231410374114</v>
      </c>
      <c r="Z9" s="97">
        <f t="shared" si="0"/>
        <v>3.2860653938917455E-5</v>
      </c>
      <c r="AA9" s="97">
        <f t="shared" si="0"/>
        <v>3.2860653938917455E-5</v>
      </c>
    </row>
    <row r="10" spans="1:31" ht="15" customHeight="1" x14ac:dyDescent="0.25">
      <c r="B10" s="21" t="s">
        <v>4</v>
      </c>
      <c r="C10" s="95">
        <f>Annual_sorted!M26</f>
        <v>-447.77756495911865</v>
      </c>
      <c r="D10" s="29">
        <f>IF(C10-Table_146310[Burundi]&gt;0, C10-Table_146310[Burundi], 0)</f>
        <v>0</v>
      </c>
      <c r="E10" s="29">
        <f>IF(C10-Table_146310[DRC]&gt;0, C10-Table_146310[DRC], 0)</f>
        <v>0</v>
      </c>
      <c r="F10" s="29">
        <f>IF(C10-Table_146310[Egypt]&gt;0, C10-Table_146310[Egypt], 0)</f>
        <v>0</v>
      </c>
      <c r="G10" s="29">
        <f>IF(C10-Table_146310[Eritrea]&gt;0, C10-Table_146310[Eritrea], 0)</f>
        <v>0</v>
      </c>
      <c r="H10" s="29">
        <f>IF(C10-Table_146310[Ethiopia]&gt;0, C10-Table_146310[Ethiopia], 0)</f>
        <v>0</v>
      </c>
      <c r="I10" s="29">
        <f>IF(C10-Table_146310[Kenya]&gt;0, C10-Table_146310[Kenya], 0)</f>
        <v>0</v>
      </c>
      <c r="J10" s="29">
        <f>IF(C10-Table_146310[Rwanda]&gt;0, C10-Table_146310[Rwanda], 0)</f>
        <v>0</v>
      </c>
      <c r="K10" s="29">
        <f>IF(C10-Table_146310[Sudan]&gt;0, C10-Table_146310[Sudan], 0)</f>
        <v>0</v>
      </c>
      <c r="L10" s="29">
        <f>IF(C10-Table_146310[S. Sudan]&gt;0, C10-Table_146310[S. Sudan], 0)</f>
        <v>199.48188147792621</v>
      </c>
      <c r="M10" s="29">
        <f>IF(C10-Table_146310[Tanzania]&gt;0, C10-Table_146310[Tanzania], 0)</f>
        <v>0</v>
      </c>
      <c r="N10" s="29">
        <f>IF(C10-Table_146310[Uganda]&gt;0, C10-Table_146310[Uganda], 0)</f>
        <v>0</v>
      </c>
      <c r="P10" s="21" t="s">
        <v>5</v>
      </c>
      <c r="Q10" s="97">
        <f t="shared" si="0"/>
        <v>3.2860653938917455E-5</v>
      </c>
      <c r="R10" s="97">
        <f t="shared" si="0"/>
        <v>3.2860653938917455E-5</v>
      </c>
      <c r="S10" s="97">
        <f t="shared" si="0"/>
        <v>3.2860653938917455E-5</v>
      </c>
      <c r="T10" s="97">
        <f t="shared" si="0"/>
        <v>3.2860653938917455E-5</v>
      </c>
      <c r="U10" s="97">
        <f t="shared" si="0"/>
        <v>0.56605943488101218</v>
      </c>
      <c r="V10" s="97">
        <f t="shared" si="0"/>
        <v>3.2860653938917455E-5</v>
      </c>
      <c r="W10" s="97">
        <f t="shared" si="0"/>
        <v>3.2860653938917455E-5</v>
      </c>
      <c r="X10" s="97">
        <f t="shared" si="0"/>
        <v>0.51692608340726576</v>
      </c>
      <c r="Y10" s="97">
        <f t="shared" si="0"/>
        <v>0.87564971526448476</v>
      </c>
      <c r="Z10" s="97">
        <f t="shared" si="0"/>
        <v>0.12337219990662708</v>
      </c>
      <c r="AA10" s="97">
        <f t="shared" si="0"/>
        <v>0.38356171697284014</v>
      </c>
    </row>
    <row r="11" spans="1:31" ht="15" customHeight="1" x14ac:dyDescent="0.25">
      <c r="B11" s="21" t="s">
        <v>5</v>
      </c>
      <c r="C11" s="95">
        <f>Annual_sorted!M27</f>
        <v>-83.06312413925933</v>
      </c>
      <c r="D11" s="29">
        <f>IF(C11-Table_146310[Burundi]&gt;0, C11-Table_146310[Burundi], 0)</f>
        <v>0</v>
      </c>
      <c r="E11" s="29">
        <f>IF(C11-Table_146310[DRC]&gt;0, C11-Table_146310[DRC], 0)</f>
        <v>0</v>
      </c>
      <c r="F11" s="29">
        <f>IF(C11-Table_146310[Egypt]&gt;0, C11-Table_146310[Egypt], 0)</f>
        <v>0</v>
      </c>
      <c r="G11" s="29">
        <f>IF(C11-Table_146310[Eritrea]&gt;0, C11-Table_146310[Eritrea], 0)</f>
        <v>0</v>
      </c>
      <c r="H11" s="29">
        <f>IF(C11-Table_146310[Ethiopia]&gt;0, C11-Table_146310[Ethiopia], 0)</f>
        <v>364.71444081985931</v>
      </c>
      <c r="I11" s="29">
        <f>IF(C11-Table_146310[Kenya]&gt;0, C11-Table_146310[Kenya], 0)</f>
        <v>0</v>
      </c>
      <c r="J11" s="29">
        <f>IF(C11-Table_146310[Rwanda]&gt;0, C11-Table_146310[Rwanda], 0)</f>
        <v>0</v>
      </c>
      <c r="K11" s="29">
        <f>IF(C11-Table_146310[Sudan]&gt;0, C11-Table_146310[Sudan], 0)</f>
        <v>333.05578091891232</v>
      </c>
      <c r="L11" s="29">
        <f>IF(C11-Table_146310[S. Sudan]&gt;0, C11-Table_146310[S. Sudan], 0)</f>
        <v>564.19632229778551</v>
      </c>
      <c r="M11" s="29">
        <f>IF(C11-Table_146310[Tanzania]&gt;0, C11-Table_146310[Tanzania], 0)</f>
        <v>79.472661169772167</v>
      </c>
      <c r="N11" s="29">
        <f>IF(C11-Table_146310[Uganda]&gt;0, C11-Table_146310[Uganda], 0)</f>
        <v>247.12357818471094</v>
      </c>
      <c r="P11" s="21" t="s">
        <v>6</v>
      </c>
      <c r="Q11" s="97">
        <f t="shared" si="0"/>
        <v>3.2860653938917455E-5</v>
      </c>
      <c r="R11" s="97">
        <f t="shared" si="0"/>
        <v>3.2860653938917455E-5</v>
      </c>
      <c r="S11" s="97">
        <f t="shared" si="0"/>
        <v>3.2860653938917455E-5</v>
      </c>
      <c r="T11" s="97">
        <f t="shared" si="0"/>
        <v>3.2860653938917455E-5</v>
      </c>
      <c r="U11" s="97">
        <f t="shared" si="0"/>
        <v>0.65221195622045225</v>
      </c>
      <c r="V11" s="97">
        <f t="shared" si="0"/>
        <v>8.6185381993378982E-2</v>
      </c>
      <c r="W11" s="97">
        <f t="shared" si="0"/>
        <v>3.2860653938917455E-5</v>
      </c>
      <c r="X11" s="97">
        <f t="shared" si="0"/>
        <v>0.60307860474670583</v>
      </c>
      <c r="Y11" s="97">
        <f t="shared" si="0"/>
        <v>0.96180223660392483</v>
      </c>
      <c r="Z11" s="97">
        <f t="shared" si="0"/>
        <v>0.20952472124606716</v>
      </c>
      <c r="AA11" s="97">
        <f t="shared" si="0"/>
        <v>0.46971423831228015</v>
      </c>
    </row>
    <row r="12" spans="1:31" ht="15" customHeight="1" x14ac:dyDescent="0.25">
      <c r="B12" s="21" t="s">
        <v>6</v>
      </c>
      <c r="C12" s="95">
        <f>Annual_sorted!M28</f>
        <v>-27.551474905402564</v>
      </c>
      <c r="D12" s="29">
        <f>IF(C12-Table_146310[Burundi]&gt;0, C12-Table_146310[Burundi], 0)</f>
        <v>0</v>
      </c>
      <c r="E12" s="29">
        <f>IF(C12-Table_146310[DRC]&gt;0, C12-Table_146310[DRC], 0)</f>
        <v>0</v>
      </c>
      <c r="F12" s="29">
        <f>IF(C12-Table_146310[Egypt]&gt;0, C12-Table_146310[Egypt], 0)</f>
        <v>0</v>
      </c>
      <c r="G12" s="29">
        <f>IF(C12-Table_146310[Eritrea]&gt;0, C12-Table_146310[Eritrea], 0)</f>
        <v>0</v>
      </c>
      <c r="H12" s="29">
        <f>IF(C12-Table_146310[Ethiopia]&gt;0, C12-Table_146310[Ethiopia], 0)</f>
        <v>420.22609005371606</v>
      </c>
      <c r="I12" s="29">
        <f>IF(C12-Table_146310[Kenya]&gt;0, C12-Table_146310[Kenya], 0)</f>
        <v>55.511649233856765</v>
      </c>
      <c r="J12" s="29">
        <f>IF(C12-Table_146310[Rwanda]&gt;0, C12-Table_146310[Rwanda], 0)</f>
        <v>0</v>
      </c>
      <c r="K12" s="29">
        <f>IF(C12-Table_146310[Sudan]&gt;0, C12-Table_146310[Sudan], 0)</f>
        <v>388.56743015276908</v>
      </c>
      <c r="L12" s="29">
        <f>IF(C12-Table_146310[S. Sudan]&gt;0, C12-Table_146310[S. Sudan], 0)</f>
        <v>619.70797153164233</v>
      </c>
      <c r="M12" s="29">
        <f>IF(C12-Table_146310[Tanzania]&gt;0, C12-Table_146310[Tanzania], 0)</f>
        <v>134.98431040362894</v>
      </c>
      <c r="N12" s="29">
        <f>IF(C12-Table_146310[Uganda]&gt;0, C12-Table_146310[Uganda], 0)</f>
        <v>302.63522741856769</v>
      </c>
      <c r="P12" s="21" t="s">
        <v>7</v>
      </c>
      <c r="Q12" s="97">
        <f t="shared" si="0"/>
        <v>3.2860653938917455E-5</v>
      </c>
      <c r="R12" s="97">
        <f t="shared" si="0"/>
        <v>3.2860653938917455E-5</v>
      </c>
      <c r="S12" s="97">
        <f t="shared" si="0"/>
        <v>3.2860653938917455E-5</v>
      </c>
      <c r="T12" s="97">
        <f t="shared" si="0"/>
        <v>3.2860653938917455E-5</v>
      </c>
      <c r="U12" s="97">
        <f t="shared" si="0"/>
        <v>4.9166212127685342E-2</v>
      </c>
      <c r="V12" s="97">
        <f t="shared" si="0"/>
        <v>3.2860653938917455E-5</v>
      </c>
      <c r="W12" s="97">
        <f t="shared" si="0"/>
        <v>3.2860653938917455E-5</v>
      </c>
      <c r="X12" s="97">
        <f t="shared" si="0"/>
        <v>3.2860653938917455E-5</v>
      </c>
      <c r="Y12" s="97">
        <f t="shared" si="0"/>
        <v>0.35875649251115782</v>
      </c>
      <c r="Z12" s="97">
        <f t="shared" si="0"/>
        <v>3.2860653938917455E-5</v>
      </c>
      <c r="AA12" s="97">
        <f t="shared" si="0"/>
        <v>3.2860653938917455E-5</v>
      </c>
    </row>
    <row r="13" spans="1:31" ht="15" customHeight="1" x14ac:dyDescent="0.25">
      <c r="B13" s="21" t="s">
        <v>7</v>
      </c>
      <c r="C13" s="95">
        <f>Annual_sorted!M29</f>
        <v>-416.11890505817166</v>
      </c>
      <c r="D13" s="29">
        <f>IF(C13-Table_146310[Burundi]&gt;0, C13-Table_146310[Burundi], 0)</f>
        <v>0</v>
      </c>
      <c r="E13" s="29">
        <f>IF(C13-Table_146310[DRC]&gt;0, C13-Table_146310[DRC], 0)</f>
        <v>0</v>
      </c>
      <c r="F13" s="29">
        <f>IF(C13-Table_146310[Egypt]&gt;0, C13-Table_146310[Egypt], 0)</f>
        <v>0</v>
      </c>
      <c r="G13" s="29">
        <f>IF(C13-Table_146310[Eritrea]&gt;0, C13-Table_146310[Eritrea], 0)</f>
        <v>0</v>
      </c>
      <c r="H13" s="29">
        <f>IF(C13-Table_146310[Ethiopia]&gt;0, C13-Table_146310[Ethiopia], 0)</f>
        <v>31.658659900946986</v>
      </c>
      <c r="I13" s="29">
        <f>IF(C13-Table_146310[Kenya]&gt;0, C13-Table_146310[Kenya], 0)</f>
        <v>0</v>
      </c>
      <c r="J13" s="29">
        <f>IF(C13-Table_146310[Rwanda]&gt;0, C13-Table_146310[Rwanda], 0)</f>
        <v>0</v>
      </c>
      <c r="K13" s="29">
        <f>IF(C13-Table_146310[Sudan]&gt;0, C13-Table_146310[Sudan], 0)</f>
        <v>0</v>
      </c>
      <c r="L13" s="29">
        <f>IF(C13-Table_146310[S. Sudan]&gt;0, C13-Table_146310[S. Sudan], 0)</f>
        <v>231.14054137887319</v>
      </c>
      <c r="M13" s="29">
        <f>IF(C13-Table_146310[Tanzania]&gt;0, C13-Table_146310[Tanzania], 0)</f>
        <v>0</v>
      </c>
      <c r="N13" s="29">
        <f>IF(C13-Table_146310[Uganda]&gt;0, C13-Table_146310[Uganda], 0)</f>
        <v>0</v>
      </c>
      <c r="P13" s="21" t="s">
        <v>8</v>
      </c>
      <c r="Q13" s="97">
        <f t="shared" si="0"/>
        <v>3.2860653938917455E-5</v>
      </c>
      <c r="R13" s="97">
        <f t="shared" si="0"/>
        <v>3.2860653938917455E-5</v>
      </c>
      <c r="S13" s="97">
        <f t="shared" si="0"/>
        <v>3.2860653938917455E-5</v>
      </c>
      <c r="T13" s="97">
        <f t="shared" si="0"/>
        <v>3.2860653938917455E-5</v>
      </c>
      <c r="U13" s="97">
        <f t="shared" si="0"/>
        <v>3.2860653938917455E-5</v>
      </c>
      <c r="V13" s="97">
        <f t="shared" si="0"/>
        <v>3.2860653938917455E-5</v>
      </c>
      <c r="W13" s="97">
        <f t="shared" si="0"/>
        <v>3.2860653938917455E-5</v>
      </c>
      <c r="X13" s="97">
        <f t="shared" si="0"/>
        <v>3.2860653938917455E-5</v>
      </c>
      <c r="Y13" s="97">
        <f t="shared" si="0"/>
        <v>3.2860653938917455E-5</v>
      </c>
      <c r="Z13" s="97">
        <f t="shared" si="0"/>
        <v>3.2860653938917455E-5</v>
      </c>
      <c r="AA13" s="97">
        <f t="shared" si="0"/>
        <v>3.2860653938917455E-5</v>
      </c>
    </row>
    <row r="14" spans="1:31" ht="15" customHeight="1" x14ac:dyDescent="0.25">
      <c r="B14" s="21" t="s">
        <v>8</v>
      </c>
      <c r="C14" s="95">
        <f>Annual_sorted!M30</f>
        <v>-647.25944643704486</v>
      </c>
      <c r="D14" s="29">
        <f>IF(C14-Table_146310[Burundi]&gt;0, C14-Table_146310[Burundi], 0)</f>
        <v>0</v>
      </c>
      <c r="E14" s="29">
        <f>IF(C14-Table_146310[DRC]&gt;0, C14-Table_146310[DRC], 0)</f>
        <v>0</v>
      </c>
      <c r="F14" s="29">
        <f>IF(C14-Table_146310[Egypt]&gt;0, C14-Table_146310[Egypt], 0)</f>
        <v>0</v>
      </c>
      <c r="G14" s="29">
        <f>IF(C14-Table_146310[Eritrea]&gt;0, C14-Table_146310[Eritrea], 0)</f>
        <v>0</v>
      </c>
      <c r="H14" s="29">
        <f>IF(C14-Table_146310[Ethiopia]&gt;0, C14-Table_146310[Ethiopia], 0)</f>
        <v>0</v>
      </c>
      <c r="I14" s="29">
        <f>IF(C14-Table_146310[Kenya]&gt;0, C14-Table_146310[Kenya], 0)</f>
        <v>0</v>
      </c>
      <c r="J14" s="29">
        <f>IF(C14-Table_146310[Rwanda]&gt;0, C14-Table_146310[Rwanda], 0)</f>
        <v>0</v>
      </c>
      <c r="K14" s="29">
        <f>IF(C14-Table_146310[Sudan]&gt;0, C14-Table_146310[Sudan], 0)</f>
        <v>0</v>
      </c>
      <c r="L14" s="29">
        <f>IF(C14-Table_146310[S. Sudan]&gt;0, C14-Table_146310[S. Sudan], 0)</f>
        <v>0</v>
      </c>
      <c r="M14" s="29">
        <f>IF(C14-Table_146310[Tanzania]&gt;0, C14-Table_146310[Tanzania], 0)</f>
        <v>0</v>
      </c>
      <c r="N14" s="29">
        <f>IF(C14-Table_146310[Uganda]&gt;0, C14-Table_146310[Uganda], 0)</f>
        <v>0</v>
      </c>
      <c r="P14" s="21" t="s">
        <v>9</v>
      </c>
      <c r="Q14" s="97">
        <f t="shared" si="0"/>
        <v>3.2860653938917455E-5</v>
      </c>
      <c r="R14" s="97">
        <f t="shared" si="0"/>
        <v>3.2860653938917455E-5</v>
      </c>
      <c r="S14" s="97">
        <f t="shared" si="0"/>
        <v>3.2860653938917455E-5</v>
      </c>
      <c r="T14" s="97">
        <f t="shared" si="0"/>
        <v>3.2860653938917455E-5</v>
      </c>
      <c r="U14" s="97">
        <f t="shared" si="0"/>
        <v>0.44272009562832398</v>
      </c>
      <c r="V14" s="97">
        <f t="shared" si="0"/>
        <v>3.2860653938917455E-5</v>
      </c>
      <c r="W14" s="97">
        <f t="shared" si="0"/>
        <v>3.2860653938917455E-5</v>
      </c>
      <c r="X14" s="97">
        <f t="shared" si="0"/>
        <v>0.39358674415457762</v>
      </c>
      <c r="Y14" s="97">
        <f t="shared" si="0"/>
        <v>0.75231037601179651</v>
      </c>
      <c r="Z14" s="97">
        <f t="shared" si="0"/>
        <v>3.2860653938917455E-5</v>
      </c>
      <c r="AA14" s="97">
        <f t="shared" si="0"/>
        <v>0.260222377720152</v>
      </c>
    </row>
    <row r="15" spans="1:31" ht="15" customHeight="1" thickBot="1" x14ac:dyDescent="0.3">
      <c r="B15" s="21" t="s">
        <v>9</v>
      </c>
      <c r="C15" s="95">
        <f>Annual_sorted!M31</f>
        <v>-162.5357853090315</v>
      </c>
      <c r="D15" s="29">
        <f>IF(C15-Table_146310[Burundi]&gt;0, C15-Table_146310[Burundi], 0)</f>
        <v>0</v>
      </c>
      <c r="E15" s="29">
        <f>IF(C15-Table_146310[DRC]&gt;0, C15-Table_146310[DRC], 0)</f>
        <v>0</v>
      </c>
      <c r="F15" s="29">
        <f>IF(C15-Table_146310[Egypt]&gt;0, C15-Table_146310[Egypt], 0)</f>
        <v>0</v>
      </c>
      <c r="G15" s="29">
        <f>IF(C15-Table_146310[Eritrea]&gt;0, C15-Table_146310[Eritrea], 0)</f>
        <v>0</v>
      </c>
      <c r="H15" s="29">
        <f>IF(C15-Table_146310[Ethiopia]&gt;0, C15-Table_146310[Ethiopia], 0)</f>
        <v>285.24177965008715</v>
      </c>
      <c r="I15" s="29">
        <f>IF(C15-Table_146310[Kenya]&gt;0, C15-Table_146310[Kenya], 0)</f>
        <v>0</v>
      </c>
      <c r="J15" s="29">
        <f>IF(C15-Table_146310[Rwanda]&gt;0, C15-Table_146310[Rwanda], 0)</f>
        <v>0</v>
      </c>
      <c r="K15" s="29">
        <f>IF(C15-Table_146310[Sudan]&gt;0, C15-Table_146310[Sudan], 0)</f>
        <v>253.58311974914017</v>
      </c>
      <c r="L15" s="29">
        <f>IF(C15-Table_146310[S. Sudan]&gt;0, C15-Table_146310[S. Sudan], 0)</f>
        <v>484.72366112801336</v>
      </c>
      <c r="M15" s="29">
        <f>IF(C15-Table_146310[Tanzania]&gt;0, C15-Table_146310[Tanzania], 0)</f>
        <v>0</v>
      </c>
      <c r="N15" s="29">
        <f>IF(C15-Table_146310[Uganda]&gt;0, C15-Table_146310[Uganda], 0)</f>
        <v>167.65091701493878</v>
      </c>
      <c r="P15" s="22" t="s">
        <v>10</v>
      </c>
      <c r="Q15" s="98">
        <f t="shared" si="0"/>
        <v>3.2860653938917455E-5</v>
      </c>
      <c r="R15" s="98">
        <f t="shared" si="0"/>
        <v>3.2860653938917455E-5</v>
      </c>
      <c r="S15" s="98">
        <f t="shared" si="0"/>
        <v>3.2860653938917455E-5</v>
      </c>
      <c r="T15" s="98">
        <f t="shared" si="0"/>
        <v>3.2860653938917455E-5</v>
      </c>
      <c r="U15" s="98">
        <f t="shared" si="0"/>
        <v>0.18253057856211094</v>
      </c>
      <c r="V15" s="98">
        <f t="shared" si="0"/>
        <v>3.2860653938917455E-5</v>
      </c>
      <c r="W15" s="98">
        <f t="shared" si="0"/>
        <v>3.2860653938917455E-5</v>
      </c>
      <c r="X15" s="98">
        <f t="shared" si="0"/>
        <v>0.13339722708836449</v>
      </c>
      <c r="Y15" s="98">
        <f t="shared" si="0"/>
        <v>0.49212085894558338</v>
      </c>
      <c r="Z15" s="98">
        <f t="shared" si="0"/>
        <v>3.2860653938917455E-5</v>
      </c>
      <c r="AA15" s="98">
        <f t="shared" si="0"/>
        <v>3.2860653938917455E-5</v>
      </c>
    </row>
    <row r="16" spans="1:31" ht="15" customHeight="1" thickBot="1" x14ac:dyDescent="0.3">
      <c r="B16" s="22" t="s">
        <v>10</v>
      </c>
      <c r="C16" s="96">
        <f>Annual_sorted!M32</f>
        <v>-330.18670232397028</v>
      </c>
      <c r="D16" s="32">
        <f>IF(C16-Table_146310[Burundi]&gt;0, C16-Table_146310[Burundi], 0)</f>
        <v>0</v>
      </c>
      <c r="E16" s="32">
        <f>IF(C16-Table_146310[DRC]&gt;0, C16-Table_146310[DRC], 0)</f>
        <v>0</v>
      </c>
      <c r="F16" s="32">
        <f>IF(C16-Table_146310[Egypt]&gt;0, C16-Table_146310[Egypt], 0)</f>
        <v>0</v>
      </c>
      <c r="G16" s="32">
        <f>IF(C16-Table_146310[Eritrea]&gt;0, C16-Table_146310[Eritrea], 0)</f>
        <v>0</v>
      </c>
      <c r="H16" s="32">
        <f>IF(C16-Table_146310[Ethiopia]&gt;0, C16-Table_146310[Ethiopia], 0)</f>
        <v>117.59086263514837</v>
      </c>
      <c r="I16" s="32">
        <f>IF(C16-Table_146310[Kenya]&gt;0, C16-Table_146310[Kenya], 0)</f>
        <v>0</v>
      </c>
      <c r="J16" s="32">
        <f>IF(C16-Table_146310[Rwanda]&gt;0, C16-Table_146310[Rwanda], 0)</f>
        <v>0</v>
      </c>
      <c r="K16" s="32">
        <f>IF(C16-Table_146310[Sudan]&gt;0, C16-Table_146310[Sudan], 0)</f>
        <v>85.932202734201383</v>
      </c>
      <c r="L16" s="32">
        <f>IF(C16-Table_146310[S. Sudan]&gt;0, C16-Table_146310[S. Sudan], 0)</f>
        <v>317.07274411307458</v>
      </c>
      <c r="M16" s="32">
        <f>IF(C16-Table_146310[Tanzania]&gt;0, C16-Table_146310[Tanzania], 0)</f>
        <v>0</v>
      </c>
      <c r="N16" s="32">
        <f>IF(C16-Table_146310[Uganda]&gt;0, C16-Table_146310[Uganda], 0)</f>
        <v>0</v>
      </c>
      <c r="Q16" s="186"/>
      <c r="R16" s="186"/>
      <c r="S16" s="186"/>
      <c r="T16" s="186"/>
      <c r="U16" s="186"/>
      <c r="V16" s="186"/>
      <c r="W16" s="186"/>
      <c r="X16" s="186"/>
      <c r="Y16" s="186"/>
      <c r="Z16" s="186"/>
      <c r="AA16" s="186"/>
      <c r="AB16" s="186"/>
    </row>
    <row r="18" spans="2:31" ht="12.75" customHeight="1" x14ac:dyDescent="0.25">
      <c r="B18" s="5"/>
      <c r="C18" s="5"/>
      <c r="D18" s="5"/>
      <c r="E18" s="5"/>
      <c r="F18" s="5"/>
      <c r="G18" s="5"/>
      <c r="H18" s="5"/>
      <c r="I18" s="5"/>
      <c r="J18" s="5"/>
      <c r="K18" s="5"/>
      <c r="L18" s="5"/>
      <c r="M18" s="5"/>
      <c r="N18" s="5"/>
    </row>
    <row r="19" spans="2:31" ht="12.75" customHeight="1" x14ac:dyDescent="0.25">
      <c r="B19" s="5"/>
      <c r="C19" s="5"/>
      <c r="D19" s="5"/>
      <c r="E19" s="5"/>
      <c r="F19" s="5"/>
      <c r="G19" s="5"/>
      <c r="H19" s="5"/>
      <c r="I19" s="5"/>
      <c r="J19" s="5"/>
      <c r="K19" s="5"/>
      <c r="L19" s="5"/>
      <c r="M19" s="5"/>
      <c r="N19" s="44"/>
      <c r="O19" s="5"/>
      <c r="P19" s="5"/>
      <c r="Q19" s="5"/>
      <c r="R19" s="5"/>
      <c r="S19" s="5"/>
      <c r="T19" s="5"/>
      <c r="U19" s="5"/>
      <c r="V19" s="5"/>
      <c r="W19" s="5"/>
      <c r="X19" s="5"/>
      <c r="Y19" s="5"/>
      <c r="Z19" s="5"/>
      <c r="AA19" s="5"/>
    </row>
    <row r="20" spans="2:31" ht="12.75" customHeight="1" x14ac:dyDescent="0.25">
      <c r="B20" s="5"/>
      <c r="C20" s="5"/>
      <c r="D20" s="5"/>
      <c r="E20" s="5"/>
      <c r="F20" s="5"/>
      <c r="G20" s="5"/>
      <c r="H20" s="5"/>
      <c r="I20" s="5"/>
      <c r="J20" s="5"/>
      <c r="K20" s="5"/>
      <c r="L20" s="5"/>
      <c r="M20" s="5"/>
      <c r="N20" s="44"/>
      <c r="O20" s="5"/>
      <c r="P20" s="5"/>
      <c r="Q20" s="5"/>
      <c r="R20" s="5"/>
      <c r="S20" s="5"/>
      <c r="T20" s="5"/>
      <c r="U20" s="5"/>
      <c r="V20" s="5"/>
      <c r="W20" s="5"/>
      <c r="X20" s="5"/>
      <c r="Y20" s="5"/>
      <c r="Z20" s="5"/>
      <c r="AA20" s="5"/>
    </row>
    <row r="21" spans="2:31" ht="12.75" customHeight="1" thickBot="1" x14ac:dyDescent="0.3">
      <c r="B21" s="253" t="s">
        <v>102</v>
      </c>
      <c r="C21" s="253"/>
      <c r="D21" s="253"/>
      <c r="E21" s="253"/>
      <c r="F21" s="253"/>
      <c r="G21" s="253"/>
      <c r="H21" s="253"/>
      <c r="I21" s="253"/>
      <c r="J21" s="253"/>
      <c r="K21" s="253"/>
      <c r="L21" s="253"/>
      <c r="M21" s="253"/>
      <c r="N21" s="253"/>
      <c r="P21" s="253" t="s">
        <v>103</v>
      </c>
      <c r="Q21" s="253"/>
      <c r="R21" s="253"/>
      <c r="S21" s="253"/>
      <c r="T21" s="253"/>
      <c r="U21" s="253"/>
      <c r="V21" s="253"/>
      <c r="W21" s="253"/>
      <c r="X21" s="253"/>
      <c r="Y21" s="253"/>
      <c r="Z21" s="253"/>
      <c r="AA21" s="253"/>
      <c r="AB21" s="10"/>
      <c r="AC21" s="3" t="s">
        <v>22</v>
      </c>
      <c r="AD21" s="13" t="s">
        <v>23</v>
      </c>
      <c r="AE21" s="74">
        <f t="array" ref="AE21">MIN(IF(D24:N34&gt;0,D24:N34))</f>
        <v>9.274630527590233E-2</v>
      </c>
    </row>
    <row r="22" spans="2:31" ht="12.75" customHeight="1" thickBot="1" x14ac:dyDescent="0.3">
      <c r="B22" s="75" t="s">
        <v>13</v>
      </c>
      <c r="C22" s="66" t="s">
        <v>14</v>
      </c>
      <c r="D22" s="67" t="s">
        <v>1</v>
      </c>
      <c r="E22" s="67" t="s">
        <v>195</v>
      </c>
      <c r="F22" s="67" t="s">
        <v>2</v>
      </c>
      <c r="G22" s="67" t="s">
        <v>3</v>
      </c>
      <c r="H22" s="67" t="s">
        <v>4</v>
      </c>
      <c r="I22" s="67" t="s">
        <v>5</v>
      </c>
      <c r="J22" s="67" t="s">
        <v>6</v>
      </c>
      <c r="K22" s="67" t="s">
        <v>7</v>
      </c>
      <c r="L22" s="67" t="s">
        <v>295</v>
      </c>
      <c r="M22" s="67" t="s">
        <v>9</v>
      </c>
      <c r="N22" s="67" t="s">
        <v>10</v>
      </c>
      <c r="P22" s="76" t="s">
        <v>19</v>
      </c>
      <c r="Q22" s="77" t="s">
        <v>1</v>
      </c>
      <c r="R22" s="77" t="s">
        <v>195</v>
      </c>
      <c r="S22" s="77" t="s">
        <v>2</v>
      </c>
      <c r="T22" s="77" t="s">
        <v>3</v>
      </c>
      <c r="U22" s="77" t="s">
        <v>4</v>
      </c>
      <c r="V22" s="77" t="s">
        <v>5</v>
      </c>
      <c r="W22" s="77" t="s">
        <v>6</v>
      </c>
      <c r="X22" s="77" t="s">
        <v>7</v>
      </c>
      <c r="Y22" s="77" t="s">
        <v>295</v>
      </c>
      <c r="Z22" s="77" t="s">
        <v>9</v>
      </c>
      <c r="AA22" s="77" t="s">
        <v>10</v>
      </c>
      <c r="AB22" s="254" t="s">
        <v>26</v>
      </c>
      <c r="AC22" s="254"/>
      <c r="AD22" s="13" t="s">
        <v>24</v>
      </c>
      <c r="AE22" s="20">
        <f>MAX(D24:N34)</f>
        <v>766.84202462044232</v>
      </c>
    </row>
    <row r="23" spans="2:31" ht="13.2" x14ac:dyDescent="0.25">
      <c r="B23" s="93"/>
      <c r="C23" s="94" t="s">
        <v>258</v>
      </c>
      <c r="D23" s="95">
        <f>C24</f>
        <v>-12.564133415557253</v>
      </c>
      <c r="E23" s="95">
        <f>C25</f>
        <v>-26.012437209190924</v>
      </c>
      <c r="F23" s="95">
        <f>C26</f>
        <v>-66.671778627849037</v>
      </c>
      <c r="G23" s="95">
        <f>C27</f>
        <v>-12.47138711028135</v>
      </c>
      <c r="H23" s="95">
        <f>C28</f>
        <v>-371.07869729089828</v>
      </c>
      <c r="I23" s="95">
        <f>C29</f>
        <v>-56.695140149925855</v>
      </c>
      <c r="J23" s="95">
        <f>C30</f>
        <v>-19.469677717443016</v>
      </c>
      <c r="K23" s="95">
        <f>C31</f>
        <v>-477.01246302318521</v>
      </c>
      <c r="L23" s="95">
        <f>C32</f>
        <v>-779.31341173072371</v>
      </c>
      <c r="M23" s="95">
        <f>C33</f>
        <v>-114.87163232552396</v>
      </c>
      <c r="N23" s="95">
        <f>C34</f>
        <v>-274.83335741257974</v>
      </c>
      <c r="P23" s="21" t="s">
        <v>1</v>
      </c>
      <c r="Q23" s="97">
        <f>AE23+(D24-AE21)*(AE24-AE23)/(AE22-AE21)</f>
        <v>8.7916055275041047E-4</v>
      </c>
      <c r="R23" s="97">
        <f t="shared" ref="R23:AA33" si="1">$AE$23+(E24-$AE$21)*($AE$24-$AE$23)/($AE$22-$AE$21)</f>
        <v>1.8400997051066282E-2</v>
      </c>
      <c r="S23" s="97">
        <f t="shared" si="1"/>
        <v>7.1376178412167562E-2</v>
      </c>
      <c r="T23" s="97">
        <f t="shared" si="1"/>
        <v>8.7916055275041047E-4</v>
      </c>
      <c r="U23" s="97">
        <f t="shared" si="1"/>
        <v>0.46798889177867065</v>
      </c>
      <c r="V23" s="97">
        <f t="shared" si="1"/>
        <v>5.8377585363151949E-2</v>
      </c>
      <c r="W23" s="97">
        <f t="shared" si="1"/>
        <v>9.8764155260354924E-3</v>
      </c>
      <c r="X23" s="97">
        <f t="shared" si="1"/>
        <v>0.60601032193781967</v>
      </c>
      <c r="Y23" s="97">
        <f t="shared" si="1"/>
        <v>0.9998791605527505</v>
      </c>
      <c r="Z23" s="97">
        <f t="shared" si="1"/>
        <v>0.13417591648271956</v>
      </c>
      <c r="AA23" s="97">
        <f t="shared" si="1"/>
        <v>0.3425905415517026</v>
      </c>
      <c r="AD23" s="3" t="s">
        <v>25</v>
      </c>
      <c r="AE23" s="2">
        <v>1E-3</v>
      </c>
    </row>
    <row r="24" spans="2:31" ht="12.75" customHeight="1" x14ac:dyDescent="0.25">
      <c r="B24" s="21" t="s">
        <v>1</v>
      </c>
      <c r="C24" s="95">
        <f>Annual_sorted!N22</f>
        <v>-12.564133415557253</v>
      </c>
      <c r="D24" s="29">
        <f>IF(C24-Table_1463412[Burundi]&gt;0, C24-Table_1463412[Burundi], 0)</f>
        <v>0</v>
      </c>
      <c r="E24" s="29">
        <f>IF(C24-Table_1463412[DRC]&gt;0, C24-Table_1463412[DRC], 0)</f>
        <v>13.448303793633672</v>
      </c>
      <c r="F24" s="29">
        <f>IF(C24-Table_1463412[Egypt]&gt;0, C24-Table_1463412[Egypt], 0)</f>
        <v>54.107645212291786</v>
      </c>
      <c r="G24" s="29">
        <f>IF(C24-Table_1463412[Eritrea]&gt;0, C24-Table_1463412[Eritrea], 0)</f>
        <v>0</v>
      </c>
      <c r="H24" s="29">
        <f>IF(C24-Table_1463412[Ethiopia]&gt;0, C24-Table_1463412[Ethiopia], 0)</f>
        <v>358.51456387534103</v>
      </c>
      <c r="I24" s="29">
        <f>IF(C24-Table_1463412[Kenya]&gt;0, C24-Table_1463412[Kenya], 0)</f>
        <v>44.131006734368604</v>
      </c>
      <c r="J24" s="29">
        <f>IF(C24-Table_1463412[Rwanda]&gt;0, C24-Table_1463412[Rwanda], 0)</f>
        <v>6.9055443018857634</v>
      </c>
      <c r="K24" s="29">
        <f>IF(C24-Table_1463412[Sudan]&gt;0, C24-Table_1463412[Sudan], 0)</f>
        <v>464.44832960762795</v>
      </c>
      <c r="L24" s="29">
        <f>IF(C24-Table_1463412[S. Sudan]&gt;0, C24-Table_1463412[S. Sudan], 0)</f>
        <v>766.74927831516641</v>
      </c>
      <c r="M24" s="29">
        <f>IF(C24-Table_1463412[Tanzania]&gt;0, C24-Table_1463412[Tanzania], 0)</f>
        <v>102.30749890996671</v>
      </c>
      <c r="N24" s="29">
        <f>IF(C24-Table_1463412[Uganda]&gt;0, C24-Table_1463412[Uganda], 0)</f>
        <v>262.26922399702249</v>
      </c>
      <c r="P24" s="21" t="s">
        <v>195</v>
      </c>
      <c r="Q24" s="97">
        <f t="shared" ref="Q24:Q33" si="2">$AE$23+(D25-$AE$21)*($AE$24-$AE$23)/($AE$22-$AE$21)</f>
        <v>8.7916055275041047E-4</v>
      </c>
      <c r="R24" s="97">
        <f t="shared" si="1"/>
        <v>8.7916055275041047E-4</v>
      </c>
      <c r="S24" s="97">
        <f t="shared" si="1"/>
        <v>5.3854341913851689E-2</v>
      </c>
      <c r="T24" s="97">
        <f t="shared" si="1"/>
        <v>8.7916055275041047E-4</v>
      </c>
      <c r="U24" s="97">
        <f t="shared" si="1"/>
        <v>0.45046705528035474</v>
      </c>
      <c r="V24" s="97">
        <f t="shared" si="1"/>
        <v>4.0855748864836068E-2</v>
      </c>
      <c r="W24" s="97">
        <f t="shared" si="1"/>
        <v>8.7916055275041047E-4</v>
      </c>
      <c r="X24" s="97">
        <f t="shared" si="1"/>
        <v>0.58848848543950372</v>
      </c>
      <c r="Y24" s="97">
        <f t="shared" si="1"/>
        <v>0.98235732405443454</v>
      </c>
      <c r="Z24" s="97">
        <f t="shared" si="1"/>
        <v>0.11665407998440371</v>
      </c>
      <c r="AA24" s="97">
        <f t="shared" si="1"/>
        <v>0.32506870505338675</v>
      </c>
      <c r="AD24" s="3" t="s">
        <v>70</v>
      </c>
      <c r="AE24" s="2">
        <v>1</v>
      </c>
    </row>
    <row r="25" spans="2:31" ht="12.75" customHeight="1" x14ac:dyDescent="0.25">
      <c r="B25" s="21" t="s">
        <v>195</v>
      </c>
      <c r="C25" s="95">
        <f>Annual_sorted!N23</f>
        <v>-26.012437209190924</v>
      </c>
      <c r="D25" s="29">
        <f>IF(C25-Table_1463412[Burundi]&gt;0, C25-Table_1463412[Burundi], 0)</f>
        <v>0</v>
      </c>
      <c r="E25" s="29">
        <f>IF(C25-Table_1463412[DRC]&gt;0, C25-Table_1463412[DRC], 0)</f>
        <v>0</v>
      </c>
      <c r="F25" s="29">
        <f>IF(C25-Table_1463412[Egypt]&gt;0, C25-Table_1463412[Egypt], 0)</f>
        <v>40.659341418658116</v>
      </c>
      <c r="G25" s="29">
        <f>IF(C25-Table_1463412[Eritrea]&gt;0, C25-Table_1463412[Eritrea], 0)</f>
        <v>0</v>
      </c>
      <c r="H25" s="29">
        <f>IF(C25-Table_1463412[Ethiopia]&gt;0, C25-Table_1463412[Ethiopia], 0)</f>
        <v>345.06626008170736</v>
      </c>
      <c r="I25" s="29">
        <f>IF(C25-Table_1463412[Kenya]&gt;0, C25-Table_1463412[Kenya], 0)</f>
        <v>30.682702940734931</v>
      </c>
      <c r="J25" s="29">
        <f>IF(C25-Table_1463412[Rwanda]&gt;0, C25-Table_1463412[Rwanda], 0)</f>
        <v>0</v>
      </c>
      <c r="K25" s="29">
        <f>IF(C25-Table_1463412[Sudan]&gt;0, C25-Table_1463412[Sudan], 0)</f>
        <v>451.00002581399428</v>
      </c>
      <c r="L25" s="29">
        <f>IF(C25-Table_1463412[S. Sudan]&gt;0, C25-Table_1463412[S. Sudan], 0)</f>
        <v>753.30097452153279</v>
      </c>
      <c r="M25" s="29">
        <f>IF(C25-Table_1463412[Tanzania]&gt;0, C25-Table_1463412[Tanzania], 0)</f>
        <v>88.859195116333041</v>
      </c>
      <c r="N25" s="29">
        <f>IF(C25-Table_1463412[Uganda]&gt;0, C25-Table_1463412[Uganda], 0)</f>
        <v>248.82092020338882</v>
      </c>
      <c r="P25" s="21" t="s">
        <v>2</v>
      </c>
      <c r="Q25" s="97">
        <f t="shared" si="2"/>
        <v>8.7916055275041047E-4</v>
      </c>
      <c r="R25" s="97">
        <f t="shared" si="1"/>
        <v>8.7916055275041047E-4</v>
      </c>
      <c r="S25" s="97">
        <f t="shared" si="1"/>
        <v>8.7916055275041047E-4</v>
      </c>
      <c r="T25" s="97">
        <f t="shared" si="1"/>
        <v>8.7916055275041047E-4</v>
      </c>
      <c r="U25" s="97">
        <f t="shared" si="1"/>
        <v>0.3974918739192535</v>
      </c>
      <c r="V25" s="97">
        <f t="shared" si="1"/>
        <v>8.7916055275041047E-4</v>
      </c>
      <c r="W25" s="97">
        <f t="shared" si="1"/>
        <v>8.7916055275041047E-4</v>
      </c>
      <c r="X25" s="97">
        <f t="shared" si="1"/>
        <v>0.53551330407840247</v>
      </c>
      <c r="Y25" s="97">
        <f t="shared" si="1"/>
        <v>0.92938214269333341</v>
      </c>
      <c r="Z25" s="97">
        <f t="shared" si="1"/>
        <v>6.3678898623302449E-2</v>
      </c>
      <c r="AA25" s="97">
        <f t="shared" si="1"/>
        <v>0.27209352369228545</v>
      </c>
    </row>
    <row r="26" spans="2:31" ht="12.75" customHeight="1" x14ac:dyDescent="0.25">
      <c r="B26" s="21" t="s">
        <v>2</v>
      </c>
      <c r="C26" s="95">
        <f>Annual_sorted!N24</f>
        <v>-66.671778627849037</v>
      </c>
      <c r="D26" s="29">
        <f>IF(C26-Table_1463412[Burundi]&gt;0, C26-Table_1463412[Burundi], 0)</f>
        <v>0</v>
      </c>
      <c r="E26" s="29">
        <f>IF(C26-Table_1463412[DRC]&gt;0, C26-Table_1463412[DRC], 0)</f>
        <v>0</v>
      </c>
      <c r="F26" s="29">
        <f>IF(C26-Table_1463412[Egypt]&gt;0, C26-Table_1463412[Egypt], 0)</f>
        <v>0</v>
      </c>
      <c r="G26" s="29">
        <f>IF(C26-Table_1463412[Eritrea]&gt;0, C26-Table_1463412[Eritrea], 0)</f>
        <v>0</v>
      </c>
      <c r="H26" s="29">
        <f>IF(C26-Table_1463412[Ethiopia]&gt;0, C26-Table_1463412[Ethiopia], 0)</f>
        <v>304.40691866304923</v>
      </c>
      <c r="I26" s="29">
        <f>IF(C26-Table_1463412[Kenya]&gt;0, C26-Table_1463412[Kenya], 0)</f>
        <v>0</v>
      </c>
      <c r="J26" s="29">
        <f>IF(C26-Table_1463412[Rwanda]&gt;0, C26-Table_1463412[Rwanda], 0)</f>
        <v>0</v>
      </c>
      <c r="K26" s="29">
        <f>IF(C26-Table_1463412[Sudan]&gt;0, C26-Table_1463412[Sudan], 0)</f>
        <v>410.34068439533615</v>
      </c>
      <c r="L26" s="29">
        <f>IF(C26-Table_1463412[S. Sudan]&gt;0, C26-Table_1463412[S. Sudan], 0)</f>
        <v>712.64163310287472</v>
      </c>
      <c r="M26" s="29">
        <f>IF(C26-Table_1463412[Tanzania]&gt;0, C26-Table_1463412[Tanzania], 0)</f>
        <v>48.199853697674925</v>
      </c>
      <c r="N26" s="29">
        <f>IF(C26-Table_1463412[Uganda]&gt;0, C26-Table_1463412[Uganda], 0)</f>
        <v>208.16157878473069</v>
      </c>
      <c r="P26" s="21" t="s">
        <v>3</v>
      </c>
      <c r="Q26" s="97">
        <f t="shared" si="2"/>
        <v>1E-3</v>
      </c>
      <c r="R26" s="97">
        <f t="shared" si="1"/>
        <v>1.8521836498315875E-2</v>
      </c>
      <c r="S26" s="97">
        <f t="shared" si="1"/>
        <v>7.1497017859417145E-2</v>
      </c>
      <c r="T26" s="97">
        <f t="shared" si="1"/>
        <v>8.7916055275041047E-4</v>
      </c>
      <c r="U26" s="97">
        <f t="shared" si="1"/>
        <v>0.4681097312259202</v>
      </c>
      <c r="V26" s="97">
        <f t="shared" si="1"/>
        <v>5.8498424810401538E-2</v>
      </c>
      <c r="W26" s="97">
        <f t="shared" si="1"/>
        <v>9.9972549732850816E-3</v>
      </c>
      <c r="X26" s="97">
        <f t="shared" si="1"/>
        <v>0.60613116138506917</v>
      </c>
      <c r="Y26" s="97">
        <f>$AE$23+(L27-$AE$21)*($AE$24-$AE$23)/($AE$22-$AE$21)</f>
        <v>1</v>
      </c>
      <c r="Z26" s="97">
        <f t="shared" si="1"/>
        <v>0.13429675592996917</v>
      </c>
      <c r="AA26" s="97">
        <f t="shared" si="1"/>
        <v>0.34271138099895221</v>
      </c>
    </row>
    <row r="27" spans="2:31" ht="12.75" customHeight="1" x14ac:dyDescent="0.25">
      <c r="B27" s="21" t="s">
        <v>3</v>
      </c>
      <c r="C27" s="95">
        <f>Annual_sorted!N25</f>
        <v>-12.47138711028135</v>
      </c>
      <c r="D27" s="29">
        <f>IF(C27-Table_1463412[Burundi]&gt;0, C27-Table_1463412[Burundi], 0)</f>
        <v>9.274630527590233E-2</v>
      </c>
      <c r="E27" s="29">
        <f>IF(C27-Table_1463412[DRC]&gt;0, C27-Table_1463412[DRC], 0)</f>
        <v>13.541050098909574</v>
      </c>
      <c r="F27" s="29">
        <f>IF(C27-Table_1463412[Egypt]&gt;0, C27-Table_1463412[Egypt], 0)</f>
        <v>54.200391517567688</v>
      </c>
      <c r="G27" s="29">
        <f>IF(C27-Table_1463412[Eritrea]&gt;0, C27-Table_1463412[Eritrea], 0)</f>
        <v>0</v>
      </c>
      <c r="H27" s="29">
        <f>IF(C27-Table_1463412[Ethiopia]&gt;0, C27-Table_1463412[Ethiopia], 0)</f>
        <v>358.60731018061693</v>
      </c>
      <c r="I27" s="29">
        <f>IF(C27-Table_1463412[Kenya]&gt;0, C27-Table_1463412[Kenya], 0)</f>
        <v>44.223753039644507</v>
      </c>
      <c r="J27" s="29">
        <f>IF(C27-Table_1463412[Rwanda]&gt;0, C27-Table_1463412[Rwanda], 0)</f>
        <v>6.9982906071616657</v>
      </c>
      <c r="K27" s="29">
        <f>IF(C27-Table_1463412[Sudan]&gt;0, C27-Table_1463412[Sudan], 0)</f>
        <v>464.54107591290386</v>
      </c>
      <c r="L27" s="29">
        <f>IF(C27-Table_1463412[S. Sudan]&gt;0, C27-Table_1463412[S. Sudan], 0)</f>
        <v>766.84202462044232</v>
      </c>
      <c r="M27" s="29">
        <f>IF(C27-Table_1463412[Tanzania]&gt;0, C27-Table_1463412[Tanzania], 0)</f>
        <v>102.40024521524261</v>
      </c>
      <c r="N27" s="29">
        <f>IF(C27-Table_1463412[Uganda]&gt;0, C27-Table_1463412[Uganda], 0)</f>
        <v>262.3619703022984</v>
      </c>
      <c r="P27" s="21" t="s">
        <v>4</v>
      </c>
      <c r="Q27" s="97">
        <f t="shared" si="2"/>
        <v>8.7916055275041047E-4</v>
      </c>
      <c r="R27" s="97">
        <f t="shared" si="1"/>
        <v>8.7916055275041047E-4</v>
      </c>
      <c r="S27" s="97">
        <f t="shared" si="1"/>
        <v>8.7916055275041047E-4</v>
      </c>
      <c r="T27" s="97">
        <f t="shared" si="1"/>
        <v>8.7916055275041047E-4</v>
      </c>
      <c r="U27" s="97">
        <f t="shared" si="1"/>
        <v>8.7916055275041047E-4</v>
      </c>
      <c r="V27" s="97">
        <f t="shared" si="1"/>
        <v>8.7916055275041047E-4</v>
      </c>
      <c r="W27" s="97">
        <f t="shared" si="1"/>
        <v>8.7916055275041047E-4</v>
      </c>
      <c r="X27" s="97">
        <f t="shared" si="1"/>
        <v>0.13890059071189939</v>
      </c>
      <c r="Y27" s="97">
        <f t="shared" si="1"/>
        <v>0.53276942932683025</v>
      </c>
      <c r="Z27" s="97">
        <f t="shared" si="1"/>
        <v>8.7916055275041047E-4</v>
      </c>
      <c r="AA27" s="97">
        <f t="shared" si="1"/>
        <v>8.7916055275041047E-4</v>
      </c>
    </row>
    <row r="28" spans="2:31" ht="12.75" customHeight="1" x14ac:dyDescent="0.25">
      <c r="B28" s="21" t="s">
        <v>4</v>
      </c>
      <c r="C28" s="95">
        <f>Annual_sorted!N26</f>
        <v>-371.07869729089828</v>
      </c>
      <c r="D28" s="29">
        <f>IF(C28-Table_1463412[Burundi]&gt;0, C28-Table_1463412[Burundi], 0)</f>
        <v>0</v>
      </c>
      <c r="E28" s="29">
        <f>IF(C28-Table_1463412[DRC]&gt;0, C28-Table_1463412[DRC], 0)</f>
        <v>0</v>
      </c>
      <c r="F28" s="29">
        <f>IF(C28-Table_1463412[Egypt]&gt;0, C28-Table_1463412[Egypt], 0)</f>
        <v>0</v>
      </c>
      <c r="G28" s="29">
        <f>IF(C28-Table_1463412[Eritrea]&gt;0, C28-Table_1463412[Eritrea], 0)</f>
        <v>0</v>
      </c>
      <c r="H28" s="29">
        <f>IF(C28-Table_1463412[Ethiopia]&gt;0, C28-Table_1463412[Ethiopia], 0)</f>
        <v>0</v>
      </c>
      <c r="I28" s="29">
        <f>IF(C28-Table_1463412[Kenya]&gt;0, C28-Table_1463412[Kenya], 0)</f>
        <v>0</v>
      </c>
      <c r="J28" s="29">
        <f>IF(C28-Table_1463412[Rwanda]&gt;0, C28-Table_1463412[Rwanda], 0)</f>
        <v>0</v>
      </c>
      <c r="K28" s="29">
        <f>IF(C28-Table_1463412[Sudan]&gt;0, C28-Table_1463412[Sudan], 0)</f>
        <v>105.93376573228693</v>
      </c>
      <c r="L28" s="29">
        <f>IF(C28-Table_1463412[S. Sudan]&gt;0, C28-Table_1463412[S. Sudan], 0)</f>
        <v>408.23471443982544</v>
      </c>
      <c r="M28" s="29">
        <f>IF(C28-Table_1463412[Tanzania]&gt;0, C28-Table_1463412[Tanzania], 0)</f>
        <v>0</v>
      </c>
      <c r="N28" s="29">
        <f>IF(C28-Table_1463412[Uganda]&gt;0, C28-Table_1463412[Uganda], 0)</f>
        <v>0</v>
      </c>
      <c r="P28" s="21" t="s">
        <v>5</v>
      </c>
      <c r="Q28" s="97">
        <f t="shared" si="2"/>
        <v>8.7916055275041047E-4</v>
      </c>
      <c r="R28" s="97">
        <f t="shared" si="1"/>
        <v>8.7916055275041047E-4</v>
      </c>
      <c r="S28" s="97">
        <f t="shared" si="1"/>
        <v>1.3877753601766022E-2</v>
      </c>
      <c r="T28" s="97">
        <f t="shared" si="1"/>
        <v>8.7916055275041047E-4</v>
      </c>
      <c r="U28" s="97">
        <f t="shared" si="1"/>
        <v>0.41049046696826907</v>
      </c>
      <c r="V28" s="97">
        <f t="shared" si="1"/>
        <v>8.7916055275041047E-4</v>
      </c>
      <c r="W28" s="97">
        <f t="shared" si="1"/>
        <v>8.7916055275041047E-4</v>
      </c>
      <c r="X28" s="97">
        <f t="shared" si="1"/>
        <v>0.5485118971274181</v>
      </c>
      <c r="Y28" s="97">
        <f t="shared" si="1"/>
        <v>0.94238073574234904</v>
      </c>
      <c r="Z28" s="97">
        <f t="shared" si="1"/>
        <v>7.6677491672318049E-2</v>
      </c>
      <c r="AA28" s="97">
        <f t="shared" si="1"/>
        <v>0.28509211674130108</v>
      </c>
    </row>
    <row r="29" spans="2:31" ht="12.75" customHeight="1" x14ac:dyDescent="0.25">
      <c r="B29" s="21" t="s">
        <v>5</v>
      </c>
      <c r="C29" s="95">
        <f>Annual_sorted!N27</f>
        <v>-56.695140149925855</v>
      </c>
      <c r="D29" s="29">
        <f>IF(C29-Table_1463412[Burundi]&gt;0, C29-Table_1463412[Burundi], 0)</f>
        <v>0</v>
      </c>
      <c r="E29" s="29">
        <f>IF(C29-Table_1463412[DRC]&gt;0, C29-Table_1463412[DRC], 0)</f>
        <v>0</v>
      </c>
      <c r="F29" s="29">
        <f>IF(C29-Table_1463412[Egypt]&gt;0, C29-Table_1463412[Egypt], 0)</f>
        <v>9.9766384779231814</v>
      </c>
      <c r="G29" s="29">
        <f>IF(C29-Table_1463412[Eritrea]&gt;0, C29-Table_1463412[Eritrea], 0)</f>
        <v>0</v>
      </c>
      <c r="H29" s="29">
        <f>IF(C29-Table_1463412[Ethiopia]&gt;0, C29-Table_1463412[Ethiopia], 0)</f>
        <v>314.38355714097241</v>
      </c>
      <c r="I29" s="29">
        <f>IF(C29-Table_1463412[Kenya]&gt;0, C29-Table_1463412[Kenya], 0)</f>
        <v>0</v>
      </c>
      <c r="J29" s="29">
        <f>IF(C29-Table_1463412[Rwanda]&gt;0, C29-Table_1463412[Rwanda], 0)</f>
        <v>0</v>
      </c>
      <c r="K29" s="29">
        <f>IF(C29-Table_1463412[Sudan]&gt;0, C29-Table_1463412[Sudan], 0)</f>
        <v>420.31732287325934</v>
      </c>
      <c r="L29" s="29">
        <f>IF(C29-Table_1463412[S. Sudan]&gt;0, C29-Table_1463412[S. Sudan], 0)</f>
        <v>722.61827158079791</v>
      </c>
      <c r="M29" s="29">
        <f>IF(C29-Table_1463412[Tanzania]&gt;0, C29-Table_1463412[Tanzania], 0)</f>
        <v>58.176492175598106</v>
      </c>
      <c r="N29" s="29">
        <f>IF(C29-Table_1463412[Uganda]&gt;0, C29-Table_1463412[Uganda], 0)</f>
        <v>218.13821726265388</v>
      </c>
      <c r="P29" s="21" t="s">
        <v>6</v>
      </c>
      <c r="Q29" s="97">
        <f t="shared" si="2"/>
        <v>8.7916055275041047E-4</v>
      </c>
      <c r="R29" s="97">
        <f t="shared" si="1"/>
        <v>9.4037420777812013E-3</v>
      </c>
      <c r="S29" s="97">
        <f t="shared" si="1"/>
        <v>6.2378923438882468E-2</v>
      </c>
      <c r="T29" s="97">
        <f t="shared" si="1"/>
        <v>8.7916055275041047E-4</v>
      </c>
      <c r="U29" s="97">
        <f t="shared" si="1"/>
        <v>0.45899163680538552</v>
      </c>
      <c r="V29" s="97">
        <f t="shared" si="1"/>
        <v>4.9380330389866875E-2</v>
      </c>
      <c r="W29" s="97">
        <f t="shared" si="1"/>
        <v>8.7916055275041047E-4</v>
      </c>
      <c r="X29" s="97">
        <f t="shared" si="1"/>
        <v>0.59701306696453449</v>
      </c>
      <c r="Y29" s="97">
        <f t="shared" si="1"/>
        <v>0.99088190557946543</v>
      </c>
      <c r="Z29" s="97">
        <f t="shared" si="1"/>
        <v>0.12517866150943449</v>
      </c>
      <c r="AA29" s="97">
        <f t="shared" si="1"/>
        <v>0.33359328657841752</v>
      </c>
    </row>
    <row r="30" spans="2:31" ht="12.75" customHeight="1" x14ac:dyDescent="0.25">
      <c r="B30" s="21" t="s">
        <v>6</v>
      </c>
      <c r="C30" s="95">
        <f>Annual_sorted!N28</f>
        <v>-19.469677717443016</v>
      </c>
      <c r="D30" s="29">
        <f>IF(C30-Table_1463412[Burundi]&gt;0, C30-Table_1463412[Burundi], 0)</f>
        <v>0</v>
      </c>
      <c r="E30" s="29">
        <f>IF(C30-Table_1463412[DRC]&gt;0, C30-Table_1463412[DRC], 0)</f>
        <v>6.5427594917479084</v>
      </c>
      <c r="F30" s="29">
        <f>IF(C30-Table_1463412[Egypt]&gt;0, C30-Table_1463412[Egypt], 0)</f>
        <v>47.202100910406017</v>
      </c>
      <c r="G30" s="29">
        <f>IF(C30-Table_1463412[Eritrea]&gt;0, C30-Table_1463412[Eritrea], 0)</f>
        <v>0</v>
      </c>
      <c r="H30" s="29">
        <f>IF(C30-Table_1463412[Ethiopia]&gt;0, C30-Table_1463412[Ethiopia], 0)</f>
        <v>351.60901957345527</v>
      </c>
      <c r="I30" s="29">
        <f>IF(C30-Table_1463412[Kenya]&gt;0, C30-Table_1463412[Kenya], 0)</f>
        <v>37.225462432482843</v>
      </c>
      <c r="J30" s="29">
        <f>IF(C30-Table_1463412[Rwanda]&gt;0, C30-Table_1463412[Rwanda], 0)</f>
        <v>0</v>
      </c>
      <c r="K30" s="29">
        <f>IF(C30-Table_1463412[Sudan]&gt;0, C30-Table_1463412[Sudan], 0)</f>
        <v>457.5427853057422</v>
      </c>
      <c r="L30" s="29">
        <f>IF(C30-Table_1463412[S. Sudan]&gt;0, C30-Table_1463412[S. Sudan], 0)</f>
        <v>759.84373401328071</v>
      </c>
      <c r="M30" s="29">
        <f>IF(C30-Table_1463412[Tanzania]&gt;0, C30-Table_1463412[Tanzania], 0)</f>
        <v>95.401954608080942</v>
      </c>
      <c r="N30" s="29">
        <f>IF(C30-Table_1463412[Uganda]&gt;0, C30-Table_1463412[Uganda], 0)</f>
        <v>255.36367969513674</v>
      </c>
      <c r="P30" s="21" t="s">
        <v>7</v>
      </c>
      <c r="Q30" s="97">
        <f t="shared" si="2"/>
        <v>8.7916055275041047E-4</v>
      </c>
      <c r="R30" s="97">
        <f t="shared" si="1"/>
        <v>8.7916055275041047E-4</v>
      </c>
      <c r="S30" s="97">
        <f t="shared" si="1"/>
        <v>8.7916055275041047E-4</v>
      </c>
      <c r="T30" s="97">
        <f t="shared" si="1"/>
        <v>8.7916055275041047E-4</v>
      </c>
      <c r="U30" s="97">
        <f t="shared" si="1"/>
        <v>8.7916055275041047E-4</v>
      </c>
      <c r="V30" s="97">
        <f t="shared" si="1"/>
        <v>8.7916055275041047E-4</v>
      </c>
      <c r="W30" s="97">
        <f t="shared" si="1"/>
        <v>8.7916055275041047E-4</v>
      </c>
      <c r="X30" s="97">
        <f t="shared" si="1"/>
        <v>8.7916055275041047E-4</v>
      </c>
      <c r="Y30" s="97">
        <f t="shared" si="1"/>
        <v>0.39474799916768127</v>
      </c>
      <c r="Z30" s="97">
        <f t="shared" si="1"/>
        <v>8.7916055275041047E-4</v>
      </c>
      <c r="AA30" s="97">
        <f t="shared" si="1"/>
        <v>8.7916055275041047E-4</v>
      </c>
    </row>
    <row r="31" spans="2:31" ht="12.75" customHeight="1" x14ac:dyDescent="0.25">
      <c r="B31" s="21" t="s">
        <v>7</v>
      </c>
      <c r="C31" s="95">
        <f>Annual_sorted!N29</f>
        <v>-477.01246302318521</v>
      </c>
      <c r="D31" s="29">
        <f>IF(C31-Table_1463412[Burundi]&gt;0, C31-Table_1463412[Burundi], 0)</f>
        <v>0</v>
      </c>
      <c r="E31" s="29">
        <f>IF(C31-Table_1463412[DRC]&gt;0, C31-Table_1463412[DRC], 0)</f>
        <v>0</v>
      </c>
      <c r="F31" s="29">
        <f>IF(C31-Table_1463412[Egypt]&gt;0, C31-Table_1463412[Egypt], 0)</f>
        <v>0</v>
      </c>
      <c r="G31" s="29">
        <f>IF(C31-Table_1463412[Eritrea]&gt;0, C31-Table_1463412[Eritrea], 0)</f>
        <v>0</v>
      </c>
      <c r="H31" s="29">
        <f>IF(C31-Table_1463412[Ethiopia]&gt;0, C31-Table_1463412[Ethiopia], 0)</f>
        <v>0</v>
      </c>
      <c r="I31" s="29">
        <f>IF(C31-Table_1463412[Kenya]&gt;0, C31-Table_1463412[Kenya], 0)</f>
        <v>0</v>
      </c>
      <c r="J31" s="29">
        <f>IF(C31-Table_1463412[Rwanda]&gt;0, C31-Table_1463412[Rwanda], 0)</f>
        <v>0</v>
      </c>
      <c r="K31" s="29">
        <f>IF(C31-Table_1463412[Sudan]&gt;0, C31-Table_1463412[Sudan], 0)</f>
        <v>0</v>
      </c>
      <c r="L31" s="29">
        <f>IF(C31-Table_1463412[S. Sudan]&gt;0, C31-Table_1463412[S. Sudan], 0)</f>
        <v>302.30094870753851</v>
      </c>
      <c r="M31" s="29">
        <f>IF(C31-Table_1463412[Tanzania]&gt;0, C31-Table_1463412[Tanzania], 0)</f>
        <v>0</v>
      </c>
      <c r="N31" s="29">
        <f>IF(C31-Table_1463412[Uganda]&gt;0, C31-Table_1463412[Uganda], 0)</f>
        <v>0</v>
      </c>
      <c r="P31" s="21" t="s">
        <v>8</v>
      </c>
      <c r="Q31" s="97">
        <f t="shared" si="2"/>
        <v>8.7916055275041047E-4</v>
      </c>
      <c r="R31" s="97">
        <f t="shared" si="1"/>
        <v>8.7916055275041047E-4</v>
      </c>
      <c r="S31" s="97">
        <f t="shared" si="1"/>
        <v>8.7916055275041047E-4</v>
      </c>
      <c r="T31" s="97">
        <f t="shared" si="1"/>
        <v>8.7916055275041047E-4</v>
      </c>
      <c r="U31" s="97">
        <f t="shared" si="1"/>
        <v>8.7916055275041047E-4</v>
      </c>
      <c r="V31" s="97">
        <f t="shared" si="1"/>
        <v>8.7916055275041047E-4</v>
      </c>
      <c r="W31" s="97">
        <f t="shared" si="1"/>
        <v>8.7916055275041047E-4</v>
      </c>
      <c r="X31" s="97">
        <f t="shared" si="1"/>
        <v>8.7916055275041047E-4</v>
      </c>
      <c r="Y31" s="97">
        <f t="shared" si="1"/>
        <v>8.7916055275041047E-4</v>
      </c>
      <c r="Z31" s="97">
        <f t="shared" si="1"/>
        <v>8.7916055275041047E-4</v>
      </c>
      <c r="AA31" s="97">
        <f t="shared" si="1"/>
        <v>8.7916055275041047E-4</v>
      </c>
    </row>
    <row r="32" spans="2:31" ht="12.75" customHeight="1" x14ac:dyDescent="0.25">
      <c r="B32" s="21" t="s">
        <v>8</v>
      </c>
      <c r="C32" s="95">
        <f>Annual_sorted!N30</f>
        <v>-779.31341173072371</v>
      </c>
      <c r="D32" s="29">
        <f>IF(C32-Table_1463412[Burundi]&gt;0, C32-Table_1463412[Burundi], 0)</f>
        <v>0</v>
      </c>
      <c r="E32" s="29">
        <f>IF(C32-Table_1463412[DRC]&gt;0, C32-Table_1463412[DRC], 0)</f>
        <v>0</v>
      </c>
      <c r="F32" s="29">
        <f>IF(C32-Table_1463412[Egypt]&gt;0, C32-Table_1463412[Egypt], 0)</f>
        <v>0</v>
      </c>
      <c r="G32" s="29">
        <f>IF(C32-Table_1463412[Eritrea]&gt;0, C32-Table_1463412[Eritrea], 0)</f>
        <v>0</v>
      </c>
      <c r="H32" s="29">
        <f>IF(C32-Table_1463412[Ethiopia]&gt;0, C32-Table_1463412[Ethiopia], 0)</f>
        <v>0</v>
      </c>
      <c r="I32" s="29">
        <f>IF(C32-Table_1463412[Kenya]&gt;0, C32-Table_1463412[Kenya], 0)</f>
        <v>0</v>
      </c>
      <c r="J32" s="29">
        <f>IF(C32-Table_1463412[Rwanda]&gt;0, C32-Table_1463412[Rwanda], 0)</f>
        <v>0</v>
      </c>
      <c r="K32" s="29">
        <f>IF(C32-Table_1463412[Sudan]&gt;0, C32-Table_1463412[Sudan], 0)</f>
        <v>0</v>
      </c>
      <c r="L32" s="29">
        <f>IF(C32-Table_1463412[S. Sudan]&gt;0, C32-Table_1463412[S. Sudan], 0)</f>
        <v>0</v>
      </c>
      <c r="M32" s="29">
        <f>IF(C32-Table_1463412[Tanzania]&gt;0, C32-Table_1463412[Tanzania], 0)</f>
        <v>0</v>
      </c>
      <c r="N32" s="29">
        <f>IF(C32-Table_1463412[Uganda]&gt;0, C32-Table_1463412[Uganda], 0)</f>
        <v>0</v>
      </c>
      <c r="P32" s="21" t="s">
        <v>9</v>
      </c>
      <c r="Q32" s="97">
        <f t="shared" si="2"/>
        <v>8.7916055275041047E-4</v>
      </c>
      <c r="R32" s="97">
        <f t="shared" si="1"/>
        <v>8.7916055275041047E-4</v>
      </c>
      <c r="S32" s="97">
        <f t="shared" si="1"/>
        <v>8.7916055275041047E-4</v>
      </c>
      <c r="T32" s="97">
        <f t="shared" si="1"/>
        <v>8.7916055275041047E-4</v>
      </c>
      <c r="U32" s="97">
        <f t="shared" si="1"/>
        <v>0.3346921358487015</v>
      </c>
      <c r="V32" s="97">
        <f t="shared" si="1"/>
        <v>8.7916055275041047E-4</v>
      </c>
      <c r="W32" s="97">
        <f t="shared" si="1"/>
        <v>8.7916055275041047E-4</v>
      </c>
      <c r="X32" s="97">
        <f t="shared" si="1"/>
        <v>0.47271356600785053</v>
      </c>
      <c r="Y32" s="97">
        <f t="shared" si="1"/>
        <v>0.86658240462278135</v>
      </c>
      <c r="Z32" s="97">
        <f t="shared" si="1"/>
        <v>8.7916055275041047E-4</v>
      </c>
      <c r="AA32" s="97">
        <f t="shared" si="1"/>
        <v>0.20929378562173342</v>
      </c>
    </row>
    <row r="33" spans="2:31" ht="12.75" customHeight="1" thickBot="1" x14ac:dyDescent="0.3">
      <c r="B33" s="21" t="s">
        <v>9</v>
      </c>
      <c r="C33" s="95">
        <f>Annual_sorted!N31</f>
        <v>-114.87163232552396</v>
      </c>
      <c r="D33" s="29">
        <f>IF(C33-Table_1463412[Burundi]&gt;0, C33-Table_1463412[Burundi], 0)</f>
        <v>0</v>
      </c>
      <c r="E33" s="29">
        <f>IF(C33-Table_1463412[DRC]&gt;0, C33-Table_1463412[DRC], 0)</f>
        <v>0</v>
      </c>
      <c r="F33" s="29">
        <f>IF(C33-Table_1463412[Egypt]&gt;0, C33-Table_1463412[Egypt], 0)</f>
        <v>0</v>
      </c>
      <c r="G33" s="29">
        <f>IF(C33-Table_1463412[Eritrea]&gt;0, C33-Table_1463412[Eritrea], 0)</f>
        <v>0</v>
      </c>
      <c r="H33" s="29">
        <f>IF(C33-Table_1463412[Ethiopia]&gt;0, C33-Table_1463412[Ethiopia], 0)</f>
        <v>256.20706496537434</v>
      </c>
      <c r="I33" s="29">
        <f>IF(C33-Table_1463412[Kenya]&gt;0, C33-Table_1463412[Kenya], 0)</f>
        <v>0</v>
      </c>
      <c r="J33" s="29">
        <f>IF(C33-Table_1463412[Rwanda]&gt;0, C33-Table_1463412[Rwanda], 0)</f>
        <v>0</v>
      </c>
      <c r="K33" s="29">
        <f>IF(C33-Table_1463412[Sudan]&gt;0, C33-Table_1463412[Sudan], 0)</f>
        <v>362.14083069766127</v>
      </c>
      <c r="L33" s="29">
        <f>IF(C33-Table_1463412[S. Sudan]&gt;0, C33-Table_1463412[S. Sudan], 0)</f>
        <v>664.44177940519978</v>
      </c>
      <c r="M33" s="29">
        <f>IF(C33-Table_1463412[Tanzania]&gt;0, C33-Table_1463412[Tanzania], 0)</f>
        <v>0</v>
      </c>
      <c r="N33" s="29">
        <f>IF(C33-Table_1463412[Uganda]&gt;0, C33-Table_1463412[Uganda], 0)</f>
        <v>159.96172508705578</v>
      </c>
      <c r="P33" s="22" t="s">
        <v>10</v>
      </c>
      <c r="Q33" s="98">
        <f t="shared" si="2"/>
        <v>8.7916055275041047E-4</v>
      </c>
      <c r="R33" s="98">
        <f t="shared" si="1"/>
        <v>8.7916055275041047E-4</v>
      </c>
      <c r="S33" s="98">
        <f t="shared" si="1"/>
        <v>8.7916055275041047E-4</v>
      </c>
      <c r="T33" s="98">
        <f t="shared" si="1"/>
        <v>8.7916055275041047E-4</v>
      </c>
      <c r="U33" s="98">
        <f t="shared" si="1"/>
        <v>0.12627751077971844</v>
      </c>
      <c r="V33" s="98">
        <f t="shared" si="1"/>
        <v>8.7916055275041047E-4</v>
      </c>
      <c r="W33" s="98">
        <f t="shared" si="1"/>
        <v>8.7916055275041047E-4</v>
      </c>
      <c r="X33" s="98">
        <f t="shared" si="1"/>
        <v>0.26429894093886741</v>
      </c>
      <c r="Y33" s="98">
        <f t="shared" si="1"/>
        <v>0.65816777955379824</v>
      </c>
      <c r="Z33" s="98">
        <f t="shared" si="1"/>
        <v>8.7916055275041047E-4</v>
      </c>
      <c r="AA33" s="98">
        <f t="shared" si="1"/>
        <v>8.7916055275041047E-4</v>
      </c>
      <c r="AB33" s="186">
        <f>SUM(Q23:AA33)</f>
        <v>19.13566581019332</v>
      </c>
    </row>
    <row r="34" spans="2:31" ht="12.75" customHeight="1" thickBot="1" x14ac:dyDescent="0.3">
      <c r="B34" s="22" t="s">
        <v>10</v>
      </c>
      <c r="C34" s="96">
        <f>Annual_sorted!N32</f>
        <v>-274.83335741257974</v>
      </c>
      <c r="D34" s="32">
        <f>IF(C34-Table_1463412[Burundi]&gt;0, C34-Table_1463412[Burundi], 0)</f>
        <v>0</v>
      </c>
      <c r="E34" s="32">
        <f>IF(C34-Table_1463412[DRC]&gt;0, C34-Table_1463412[DRC], 0)</f>
        <v>0</v>
      </c>
      <c r="F34" s="32">
        <f>IF(C34-Table_1463412[Egypt]&gt;0, C34-Table_1463412[Egypt], 0)</f>
        <v>0</v>
      </c>
      <c r="G34" s="32">
        <f>IF(C34-Table_1463412[Eritrea]&gt;0, C34-Table_1463412[Eritrea], 0)</f>
        <v>0</v>
      </c>
      <c r="H34" s="32">
        <f>IF(C34-Table_1463412[Ethiopia]&gt;0, C34-Table_1463412[Ethiopia], 0)</f>
        <v>96.245339878318532</v>
      </c>
      <c r="I34" s="32">
        <f>IF(C34-Table_1463412[Kenya]&gt;0, C34-Table_1463412[Kenya], 0)</f>
        <v>0</v>
      </c>
      <c r="J34" s="32">
        <f>IF(C34-Table_1463412[Rwanda]&gt;0, C34-Table_1463412[Rwanda], 0)</f>
        <v>0</v>
      </c>
      <c r="K34" s="32">
        <f>IF(C34-Table_1463412[Sudan]&gt;0, C34-Table_1463412[Sudan], 0)</f>
        <v>202.17910561060546</v>
      </c>
      <c r="L34" s="32">
        <f>IF(C34-Table_1463412[S. Sudan]&gt;0, C34-Table_1463412[S. Sudan], 0)</f>
        <v>504.48005431814397</v>
      </c>
      <c r="M34" s="32">
        <f>IF(C34-Table_1463412[Tanzania]&gt;0, C34-Table_1463412[Tanzania], 0)</f>
        <v>0</v>
      </c>
      <c r="N34" s="32">
        <f>IF(C34-Table_1463412[Uganda]&gt;0, C34-Table_1463412[Uganda], 0)</f>
        <v>0</v>
      </c>
    </row>
    <row r="35" spans="2:31" ht="12.75" customHeight="1" x14ac:dyDescent="0.25">
      <c r="C35" s="19"/>
    </row>
    <row r="36" spans="2:31" ht="12.75" customHeight="1" x14ac:dyDescent="0.25"/>
    <row r="37" spans="2:31" ht="12.75" customHeight="1" x14ac:dyDescent="0.25">
      <c r="B37" s="5"/>
      <c r="C37" s="5"/>
      <c r="D37" s="5"/>
      <c r="E37" s="5"/>
      <c r="F37" s="5"/>
      <c r="G37" s="5"/>
      <c r="H37" s="5"/>
      <c r="I37" s="5"/>
      <c r="J37" s="5"/>
      <c r="K37" s="5"/>
      <c r="L37" s="5"/>
      <c r="M37" s="5"/>
      <c r="N37" s="5"/>
      <c r="O37" s="5"/>
      <c r="P37" s="5"/>
      <c r="Q37" s="5"/>
      <c r="R37" s="5"/>
      <c r="S37" s="5"/>
      <c r="T37" s="5"/>
      <c r="U37" s="5"/>
      <c r="V37" s="5"/>
      <c r="W37" s="5"/>
      <c r="X37" s="5"/>
      <c r="Y37" s="5"/>
      <c r="Z37" s="5"/>
      <c r="AA37" s="5"/>
    </row>
    <row r="38" spans="2:31" ht="12.75" customHeight="1" x14ac:dyDescent="0.25">
      <c r="B38" s="5"/>
      <c r="C38" s="5"/>
      <c r="D38" s="5"/>
      <c r="E38" s="5"/>
      <c r="F38" s="5"/>
      <c r="G38" s="5"/>
      <c r="H38" s="5"/>
      <c r="I38" s="5"/>
      <c r="J38" s="5"/>
      <c r="K38" s="5"/>
      <c r="L38" s="5"/>
      <c r="M38" s="5"/>
      <c r="N38" s="44"/>
      <c r="O38" s="5"/>
      <c r="P38" s="5"/>
      <c r="Q38" s="5"/>
      <c r="R38" s="5"/>
      <c r="S38" s="5"/>
      <c r="T38" s="5"/>
      <c r="U38" s="5"/>
      <c r="V38" s="5"/>
      <c r="W38" s="5"/>
      <c r="X38" s="5"/>
      <c r="Y38" s="5"/>
      <c r="Z38" s="5"/>
      <c r="AA38" s="5"/>
    </row>
    <row r="39" spans="2:31" ht="12.75" customHeight="1" thickBot="1" x14ac:dyDescent="0.3">
      <c r="B39" s="253" t="s">
        <v>77</v>
      </c>
      <c r="C39" s="253"/>
      <c r="D39" s="253"/>
      <c r="E39" s="253"/>
      <c r="F39" s="253"/>
      <c r="G39" s="253"/>
      <c r="H39" s="253"/>
      <c r="I39" s="253"/>
      <c r="J39" s="253"/>
      <c r="K39" s="253"/>
      <c r="L39" s="253"/>
      <c r="M39" s="253"/>
      <c r="N39" s="253"/>
      <c r="O39" s="5"/>
      <c r="P39" s="253" t="s">
        <v>78</v>
      </c>
      <c r="Q39" s="253"/>
      <c r="R39" s="253"/>
      <c r="S39" s="253"/>
      <c r="T39" s="253"/>
      <c r="U39" s="253"/>
      <c r="V39" s="253"/>
      <c r="W39" s="253"/>
      <c r="X39" s="253"/>
      <c r="Y39" s="253"/>
      <c r="Z39" s="253"/>
      <c r="AA39" s="253"/>
      <c r="AB39" s="10"/>
      <c r="AC39" s="3" t="s">
        <v>22</v>
      </c>
      <c r="AD39" s="13" t="s">
        <v>23</v>
      </c>
      <c r="AE39" s="74">
        <f t="array" ref="AE39">MIN(IF(D42:N52&gt;0,D42:N52))</f>
        <v>0.4824253961982537</v>
      </c>
    </row>
    <row r="40" spans="2:31" ht="12.75" customHeight="1" thickBot="1" x14ac:dyDescent="0.3">
      <c r="B40" s="75" t="s">
        <v>13</v>
      </c>
      <c r="C40" s="66" t="s">
        <v>14</v>
      </c>
      <c r="D40" s="67" t="s">
        <v>1</v>
      </c>
      <c r="E40" s="67" t="s">
        <v>195</v>
      </c>
      <c r="F40" s="67" t="s">
        <v>2</v>
      </c>
      <c r="G40" s="67" t="s">
        <v>3</v>
      </c>
      <c r="H40" s="67" t="s">
        <v>4</v>
      </c>
      <c r="I40" s="67" t="s">
        <v>5</v>
      </c>
      <c r="J40" s="67" t="s">
        <v>6</v>
      </c>
      <c r="K40" s="67" t="s">
        <v>7</v>
      </c>
      <c r="L40" s="67" t="s">
        <v>295</v>
      </c>
      <c r="M40" s="67" t="s">
        <v>9</v>
      </c>
      <c r="N40" s="67" t="s">
        <v>10</v>
      </c>
      <c r="P40" s="76" t="s">
        <v>19</v>
      </c>
      <c r="Q40" s="77" t="s">
        <v>1</v>
      </c>
      <c r="R40" s="77" t="s">
        <v>195</v>
      </c>
      <c r="S40" s="77" t="s">
        <v>2</v>
      </c>
      <c r="T40" s="77" t="s">
        <v>3</v>
      </c>
      <c r="U40" s="77" t="s">
        <v>4</v>
      </c>
      <c r="V40" s="77" t="s">
        <v>5</v>
      </c>
      <c r="W40" s="77" t="s">
        <v>6</v>
      </c>
      <c r="X40" s="77" t="s">
        <v>7</v>
      </c>
      <c r="Y40" s="77" t="s">
        <v>295</v>
      </c>
      <c r="Z40" s="77" t="s">
        <v>9</v>
      </c>
      <c r="AA40" s="77" t="s">
        <v>10</v>
      </c>
      <c r="AB40" s="254" t="s">
        <v>26</v>
      </c>
      <c r="AC40" s="254"/>
      <c r="AD40" s="13" t="s">
        <v>24</v>
      </c>
      <c r="AE40" s="20">
        <f>MAX(D42:N52)</f>
        <v>78.140356096001028</v>
      </c>
    </row>
    <row r="41" spans="2:31" ht="12.75" customHeight="1" x14ac:dyDescent="0.25">
      <c r="B41" s="93"/>
      <c r="C41" s="94" t="s">
        <v>265</v>
      </c>
      <c r="D41" s="95">
        <f>C42</f>
        <v>-7.0389278153489148</v>
      </c>
      <c r="E41" s="95">
        <f>C43</f>
        <v>-1.2508049586287995</v>
      </c>
      <c r="F41" s="95">
        <f>C44</f>
        <v>1.5530111565</v>
      </c>
      <c r="G41" s="95">
        <f>C45</f>
        <v>-1.8864832678842751</v>
      </c>
      <c r="H41" s="95">
        <f>C46</f>
        <v>-76.587344939501023</v>
      </c>
      <c r="I41" s="95">
        <f>C47</f>
        <v>-27.313741830070256</v>
      </c>
      <c r="J41" s="95">
        <f>C48</f>
        <v>-7.9611801143649696</v>
      </c>
      <c r="K41" s="95">
        <f>C49</f>
        <v>0.68418226249999992</v>
      </c>
      <c r="L41" s="95">
        <f>C50</f>
        <v>0.20175686630174622</v>
      </c>
      <c r="M41" s="95">
        <f>C51</f>
        <v>-58.746482885676514</v>
      </c>
      <c r="N41" s="95">
        <f>C52</f>
        <v>-60.301732442854281</v>
      </c>
      <c r="P41" s="21" t="s">
        <v>1</v>
      </c>
      <c r="Q41" s="97">
        <f>$AE$41+(D42-$AE$39)*($AE$42-$AE$41)/($AE$40-$AE$39)</f>
        <v>-5.2059723515563549E-3</v>
      </c>
      <c r="R41" s="97">
        <f t="shared" ref="R41:AA51" si="3">$AE$41+(E42-$AE$39)*($AE$42-$AE$41)/($AE$40-$AE$39)</f>
        <v>-5.2059723515563549E-3</v>
      </c>
      <c r="S41" s="97">
        <f t="shared" si="3"/>
        <v>-5.2059723515563549E-3</v>
      </c>
      <c r="T41" s="97">
        <f t="shared" si="3"/>
        <v>-5.2059723515563549E-3</v>
      </c>
      <c r="U41" s="97">
        <f t="shared" si="3"/>
        <v>0.88947236997522949</v>
      </c>
      <c r="V41" s="97">
        <f t="shared" si="3"/>
        <v>0.25561142283507671</v>
      </c>
      <c r="W41" s="97">
        <f t="shared" si="3"/>
        <v>6.6579807362301922E-3</v>
      </c>
      <c r="X41" s="97">
        <f t="shared" si="3"/>
        <v>-5.2059723515563549E-3</v>
      </c>
      <c r="Y41" s="97">
        <f t="shared" si="3"/>
        <v>-5.2059723515563549E-3</v>
      </c>
      <c r="Z41" s="97">
        <f t="shared" si="3"/>
        <v>0.65996559544285127</v>
      </c>
      <c r="AA41" s="97">
        <f t="shared" si="3"/>
        <v>0.67997249356155864</v>
      </c>
      <c r="AD41" s="3" t="s">
        <v>25</v>
      </c>
      <c r="AE41" s="2">
        <v>1E-3</v>
      </c>
    </row>
    <row r="42" spans="2:31" ht="12.75" customHeight="1" x14ac:dyDescent="0.25">
      <c r="B42" s="21" t="s">
        <v>1</v>
      </c>
      <c r="C42" s="95">
        <f>Annual_sorted!O22</f>
        <v>-7.0389278153489148</v>
      </c>
      <c r="D42" s="29">
        <f>IF(C42-Table_14634515[Burundi]&gt;0, C42-Table_14634515[Burundi], 0)</f>
        <v>0</v>
      </c>
      <c r="E42" s="29">
        <f>IF(C42-Table_14634515[DRC]&gt;0, C42-Table_14634515[DRC], 0)</f>
        <v>0</v>
      </c>
      <c r="F42" s="29">
        <f>IF(C42-Table_14634515[Egypt]&gt;0, C42-Table_14634515[Egypt], 0)</f>
        <v>0</v>
      </c>
      <c r="G42" s="29">
        <f>IF(C42-Table_14634515[Eritrea]&gt;0, C42-Table_14634515[Eritrea], 0)</f>
        <v>0</v>
      </c>
      <c r="H42" s="29">
        <f>IF(C42-Table_14634515[Ethiopia]&gt;0, C42-Table_14634515[Ethiopia], 0)</f>
        <v>69.54841712415211</v>
      </c>
      <c r="I42" s="29">
        <f>IF(C42-Table_14634515[Kenya]&gt;0, C42-Table_14634515[Kenya], 0)</f>
        <v>20.274814014721343</v>
      </c>
      <c r="J42" s="29">
        <f>IF(C42-Table_14634515[Rwanda]&gt;0, C42-Table_14634515[Rwanda], 0)</f>
        <v>0.92225229901605488</v>
      </c>
      <c r="K42" s="29">
        <f>IF(C42-Table_14634515[Sudan]&gt;0, C42-Table_14634515[Sudan], 0)</f>
        <v>0</v>
      </c>
      <c r="L42" s="29">
        <f>IF(C42-Table_14634515[S. Sudan]&gt;0, C42-Table_14634515[S. Sudan], 0)</f>
        <v>0</v>
      </c>
      <c r="M42" s="29">
        <f>IF(C42-Table_14634515[Tanzania]&gt;0, C42-Table_14634515[Tanzania], 0)</f>
        <v>51.707555070327601</v>
      </c>
      <c r="N42" s="29">
        <f>IF(C42-Table_14634515[Uganda]&gt;0, C42-Table_14634515[Uganda], 0)</f>
        <v>53.262804627505368</v>
      </c>
      <c r="P42" s="21" t="s">
        <v>195</v>
      </c>
      <c r="Q42" s="97">
        <f t="shared" ref="Q42:Q51" si="4">$AE$41+(D43-$AE$39)*($AE$42-$AE$41)/($AE$40-$AE$39)</f>
        <v>6.9253064629686306E-2</v>
      </c>
      <c r="R42" s="97">
        <f t="shared" si="3"/>
        <v>-5.2059723515563549E-3</v>
      </c>
      <c r="S42" s="97">
        <f t="shared" si="3"/>
        <v>-5.2059723515563549E-3</v>
      </c>
      <c r="T42" s="97">
        <f t="shared" si="3"/>
        <v>2.971462009926483E-3</v>
      </c>
      <c r="U42" s="97">
        <f t="shared" si="3"/>
        <v>0.96393140695647217</v>
      </c>
      <c r="V42" s="97">
        <f t="shared" si="3"/>
        <v>0.33007045981631933</v>
      </c>
      <c r="W42" s="97">
        <f t="shared" si="3"/>
        <v>8.1117017717472858E-2</v>
      </c>
      <c r="X42" s="97">
        <f t="shared" si="3"/>
        <v>-5.2059723515563549E-3</v>
      </c>
      <c r="Y42" s="97">
        <f t="shared" si="3"/>
        <v>-5.2059723515563549E-3</v>
      </c>
      <c r="Z42" s="97">
        <f t="shared" si="3"/>
        <v>0.73442463242409395</v>
      </c>
      <c r="AA42" s="97">
        <f t="shared" si="3"/>
        <v>0.75443153054280132</v>
      </c>
      <c r="AD42" s="3" t="s">
        <v>70</v>
      </c>
      <c r="AE42" s="2">
        <v>1</v>
      </c>
    </row>
    <row r="43" spans="2:31" ht="12.75" customHeight="1" x14ac:dyDescent="0.25">
      <c r="B43" s="21" t="s">
        <v>195</v>
      </c>
      <c r="C43" s="95">
        <f>Annual_sorted!O23</f>
        <v>-1.2508049586287995</v>
      </c>
      <c r="D43" s="29">
        <f>IF(C43-Table_14634515[Burundi]&gt;0, C43-Table_14634515[Burundi], 0)</f>
        <v>5.7881228567201148</v>
      </c>
      <c r="E43" s="29">
        <f>IF(C43-Table_14634515[DRC]&gt;0, C43-Table_14634515[DRC], 0)</f>
        <v>0</v>
      </c>
      <c r="F43" s="29">
        <f>IF(C43-Table_14634515[Egypt]&gt;0, C43-Table_14634515[Egypt], 0)</f>
        <v>0</v>
      </c>
      <c r="G43" s="29">
        <f>IF(C43-Table_14634515[Eritrea]&gt;0, C43-Table_14634515[Eritrea], 0)</f>
        <v>0.63567830925547564</v>
      </c>
      <c r="H43" s="29">
        <f>IF(C43-Table_14634515[Ethiopia]&gt;0, C43-Table_14634515[Ethiopia], 0)</f>
        <v>75.336539980872217</v>
      </c>
      <c r="I43" s="29">
        <f>IF(C43-Table_14634515[Kenya]&gt;0, C43-Table_14634515[Kenya], 0)</f>
        <v>26.062936871441458</v>
      </c>
      <c r="J43" s="29">
        <f>IF(C43-Table_14634515[Rwanda]&gt;0, C43-Table_14634515[Rwanda], 0)</f>
        <v>6.7103751557361697</v>
      </c>
      <c r="K43" s="29">
        <f>IF(C43-Table_14634515[Sudan]&gt;0, C43-Table_14634515[Sudan], 0)</f>
        <v>0</v>
      </c>
      <c r="L43" s="29">
        <f>IF(C43-Table_14634515[S. Sudan]&gt;0, C43-Table_14634515[S. Sudan], 0)</f>
        <v>0</v>
      </c>
      <c r="M43" s="29">
        <f>IF(C43-Table_14634515[Tanzania]&gt;0, C43-Table_14634515[Tanzania], 0)</f>
        <v>57.495677927047716</v>
      </c>
      <c r="N43" s="29">
        <f>IF(C43-Table_14634515[Uganda]&gt;0, C43-Table_14634515[Uganda], 0)</f>
        <v>59.050927484225483</v>
      </c>
      <c r="P43" s="21" t="s">
        <v>2</v>
      </c>
      <c r="Q43" s="97">
        <f t="shared" si="4"/>
        <v>0.10532165767321412</v>
      </c>
      <c r="R43" s="97">
        <f t="shared" si="3"/>
        <v>3.0862620691971449E-2</v>
      </c>
      <c r="S43" s="97">
        <f t="shared" si="3"/>
        <v>-5.2059723515563549E-3</v>
      </c>
      <c r="T43" s="97">
        <f t="shared" si="3"/>
        <v>3.9040055053454287E-2</v>
      </c>
      <c r="U43" s="97">
        <f t="shared" si="3"/>
        <v>1</v>
      </c>
      <c r="V43" s="97">
        <f t="shared" si="3"/>
        <v>0.3661390528598471</v>
      </c>
      <c r="W43" s="97">
        <f t="shared" si="3"/>
        <v>0.11718561076100066</v>
      </c>
      <c r="X43" s="97">
        <f t="shared" si="3"/>
        <v>5.9707362895896092E-3</v>
      </c>
      <c r="Y43" s="97">
        <f t="shared" si="3"/>
        <v>1.2176708641145964E-2</v>
      </c>
      <c r="Z43" s="97">
        <f t="shared" si="3"/>
        <v>0.77049322546762178</v>
      </c>
      <c r="AA43" s="97">
        <f t="shared" si="3"/>
        <v>0.79050012358632915</v>
      </c>
    </row>
    <row r="44" spans="2:31" ht="12.75" customHeight="1" x14ac:dyDescent="0.25">
      <c r="B44" s="21" t="s">
        <v>2</v>
      </c>
      <c r="C44" s="95">
        <f>Annual_sorted!O24</f>
        <v>1.5530111565</v>
      </c>
      <c r="D44" s="29">
        <f>IF(C44-Table_14634515[Burundi]&gt;0, C44-Table_14634515[Burundi], 0)</f>
        <v>8.591938971848915</v>
      </c>
      <c r="E44" s="29">
        <f>IF(C44-Table_14634515[DRC]&gt;0, C44-Table_14634515[DRC], 0)</f>
        <v>2.8038161151287992</v>
      </c>
      <c r="F44" s="29">
        <f>IF(C44-Table_14634515[Egypt]&gt;0, C44-Table_14634515[Egypt], 0)</f>
        <v>0</v>
      </c>
      <c r="G44" s="29">
        <f>IF(C44-Table_14634515[Eritrea]&gt;0, C44-Table_14634515[Eritrea], 0)</f>
        <v>3.4394944243842751</v>
      </c>
      <c r="H44" s="29">
        <f>IF(C44-Table_14634515[Ethiopia]&gt;0, C44-Table_14634515[Ethiopia], 0)</f>
        <v>78.140356096001028</v>
      </c>
      <c r="I44" s="29">
        <f>IF(C44-Table_14634515[Kenya]&gt;0, C44-Table_14634515[Kenya], 0)</f>
        <v>28.866752986570255</v>
      </c>
      <c r="J44" s="29">
        <f>IF(C44-Table_14634515[Rwanda]&gt;0, C44-Table_14634515[Rwanda], 0)</f>
        <v>9.5141912708649699</v>
      </c>
      <c r="K44" s="29">
        <f>IF(C44-Table_14634515[Sudan]&gt;0, C44-Table_14634515[Sudan], 0)</f>
        <v>0.86882889400000007</v>
      </c>
      <c r="L44" s="29">
        <f>IF(C44-Table_14634515[S. Sudan]&gt;0, C44-Table_14634515[S. Sudan], 0)</f>
        <v>1.3512542901982538</v>
      </c>
      <c r="M44" s="29">
        <f>IF(C44-Table_14634515[Tanzania]&gt;0, C44-Table_14634515[Tanzania], 0)</f>
        <v>60.299494042176512</v>
      </c>
      <c r="N44" s="29">
        <f>IF(C44-Table_14634515[Uganda]&gt;0, C44-Table_14634515[Uganda], 0)</f>
        <v>61.854743599354279</v>
      </c>
      <c r="P44" s="21" t="s">
        <v>3</v>
      </c>
      <c r="Q44" s="97">
        <f t="shared" si="4"/>
        <v>6.1075630268203479E-2</v>
      </c>
      <c r="R44" s="97">
        <f t="shared" si="3"/>
        <v>-5.2059723515563549E-3</v>
      </c>
      <c r="S44" s="97">
        <f t="shared" si="3"/>
        <v>-5.2059723515563549E-3</v>
      </c>
      <c r="T44" s="97">
        <f t="shared" si="3"/>
        <v>-5.2059723515563549E-3</v>
      </c>
      <c r="U44" s="97">
        <f t="shared" si="3"/>
        <v>0.9557539725949894</v>
      </c>
      <c r="V44" s="97">
        <f t="shared" si="3"/>
        <v>0.32189302545483645</v>
      </c>
      <c r="W44" s="97">
        <f t="shared" si="3"/>
        <v>7.2939583355990018E-2</v>
      </c>
      <c r="X44" s="97">
        <f t="shared" si="3"/>
        <v>-5.2059723515563549E-3</v>
      </c>
      <c r="Y44" s="97">
        <f t="shared" si="3"/>
        <v>-5.2059723515563549E-3</v>
      </c>
      <c r="Z44" s="97">
        <f t="shared" si="3"/>
        <v>0.72624719806261118</v>
      </c>
      <c r="AA44" s="97">
        <f t="shared" si="3"/>
        <v>0.74625409618131855</v>
      </c>
    </row>
    <row r="45" spans="2:31" ht="12.75" customHeight="1" x14ac:dyDescent="0.25">
      <c r="B45" s="21" t="s">
        <v>3</v>
      </c>
      <c r="C45" s="95">
        <f>Annual_sorted!O25</f>
        <v>-1.8864832678842751</v>
      </c>
      <c r="D45" s="29">
        <f>IF(C45-Table_14634515[Burundi]&gt;0, C45-Table_14634515[Burundi], 0)</f>
        <v>5.1524445474646399</v>
      </c>
      <c r="E45" s="29">
        <f>IF(C45-Table_14634515[DRC]&gt;0, C45-Table_14634515[DRC], 0)</f>
        <v>0</v>
      </c>
      <c r="F45" s="29">
        <f>IF(C45-Table_14634515[Egypt]&gt;0, C45-Table_14634515[Egypt], 0)</f>
        <v>0</v>
      </c>
      <c r="G45" s="29">
        <f>IF(C45-Table_14634515[Eritrea]&gt;0, C45-Table_14634515[Eritrea], 0)</f>
        <v>0</v>
      </c>
      <c r="H45" s="29">
        <f>IF(C45-Table_14634515[Ethiopia]&gt;0, C45-Table_14634515[Ethiopia], 0)</f>
        <v>74.70086167161675</v>
      </c>
      <c r="I45" s="29">
        <f>IF(C45-Table_14634515[Kenya]&gt;0, C45-Table_14634515[Kenya], 0)</f>
        <v>25.42725856218598</v>
      </c>
      <c r="J45" s="29">
        <f>IF(C45-Table_14634515[Rwanda]&gt;0, C45-Table_14634515[Rwanda], 0)</f>
        <v>6.0746968464806947</v>
      </c>
      <c r="K45" s="29">
        <f>IF(C45-Table_14634515[Sudan]&gt;0, C45-Table_14634515[Sudan], 0)</f>
        <v>0</v>
      </c>
      <c r="L45" s="29">
        <f>IF(C45-Table_14634515[S. Sudan]&gt;0, C45-Table_14634515[S. Sudan], 0)</f>
        <v>0</v>
      </c>
      <c r="M45" s="29">
        <f>IF(C45-Table_14634515[Tanzania]&gt;0, C45-Table_14634515[Tanzania], 0)</f>
        <v>56.859999617792241</v>
      </c>
      <c r="N45" s="29">
        <f>IF(C45-Table_14634515[Uganda]&gt;0, C45-Table_14634515[Uganda], 0)</f>
        <v>58.415249174970008</v>
      </c>
      <c r="P45" s="21" t="s">
        <v>4</v>
      </c>
      <c r="Q45" s="97">
        <f t="shared" si="4"/>
        <v>-5.2059723515563549E-3</v>
      </c>
      <c r="R45" s="97">
        <f t="shared" si="3"/>
        <v>-5.2059723515563549E-3</v>
      </c>
      <c r="S45" s="97">
        <f t="shared" si="3"/>
        <v>-5.2059723515563549E-3</v>
      </c>
      <c r="T45" s="97">
        <f t="shared" si="3"/>
        <v>-5.2059723515563549E-3</v>
      </c>
      <c r="U45" s="97">
        <f t="shared" si="3"/>
        <v>-5.2059723515563549E-3</v>
      </c>
      <c r="V45" s="97">
        <f t="shared" si="3"/>
        <v>-5.2059723515563549E-3</v>
      </c>
      <c r="W45" s="97">
        <f t="shared" si="3"/>
        <v>-5.2059723515563549E-3</v>
      </c>
      <c r="X45" s="97">
        <f t="shared" si="3"/>
        <v>-5.2059723515563549E-3</v>
      </c>
      <c r="Y45" s="97">
        <f t="shared" si="3"/>
        <v>-5.2059723515563549E-3</v>
      </c>
      <c r="Z45" s="97">
        <f t="shared" si="3"/>
        <v>-5.2059723515563549E-3</v>
      </c>
      <c r="AA45" s="97">
        <f t="shared" si="3"/>
        <v>-5.2059723515563549E-3</v>
      </c>
    </row>
    <row r="46" spans="2:31" ht="12.75" customHeight="1" x14ac:dyDescent="0.25">
      <c r="B46" s="21" t="s">
        <v>4</v>
      </c>
      <c r="C46" s="95">
        <f>Annual_sorted!O26</f>
        <v>-76.587344939501023</v>
      </c>
      <c r="D46" s="29">
        <f>IF(C46-Table_14634515[Burundi]&gt;0, C46-Table_14634515[Burundi], 0)</f>
        <v>0</v>
      </c>
      <c r="E46" s="29">
        <f>IF(C46-Table_14634515[DRC]&gt;0, C46-Table_14634515[DRC], 0)</f>
        <v>0</v>
      </c>
      <c r="F46" s="29">
        <f>IF(C46-Table_14634515[Egypt]&gt;0, C46-Table_14634515[Egypt], 0)</f>
        <v>0</v>
      </c>
      <c r="G46" s="29">
        <f>IF(C46-Table_14634515[Eritrea]&gt;0, C46-Table_14634515[Eritrea], 0)</f>
        <v>0</v>
      </c>
      <c r="H46" s="29">
        <f>IF(C46-Table_14634515[Ethiopia]&gt;0, C46-Table_14634515[Ethiopia], 0)</f>
        <v>0</v>
      </c>
      <c r="I46" s="29">
        <f>IF(C46-Table_14634515[Kenya]&gt;0, C46-Table_14634515[Kenya], 0)</f>
        <v>0</v>
      </c>
      <c r="J46" s="29">
        <f>IF(C46-Table_14634515[Rwanda]&gt;0, C46-Table_14634515[Rwanda], 0)</f>
        <v>0</v>
      </c>
      <c r="K46" s="29">
        <f>IF(C46-Table_14634515[Sudan]&gt;0, C46-Table_14634515[Sudan], 0)</f>
        <v>0</v>
      </c>
      <c r="L46" s="29">
        <f>IF(C46-Table_14634515[S. Sudan]&gt;0, C46-Table_14634515[S. Sudan], 0)</f>
        <v>0</v>
      </c>
      <c r="M46" s="29">
        <f>IF(C46-Table_14634515[Tanzania]&gt;0, C46-Table_14634515[Tanzania], 0)</f>
        <v>0</v>
      </c>
      <c r="N46" s="29">
        <f>IF(C46-Table_14634515[Uganda]&gt;0, C46-Table_14634515[Uganda], 0)</f>
        <v>0</v>
      </c>
      <c r="P46" s="21" t="s">
        <v>5</v>
      </c>
      <c r="Q46" s="97">
        <f t="shared" si="4"/>
        <v>-5.2059723515563549E-3</v>
      </c>
      <c r="R46" s="97">
        <f t="shared" si="3"/>
        <v>-5.2059723515563549E-3</v>
      </c>
      <c r="S46" s="97">
        <f t="shared" si="3"/>
        <v>-5.2059723515563549E-3</v>
      </c>
      <c r="T46" s="97">
        <f t="shared" si="3"/>
        <v>-5.2059723515563549E-3</v>
      </c>
      <c r="U46" s="97">
        <f t="shared" si="3"/>
        <v>0.62865497478859644</v>
      </c>
      <c r="V46" s="97">
        <f t="shared" si="3"/>
        <v>-5.2059723515563549E-3</v>
      </c>
      <c r="W46" s="97">
        <f t="shared" si="3"/>
        <v>-5.2059723515563549E-3</v>
      </c>
      <c r="X46" s="97">
        <f t="shared" si="3"/>
        <v>-5.2059723515563549E-3</v>
      </c>
      <c r="Y46" s="97">
        <f t="shared" si="3"/>
        <v>-5.2059723515563549E-3</v>
      </c>
      <c r="Z46" s="97">
        <f t="shared" si="3"/>
        <v>0.39914820025621828</v>
      </c>
      <c r="AA46" s="97">
        <f t="shared" si="3"/>
        <v>0.41915509837492559</v>
      </c>
    </row>
    <row r="47" spans="2:31" ht="12.75" customHeight="1" x14ac:dyDescent="0.25">
      <c r="B47" s="21" t="s">
        <v>5</v>
      </c>
      <c r="C47" s="95">
        <f>Annual_sorted!O27</f>
        <v>-27.313741830070256</v>
      </c>
      <c r="D47" s="29">
        <f>IF(C47-Table_14634515[Burundi]&gt;0, C47-Table_14634515[Burundi], 0)</f>
        <v>0</v>
      </c>
      <c r="E47" s="29">
        <f>IF(C47-Table_14634515[DRC]&gt;0, C47-Table_14634515[DRC], 0)</f>
        <v>0</v>
      </c>
      <c r="F47" s="29">
        <f>IF(C47-Table_14634515[Egypt]&gt;0, C47-Table_14634515[Egypt], 0)</f>
        <v>0</v>
      </c>
      <c r="G47" s="29">
        <f>IF(C47-Table_14634515[Eritrea]&gt;0, C47-Table_14634515[Eritrea], 0)</f>
        <v>0</v>
      </c>
      <c r="H47" s="29">
        <f>IF(C47-Table_14634515[Ethiopia]&gt;0, C47-Table_14634515[Ethiopia], 0)</f>
        <v>49.273603109430766</v>
      </c>
      <c r="I47" s="29">
        <f>IF(C47-Table_14634515[Kenya]&gt;0, C47-Table_14634515[Kenya], 0)</f>
        <v>0</v>
      </c>
      <c r="J47" s="29">
        <f>IF(C47-Table_14634515[Rwanda]&gt;0, C47-Table_14634515[Rwanda], 0)</f>
        <v>0</v>
      </c>
      <c r="K47" s="29">
        <f>IF(C47-Table_14634515[Sudan]&gt;0, C47-Table_14634515[Sudan], 0)</f>
        <v>0</v>
      </c>
      <c r="L47" s="29">
        <f>IF(C47-Table_14634515[S. Sudan]&gt;0, C47-Table_14634515[S. Sudan], 0)</f>
        <v>0</v>
      </c>
      <c r="M47" s="29">
        <f>IF(C47-Table_14634515[Tanzania]&gt;0, C47-Table_14634515[Tanzania], 0)</f>
        <v>31.432741055606257</v>
      </c>
      <c r="N47" s="29">
        <f>IF(C47-Table_14634515[Uganda]&gt;0, C47-Table_14634515[Uganda], 0)</f>
        <v>32.987990612784024</v>
      </c>
      <c r="P47" s="21" t="s">
        <v>6</v>
      </c>
      <c r="Q47" s="97">
        <f t="shared" si="4"/>
        <v>-5.2059723515563549E-3</v>
      </c>
      <c r="R47" s="97">
        <f t="shared" si="3"/>
        <v>-5.2059723515563549E-3</v>
      </c>
      <c r="S47" s="97">
        <f t="shared" si="3"/>
        <v>-5.2059723515563549E-3</v>
      </c>
      <c r="T47" s="97">
        <f t="shared" si="3"/>
        <v>-5.2059723515563549E-3</v>
      </c>
      <c r="U47" s="97">
        <f t="shared" si="3"/>
        <v>0.87760841688744307</v>
      </c>
      <c r="V47" s="97">
        <f t="shared" si="3"/>
        <v>0.24374746974729011</v>
      </c>
      <c r="W47" s="97">
        <f t="shared" si="3"/>
        <v>-5.2059723515563549E-3</v>
      </c>
      <c r="X47" s="97">
        <f t="shared" si="3"/>
        <v>-5.2059723515563549E-3</v>
      </c>
      <c r="Y47" s="97">
        <f t="shared" si="3"/>
        <v>-5.2059723515563549E-3</v>
      </c>
      <c r="Z47" s="97">
        <f t="shared" si="3"/>
        <v>0.64810164235506462</v>
      </c>
      <c r="AA47" s="97">
        <f t="shared" si="3"/>
        <v>0.66810854047377211</v>
      </c>
    </row>
    <row r="48" spans="2:31" ht="12.75" customHeight="1" x14ac:dyDescent="0.25">
      <c r="B48" s="21" t="s">
        <v>6</v>
      </c>
      <c r="C48" s="95">
        <f>Annual_sorted!O28</f>
        <v>-7.9611801143649696</v>
      </c>
      <c r="D48" s="29">
        <f>IF(C48-Table_14634515[Burundi]&gt;0, C48-Table_14634515[Burundi], 0)</f>
        <v>0</v>
      </c>
      <c r="E48" s="29">
        <f>IF(C48-Table_14634515[DRC]&gt;0, C48-Table_14634515[DRC], 0)</f>
        <v>0</v>
      </c>
      <c r="F48" s="29">
        <f>IF(C48-Table_14634515[Egypt]&gt;0, C48-Table_14634515[Egypt], 0)</f>
        <v>0</v>
      </c>
      <c r="G48" s="29">
        <f>IF(C48-Table_14634515[Eritrea]&gt;0, C48-Table_14634515[Eritrea], 0)</f>
        <v>0</v>
      </c>
      <c r="H48" s="29">
        <f>IF(C48-Table_14634515[Ethiopia]&gt;0, C48-Table_14634515[Ethiopia], 0)</f>
        <v>68.626164825136058</v>
      </c>
      <c r="I48" s="29">
        <f>IF(C48-Table_14634515[Kenya]&gt;0, C48-Table_14634515[Kenya], 0)</f>
        <v>19.352561715705285</v>
      </c>
      <c r="J48" s="29">
        <f>IF(C48-Table_14634515[Rwanda]&gt;0, C48-Table_14634515[Rwanda], 0)</f>
        <v>0</v>
      </c>
      <c r="K48" s="29">
        <f>IF(C48-Table_14634515[Sudan]&gt;0, C48-Table_14634515[Sudan], 0)</f>
        <v>0</v>
      </c>
      <c r="L48" s="29">
        <f>IF(C48-Table_14634515[S. Sudan]&gt;0, C48-Table_14634515[S. Sudan], 0)</f>
        <v>0</v>
      </c>
      <c r="M48" s="29">
        <f>IF(C48-Table_14634515[Tanzania]&gt;0, C48-Table_14634515[Tanzania], 0)</f>
        <v>50.785302771311542</v>
      </c>
      <c r="N48" s="29">
        <f>IF(C48-Table_14634515[Uganda]&gt;0, C48-Table_14634515[Uganda], 0)</f>
        <v>52.340552328489309</v>
      </c>
      <c r="P48" s="21" t="s">
        <v>7</v>
      </c>
      <c r="Q48" s="97">
        <f t="shared" si="4"/>
        <v>9.4144949032068159E-2</v>
      </c>
      <c r="R48" s="97">
        <f t="shared" si="3"/>
        <v>1.9685912050825486E-2</v>
      </c>
      <c r="S48" s="97">
        <f t="shared" si="3"/>
        <v>-5.2059723515563549E-3</v>
      </c>
      <c r="T48" s="97">
        <f t="shared" si="3"/>
        <v>2.7863346412308324E-2</v>
      </c>
      <c r="U48" s="97">
        <f t="shared" si="3"/>
        <v>0.98882329135885405</v>
      </c>
      <c r="V48" s="97">
        <f t="shared" si="3"/>
        <v>0.35496234421870121</v>
      </c>
      <c r="W48" s="97">
        <f t="shared" si="3"/>
        <v>0.10600890211985471</v>
      </c>
      <c r="X48" s="97">
        <f t="shared" si="3"/>
        <v>-5.2059723515563549E-3</v>
      </c>
      <c r="Y48" s="97">
        <f t="shared" si="3"/>
        <v>1E-3</v>
      </c>
      <c r="Z48" s="97">
        <f t="shared" si="3"/>
        <v>0.75931651682647583</v>
      </c>
      <c r="AA48" s="97">
        <f t="shared" si="3"/>
        <v>0.7793234149451832</v>
      </c>
    </row>
    <row r="49" spans="2:31" ht="12.75" customHeight="1" x14ac:dyDescent="0.25">
      <c r="B49" s="21" t="s">
        <v>7</v>
      </c>
      <c r="C49" s="95">
        <f>Annual_sorted!O29</f>
        <v>0.68418226249999992</v>
      </c>
      <c r="D49" s="29">
        <f>IF(C49-Table_14634515[Burundi]&gt;0, C49-Table_14634515[Burundi], 0)</f>
        <v>7.723110077848915</v>
      </c>
      <c r="E49" s="29">
        <f>IF(C49-Table_14634515[DRC]&gt;0, C49-Table_14634515[DRC], 0)</f>
        <v>1.9349872211287993</v>
      </c>
      <c r="F49" s="29">
        <f>IF(C49-Table_14634515[Egypt]&gt;0, C49-Table_14634515[Egypt], 0)</f>
        <v>0</v>
      </c>
      <c r="G49" s="29">
        <f>IF(C49-Table_14634515[Eritrea]&gt;0, C49-Table_14634515[Eritrea], 0)</f>
        <v>2.5706655303842751</v>
      </c>
      <c r="H49" s="29">
        <f>IF(C49-Table_14634515[Ethiopia]&gt;0, C49-Table_14634515[Ethiopia], 0)</f>
        <v>77.271527202001025</v>
      </c>
      <c r="I49" s="29">
        <f>IF(C49-Table_14634515[Kenya]&gt;0, C49-Table_14634515[Kenya], 0)</f>
        <v>27.997924092570255</v>
      </c>
      <c r="J49" s="29">
        <f>IF(C49-Table_14634515[Rwanda]&gt;0, C49-Table_14634515[Rwanda], 0)</f>
        <v>8.6453623768649699</v>
      </c>
      <c r="K49" s="29">
        <f>IF(C49-Table_14634515[Sudan]&gt;0, C49-Table_14634515[Sudan], 0)</f>
        <v>0</v>
      </c>
      <c r="L49" s="29">
        <f>IF(C49-Table_14634515[S. Sudan]&gt;0, C49-Table_14634515[S. Sudan], 0)</f>
        <v>0.4824253961982537</v>
      </c>
      <c r="M49" s="29">
        <f>IF(C49-Table_14634515[Tanzania]&gt;0, C49-Table_14634515[Tanzania], 0)</f>
        <v>59.430665148176516</v>
      </c>
      <c r="N49" s="29">
        <f>IF(C49-Table_14634515[Uganda]&gt;0, C49-Table_14634515[Uganda], 0)</f>
        <v>60.985914705354283</v>
      </c>
      <c r="P49" s="21" t="s">
        <v>8</v>
      </c>
      <c r="Q49" s="97">
        <f t="shared" si="4"/>
        <v>8.7938976680511802E-2</v>
      </c>
      <c r="R49" s="97">
        <f t="shared" si="3"/>
        <v>1.3479939699269132E-2</v>
      </c>
      <c r="S49" s="97">
        <f t="shared" si="3"/>
        <v>-5.2059723515563549E-3</v>
      </c>
      <c r="T49" s="97">
        <f t="shared" si="3"/>
        <v>2.1657374060751969E-2</v>
      </c>
      <c r="U49" s="97">
        <f t="shared" si="3"/>
        <v>0.98261731900729765</v>
      </c>
      <c r="V49" s="97">
        <f t="shared" si="3"/>
        <v>0.34875637186714481</v>
      </c>
      <c r="W49" s="97">
        <f t="shared" si="3"/>
        <v>9.980292976829834E-2</v>
      </c>
      <c r="X49" s="97">
        <f t="shared" si="3"/>
        <v>-5.2059723515563549E-3</v>
      </c>
      <c r="Y49" s="97">
        <f t="shared" si="3"/>
        <v>-5.2059723515563549E-3</v>
      </c>
      <c r="Z49" s="97">
        <f t="shared" si="3"/>
        <v>0.75311054447491943</v>
      </c>
      <c r="AA49" s="97">
        <f t="shared" si="3"/>
        <v>0.7731174425936268</v>
      </c>
    </row>
    <row r="50" spans="2:31" ht="12.75" customHeight="1" x14ac:dyDescent="0.25">
      <c r="B50" s="21" t="s">
        <v>8</v>
      </c>
      <c r="C50" s="95">
        <f>Annual_sorted!O30</f>
        <v>0.20175686630174622</v>
      </c>
      <c r="D50" s="29">
        <f>IF(C50-Table_14634515[Burundi]&gt;0, C50-Table_14634515[Burundi], 0)</f>
        <v>7.2406846816506611</v>
      </c>
      <c r="E50" s="29">
        <f>IF(C50-Table_14634515[DRC]&gt;0, C50-Table_14634515[DRC], 0)</f>
        <v>1.4525618249305456</v>
      </c>
      <c r="F50" s="29">
        <f>IF(C50-Table_14634515[Egypt]&gt;0, C50-Table_14634515[Egypt], 0)</f>
        <v>0</v>
      </c>
      <c r="G50" s="29">
        <f>IF(C50-Table_14634515[Eritrea]&gt;0, C50-Table_14634515[Eritrea], 0)</f>
        <v>2.0882401341860213</v>
      </c>
      <c r="H50" s="29">
        <f>IF(C50-Table_14634515[Ethiopia]&gt;0, C50-Table_14634515[Ethiopia], 0)</f>
        <v>76.789101805802773</v>
      </c>
      <c r="I50" s="29">
        <f>IF(C50-Table_14634515[Kenya]&gt;0, C50-Table_14634515[Kenya], 0)</f>
        <v>27.515498696372003</v>
      </c>
      <c r="J50" s="29">
        <f>IF(C50-Table_14634515[Rwanda]&gt;0, C50-Table_14634515[Rwanda], 0)</f>
        <v>8.162936980666716</v>
      </c>
      <c r="K50" s="29">
        <f>IF(C50-Table_14634515[Sudan]&gt;0, C50-Table_14634515[Sudan], 0)</f>
        <v>0</v>
      </c>
      <c r="L50" s="29">
        <f>IF(C50-Table_14634515[S. Sudan]&gt;0, C50-Table_14634515[S. Sudan], 0)</f>
        <v>0</v>
      </c>
      <c r="M50" s="29">
        <f>IF(C50-Table_14634515[Tanzania]&gt;0, C50-Table_14634515[Tanzania], 0)</f>
        <v>58.948239751978257</v>
      </c>
      <c r="N50" s="29">
        <f>IF(C50-Table_14634515[Uganda]&gt;0, C50-Table_14634515[Uganda], 0)</f>
        <v>60.503489309156024</v>
      </c>
      <c r="P50" s="21" t="s">
        <v>9</v>
      </c>
      <c r="Q50" s="97">
        <f t="shared" si="4"/>
        <v>-5.2059723515563549E-3</v>
      </c>
      <c r="R50" s="97">
        <f t="shared" si="3"/>
        <v>-5.2059723515563549E-3</v>
      </c>
      <c r="S50" s="97">
        <f t="shared" si="3"/>
        <v>-5.2059723515563549E-3</v>
      </c>
      <c r="T50" s="97">
        <f t="shared" si="3"/>
        <v>-5.2059723515563549E-3</v>
      </c>
      <c r="U50" s="97">
        <f t="shared" si="3"/>
        <v>0.22430080218082182</v>
      </c>
      <c r="V50" s="97">
        <f t="shared" si="3"/>
        <v>-5.2059723515563549E-3</v>
      </c>
      <c r="W50" s="97">
        <f t="shared" si="3"/>
        <v>-5.2059723515563549E-3</v>
      </c>
      <c r="X50" s="97">
        <f t="shared" si="3"/>
        <v>-5.2059723515563549E-3</v>
      </c>
      <c r="Y50" s="97">
        <f t="shared" si="3"/>
        <v>-5.2059723515563549E-3</v>
      </c>
      <c r="Z50" s="97">
        <f t="shared" si="3"/>
        <v>-5.2059723515563549E-3</v>
      </c>
      <c r="AA50" s="97">
        <f t="shared" si="3"/>
        <v>1.4800925767150988E-2</v>
      </c>
    </row>
    <row r="51" spans="2:31" ht="12.75" customHeight="1" thickBot="1" x14ac:dyDescent="0.3">
      <c r="B51" s="21" t="s">
        <v>9</v>
      </c>
      <c r="C51" s="95">
        <f>Annual_sorted!O31</f>
        <v>-58.746482885676514</v>
      </c>
      <c r="D51" s="29">
        <f>IF(C51-Table_14634515[Burundi]&gt;0, C51-Table_14634515[Burundi], 0)</f>
        <v>0</v>
      </c>
      <c r="E51" s="29">
        <f>IF(C51-Table_14634515[DRC]&gt;0, C51-Table_14634515[DRC], 0)</f>
        <v>0</v>
      </c>
      <c r="F51" s="29">
        <f>IF(C51-Table_14634515[Egypt]&gt;0, C51-Table_14634515[Egypt], 0)</f>
        <v>0</v>
      </c>
      <c r="G51" s="29">
        <f>IF(C51-Table_14634515[Eritrea]&gt;0, C51-Table_14634515[Eritrea], 0)</f>
        <v>0</v>
      </c>
      <c r="H51" s="29">
        <f>IF(C51-Table_14634515[Ethiopia]&gt;0, C51-Table_14634515[Ethiopia], 0)</f>
        <v>17.840862053824509</v>
      </c>
      <c r="I51" s="29">
        <f>IF(C51-Table_14634515[Kenya]&gt;0, C51-Table_14634515[Kenya], 0)</f>
        <v>0</v>
      </c>
      <c r="J51" s="29">
        <f>IF(C51-Table_14634515[Rwanda]&gt;0, C51-Table_14634515[Rwanda], 0)</f>
        <v>0</v>
      </c>
      <c r="K51" s="29">
        <f>IF(C51-Table_14634515[Sudan]&gt;0, C51-Table_14634515[Sudan], 0)</f>
        <v>0</v>
      </c>
      <c r="L51" s="29">
        <f>IF(C51-Table_14634515[S. Sudan]&gt;0, C51-Table_14634515[S. Sudan], 0)</f>
        <v>0</v>
      </c>
      <c r="M51" s="29">
        <f>IF(C51-Table_14634515[Tanzania]&gt;0, C51-Table_14634515[Tanzania], 0)</f>
        <v>0</v>
      </c>
      <c r="N51" s="29">
        <f>IF(C51-Table_14634515[Uganda]&gt;0, C51-Table_14634515[Uganda], 0)</f>
        <v>1.5552495571777669</v>
      </c>
      <c r="P51" s="22" t="s">
        <v>10</v>
      </c>
      <c r="Q51" s="98">
        <f t="shared" si="4"/>
        <v>-5.2059723515563549E-3</v>
      </c>
      <c r="R51" s="98">
        <f t="shared" si="3"/>
        <v>-5.2059723515563549E-3</v>
      </c>
      <c r="S51" s="98">
        <f t="shared" si="3"/>
        <v>-5.2059723515563549E-3</v>
      </c>
      <c r="T51" s="98">
        <f t="shared" si="3"/>
        <v>-5.2059723515563549E-3</v>
      </c>
      <c r="U51" s="98">
        <f t="shared" si="3"/>
        <v>0.20429390406211448</v>
      </c>
      <c r="V51" s="98">
        <f t="shared" si="3"/>
        <v>-5.2059723515563549E-3</v>
      </c>
      <c r="W51" s="98">
        <f t="shared" si="3"/>
        <v>-5.2059723515563549E-3</v>
      </c>
      <c r="X51" s="98">
        <f t="shared" si="3"/>
        <v>-5.2059723515563549E-3</v>
      </c>
      <c r="Y51" s="98">
        <f t="shared" si="3"/>
        <v>-5.2059723515563549E-3</v>
      </c>
      <c r="Z51" s="98">
        <f t="shared" si="3"/>
        <v>-5.2059723515563549E-3</v>
      </c>
      <c r="AA51" s="98">
        <f t="shared" si="3"/>
        <v>-5.2059723515563549E-3</v>
      </c>
      <c r="AB51" s="186">
        <f>SUM(Q41:AA51)</f>
        <v>21.745668108396593</v>
      </c>
    </row>
    <row r="52" spans="2:31" ht="12.75" customHeight="1" thickBot="1" x14ac:dyDescent="0.3">
      <c r="B52" s="22" t="s">
        <v>10</v>
      </c>
      <c r="C52" s="96">
        <f>Annual_sorted!O32</f>
        <v>-60.301732442854281</v>
      </c>
      <c r="D52" s="32">
        <f>IF(C52-Table_14634515[Burundi]&gt;0, C52-Table_14634515[Burundi], 0)</f>
        <v>0</v>
      </c>
      <c r="E52" s="32">
        <f>IF(C52-Table_14634515[DRC]&gt;0, C52-Table_14634515[DRC], 0)</f>
        <v>0</v>
      </c>
      <c r="F52" s="32">
        <f>IF(C52-Table_14634515[Egypt]&gt;0, C52-Table_14634515[Egypt], 0)</f>
        <v>0</v>
      </c>
      <c r="G52" s="32">
        <f>IF(C52-Table_14634515[Eritrea]&gt;0, C52-Table_14634515[Eritrea], 0)</f>
        <v>0</v>
      </c>
      <c r="H52" s="32">
        <f>IF(C52-Table_14634515[Ethiopia]&gt;0, C52-Table_14634515[Ethiopia], 0)</f>
        <v>16.285612496646742</v>
      </c>
      <c r="I52" s="32">
        <f>IF(C52-Table_14634515[Kenya]&gt;0, C52-Table_14634515[Kenya], 0)</f>
        <v>0</v>
      </c>
      <c r="J52" s="32">
        <f>IF(C52-Table_14634515[Rwanda]&gt;0, C52-Table_14634515[Rwanda], 0)</f>
        <v>0</v>
      </c>
      <c r="K52" s="32">
        <f>IF(C52-Table_14634515[Sudan]&gt;0, C52-Table_14634515[Sudan], 0)</f>
        <v>0</v>
      </c>
      <c r="L52" s="32">
        <f>IF(C52-Table_14634515[S. Sudan]&gt;0, C52-Table_14634515[S. Sudan], 0)</f>
        <v>0</v>
      </c>
      <c r="M52" s="32">
        <f>IF(C52-Table_14634515[Tanzania]&gt;0, C52-Table_14634515[Tanzania], 0)</f>
        <v>0</v>
      </c>
      <c r="N52" s="32">
        <f>IF(C52-Table_14634515[Uganda]&gt;0, C52-Table_14634515[Uganda], 0)</f>
        <v>0</v>
      </c>
    </row>
    <row r="53" spans="2:31" ht="12.75" customHeight="1" x14ac:dyDescent="0.25"/>
    <row r="54" spans="2:31" ht="12.75" customHeight="1" x14ac:dyDescent="0.25"/>
    <row r="55" spans="2:31" ht="12.75" customHeight="1" x14ac:dyDescent="0.25"/>
    <row r="56" spans="2:31" ht="12.75" customHeight="1" x14ac:dyDescent="0.25">
      <c r="B56" s="5"/>
      <c r="C56" s="5"/>
      <c r="D56" s="5"/>
      <c r="E56" s="5"/>
      <c r="F56" s="5"/>
      <c r="G56" s="5"/>
      <c r="H56" s="5"/>
      <c r="I56" s="5"/>
      <c r="J56" s="5"/>
      <c r="K56" s="5"/>
      <c r="L56" s="5"/>
      <c r="M56" s="5"/>
      <c r="N56" s="44"/>
      <c r="O56" s="5"/>
      <c r="P56" s="5"/>
      <c r="Q56" s="5"/>
      <c r="R56" s="5"/>
      <c r="S56" s="5"/>
      <c r="T56" s="5"/>
      <c r="U56" s="5"/>
      <c r="V56" s="5"/>
      <c r="W56" s="5"/>
      <c r="X56" s="5"/>
      <c r="Y56" s="5"/>
      <c r="Z56" s="5"/>
      <c r="AA56" s="5"/>
    </row>
    <row r="57" spans="2:31" ht="12.75" customHeight="1" thickBot="1" x14ac:dyDescent="0.3">
      <c r="B57" s="253" t="s">
        <v>79</v>
      </c>
      <c r="C57" s="253"/>
      <c r="D57" s="253"/>
      <c r="E57" s="253"/>
      <c r="F57" s="253"/>
      <c r="G57" s="253"/>
      <c r="H57" s="253"/>
      <c r="I57" s="253"/>
      <c r="J57" s="253"/>
      <c r="K57" s="253"/>
      <c r="L57" s="253"/>
      <c r="M57" s="253"/>
      <c r="N57" s="253"/>
      <c r="O57" s="5"/>
      <c r="P57" s="253" t="s">
        <v>80</v>
      </c>
      <c r="Q57" s="253"/>
      <c r="R57" s="253"/>
      <c r="S57" s="253"/>
      <c r="T57" s="253"/>
      <c r="U57" s="253"/>
      <c r="V57" s="253"/>
      <c r="W57" s="253"/>
      <c r="X57" s="253"/>
      <c r="Y57" s="253"/>
      <c r="Z57" s="253"/>
      <c r="AA57" s="253"/>
      <c r="AB57" s="10"/>
      <c r="AC57" s="3" t="s">
        <v>22</v>
      </c>
      <c r="AD57" s="13" t="s">
        <v>23</v>
      </c>
      <c r="AE57" s="74">
        <f t="array" ref="AE57">MIN(IF(D60:N70&gt;0,D60:N70))</f>
        <v>0.63567830925547564</v>
      </c>
    </row>
    <row r="58" spans="2:31" ht="12.75" customHeight="1" thickBot="1" x14ac:dyDescent="0.3">
      <c r="B58" s="75" t="s">
        <v>13</v>
      </c>
      <c r="C58" s="66" t="s">
        <v>14</v>
      </c>
      <c r="D58" s="67" t="s">
        <v>1</v>
      </c>
      <c r="E58" s="67" t="s">
        <v>195</v>
      </c>
      <c r="F58" s="67" t="s">
        <v>2</v>
      </c>
      <c r="G58" s="67" t="s">
        <v>3</v>
      </c>
      <c r="H58" s="67" t="s">
        <v>4</v>
      </c>
      <c r="I58" s="67" t="s">
        <v>5</v>
      </c>
      <c r="J58" s="67" t="s">
        <v>6</v>
      </c>
      <c r="K58" s="67" t="s">
        <v>7</v>
      </c>
      <c r="L58" s="67" t="s">
        <v>295</v>
      </c>
      <c r="M58" s="67" t="s">
        <v>9</v>
      </c>
      <c r="N58" s="67" t="s">
        <v>10</v>
      </c>
      <c r="P58" s="128" t="s">
        <v>19</v>
      </c>
      <c r="Q58" s="123" t="s">
        <v>1</v>
      </c>
      <c r="R58" s="123" t="s">
        <v>195</v>
      </c>
      <c r="S58" s="123" t="s">
        <v>2</v>
      </c>
      <c r="T58" s="123" t="s">
        <v>3</v>
      </c>
      <c r="U58" s="123" t="s">
        <v>4</v>
      </c>
      <c r="V58" s="123" t="s">
        <v>5</v>
      </c>
      <c r="W58" s="123" t="s">
        <v>6</v>
      </c>
      <c r="X58" s="123" t="s">
        <v>7</v>
      </c>
      <c r="Y58" s="123" t="s">
        <v>295</v>
      </c>
      <c r="Z58" s="123" t="s">
        <v>9</v>
      </c>
      <c r="AA58" s="123" t="s">
        <v>10</v>
      </c>
      <c r="AB58" s="254" t="s">
        <v>26</v>
      </c>
      <c r="AC58" s="254"/>
      <c r="AD58" s="13" t="s">
        <v>24</v>
      </c>
      <c r="AE58" s="20">
        <f>MAX(D60:N70)</f>
        <v>80.150927484225477</v>
      </c>
    </row>
    <row r="59" spans="2:31" ht="12.75" customHeight="1" x14ac:dyDescent="0.25">
      <c r="B59" s="93"/>
      <c r="C59" s="94" t="s">
        <v>260</v>
      </c>
      <c r="D59" s="95">
        <f>C60</f>
        <v>-7.0389278153489148</v>
      </c>
      <c r="E59" s="95">
        <f>C61</f>
        <v>-1.2508049586287995</v>
      </c>
      <c r="F59" s="95">
        <f>C62</f>
        <v>-54.946988843500002</v>
      </c>
      <c r="G59" s="95">
        <f>C63</f>
        <v>-1.8864832678842751</v>
      </c>
      <c r="H59" s="95">
        <f>C64</f>
        <v>-76.587344939501023</v>
      </c>
      <c r="I59" s="95">
        <f>C65</f>
        <v>-27.313741830070256</v>
      </c>
      <c r="J59" s="95">
        <f>C66</f>
        <v>-11.76118011436497</v>
      </c>
      <c r="K59" s="95">
        <f>C67</f>
        <v>-33.115817737499995</v>
      </c>
      <c r="L59" s="95">
        <f>C68</f>
        <v>-23.298243133698254</v>
      </c>
      <c r="M59" s="95">
        <f>C69</f>
        <v>-58.746482885676514</v>
      </c>
      <c r="N59" s="95">
        <f>C70</f>
        <v>-81.401732442854282</v>
      </c>
      <c r="P59" s="21" t="s">
        <v>1</v>
      </c>
      <c r="Q59" s="97">
        <f>$AE$59+(D60-$AE$57)*($AE$60-$AE$59)/($AE$58-$AE$57)</f>
        <v>-6.986425717522878E-3</v>
      </c>
      <c r="R59" s="97">
        <f t="shared" ref="R59:AA69" si="5">$AE$59+(E60-$AE$57)*($AE$60-$AE$59)/($AE$58-$AE$57)</f>
        <v>-6.986425717522878E-3</v>
      </c>
      <c r="S59" s="97">
        <f t="shared" si="5"/>
        <v>0.59491262463706596</v>
      </c>
      <c r="T59" s="97">
        <f t="shared" si="5"/>
        <v>-6.986425717522878E-3</v>
      </c>
      <c r="U59" s="97">
        <f t="shared" si="5"/>
        <v>0.86679400543150853</v>
      </c>
      <c r="V59" s="97">
        <f t="shared" si="5"/>
        <v>0.24773879253762407</v>
      </c>
      <c r="W59" s="97">
        <f t="shared" si="5"/>
        <v>5.2342194838470239E-2</v>
      </c>
      <c r="X59" s="97">
        <f t="shared" si="5"/>
        <v>0.32063391506648448</v>
      </c>
      <c r="Y59" s="97">
        <f t="shared" si="5"/>
        <v>0.19728956123548055</v>
      </c>
      <c r="Z59" s="97">
        <f t="shared" si="5"/>
        <v>0.64264805384740598</v>
      </c>
      <c r="AA59" s="97">
        <f t="shared" si="5"/>
        <v>0.92728017840779697</v>
      </c>
      <c r="AD59" s="3" t="s">
        <v>25</v>
      </c>
      <c r="AE59" s="2">
        <v>1E-3</v>
      </c>
    </row>
    <row r="60" spans="2:31" ht="12.75" customHeight="1" x14ac:dyDescent="0.25">
      <c r="B60" s="21" t="s">
        <v>1</v>
      </c>
      <c r="C60" s="95">
        <f>Annual_sorted!P22</f>
        <v>-7.0389278153489148</v>
      </c>
      <c r="D60" s="29">
        <f>IF(C60-Table_146345714[Burundi]&gt;0, C60-Table_146345714[Burundi], 0)</f>
        <v>0</v>
      </c>
      <c r="E60" s="29">
        <f>IF(C60-Table_146345714[DRC]&gt;0, C60-Table_146345714[DRC], 0)</f>
        <v>0</v>
      </c>
      <c r="F60" s="29">
        <f>IF(C60-Table_146345714[Egypt]&gt;0, C60-Table_146345714[Egypt], 0)</f>
        <v>47.908061028151089</v>
      </c>
      <c r="G60" s="29">
        <f>IF(C60-Table_146345714[Eritrea]&gt;0, C60-Table_146345714[Eritrea], 0)</f>
        <v>0</v>
      </c>
      <c r="H60" s="29">
        <f>IF(C60-Table_146345714[Ethiopia]&gt;0, C60-Table_146345714[Ethiopia], 0)</f>
        <v>69.54841712415211</v>
      </c>
      <c r="I60" s="29">
        <f>IF(C60-Table_146345714[Kenya]&gt;0, C60-Table_146345714[Kenya], 0)</f>
        <v>20.274814014721343</v>
      </c>
      <c r="J60" s="29">
        <f>IF(C60-Table_146345714[Rwanda]&gt;0, C60-Table_146345714[Rwanda], 0)</f>
        <v>4.7222522990160556</v>
      </c>
      <c r="K60" s="29">
        <f>IF(C60-Table_146345714[Sudan]&gt;0, C60-Table_146345714[Sudan], 0)</f>
        <v>26.076889922151082</v>
      </c>
      <c r="L60" s="29">
        <f>IF(C60-Table_146345714[S. Sudan]&gt;0, C60-Table_146345714[S. Sudan], 0)</f>
        <v>16.259315318349337</v>
      </c>
      <c r="M60" s="29">
        <f>IF(C60-Table_146345714[Tanzania]&gt;0, C60-Table_146345714[Tanzania], 0)</f>
        <v>51.707555070327601</v>
      </c>
      <c r="N60" s="29">
        <f>IF(C60-Table_146345714[Uganda]&gt;0, C60-Table_146345714[Uganda], 0)</f>
        <v>74.362804627505369</v>
      </c>
      <c r="P60" s="21" t="s">
        <v>195</v>
      </c>
      <c r="Q60" s="97">
        <f t="shared" ref="Q60:Q69" si="6">$AE$59+(D61-$AE$57)*($AE$60-$AE$59)/($AE$58-$AE$57)</f>
        <v>6.5733395874680245E-2</v>
      </c>
      <c r="R60" s="97">
        <f t="shared" si="5"/>
        <v>-6.986425717522878E-3</v>
      </c>
      <c r="S60" s="97">
        <f t="shared" si="5"/>
        <v>0.66763244622926898</v>
      </c>
      <c r="T60" s="97">
        <f t="shared" si="5"/>
        <v>1E-3</v>
      </c>
      <c r="U60" s="97">
        <f t="shared" si="5"/>
        <v>0.93951382702371167</v>
      </c>
      <c r="V60" s="97">
        <f t="shared" si="5"/>
        <v>0.32045861412982718</v>
      </c>
      <c r="W60" s="97">
        <f t="shared" si="5"/>
        <v>0.12506201643067336</v>
      </c>
      <c r="X60" s="97">
        <f t="shared" si="5"/>
        <v>0.39335373665868767</v>
      </c>
      <c r="Y60" s="97">
        <f t="shared" si="5"/>
        <v>0.27000938282768372</v>
      </c>
      <c r="Z60" s="97">
        <f t="shared" si="5"/>
        <v>0.71536787543960911</v>
      </c>
      <c r="AA60" s="97">
        <f t="shared" si="5"/>
        <v>0.99999999999999989</v>
      </c>
      <c r="AD60" s="3" t="s">
        <v>70</v>
      </c>
      <c r="AE60" s="2">
        <v>1</v>
      </c>
    </row>
    <row r="61" spans="2:31" ht="12.75" customHeight="1" x14ac:dyDescent="0.25">
      <c r="B61" s="21" t="s">
        <v>195</v>
      </c>
      <c r="C61" s="95">
        <f>Annual_sorted!P23</f>
        <v>-1.2508049586287995</v>
      </c>
      <c r="D61" s="29">
        <f>IF(C61-Table_146345714[Burundi]&gt;0, C61-Table_146345714[Burundi], 0)</f>
        <v>5.7881228567201148</v>
      </c>
      <c r="E61" s="29">
        <f>IF(C61-Table_146345714[DRC]&gt;0, C61-Table_146345714[DRC], 0)</f>
        <v>0</v>
      </c>
      <c r="F61" s="29">
        <f>IF(C61-Table_146345714[Egypt]&gt;0, C61-Table_146345714[Egypt], 0)</f>
        <v>53.696183884871203</v>
      </c>
      <c r="G61" s="29">
        <f>IF(C61-Table_146345714[Eritrea]&gt;0, C61-Table_146345714[Eritrea], 0)</f>
        <v>0.63567830925547564</v>
      </c>
      <c r="H61" s="29">
        <f>IF(C61-Table_146345714[Ethiopia]&gt;0, C61-Table_146345714[Ethiopia], 0)</f>
        <v>75.336539980872217</v>
      </c>
      <c r="I61" s="29">
        <f>IF(C61-Table_146345714[Kenya]&gt;0, C61-Table_146345714[Kenya], 0)</f>
        <v>26.062936871441458</v>
      </c>
      <c r="J61" s="29">
        <f>IF(C61-Table_146345714[Rwanda]&gt;0, C61-Table_146345714[Rwanda], 0)</f>
        <v>10.51037515573617</v>
      </c>
      <c r="K61" s="29">
        <f>IF(C61-Table_146345714[Sudan]&gt;0, C61-Table_146345714[Sudan], 0)</f>
        <v>31.865012778871197</v>
      </c>
      <c r="L61" s="29">
        <f>IF(C61-Table_146345714[S. Sudan]&gt;0, C61-Table_146345714[S. Sudan], 0)</f>
        <v>22.047438175069455</v>
      </c>
      <c r="M61" s="29">
        <f>IF(C61-Table_146345714[Tanzania]&gt;0, C61-Table_146345714[Tanzania], 0)</f>
        <v>57.495677927047716</v>
      </c>
      <c r="N61" s="29">
        <f>IF(C61-Table_146345714[Uganda]&gt;0, C61-Table_146345714[Uganda], 0)</f>
        <v>80.150927484225477</v>
      </c>
      <c r="P61" s="21" t="s">
        <v>2</v>
      </c>
      <c r="Q61" s="97">
        <f t="shared" si="6"/>
        <v>-6.986425717522878E-3</v>
      </c>
      <c r="R61" s="97">
        <f t="shared" si="5"/>
        <v>-6.986425717522878E-3</v>
      </c>
      <c r="S61" s="97">
        <f t="shared" si="5"/>
        <v>-6.986425717522878E-3</v>
      </c>
      <c r="T61" s="97">
        <f t="shared" si="5"/>
        <v>-6.986425717522878E-3</v>
      </c>
      <c r="U61" s="97">
        <f t="shared" si="5"/>
        <v>0.2648949550769199</v>
      </c>
      <c r="V61" s="97">
        <f t="shared" si="5"/>
        <v>-6.986425717522878E-3</v>
      </c>
      <c r="W61" s="97">
        <f t="shared" si="5"/>
        <v>-6.986425717522878E-3</v>
      </c>
      <c r="X61" s="97">
        <f t="shared" si="5"/>
        <v>-6.986425717522878E-3</v>
      </c>
      <c r="Y61" s="97">
        <f t="shared" si="5"/>
        <v>-6.986425717522878E-3</v>
      </c>
      <c r="Z61" s="97">
        <f t="shared" si="5"/>
        <v>4.0749003492817237E-2</v>
      </c>
      <c r="AA61" s="97">
        <f t="shared" si="5"/>
        <v>0.32538112805320829</v>
      </c>
    </row>
    <row r="62" spans="2:31" ht="12.75" customHeight="1" x14ac:dyDescent="0.25">
      <c r="B62" s="21" t="s">
        <v>2</v>
      </c>
      <c r="C62" s="95">
        <f>Annual_sorted!P24</f>
        <v>-54.946988843500002</v>
      </c>
      <c r="D62" s="29">
        <f>IF(C62-Table_146345714[Burundi]&gt;0, C62-Table_146345714[Burundi], 0)</f>
        <v>0</v>
      </c>
      <c r="E62" s="29">
        <f>IF(C62-Table_146345714[DRC]&gt;0, C62-Table_146345714[DRC], 0)</f>
        <v>0</v>
      </c>
      <c r="F62" s="29">
        <f>IF(C62-Table_146345714[Egypt]&gt;0, C62-Table_146345714[Egypt], 0)</f>
        <v>0</v>
      </c>
      <c r="G62" s="29">
        <f>IF(C62-Table_146345714[Eritrea]&gt;0, C62-Table_146345714[Eritrea], 0)</f>
        <v>0</v>
      </c>
      <c r="H62" s="29">
        <f>IF(C62-Table_146345714[Ethiopia]&gt;0, C62-Table_146345714[Ethiopia], 0)</f>
        <v>21.640356096001021</v>
      </c>
      <c r="I62" s="29">
        <f>IF(C62-Table_146345714[Kenya]&gt;0, C62-Table_146345714[Kenya], 0)</f>
        <v>0</v>
      </c>
      <c r="J62" s="29">
        <f>IF(C62-Table_146345714[Rwanda]&gt;0, C62-Table_146345714[Rwanda], 0)</f>
        <v>0</v>
      </c>
      <c r="K62" s="29">
        <f>IF(C62-Table_146345714[Sudan]&gt;0, C62-Table_146345714[Sudan], 0)</f>
        <v>0</v>
      </c>
      <c r="L62" s="29">
        <f>IF(C62-Table_146345714[S. Sudan]&gt;0, C62-Table_146345714[S. Sudan], 0)</f>
        <v>0</v>
      </c>
      <c r="M62" s="29">
        <f>IF(C62-Table_146345714[Tanzania]&gt;0, C62-Table_146345714[Tanzania], 0)</f>
        <v>3.7994940421765122</v>
      </c>
      <c r="N62" s="29">
        <f>IF(C62-Table_146345714[Uganda]&gt;0, C62-Table_146345714[Uganda], 0)</f>
        <v>26.454743599354281</v>
      </c>
      <c r="P62" s="21" t="s">
        <v>3</v>
      </c>
      <c r="Q62" s="97">
        <f t="shared" si="6"/>
        <v>5.7746970157157372E-2</v>
      </c>
      <c r="R62" s="97">
        <f t="shared" si="5"/>
        <v>-6.986425717522878E-3</v>
      </c>
      <c r="S62" s="97">
        <f t="shared" si="5"/>
        <v>0.65964602051174615</v>
      </c>
      <c r="T62" s="97">
        <f t="shared" si="5"/>
        <v>-6.986425717522878E-3</v>
      </c>
      <c r="U62" s="97">
        <f t="shared" si="5"/>
        <v>0.93152740130618883</v>
      </c>
      <c r="V62" s="97">
        <f t="shared" si="5"/>
        <v>0.31247218841230423</v>
      </c>
      <c r="W62" s="97">
        <f t="shared" si="5"/>
        <v>0.11707559071315049</v>
      </c>
      <c r="X62" s="97">
        <f t="shared" si="5"/>
        <v>0.38536731094116472</v>
      </c>
      <c r="Y62" s="97">
        <f t="shared" si="5"/>
        <v>0.26202295711016083</v>
      </c>
      <c r="Z62" s="97">
        <f t="shared" si="5"/>
        <v>0.70738144972208628</v>
      </c>
      <c r="AA62" s="97">
        <f t="shared" si="5"/>
        <v>0.99201357428247727</v>
      </c>
    </row>
    <row r="63" spans="2:31" ht="12.75" customHeight="1" x14ac:dyDescent="0.25">
      <c r="B63" s="21" t="s">
        <v>3</v>
      </c>
      <c r="C63" s="95">
        <f>Annual_sorted!P25</f>
        <v>-1.8864832678842751</v>
      </c>
      <c r="D63" s="29">
        <f>IF(C63-Table_146345714[Burundi]&gt;0, C63-Table_146345714[Burundi], 0)</f>
        <v>5.1524445474646399</v>
      </c>
      <c r="E63" s="29">
        <f>IF(C63-Table_146345714[DRC]&gt;0, C63-Table_146345714[DRC], 0)</f>
        <v>0</v>
      </c>
      <c r="F63" s="29">
        <f>IF(C63-Table_146345714[Egypt]&gt;0, C63-Table_146345714[Egypt], 0)</f>
        <v>53.060505575615728</v>
      </c>
      <c r="G63" s="29">
        <f>IF(C63-Table_146345714[Eritrea]&gt;0, C63-Table_146345714[Eritrea], 0)</f>
        <v>0</v>
      </c>
      <c r="H63" s="29">
        <f>IF(C63-Table_146345714[Ethiopia]&gt;0, C63-Table_146345714[Ethiopia], 0)</f>
        <v>74.70086167161675</v>
      </c>
      <c r="I63" s="29">
        <f>IF(C63-Table_146345714[Kenya]&gt;0, C63-Table_146345714[Kenya], 0)</f>
        <v>25.42725856218598</v>
      </c>
      <c r="J63" s="29">
        <f>IF(C63-Table_146345714[Rwanda]&gt;0, C63-Table_146345714[Rwanda], 0)</f>
        <v>9.8746968464806955</v>
      </c>
      <c r="K63" s="29">
        <f>IF(C63-Table_146345714[Sudan]&gt;0, C63-Table_146345714[Sudan], 0)</f>
        <v>31.229334469615718</v>
      </c>
      <c r="L63" s="29">
        <f>IF(C63-Table_146345714[S. Sudan]&gt;0, C63-Table_146345714[S. Sudan], 0)</f>
        <v>21.411759865813977</v>
      </c>
      <c r="M63" s="29">
        <f>IF(C63-Table_146345714[Tanzania]&gt;0, C63-Table_146345714[Tanzania], 0)</f>
        <v>56.859999617792241</v>
      </c>
      <c r="N63" s="29">
        <f>IF(C63-Table_146345714[Uganda]&gt;0, C63-Table_146345714[Uganda], 0)</f>
        <v>79.515249174970009</v>
      </c>
      <c r="P63" s="21" t="s">
        <v>4</v>
      </c>
      <c r="Q63" s="97">
        <f t="shared" si="6"/>
        <v>-6.986425717522878E-3</v>
      </c>
      <c r="R63" s="97">
        <f t="shared" si="5"/>
        <v>-6.986425717522878E-3</v>
      </c>
      <c r="S63" s="97">
        <f t="shared" si="5"/>
        <v>-6.986425717522878E-3</v>
      </c>
      <c r="T63" s="97">
        <f t="shared" si="5"/>
        <v>-6.986425717522878E-3</v>
      </c>
      <c r="U63" s="97">
        <f t="shared" si="5"/>
        <v>-6.986425717522878E-3</v>
      </c>
      <c r="V63" s="97">
        <f t="shared" si="5"/>
        <v>-6.986425717522878E-3</v>
      </c>
      <c r="W63" s="97">
        <f t="shared" si="5"/>
        <v>-6.986425717522878E-3</v>
      </c>
      <c r="X63" s="97">
        <f t="shared" si="5"/>
        <v>-6.986425717522878E-3</v>
      </c>
      <c r="Y63" s="97">
        <f t="shared" si="5"/>
        <v>-6.986425717522878E-3</v>
      </c>
      <c r="Z63" s="97">
        <f t="shared" si="5"/>
        <v>-6.986425717522878E-3</v>
      </c>
      <c r="AA63" s="97">
        <f t="shared" si="5"/>
        <v>5.3499747258765488E-2</v>
      </c>
    </row>
    <row r="64" spans="2:31" ht="12.75" customHeight="1" x14ac:dyDescent="0.25">
      <c r="B64" s="21" t="s">
        <v>4</v>
      </c>
      <c r="C64" s="95">
        <f>Annual_sorted!P26</f>
        <v>-76.587344939501023</v>
      </c>
      <c r="D64" s="29">
        <f>IF(C64-Table_146345714[Burundi]&gt;0, C64-Table_146345714[Burundi], 0)</f>
        <v>0</v>
      </c>
      <c r="E64" s="29">
        <f>IF(C64-Table_146345714[DRC]&gt;0, C64-Table_146345714[DRC], 0)</f>
        <v>0</v>
      </c>
      <c r="F64" s="29">
        <f>IF(C64-Table_146345714[Egypt]&gt;0, C64-Table_146345714[Egypt], 0)</f>
        <v>0</v>
      </c>
      <c r="G64" s="29">
        <f>IF(C64-Table_146345714[Eritrea]&gt;0, C64-Table_146345714[Eritrea], 0)</f>
        <v>0</v>
      </c>
      <c r="H64" s="29">
        <f>IF(C64-Table_146345714[Ethiopia]&gt;0, C64-Table_146345714[Ethiopia], 0)</f>
        <v>0</v>
      </c>
      <c r="I64" s="29">
        <f>IF(C64-Table_146345714[Kenya]&gt;0, C64-Table_146345714[Kenya], 0)</f>
        <v>0</v>
      </c>
      <c r="J64" s="29">
        <f>IF(C64-Table_146345714[Rwanda]&gt;0, C64-Table_146345714[Rwanda], 0)</f>
        <v>0</v>
      </c>
      <c r="K64" s="29">
        <f>IF(C64-Table_146345714[Sudan]&gt;0, C64-Table_146345714[Sudan], 0)</f>
        <v>0</v>
      </c>
      <c r="L64" s="29">
        <f>IF(C64-Table_146345714[S. Sudan]&gt;0, C64-Table_146345714[S. Sudan], 0)</f>
        <v>0</v>
      </c>
      <c r="M64" s="29">
        <f>IF(C64-Table_146345714[Tanzania]&gt;0, C64-Table_146345714[Tanzania], 0)</f>
        <v>0</v>
      </c>
      <c r="N64" s="29">
        <f>IF(C64-Table_146345714[Uganda]&gt;0, C64-Table_146345714[Uganda], 0)</f>
        <v>4.8143875033532595</v>
      </c>
      <c r="P64" s="21" t="s">
        <v>5</v>
      </c>
      <c r="Q64" s="97">
        <f t="shared" si="6"/>
        <v>-6.986425717522878E-3</v>
      </c>
      <c r="R64" s="97">
        <f t="shared" si="5"/>
        <v>-6.986425717522878E-3</v>
      </c>
      <c r="S64" s="97">
        <f t="shared" si="5"/>
        <v>0.34018740638191897</v>
      </c>
      <c r="T64" s="97">
        <f t="shared" si="5"/>
        <v>-6.986425717522878E-3</v>
      </c>
      <c r="U64" s="97">
        <f t="shared" si="5"/>
        <v>0.61206878717636182</v>
      </c>
      <c r="V64" s="97">
        <f t="shared" si="5"/>
        <v>-6.986425717522878E-3</v>
      </c>
      <c r="W64" s="97">
        <f t="shared" si="5"/>
        <v>-6.986425717522878E-3</v>
      </c>
      <c r="X64" s="97">
        <f t="shared" si="5"/>
        <v>6.5908696811337597E-2</v>
      </c>
      <c r="Y64" s="97">
        <f t="shared" si="5"/>
        <v>-6.986425717522878E-3</v>
      </c>
      <c r="Z64" s="97">
        <f t="shared" si="5"/>
        <v>0.3879228355922591</v>
      </c>
      <c r="AA64" s="97">
        <f t="shared" si="5"/>
        <v>0.67255496015265015</v>
      </c>
    </row>
    <row r="65" spans="1:31" ht="12.75" customHeight="1" x14ac:dyDescent="0.25">
      <c r="B65" s="21" t="s">
        <v>5</v>
      </c>
      <c r="C65" s="95">
        <f>Annual_sorted!P27</f>
        <v>-27.313741830070256</v>
      </c>
      <c r="D65" s="29">
        <f>IF(C65-Table_146345714[Burundi]&gt;0, C65-Table_146345714[Burundi], 0)</f>
        <v>0</v>
      </c>
      <c r="E65" s="29">
        <f>IF(C65-Table_146345714[DRC]&gt;0, C65-Table_146345714[DRC], 0)</f>
        <v>0</v>
      </c>
      <c r="F65" s="29">
        <f>IF(C65-Table_146345714[Egypt]&gt;0, C65-Table_146345714[Egypt], 0)</f>
        <v>27.633247013429745</v>
      </c>
      <c r="G65" s="29">
        <f>IF(C65-Table_146345714[Eritrea]&gt;0, C65-Table_146345714[Eritrea], 0)</f>
        <v>0</v>
      </c>
      <c r="H65" s="29">
        <f>IF(C65-Table_146345714[Ethiopia]&gt;0, C65-Table_146345714[Ethiopia], 0)</f>
        <v>49.273603109430766</v>
      </c>
      <c r="I65" s="29">
        <f>IF(C65-Table_146345714[Kenya]&gt;0, C65-Table_146345714[Kenya], 0)</f>
        <v>0</v>
      </c>
      <c r="J65" s="29">
        <f>IF(C65-Table_146345714[Rwanda]&gt;0, C65-Table_146345714[Rwanda], 0)</f>
        <v>0</v>
      </c>
      <c r="K65" s="29">
        <f>IF(C65-Table_146345714[Sudan]&gt;0, C65-Table_146345714[Sudan], 0)</f>
        <v>5.8020759074297388</v>
      </c>
      <c r="L65" s="29">
        <f>IF(C65-Table_146345714[S. Sudan]&gt;0, C65-Table_146345714[S. Sudan], 0)</f>
        <v>0</v>
      </c>
      <c r="M65" s="29">
        <f>IF(C65-Table_146345714[Tanzania]&gt;0, C65-Table_146345714[Tanzania], 0)</f>
        <v>31.432741055606257</v>
      </c>
      <c r="N65" s="29">
        <f>IF(C65-Table_146345714[Uganda]&gt;0, C65-Table_146345714[Uganda], 0)</f>
        <v>54.087990612784026</v>
      </c>
      <c r="P65" s="21" t="s">
        <v>6</v>
      </c>
      <c r="Q65" s="97">
        <f t="shared" si="6"/>
        <v>-6.986425717522878E-3</v>
      </c>
      <c r="R65" s="97">
        <f t="shared" si="5"/>
        <v>-6.986425717522878E-3</v>
      </c>
      <c r="S65" s="97">
        <f t="shared" si="5"/>
        <v>0.53558400408107287</v>
      </c>
      <c r="T65" s="97">
        <f t="shared" si="5"/>
        <v>-6.986425717522878E-3</v>
      </c>
      <c r="U65" s="97">
        <f t="shared" si="5"/>
        <v>0.80746538487551534</v>
      </c>
      <c r="V65" s="97">
        <f t="shared" si="5"/>
        <v>0.1884101719816309</v>
      </c>
      <c r="W65" s="97">
        <f t="shared" si="5"/>
        <v>-6.986425717522878E-3</v>
      </c>
      <c r="X65" s="97">
        <f t="shared" si="5"/>
        <v>0.26130529451049139</v>
      </c>
      <c r="Y65" s="97">
        <f t="shared" si="5"/>
        <v>0.13796094067948747</v>
      </c>
      <c r="Z65" s="97">
        <f t="shared" si="5"/>
        <v>0.58331943329141289</v>
      </c>
      <c r="AA65" s="97">
        <f t="shared" si="5"/>
        <v>0.86795155785180378</v>
      </c>
    </row>
    <row r="66" spans="1:31" ht="12.75" customHeight="1" x14ac:dyDescent="0.25">
      <c r="B66" s="21" t="s">
        <v>6</v>
      </c>
      <c r="C66" s="95">
        <f>Annual_sorted!P28</f>
        <v>-11.76118011436497</v>
      </c>
      <c r="D66" s="29">
        <f>IF(C66-Table_146345714[Burundi]&gt;0, C66-Table_146345714[Burundi], 0)</f>
        <v>0</v>
      </c>
      <c r="E66" s="29">
        <f>IF(C66-Table_146345714[DRC]&gt;0, C66-Table_146345714[DRC], 0)</f>
        <v>0</v>
      </c>
      <c r="F66" s="29">
        <f>IF(C66-Table_146345714[Egypt]&gt;0, C66-Table_146345714[Egypt], 0)</f>
        <v>43.185808729135033</v>
      </c>
      <c r="G66" s="29">
        <f>IF(C66-Table_146345714[Eritrea]&gt;0, C66-Table_146345714[Eritrea], 0)</f>
        <v>0</v>
      </c>
      <c r="H66" s="29">
        <f>IF(C66-Table_146345714[Ethiopia]&gt;0, C66-Table_146345714[Ethiopia], 0)</f>
        <v>64.826164825136047</v>
      </c>
      <c r="I66" s="29">
        <f>IF(C66-Table_146345714[Kenya]&gt;0, C66-Table_146345714[Kenya], 0)</f>
        <v>15.552561715705286</v>
      </c>
      <c r="J66" s="29">
        <f>IF(C66-Table_146345714[Rwanda]&gt;0, C66-Table_146345714[Rwanda], 0)</f>
        <v>0</v>
      </c>
      <c r="K66" s="29">
        <f>IF(C66-Table_146345714[Sudan]&gt;0, C66-Table_146345714[Sudan], 0)</f>
        <v>21.354637623135027</v>
      </c>
      <c r="L66" s="29">
        <f>IF(C66-Table_146345714[S. Sudan]&gt;0, C66-Table_146345714[S. Sudan], 0)</f>
        <v>11.537063019333283</v>
      </c>
      <c r="M66" s="29">
        <f>IF(C66-Table_146345714[Tanzania]&gt;0, C66-Table_146345714[Tanzania], 0)</f>
        <v>46.985302771311545</v>
      </c>
      <c r="N66" s="29">
        <f>IF(C66-Table_146345714[Uganda]&gt;0, C66-Table_146345714[Uganda], 0)</f>
        <v>69.640552328489306</v>
      </c>
      <c r="P66" s="21" t="s">
        <v>7</v>
      </c>
      <c r="Q66" s="97">
        <f t="shared" si="6"/>
        <v>-6.986425717522878E-3</v>
      </c>
      <c r="R66" s="97">
        <f t="shared" si="5"/>
        <v>-6.986425717522878E-3</v>
      </c>
      <c r="S66" s="97">
        <f t="shared" si="5"/>
        <v>0.26729228385305848</v>
      </c>
      <c r="T66" s="97">
        <f t="shared" si="5"/>
        <v>-6.986425717522878E-3</v>
      </c>
      <c r="U66" s="97">
        <f t="shared" si="5"/>
        <v>0.53917366464750138</v>
      </c>
      <c r="V66" s="97">
        <f t="shared" si="5"/>
        <v>-6.986425717522878E-3</v>
      </c>
      <c r="W66" s="97">
        <f t="shared" si="5"/>
        <v>-6.986425717522878E-3</v>
      </c>
      <c r="X66" s="97">
        <f t="shared" si="5"/>
        <v>-6.986425717522878E-3</v>
      </c>
      <c r="Y66" s="97">
        <f t="shared" si="5"/>
        <v>-6.986425717522878E-3</v>
      </c>
      <c r="Z66" s="97">
        <f t="shared" si="5"/>
        <v>0.31502771306339866</v>
      </c>
      <c r="AA66" s="97">
        <f t="shared" si="5"/>
        <v>0.5996598376237896</v>
      </c>
    </row>
    <row r="67" spans="1:31" ht="12.75" customHeight="1" x14ac:dyDescent="0.25">
      <c r="B67" s="21" t="s">
        <v>7</v>
      </c>
      <c r="C67" s="95">
        <f>Annual_sorted!P29</f>
        <v>-33.115817737499995</v>
      </c>
      <c r="D67" s="29">
        <f>IF(C67-Table_146345714[Burundi]&gt;0, C67-Table_146345714[Burundi], 0)</f>
        <v>0</v>
      </c>
      <c r="E67" s="29">
        <f>IF(C67-Table_146345714[DRC]&gt;0, C67-Table_146345714[DRC], 0)</f>
        <v>0</v>
      </c>
      <c r="F67" s="29">
        <f>IF(C67-Table_146345714[Egypt]&gt;0, C67-Table_146345714[Egypt], 0)</f>
        <v>21.831171106000006</v>
      </c>
      <c r="G67" s="29">
        <f>IF(C67-Table_146345714[Eritrea]&gt;0, C67-Table_146345714[Eritrea], 0)</f>
        <v>0</v>
      </c>
      <c r="H67" s="29">
        <f>IF(C67-Table_146345714[Ethiopia]&gt;0, C67-Table_146345714[Ethiopia], 0)</f>
        <v>43.471527202001027</v>
      </c>
      <c r="I67" s="29">
        <f>IF(C67-Table_146345714[Kenya]&gt;0, C67-Table_146345714[Kenya], 0)</f>
        <v>0</v>
      </c>
      <c r="J67" s="29">
        <f>IF(C67-Table_146345714[Rwanda]&gt;0, C67-Table_146345714[Rwanda], 0)</f>
        <v>0</v>
      </c>
      <c r="K67" s="29">
        <f>IF(C67-Table_146345714[Sudan]&gt;0, C67-Table_146345714[Sudan], 0)</f>
        <v>0</v>
      </c>
      <c r="L67" s="29">
        <f>IF(C67-Table_146345714[S. Sudan]&gt;0, C67-Table_146345714[S. Sudan], 0)</f>
        <v>0</v>
      </c>
      <c r="M67" s="29">
        <f>IF(C67-Table_146345714[Tanzania]&gt;0, C67-Table_146345714[Tanzania], 0)</f>
        <v>25.630665148176519</v>
      </c>
      <c r="N67" s="29">
        <f>IF(C67-Table_146345714[Uganda]&gt;0, C67-Table_146345714[Uganda], 0)</f>
        <v>48.285914705354287</v>
      </c>
      <c r="P67" s="21" t="s">
        <v>8</v>
      </c>
      <c r="Q67" s="97">
        <f t="shared" si="6"/>
        <v>-6.986425717522878E-3</v>
      </c>
      <c r="R67" s="97">
        <f t="shared" si="5"/>
        <v>-6.986425717522878E-3</v>
      </c>
      <c r="S67" s="97">
        <f t="shared" si="5"/>
        <v>0.39063663768406243</v>
      </c>
      <c r="T67" s="97">
        <f t="shared" si="5"/>
        <v>-6.986425717522878E-3</v>
      </c>
      <c r="U67" s="97">
        <f t="shared" si="5"/>
        <v>0.66251801847850533</v>
      </c>
      <c r="V67" s="97">
        <f t="shared" si="5"/>
        <v>4.3462805584620547E-2</v>
      </c>
      <c r="W67" s="97">
        <f t="shared" si="5"/>
        <v>-6.986425717522878E-3</v>
      </c>
      <c r="X67" s="97">
        <f t="shared" si="5"/>
        <v>0.11635792811348103</v>
      </c>
      <c r="Y67" s="97">
        <f t="shared" si="5"/>
        <v>-6.986425717522878E-3</v>
      </c>
      <c r="Z67" s="97">
        <f t="shared" si="5"/>
        <v>0.43837206689440261</v>
      </c>
      <c r="AA67" s="97">
        <f>$AE$59+(N68-$AE$57)*($AE$60-$AE$59)/($AE$58-$AE$57)</f>
        <v>0.72300419145479355</v>
      </c>
    </row>
    <row r="68" spans="1:31" ht="12.75" customHeight="1" x14ac:dyDescent="0.25">
      <c r="B68" s="21" t="s">
        <v>8</v>
      </c>
      <c r="C68" s="95">
        <f>Annual_sorted!P30</f>
        <v>-23.298243133698254</v>
      </c>
      <c r="D68" s="29">
        <f>IF(C68-Table_146345714[Burundi]&gt;0, C68-Table_146345714[Burundi], 0)</f>
        <v>0</v>
      </c>
      <c r="E68" s="29">
        <f>IF(C68-Table_146345714[DRC]&gt;0, C68-Table_146345714[DRC], 0)</f>
        <v>0</v>
      </c>
      <c r="F68" s="29">
        <f>IF(C68-Table_146345714[Egypt]&gt;0, C68-Table_146345714[Egypt], 0)</f>
        <v>31.648745709801748</v>
      </c>
      <c r="G68" s="29">
        <f>IF(C68-Table_146345714[Eritrea]&gt;0, C68-Table_146345714[Eritrea], 0)</f>
        <v>0</v>
      </c>
      <c r="H68" s="29">
        <f>IF(C68-Table_146345714[Ethiopia]&gt;0, C68-Table_146345714[Ethiopia], 0)</f>
        <v>53.289101805802773</v>
      </c>
      <c r="I68" s="29">
        <f>IF(C68-Table_146345714[Kenya]&gt;0, C68-Table_146345714[Kenya], 0)</f>
        <v>4.0154986963720027</v>
      </c>
      <c r="J68" s="29">
        <f>IF(C68-Table_146345714[Rwanda]&gt;0, C68-Table_146345714[Rwanda], 0)</f>
        <v>0</v>
      </c>
      <c r="K68" s="29">
        <f>IF(C68-Table_146345714[Sudan]&gt;0, C68-Table_146345714[Sudan], 0)</f>
        <v>9.8175746038017415</v>
      </c>
      <c r="L68" s="29">
        <f>IF(C68-Table_146345714[S. Sudan]&gt;0, C68-Table_146345714[S. Sudan], 0)</f>
        <v>0</v>
      </c>
      <c r="M68" s="29">
        <f>IF(C68-Table_146345714[Tanzania]&gt;0, C68-Table_146345714[Tanzania], 0)</f>
        <v>35.448239751978264</v>
      </c>
      <c r="N68" s="29">
        <f>IF(C68-Table_146345714[Uganda]&gt;0, C68-Table_146345714[Uganda], 0)</f>
        <v>58.103489309156032</v>
      </c>
      <c r="P68" s="21" t="s">
        <v>9</v>
      </c>
      <c r="Q68" s="97">
        <f t="shared" si="6"/>
        <v>-6.986425717522878E-3</v>
      </c>
      <c r="R68" s="97">
        <f t="shared" si="5"/>
        <v>-6.986425717522878E-3</v>
      </c>
      <c r="S68" s="97">
        <f t="shared" si="5"/>
        <v>-6.986425717522878E-3</v>
      </c>
      <c r="T68" s="97">
        <f t="shared" si="5"/>
        <v>-6.986425717522878E-3</v>
      </c>
      <c r="U68" s="97">
        <f t="shared" si="5"/>
        <v>0.2171595258665798</v>
      </c>
      <c r="V68" s="97">
        <f t="shared" si="5"/>
        <v>-6.986425717522878E-3</v>
      </c>
      <c r="W68" s="97">
        <f t="shared" si="5"/>
        <v>-6.986425717522878E-3</v>
      </c>
      <c r="X68" s="97">
        <f t="shared" si="5"/>
        <v>-6.986425717522878E-3</v>
      </c>
      <c r="Y68" s="97">
        <f t="shared" si="5"/>
        <v>-6.986425717522878E-3</v>
      </c>
      <c r="Z68" s="97">
        <f t="shared" si="5"/>
        <v>-6.986425717522878E-3</v>
      </c>
      <c r="AA68" s="97">
        <f t="shared" si="5"/>
        <v>0.27764569884286816</v>
      </c>
    </row>
    <row r="69" spans="1:31" ht="12.75" customHeight="1" thickBot="1" x14ac:dyDescent="0.3">
      <c r="B69" s="21" t="s">
        <v>9</v>
      </c>
      <c r="C69" s="95">
        <f>Annual_sorted!P31</f>
        <v>-58.746482885676514</v>
      </c>
      <c r="D69" s="29">
        <f>IF(C69-Table_146345714[Burundi]&gt;0, C69-Table_146345714[Burundi], 0)</f>
        <v>0</v>
      </c>
      <c r="E69" s="29">
        <f>IF(C69-Table_146345714[DRC]&gt;0, C69-Table_146345714[DRC], 0)</f>
        <v>0</v>
      </c>
      <c r="F69" s="29">
        <f>IF(C69-Table_146345714[Egypt]&gt;0, C69-Table_146345714[Egypt], 0)</f>
        <v>0</v>
      </c>
      <c r="G69" s="29">
        <f>IF(C69-Table_146345714[Eritrea]&gt;0, C69-Table_146345714[Eritrea], 0)</f>
        <v>0</v>
      </c>
      <c r="H69" s="29">
        <f>IF(C69-Table_146345714[Ethiopia]&gt;0, C69-Table_146345714[Ethiopia], 0)</f>
        <v>17.840862053824509</v>
      </c>
      <c r="I69" s="29">
        <f>IF(C69-Table_146345714[Kenya]&gt;0, C69-Table_146345714[Kenya], 0)</f>
        <v>0</v>
      </c>
      <c r="J69" s="29">
        <f>IF(C69-Table_146345714[Rwanda]&gt;0, C69-Table_146345714[Rwanda], 0)</f>
        <v>0</v>
      </c>
      <c r="K69" s="29">
        <f>IF(C69-Table_146345714[Sudan]&gt;0, C69-Table_146345714[Sudan], 0)</f>
        <v>0</v>
      </c>
      <c r="L69" s="29">
        <f>IF(C69-Table_146345714[S. Sudan]&gt;0, C69-Table_146345714[S. Sudan], 0)</f>
        <v>0</v>
      </c>
      <c r="M69" s="29">
        <f>IF(C69-Table_146345714[Tanzania]&gt;0, C69-Table_146345714[Tanzania], 0)</f>
        <v>0</v>
      </c>
      <c r="N69" s="29">
        <f>IF(C69-Table_146345714[Uganda]&gt;0, C69-Table_146345714[Uganda], 0)</f>
        <v>22.655249557177768</v>
      </c>
      <c r="P69" s="22" t="s">
        <v>10</v>
      </c>
      <c r="Q69" s="98">
        <f t="shared" si="6"/>
        <v>-6.986425717522878E-3</v>
      </c>
      <c r="R69" s="98">
        <f t="shared" si="5"/>
        <v>-6.986425717522878E-3</v>
      </c>
      <c r="S69" s="98">
        <f t="shared" si="5"/>
        <v>-6.986425717522878E-3</v>
      </c>
      <c r="T69" s="98">
        <f t="shared" si="5"/>
        <v>-6.986425717522878E-3</v>
      </c>
      <c r="U69" s="98">
        <f t="shared" si="5"/>
        <v>-6.986425717522878E-3</v>
      </c>
      <c r="V69" s="98">
        <f t="shared" si="5"/>
        <v>-6.986425717522878E-3</v>
      </c>
      <c r="W69" s="98">
        <f t="shared" si="5"/>
        <v>-6.986425717522878E-3</v>
      </c>
      <c r="X69" s="98">
        <f t="shared" si="5"/>
        <v>-6.986425717522878E-3</v>
      </c>
      <c r="Y69" s="98">
        <f t="shared" si="5"/>
        <v>-6.986425717522878E-3</v>
      </c>
      <c r="Z69" s="98">
        <f t="shared" si="5"/>
        <v>-6.986425717522878E-3</v>
      </c>
      <c r="AA69" s="98">
        <f t="shared" si="5"/>
        <v>-6.986425717522878E-3</v>
      </c>
      <c r="AB69" s="186">
        <f>SUM(Q59:AA69)</f>
        <v>23.04739466579068</v>
      </c>
    </row>
    <row r="70" spans="1:31" ht="12.75" customHeight="1" thickBot="1" x14ac:dyDescent="0.3">
      <c r="B70" s="22" t="s">
        <v>10</v>
      </c>
      <c r="C70" s="96">
        <f>Annual_sorted!P32</f>
        <v>-81.401732442854282</v>
      </c>
      <c r="D70" s="32">
        <f>IF(C70-Table_146345714[Burundi]&gt;0, C70-Table_146345714[Burundi], 0)</f>
        <v>0</v>
      </c>
      <c r="E70" s="32">
        <f>IF(C70-Table_146345714[DRC]&gt;0, C70-Table_146345714[DRC], 0)</f>
        <v>0</v>
      </c>
      <c r="F70" s="32">
        <f>IF(C70-Table_146345714[Egypt]&gt;0, C70-Table_146345714[Egypt], 0)</f>
        <v>0</v>
      </c>
      <c r="G70" s="32">
        <f>IF(C70-Table_146345714[Eritrea]&gt;0, C70-Table_146345714[Eritrea], 0)</f>
        <v>0</v>
      </c>
      <c r="H70" s="32">
        <f>IF(C70-Table_146345714[Ethiopia]&gt;0, C70-Table_146345714[Ethiopia], 0)</f>
        <v>0</v>
      </c>
      <c r="I70" s="32">
        <f>IF(C70-Table_146345714[Kenya]&gt;0, C70-Table_146345714[Kenya], 0)</f>
        <v>0</v>
      </c>
      <c r="J70" s="32">
        <f>IF(C70-Table_146345714[Rwanda]&gt;0, C70-Table_146345714[Rwanda], 0)</f>
        <v>0</v>
      </c>
      <c r="K70" s="32">
        <f>IF(C70-Table_146345714[Sudan]&gt;0, C70-Table_146345714[Sudan], 0)</f>
        <v>0</v>
      </c>
      <c r="L70" s="32">
        <f>IF(C70-Table_146345714[S. Sudan]&gt;0, C70-Table_146345714[S. Sudan], 0)</f>
        <v>0</v>
      </c>
      <c r="M70" s="32">
        <f>IF(C70-Table_146345714[Tanzania]&gt;0, C70-Table_146345714[Tanzania], 0)</f>
        <v>0</v>
      </c>
      <c r="N70" s="32">
        <f>IF(C70-Table_146345714[Uganda]&gt;0, C70-Table_146345714[Uganda], 0)</f>
        <v>0</v>
      </c>
    </row>
    <row r="71" spans="1:31" ht="12.75" customHeight="1" x14ac:dyDescent="0.25"/>
    <row r="72" spans="1:31" ht="12.75" customHeight="1" x14ac:dyDescent="0.25"/>
    <row r="73" spans="1:31" ht="12.75" customHeight="1" x14ac:dyDescent="0.25"/>
    <row r="74" spans="1:31" ht="24" customHeight="1" x14ac:dyDescent="0.25">
      <c r="A74" s="252" t="s">
        <v>82</v>
      </c>
      <c r="B74" s="252"/>
      <c r="C74" s="252"/>
      <c r="D74" s="252"/>
      <c r="E74" s="252"/>
      <c r="F74" s="252"/>
    </row>
    <row r="75" spans="1:31" ht="12.75" customHeight="1" x14ac:dyDescent="0.25"/>
    <row r="76" spans="1:31" ht="12.75" customHeight="1" x14ac:dyDescent="0.25">
      <c r="B76" s="5"/>
      <c r="C76" s="5"/>
      <c r="D76" s="5"/>
      <c r="E76" s="5"/>
      <c r="F76" s="5"/>
      <c r="G76" s="5"/>
      <c r="H76" s="5"/>
      <c r="I76" s="5"/>
      <c r="J76" s="5"/>
      <c r="K76" s="5"/>
      <c r="L76" s="5"/>
      <c r="M76" s="5"/>
      <c r="N76" s="5"/>
      <c r="O76" s="5"/>
      <c r="P76" s="5"/>
      <c r="Q76" s="5"/>
      <c r="R76" s="5"/>
      <c r="S76" s="5"/>
      <c r="T76" s="5"/>
      <c r="U76" s="5"/>
      <c r="V76" s="5"/>
      <c r="W76" s="5"/>
      <c r="X76" s="5"/>
      <c r="Y76" s="5"/>
      <c r="Z76" s="5"/>
      <c r="AA76" s="5"/>
    </row>
    <row r="77" spans="1:31" ht="12.75" customHeight="1" thickBot="1" x14ac:dyDescent="0.3">
      <c r="B77" s="253" t="s">
        <v>83</v>
      </c>
      <c r="C77" s="253"/>
      <c r="D77" s="253"/>
      <c r="E77" s="253"/>
      <c r="F77" s="253"/>
      <c r="G77" s="253"/>
      <c r="H77" s="253"/>
      <c r="I77" s="253"/>
      <c r="J77" s="253"/>
      <c r="K77" s="253"/>
      <c r="L77" s="253"/>
      <c r="M77" s="253"/>
      <c r="N77" s="253"/>
      <c r="O77" s="5"/>
      <c r="P77" s="253" t="s">
        <v>84</v>
      </c>
      <c r="Q77" s="253"/>
      <c r="R77" s="253"/>
      <c r="S77" s="253"/>
      <c r="T77" s="253"/>
      <c r="U77" s="253"/>
      <c r="V77" s="253"/>
      <c r="W77" s="253"/>
      <c r="X77" s="253"/>
      <c r="Y77" s="253"/>
      <c r="Z77" s="253"/>
      <c r="AA77" s="253"/>
      <c r="AB77" s="10"/>
      <c r="AC77" s="3" t="s">
        <v>22</v>
      </c>
      <c r="AD77" s="13" t="s">
        <v>23</v>
      </c>
      <c r="AE77" s="74">
        <f t="array" ref="AE77">MIN(IF(D80:N90&gt;0,D80:N90))</f>
        <v>6.2275836630797698</v>
      </c>
    </row>
    <row r="78" spans="1:31" ht="12.75" customHeight="1" thickBot="1" x14ac:dyDescent="0.3">
      <c r="B78" s="75" t="s">
        <v>13</v>
      </c>
      <c r="C78" s="66" t="s">
        <v>14</v>
      </c>
      <c r="D78" s="67" t="s">
        <v>1</v>
      </c>
      <c r="E78" s="67" t="s">
        <v>195</v>
      </c>
      <c r="F78" s="67" t="s">
        <v>2</v>
      </c>
      <c r="G78" s="67" t="s">
        <v>3</v>
      </c>
      <c r="H78" s="67" t="s">
        <v>4</v>
      </c>
      <c r="I78" s="67" t="s">
        <v>5</v>
      </c>
      <c r="J78" s="67" t="s">
        <v>6</v>
      </c>
      <c r="K78" s="67" t="s">
        <v>7</v>
      </c>
      <c r="L78" s="67" t="s">
        <v>295</v>
      </c>
      <c r="M78" s="67" t="s">
        <v>9</v>
      </c>
      <c r="N78" s="67" t="s">
        <v>10</v>
      </c>
      <c r="P78" s="76" t="s">
        <v>19</v>
      </c>
      <c r="Q78" s="77" t="s">
        <v>1</v>
      </c>
      <c r="R78" s="77" t="s">
        <v>195</v>
      </c>
      <c r="S78" s="77" t="s">
        <v>2</v>
      </c>
      <c r="T78" s="77" t="s">
        <v>3</v>
      </c>
      <c r="U78" s="77" t="s">
        <v>4</v>
      </c>
      <c r="V78" s="77" t="s">
        <v>5</v>
      </c>
      <c r="W78" s="77" t="s">
        <v>6</v>
      </c>
      <c r="X78" s="77" t="s">
        <v>7</v>
      </c>
      <c r="Y78" s="77" t="s">
        <v>295</v>
      </c>
      <c r="Z78" s="77" t="s">
        <v>9</v>
      </c>
      <c r="AA78" s="77" t="s">
        <v>10</v>
      </c>
      <c r="AB78" s="254" t="s">
        <v>26</v>
      </c>
      <c r="AC78" s="254"/>
      <c r="AD78" s="13" t="s">
        <v>24</v>
      </c>
      <c r="AE78" s="20">
        <f>MAX(D80:N90)</f>
        <v>1646.3233017098812</v>
      </c>
    </row>
    <row r="79" spans="1:31" ht="12.75" customHeight="1" x14ac:dyDescent="0.25">
      <c r="B79" s="93"/>
      <c r="C79" s="94" t="s">
        <v>261</v>
      </c>
      <c r="D79" s="95">
        <f>C80</f>
        <v>54.997952215514097</v>
      </c>
      <c r="E79" s="95">
        <f>C81</f>
        <v>13.958505435363101</v>
      </c>
      <c r="F79" s="95">
        <f>C82</f>
        <v>-4.1298044823100435</v>
      </c>
      <c r="G79" s="95">
        <f>C83</f>
        <v>31.368419441397421</v>
      </c>
      <c r="H79" s="95">
        <f>C84</f>
        <v>1039.9553797068711</v>
      </c>
      <c r="I79" s="95">
        <f>C85</f>
        <v>260.38919686163871</v>
      </c>
      <c r="J79" s="95">
        <f>C86</f>
        <v>98.164095330210429</v>
      </c>
      <c r="K79" s="95">
        <f>C87</f>
        <v>1072.5196557207084</v>
      </c>
      <c r="L79" s="95">
        <f>C88</f>
        <v>-573.80364598917276</v>
      </c>
      <c r="M79" s="95">
        <f>C89</f>
        <v>266.61678052471848</v>
      </c>
      <c r="N79" s="95">
        <f>C90</f>
        <v>345.60770890085467</v>
      </c>
      <c r="P79" s="21" t="s">
        <v>1</v>
      </c>
      <c r="Q79" s="97">
        <f>$AE$79+(D80-$AE$77)*($AE$80-$AE$79)/($AE$78-$AE$77)</f>
        <v>-2.7932884105238294E-3</v>
      </c>
      <c r="R79" s="97">
        <f t="shared" ref="R79:AA89" si="7">$AE$79+(E80-$AE$77)*($AE$80-$AE$79)/($AE$78-$AE$77)</f>
        <v>2.2204281476553289E-2</v>
      </c>
      <c r="S79" s="97">
        <f t="shared" si="7"/>
        <v>3.322206623686922E-2</v>
      </c>
      <c r="T79" s="97">
        <f t="shared" si="7"/>
        <v>1.159971498653092E-2</v>
      </c>
      <c r="U79" s="97">
        <f t="shared" si="7"/>
        <v>-2.7932884105238294E-3</v>
      </c>
      <c r="V79" s="97">
        <f t="shared" si="7"/>
        <v>-2.7932884105238294E-3</v>
      </c>
      <c r="W79" s="97">
        <f t="shared" si="7"/>
        <v>-2.7932884105238294E-3</v>
      </c>
      <c r="X79" s="97">
        <f t="shared" si="7"/>
        <v>-2.7932884105238294E-3</v>
      </c>
      <c r="Y79" s="97">
        <f t="shared" si="7"/>
        <v>0.38021655040216235</v>
      </c>
      <c r="Z79" s="97">
        <f t="shared" si="7"/>
        <v>-2.7932884105238294E-3</v>
      </c>
      <c r="AA79" s="97">
        <f t="shared" si="7"/>
        <v>-2.7932884105238294E-3</v>
      </c>
      <c r="AD79" s="3" t="s">
        <v>25</v>
      </c>
      <c r="AE79" s="2">
        <v>1E-3</v>
      </c>
    </row>
    <row r="80" spans="1:31" ht="12.75" customHeight="1" x14ac:dyDescent="0.25">
      <c r="B80" s="21" t="s">
        <v>1</v>
      </c>
      <c r="C80" s="95">
        <f>Annual_sorted!F22</f>
        <v>54.997952215514097</v>
      </c>
      <c r="D80" s="29">
        <f>IF(C80-Table_1463457813[Burundi]&gt;0, C80-Table_1463457813[Burundi], 0)</f>
        <v>0</v>
      </c>
      <c r="E80" s="29">
        <f>IF(C80-Table_1463457813[DRC]&gt;0, C80-Table_1463457813[DRC], 0)</f>
        <v>41.039446780150996</v>
      </c>
      <c r="F80" s="29">
        <f>IF(C80-Table_1463457813[Egypt]&gt;0, C80-Table_1463457813[Egypt], 0)</f>
        <v>59.12775669782414</v>
      </c>
      <c r="G80" s="29">
        <f>IF(C80-Table_1463457813[Eritrea]&gt;0, C80-Table_1463457813[Eritrea], 0)</f>
        <v>23.629532774116676</v>
      </c>
      <c r="H80" s="29">
        <f>IF(C80-Table_1463457813[Ethiopia]&gt;0, C80-Table_1463457813[Ethiopia], 0)</f>
        <v>0</v>
      </c>
      <c r="I80" s="29">
        <f>IF(C80-Table_1463457813[Kenya]&gt;0, C80-Table_1463457813[Kenya], 0)</f>
        <v>0</v>
      </c>
      <c r="J80" s="29">
        <f>IF(C80-Table_1463457813[Rwanda]&gt;0, C80-Table_1463457813[Rwanda], 0)</f>
        <v>0</v>
      </c>
      <c r="K80" s="29">
        <f>IF(C80-Table_1463457813[Sudan]&gt;0, C80-Table_1463457813[Sudan], 0)</f>
        <v>0</v>
      </c>
      <c r="L80" s="29">
        <f>IF(C80-Table_1463457813[S. Sudan]&gt;0, C80-Table_1463457813[S. Sudan], 0)</f>
        <v>628.80159820468691</v>
      </c>
      <c r="M80" s="29">
        <f>IF(C80-Table_1463457813[Tanzania]&gt;0, C80-Table_1463457813[Tanzania], 0)</f>
        <v>0</v>
      </c>
      <c r="N80" s="29">
        <f>IF(C80-Table_1463457813[Uganda]&gt;0, C80-Table_1463457813[Uganda], 0)</f>
        <v>0</v>
      </c>
      <c r="P80" s="21" t="s">
        <v>195</v>
      </c>
      <c r="Q80" s="97">
        <f t="shared" ref="Q80:Q89" si="8">$AE$79+(D81-$AE$77)*($AE$80-$AE$79)/($AE$78-$AE$77)</f>
        <v>-2.7932884105238294E-3</v>
      </c>
      <c r="R80" s="97">
        <f t="shared" si="7"/>
        <v>-2.7932884105238294E-3</v>
      </c>
      <c r="S80" s="97">
        <f t="shared" si="7"/>
        <v>8.2244963497921063E-3</v>
      </c>
      <c r="T80" s="97">
        <f t="shared" si="7"/>
        <v>-2.7932884105238294E-3</v>
      </c>
      <c r="U80" s="97">
        <f t="shared" si="7"/>
        <v>-2.7932884105238294E-3</v>
      </c>
      <c r="V80" s="97">
        <f t="shared" si="7"/>
        <v>-2.7932884105238294E-3</v>
      </c>
      <c r="W80" s="97">
        <f t="shared" si="7"/>
        <v>-2.7932884105238294E-3</v>
      </c>
      <c r="X80" s="97">
        <f t="shared" si="7"/>
        <v>-2.7932884105238294E-3</v>
      </c>
      <c r="Y80" s="97">
        <f t="shared" si="7"/>
        <v>0.35521898051508527</v>
      </c>
      <c r="Z80" s="97">
        <f t="shared" si="7"/>
        <v>-2.7932884105238294E-3</v>
      </c>
      <c r="AA80" s="97">
        <f t="shared" si="7"/>
        <v>-2.7932884105238294E-3</v>
      </c>
      <c r="AD80" s="3" t="s">
        <v>70</v>
      </c>
      <c r="AE80" s="2">
        <v>1</v>
      </c>
    </row>
    <row r="81" spans="2:31" ht="12.75" customHeight="1" x14ac:dyDescent="0.25">
      <c r="B81" s="21" t="s">
        <v>195</v>
      </c>
      <c r="C81" s="95">
        <f>Annual_sorted!F23</f>
        <v>13.958505435363101</v>
      </c>
      <c r="D81" s="29">
        <f>IF(C81-Table_1463457813[Burundi]&gt;0, C81-Table_1463457813[Burundi], 0)</f>
        <v>0</v>
      </c>
      <c r="E81" s="29">
        <f>IF(C81-Table_1463457813[DRC]&gt;0, C81-Table_1463457813[DRC], 0)</f>
        <v>0</v>
      </c>
      <c r="F81" s="29">
        <f>IF(C81-Table_1463457813[Egypt]&gt;0, C81-Table_1463457813[Egypt], 0)</f>
        <v>18.088309917673143</v>
      </c>
      <c r="G81" s="29">
        <f>IF(C81-Table_1463457813[Eritrea]&gt;0, C81-Table_1463457813[Eritrea], 0)</f>
        <v>0</v>
      </c>
      <c r="H81" s="29">
        <f>IF(C81-Table_1463457813[Ethiopia]&gt;0, C81-Table_1463457813[Ethiopia], 0)</f>
        <v>0</v>
      </c>
      <c r="I81" s="29">
        <f>IF(C81-Table_1463457813[Kenya]&gt;0, C81-Table_1463457813[Kenya], 0)</f>
        <v>0</v>
      </c>
      <c r="J81" s="29">
        <f>IF(C81-Table_1463457813[Rwanda]&gt;0, C81-Table_1463457813[Rwanda], 0)</f>
        <v>0</v>
      </c>
      <c r="K81" s="29">
        <f>IF(C81-Table_1463457813[Sudan]&gt;0, C81-Table_1463457813[Sudan], 0)</f>
        <v>0</v>
      </c>
      <c r="L81" s="29">
        <f>IF(C81-Table_1463457813[S. Sudan]&gt;0, C81-Table_1463457813[S. Sudan], 0)</f>
        <v>587.76215142453589</v>
      </c>
      <c r="M81" s="29">
        <f>IF(C81-Table_1463457813[Tanzania]&gt;0, C81-Table_1463457813[Tanzania], 0)</f>
        <v>0</v>
      </c>
      <c r="N81" s="29">
        <f>IF(C81-Table_1463457813[Uganda]&gt;0, C81-Table_1463457813[Uganda], 0)</f>
        <v>0</v>
      </c>
      <c r="P81" s="21" t="s">
        <v>2</v>
      </c>
      <c r="Q81" s="97">
        <f t="shared" si="8"/>
        <v>-2.7932884105238294E-3</v>
      </c>
      <c r="R81" s="97">
        <f t="shared" si="7"/>
        <v>-2.7932884105238294E-3</v>
      </c>
      <c r="S81" s="97">
        <f t="shared" si="7"/>
        <v>-2.7932884105238294E-3</v>
      </c>
      <c r="T81" s="97">
        <f t="shared" si="7"/>
        <v>-2.7932884105238294E-3</v>
      </c>
      <c r="U81" s="97">
        <f t="shared" si="7"/>
        <v>-2.7932884105238294E-3</v>
      </c>
      <c r="V81" s="97">
        <f t="shared" si="7"/>
        <v>-2.7932884105238294E-3</v>
      </c>
      <c r="W81" s="97">
        <f t="shared" si="7"/>
        <v>-2.7932884105238294E-3</v>
      </c>
      <c r="X81" s="97">
        <f t="shared" si="7"/>
        <v>-2.7932884105238294E-3</v>
      </c>
      <c r="Y81" s="97">
        <f t="shared" si="7"/>
        <v>0.34420119575476921</v>
      </c>
      <c r="Z81" s="97">
        <f t="shared" si="7"/>
        <v>-2.7932884105238294E-3</v>
      </c>
      <c r="AA81" s="97">
        <f t="shared" si="7"/>
        <v>-2.7932884105238294E-3</v>
      </c>
    </row>
    <row r="82" spans="2:31" ht="12.75" customHeight="1" x14ac:dyDescent="0.25">
      <c r="B82" s="21" t="s">
        <v>2</v>
      </c>
      <c r="C82" s="95">
        <f>Annual_sorted!F24</f>
        <v>-4.1298044823100435</v>
      </c>
      <c r="D82" s="29">
        <f>IF(C82-Table_1463457813[Burundi]&gt;0, C82-Table_1463457813[Burundi], 0)</f>
        <v>0</v>
      </c>
      <c r="E82" s="29">
        <f>IF(C82-Table_1463457813[DRC]&gt;0, C82-Table_1463457813[DRC], 0)</f>
        <v>0</v>
      </c>
      <c r="F82" s="29">
        <f>IF(C82-Table_1463457813[Egypt]&gt;0, C82-Table_1463457813[Egypt], 0)</f>
        <v>0</v>
      </c>
      <c r="G82" s="29">
        <f>IF(C82-Table_1463457813[Eritrea]&gt;0, C82-Table_1463457813[Eritrea], 0)</f>
        <v>0</v>
      </c>
      <c r="H82" s="29">
        <f>IF(C82-Table_1463457813[Ethiopia]&gt;0, C82-Table_1463457813[Ethiopia], 0)</f>
        <v>0</v>
      </c>
      <c r="I82" s="29">
        <f>IF(C82-Table_1463457813[Kenya]&gt;0, C82-Table_1463457813[Kenya], 0)</f>
        <v>0</v>
      </c>
      <c r="J82" s="29">
        <f>IF(C82-Table_1463457813[Rwanda]&gt;0, C82-Table_1463457813[Rwanda], 0)</f>
        <v>0</v>
      </c>
      <c r="K82" s="29">
        <f>IF(C82-Table_1463457813[Sudan]&gt;0, C82-Table_1463457813[Sudan], 0)</f>
        <v>0</v>
      </c>
      <c r="L82" s="29">
        <f>IF(C82-Table_1463457813[S. Sudan]&gt;0, C82-Table_1463457813[S. Sudan], 0)</f>
        <v>569.67384150686269</v>
      </c>
      <c r="M82" s="29">
        <f>IF(C82-Table_1463457813[Tanzania]&gt;0, C82-Table_1463457813[Tanzania], 0)</f>
        <v>0</v>
      </c>
      <c r="N82" s="29">
        <f>IF(C82-Table_1463457813[Uganda]&gt;0, C82-Table_1463457813[Uganda], 0)</f>
        <v>0</v>
      </c>
      <c r="P82" s="21" t="s">
        <v>3</v>
      </c>
      <c r="Q82" s="97">
        <f t="shared" si="8"/>
        <v>-2.7932884105238294E-3</v>
      </c>
      <c r="R82" s="97">
        <f t="shared" si="7"/>
        <v>7.8112780794985393E-3</v>
      </c>
      <c r="S82" s="97">
        <f t="shared" si="7"/>
        <v>1.8829062839814475E-2</v>
      </c>
      <c r="T82" s="97">
        <f t="shared" si="7"/>
        <v>-2.7932884105238294E-3</v>
      </c>
      <c r="U82" s="97">
        <f t="shared" si="7"/>
        <v>-2.7932884105238294E-3</v>
      </c>
      <c r="V82" s="97">
        <f t="shared" si="7"/>
        <v>-2.7932884105238294E-3</v>
      </c>
      <c r="W82" s="97">
        <f t="shared" si="7"/>
        <v>-2.7932884105238294E-3</v>
      </c>
      <c r="X82" s="97">
        <f t="shared" si="7"/>
        <v>-2.7932884105238294E-3</v>
      </c>
      <c r="Y82" s="97">
        <f t="shared" si="7"/>
        <v>0.36582354700510761</v>
      </c>
      <c r="Z82" s="97">
        <f t="shared" si="7"/>
        <v>-2.7932884105238294E-3</v>
      </c>
      <c r="AA82" s="97">
        <f t="shared" si="7"/>
        <v>-2.7932884105238294E-3</v>
      </c>
    </row>
    <row r="83" spans="2:31" ht="12.75" customHeight="1" x14ac:dyDescent="0.25">
      <c r="B83" s="21" t="s">
        <v>3</v>
      </c>
      <c r="C83" s="95">
        <f>Annual_sorted!F25</f>
        <v>31.368419441397421</v>
      </c>
      <c r="D83" s="29">
        <f>IF(C83-Table_1463457813[Burundi]&gt;0, C83-Table_1463457813[Burundi], 0)</f>
        <v>0</v>
      </c>
      <c r="E83" s="29">
        <f>IF(C83-Table_1463457813[DRC]&gt;0, C83-Table_1463457813[DRC], 0)</f>
        <v>17.40991400603432</v>
      </c>
      <c r="F83" s="29">
        <f>IF(C83-Table_1463457813[Egypt]&gt;0, C83-Table_1463457813[Egypt], 0)</f>
        <v>35.498223923707464</v>
      </c>
      <c r="G83" s="29">
        <f>IF(C83-Table_1463457813[Eritrea]&gt;0, C83-Table_1463457813[Eritrea], 0)</f>
        <v>0</v>
      </c>
      <c r="H83" s="29">
        <f>IF(C83-Table_1463457813[Ethiopia]&gt;0, C83-Table_1463457813[Ethiopia], 0)</f>
        <v>0</v>
      </c>
      <c r="I83" s="29">
        <f>IF(C83-Table_1463457813[Kenya]&gt;0, C83-Table_1463457813[Kenya], 0)</f>
        <v>0</v>
      </c>
      <c r="J83" s="29">
        <f>IF(C83-Table_1463457813[Rwanda]&gt;0, C83-Table_1463457813[Rwanda], 0)</f>
        <v>0</v>
      </c>
      <c r="K83" s="29">
        <f>IF(C83-Table_1463457813[Sudan]&gt;0, C83-Table_1463457813[Sudan], 0)</f>
        <v>0</v>
      </c>
      <c r="L83" s="29">
        <f>IF(C83-Table_1463457813[S. Sudan]&gt;0, C83-Table_1463457813[S. Sudan], 0)</f>
        <v>605.17206543057023</v>
      </c>
      <c r="M83" s="29">
        <f>IF(C83-Table_1463457813[Tanzania]&gt;0, C83-Table_1463457813[Tanzania], 0)</f>
        <v>0</v>
      </c>
      <c r="N83" s="29">
        <f>IF(C83-Table_1463457813[Uganda]&gt;0, C83-Table_1463457813[Uganda], 0)</f>
        <v>0</v>
      </c>
      <c r="P83" s="21" t="s">
        <v>4</v>
      </c>
      <c r="Q83" s="97">
        <f t="shared" si="8"/>
        <v>0.59715490926886738</v>
      </c>
      <c r="R83" s="97">
        <f t="shared" si="7"/>
        <v>0.62215247915594463</v>
      </c>
      <c r="S83" s="97">
        <f t="shared" si="7"/>
        <v>0.63317026391626041</v>
      </c>
      <c r="T83" s="97">
        <f t="shared" si="7"/>
        <v>0.61154791266592223</v>
      </c>
      <c r="U83" s="97">
        <f t="shared" si="7"/>
        <v>-2.7932884105238294E-3</v>
      </c>
      <c r="V83" s="97">
        <f t="shared" si="7"/>
        <v>0.47204888579492327</v>
      </c>
      <c r="W83" s="97">
        <f t="shared" si="7"/>
        <v>0.57086194569541393</v>
      </c>
      <c r="X83" s="97">
        <f t="shared" si="7"/>
        <v>-2.7932884105238294E-3</v>
      </c>
      <c r="Y83" s="97">
        <f t="shared" si="7"/>
        <v>0.98016474808155363</v>
      </c>
      <c r="Z83" s="97">
        <f t="shared" si="7"/>
        <v>0.46825559738439948</v>
      </c>
      <c r="AA83" s="97">
        <f t="shared" si="7"/>
        <v>0.42014137052589834</v>
      </c>
    </row>
    <row r="84" spans="2:31" ht="12.75" customHeight="1" x14ac:dyDescent="0.25">
      <c r="B84" s="21" t="s">
        <v>4</v>
      </c>
      <c r="C84" s="95">
        <f>Annual_sorted!F26</f>
        <v>1039.9553797068711</v>
      </c>
      <c r="D84" s="29">
        <f>IF(C84-Table_1463457813[Burundi]&gt;0, C84-Table_1463457813[Burundi], 0)</f>
        <v>984.95742749135695</v>
      </c>
      <c r="E84" s="29">
        <f>IF(C84-Table_1463457813[DRC]&gt;0, C84-Table_1463457813[DRC], 0)</f>
        <v>1025.996874271508</v>
      </c>
      <c r="F84" s="29">
        <f>IF(C84-Table_1463457813[Egypt]&gt;0, C84-Table_1463457813[Egypt], 0)</f>
        <v>1044.0851841891811</v>
      </c>
      <c r="G84" s="29">
        <f>IF(C84-Table_1463457813[Eritrea]&gt;0, C84-Table_1463457813[Eritrea], 0)</f>
        <v>1008.5869602654736</v>
      </c>
      <c r="H84" s="29">
        <f>IF(C84-Table_1463457813[Ethiopia]&gt;0, C84-Table_1463457813[Ethiopia], 0)</f>
        <v>0</v>
      </c>
      <c r="I84" s="29">
        <f>IF(C84-Table_1463457813[Kenya]&gt;0, C84-Table_1463457813[Kenya], 0)</f>
        <v>779.56618284523233</v>
      </c>
      <c r="J84" s="29">
        <f>IF(C84-Table_1463457813[Rwanda]&gt;0, C84-Table_1463457813[Rwanda], 0)</f>
        <v>941.79128437666066</v>
      </c>
      <c r="K84" s="29">
        <f>IF(C84-Table_1463457813[Sudan]&gt;0, C84-Table_1463457813[Sudan], 0)</f>
        <v>0</v>
      </c>
      <c r="L84" s="29">
        <f>IF(C84-Table_1463457813[S. Sudan]&gt;0, C84-Table_1463457813[S. Sudan], 0)</f>
        <v>1613.7590256960439</v>
      </c>
      <c r="M84" s="29">
        <f>IF(C84-Table_1463457813[Tanzania]&gt;0, C84-Table_1463457813[Tanzania], 0)</f>
        <v>773.33859918215262</v>
      </c>
      <c r="N84" s="29">
        <f>IF(C84-Table_1463457813[Uganda]&gt;0, C84-Table_1463457813[Uganda], 0)</f>
        <v>694.34767080601637</v>
      </c>
      <c r="P84" s="21" t="s">
        <v>5</v>
      </c>
      <c r="Q84" s="97">
        <f t="shared" si="8"/>
        <v>0.12231273506342037</v>
      </c>
      <c r="R84" s="97">
        <f t="shared" si="7"/>
        <v>0.14731030495049749</v>
      </c>
      <c r="S84" s="97">
        <f t="shared" si="7"/>
        <v>0.15832808971081339</v>
      </c>
      <c r="T84" s="97">
        <f t="shared" si="7"/>
        <v>0.13670573846047512</v>
      </c>
      <c r="U84" s="97">
        <f t="shared" si="7"/>
        <v>-2.7932884105238294E-3</v>
      </c>
      <c r="V84" s="97">
        <f t="shared" si="7"/>
        <v>-2.7932884105238294E-3</v>
      </c>
      <c r="W84" s="97">
        <f t="shared" si="7"/>
        <v>9.6019771489966835E-2</v>
      </c>
      <c r="X84" s="97">
        <f t="shared" si="7"/>
        <v>-2.7932884105238294E-3</v>
      </c>
      <c r="Y84" s="97">
        <f t="shared" si="7"/>
        <v>0.50532257387610657</v>
      </c>
      <c r="Z84" s="97">
        <f t="shared" si="7"/>
        <v>-2.7932884105238294E-3</v>
      </c>
      <c r="AA84" s="97">
        <f t="shared" si="7"/>
        <v>-2.7932884105238294E-3</v>
      </c>
    </row>
    <row r="85" spans="2:31" ht="12.75" customHeight="1" x14ac:dyDescent="0.25">
      <c r="B85" s="21" t="s">
        <v>5</v>
      </c>
      <c r="C85" s="95">
        <f>Annual_sorted!F27</f>
        <v>260.38919686163871</v>
      </c>
      <c r="D85" s="29">
        <f>IF(C85-Table_1463457813[Burundi]&gt;0, C85-Table_1463457813[Burundi], 0)</f>
        <v>205.39124464612462</v>
      </c>
      <c r="E85" s="29">
        <f>IF(C85-Table_1463457813[DRC]&gt;0, C85-Table_1463457813[DRC], 0)</f>
        <v>246.43069142627562</v>
      </c>
      <c r="F85" s="29">
        <f>IF(C85-Table_1463457813[Egypt]&gt;0, C85-Table_1463457813[Egypt], 0)</f>
        <v>264.51900134394873</v>
      </c>
      <c r="G85" s="29">
        <f>IF(C85-Table_1463457813[Eritrea]&gt;0, C85-Table_1463457813[Eritrea], 0)</f>
        <v>229.0207774202413</v>
      </c>
      <c r="H85" s="29">
        <f>IF(C85-Table_1463457813[Ethiopia]&gt;0, C85-Table_1463457813[Ethiopia], 0)</f>
        <v>0</v>
      </c>
      <c r="I85" s="29">
        <f>IF(C85-Table_1463457813[Kenya]&gt;0, C85-Table_1463457813[Kenya], 0)</f>
        <v>0</v>
      </c>
      <c r="J85" s="29">
        <f>IF(C85-Table_1463457813[Rwanda]&gt;0, C85-Table_1463457813[Rwanda], 0)</f>
        <v>162.22510153142827</v>
      </c>
      <c r="K85" s="29">
        <f>IF(C85-Table_1463457813[Sudan]&gt;0, C85-Table_1463457813[Sudan], 0)</f>
        <v>0</v>
      </c>
      <c r="L85" s="29">
        <f>IF(C85-Table_1463457813[S. Sudan]&gt;0, C85-Table_1463457813[S. Sudan], 0)</f>
        <v>834.19284285081153</v>
      </c>
      <c r="M85" s="29">
        <f>IF(C85-Table_1463457813[Tanzania]&gt;0, C85-Table_1463457813[Tanzania], 0)</f>
        <v>0</v>
      </c>
      <c r="N85" s="29">
        <f>IF(C85-Table_1463457813[Uganda]&gt;0, C85-Table_1463457813[Uganda], 0)</f>
        <v>0</v>
      </c>
      <c r="P85" s="21" t="s">
        <v>6</v>
      </c>
      <c r="Q85" s="97">
        <f t="shared" si="8"/>
        <v>2.3499675162929688E-2</v>
      </c>
      <c r="R85" s="97">
        <f t="shared" si="7"/>
        <v>4.8497245050006792E-2</v>
      </c>
      <c r="S85" s="97">
        <f t="shared" si="7"/>
        <v>5.9515029810322737E-2</v>
      </c>
      <c r="T85" s="97">
        <f t="shared" si="7"/>
        <v>3.7892678559984433E-2</v>
      </c>
      <c r="U85" s="97">
        <f t="shared" si="7"/>
        <v>-2.7932884105238294E-3</v>
      </c>
      <c r="V85" s="97">
        <f t="shared" si="7"/>
        <v>-2.7932884105238294E-3</v>
      </c>
      <c r="W85" s="97">
        <f t="shared" si="7"/>
        <v>-2.7932884105238294E-3</v>
      </c>
      <c r="X85" s="97">
        <f t="shared" si="7"/>
        <v>-2.7932884105238294E-3</v>
      </c>
      <c r="Y85" s="97">
        <f t="shared" si="7"/>
        <v>0.4065095139756158</v>
      </c>
      <c r="Z85" s="97">
        <f t="shared" si="7"/>
        <v>-2.7932884105238294E-3</v>
      </c>
      <c r="AA85" s="97">
        <f t="shared" si="7"/>
        <v>-2.7932884105238294E-3</v>
      </c>
    </row>
    <row r="86" spans="2:31" ht="12.75" customHeight="1" x14ac:dyDescent="0.25">
      <c r="B86" s="21" t="s">
        <v>6</v>
      </c>
      <c r="C86" s="95">
        <f>Annual_sorted!F28</f>
        <v>98.164095330210429</v>
      </c>
      <c r="D86" s="29">
        <f>IF(C86-Table_1463457813[Burundi]&gt;0, C86-Table_1463457813[Burundi], 0)</f>
        <v>43.166143114696332</v>
      </c>
      <c r="E86" s="29">
        <f>IF(C86-Table_1463457813[DRC]&gt;0, C86-Table_1463457813[DRC], 0)</f>
        <v>84.205589894847321</v>
      </c>
      <c r="F86" s="29">
        <f>IF(C86-Table_1463457813[Egypt]&gt;0, C86-Table_1463457813[Egypt], 0)</f>
        <v>102.29389981252048</v>
      </c>
      <c r="G86" s="29">
        <f>IF(C86-Table_1463457813[Eritrea]&gt;0, C86-Table_1463457813[Eritrea], 0)</f>
        <v>66.795675888813008</v>
      </c>
      <c r="H86" s="29">
        <f>IF(C86-Table_1463457813[Ethiopia]&gt;0, C86-Table_1463457813[Ethiopia], 0)</f>
        <v>0</v>
      </c>
      <c r="I86" s="29">
        <f>IF(C86-Table_1463457813[Kenya]&gt;0, C86-Table_1463457813[Kenya], 0)</f>
        <v>0</v>
      </c>
      <c r="J86" s="29">
        <f>IF(C86-Table_1463457813[Rwanda]&gt;0, C86-Table_1463457813[Rwanda], 0)</f>
        <v>0</v>
      </c>
      <c r="K86" s="29">
        <f>IF(C86-Table_1463457813[Sudan]&gt;0, C86-Table_1463457813[Sudan], 0)</f>
        <v>0</v>
      </c>
      <c r="L86" s="29">
        <f>IF(C86-Table_1463457813[S. Sudan]&gt;0, C86-Table_1463457813[S. Sudan], 0)</f>
        <v>671.96774131938321</v>
      </c>
      <c r="M86" s="29">
        <f>IF(C86-Table_1463457813[Tanzania]&gt;0, C86-Table_1463457813[Tanzania], 0)</f>
        <v>0</v>
      </c>
      <c r="N86" s="29">
        <f>IF(C86-Table_1463457813[Uganda]&gt;0, C86-Table_1463457813[Uganda], 0)</f>
        <v>0</v>
      </c>
      <c r="P86" s="21" t="s">
        <v>7</v>
      </c>
      <c r="Q86" s="97">
        <f t="shared" si="8"/>
        <v>0.61699016118731376</v>
      </c>
      <c r="R86" s="97">
        <f t="shared" si="7"/>
        <v>0.64198773107439089</v>
      </c>
      <c r="S86" s="97">
        <f t="shared" si="7"/>
        <v>0.6530055158347069</v>
      </c>
      <c r="T86" s="97">
        <f t="shared" si="7"/>
        <v>0.63138316458436861</v>
      </c>
      <c r="U86" s="97">
        <f t="shared" si="7"/>
        <v>1.7041963507922548E-2</v>
      </c>
      <c r="V86" s="97">
        <f t="shared" si="7"/>
        <v>0.49188413771336964</v>
      </c>
      <c r="W86" s="97">
        <f t="shared" si="7"/>
        <v>0.5906971976138603</v>
      </c>
      <c r="X86" s="97">
        <f t="shared" si="7"/>
        <v>-2.7932884105238294E-3</v>
      </c>
      <c r="Y86" s="97">
        <f t="shared" si="7"/>
        <v>1</v>
      </c>
      <c r="Z86" s="97">
        <f t="shared" si="7"/>
        <v>0.48809084930284585</v>
      </c>
      <c r="AA86" s="97">
        <f t="shared" si="7"/>
        <v>0.43997662244434471</v>
      </c>
    </row>
    <row r="87" spans="2:31" ht="12.75" customHeight="1" x14ac:dyDescent="0.25">
      <c r="B87" s="21" t="s">
        <v>7</v>
      </c>
      <c r="C87" s="95">
        <f>Annual_sorted!F29</f>
        <v>1072.5196557207084</v>
      </c>
      <c r="D87" s="29">
        <f>IF(C87-Table_1463457813[Burundi]&gt;0, C87-Table_1463457813[Burundi], 0)</f>
        <v>1017.5217035051943</v>
      </c>
      <c r="E87" s="29">
        <f>IF(C87-Table_1463457813[DRC]&gt;0, C87-Table_1463457813[DRC], 0)</f>
        <v>1058.5611502853453</v>
      </c>
      <c r="F87" s="29">
        <f>IF(C87-Table_1463457813[Egypt]&gt;0, C87-Table_1463457813[Egypt], 0)</f>
        <v>1076.6494602030184</v>
      </c>
      <c r="G87" s="29">
        <f>IF(C87-Table_1463457813[Eritrea]&gt;0, C87-Table_1463457813[Eritrea], 0)</f>
        <v>1041.151236279311</v>
      </c>
      <c r="H87" s="29">
        <f>IF(C87-Table_1463457813[Ethiopia]&gt;0, C87-Table_1463457813[Ethiopia], 0)</f>
        <v>32.564276013837343</v>
      </c>
      <c r="I87" s="29">
        <f>IF(C87-Table_1463457813[Kenya]&gt;0, C87-Table_1463457813[Kenya], 0)</f>
        <v>812.13045885906968</v>
      </c>
      <c r="J87" s="29">
        <f>IF(C87-Table_1463457813[Rwanda]&gt;0, C87-Table_1463457813[Rwanda], 0)</f>
        <v>974.355560390498</v>
      </c>
      <c r="K87" s="29">
        <f>IF(C87-Table_1463457813[Sudan]&gt;0, C87-Table_1463457813[Sudan], 0)</f>
        <v>0</v>
      </c>
      <c r="L87" s="29">
        <f>IF(C87-Table_1463457813[S. Sudan]&gt;0, C87-Table_1463457813[S. Sudan], 0)</f>
        <v>1646.3233017098812</v>
      </c>
      <c r="M87" s="29">
        <f>IF(C87-Table_1463457813[Tanzania]&gt;0, C87-Table_1463457813[Tanzania], 0)</f>
        <v>805.90287519598996</v>
      </c>
      <c r="N87" s="29">
        <f>IF(C87-Table_1463457813[Uganda]&gt;0, C87-Table_1463457813[Uganda], 0)</f>
        <v>726.91194681985371</v>
      </c>
      <c r="P87" s="21" t="s">
        <v>8</v>
      </c>
      <c r="Q87" s="97">
        <f t="shared" si="8"/>
        <v>-2.7932884105238294E-3</v>
      </c>
      <c r="R87" s="97">
        <f t="shared" si="7"/>
        <v>-2.7932884105238294E-3</v>
      </c>
      <c r="S87" s="97">
        <f t="shared" si="7"/>
        <v>-2.7932884105238294E-3</v>
      </c>
      <c r="T87" s="97">
        <f t="shared" si="7"/>
        <v>-2.7932884105238294E-3</v>
      </c>
      <c r="U87" s="97">
        <f t="shared" si="7"/>
        <v>-2.7932884105238294E-3</v>
      </c>
      <c r="V87" s="97">
        <f t="shared" si="7"/>
        <v>-2.7932884105238294E-3</v>
      </c>
      <c r="W87" s="97">
        <f t="shared" si="7"/>
        <v>-2.7932884105238294E-3</v>
      </c>
      <c r="X87" s="97">
        <f t="shared" si="7"/>
        <v>-2.7932884105238294E-3</v>
      </c>
      <c r="Y87" s="97">
        <f t="shared" si="7"/>
        <v>-2.7932884105238294E-3</v>
      </c>
      <c r="Z87" s="97">
        <f t="shared" si="7"/>
        <v>-2.7932884105238294E-3</v>
      </c>
      <c r="AA87" s="97">
        <f t="shared" si="7"/>
        <v>-2.7932884105238294E-3</v>
      </c>
    </row>
    <row r="88" spans="2:31" ht="12.75" customHeight="1" x14ac:dyDescent="0.25">
      <c r="B88" s="21" t="s">
        <v>8</v>
      </c>
      <c r="C88" s="95">
        <f>Annual_sorted!F30</f>
        <v>-573.80364598917276</v>
      </c>
      <c r="D88" s="29">
        <f>IF(C88-Table_1463457813[Burundi]&gt;0, C88-Table_1463457813[Burundi], 0)</f>
        <v>0</v>
      </c>
      <c r="E88" s="29">
        <f>IF(C88-Table_1463457813[DRC]&gt;0, C88-Table_1463457813[DRC], 0)</f>
        <v>0</v>
      </c>
      <c r="F88" s="29">
        <f>IF(C88-Table_1463457813[Egypt]&gt;0, C88-Table_1463457813[Egypt], 0)</f>
        <v>0</v>
      </c>
      <c r="G88" s="29">
        <f>IF(C88-Table_1463457813[Eritrea]&gt;0, C88-Table_1463457813[Eritrea], 0)</f>
        <v>0</v>
      </c>
      <c r="H88" s="29">
        <f>IF(C88-Table_1463457813[Ethiopia]&gt;0, C88-Table_1463457813[Ethiopia], 0)</f>
        <v>0</v>
      </c>
      <c r="I88" s="29">
        <f>IF(C88-Table_1463457813[Kenya]&gt;0, C88-Table_1463457813[Kenya], 0)</f>
        <v>0</v>
      </c>
      <c r="J88" s="29">
        <f>IF(C88-Table_1463457813[Rwanda]&gt;0, C88-Table_1463457813[Rwanda], 0)</f>
        <v>0</v>
      </c>
      <c r="K88" s="29">
        <f>IF(C88-Table_1463457813[Sudan]&gt;0, C88-Table_1463457813[Sudan], 0)</f>
        <v>0</v>
      </c>
      <c r="L88" s="29">
        <f>IF(C88-Table_1463457813[S. Sudan]&gt;0, C88-Table_1463457813[S. Sudan], 0)</f>
        <v>0</v>
      </c>
      <c r="M88" s="29">
        <f>IF(C88-Table_1463457813[Tanzania]&gt;0, C88-Table_1463457813[Tanzania], 0)</f>
        <v>0</v>
      </c>
      <c r="N88" s="29">
        <f>IF(C88-Table_1463457813[Uganda]&gt;0, C88-Table_1463457813[Uganda], 0)</f>
        <v>0</v>
      </c>
      <c r="P88" s="21" t="s">
        <v>9</v>
      </c>
      <c r="Q88" s="97">
        <f t="shared" si="8"/>
        <v>0.12610602347394417</v>
      </c>
      <c r="R88" s="97">
        <f t="shared" si="7"/>
        <v>0.1511035933610213</v>
      </c>
      <c r="S88" s="97">
        <f t="shared" si="7"/>
        <v>0.16212137812133723</v>
      </c>
      <c r="T88" s="97">
        <f t="shared" si="7"/>
        <v>0.14049902687099894</v>
      </c>
      <c r="U88" s="97">
        <f t="shared" si="7"/>
        <v>-2.7932884105238294E-3</v>
      </c>
      <c r="V88" s="97">
        <f t="shared" si="7"/>
        <v>1E-3</v>
      </c>
      <c r="W88" s="97">
        <f t="shared" si="7"/>
        <v>9.9813059900490664E-2</v>
      </c>
      <c r="X88" s="97">
        <f t="shared" si="7"/>
        <v>-2.7932884105238294E-3</v>
      </c>
      <c r="Y88" s="97">
        <f t="shared" si="7"/>
        <v>0.50911586228663031</v>
      </c>
      <c r="Z88" s="97">
        <f t="shared" si="7"/>
        <v>-2.7932884105238294E-3</v>
      </c>
      <c r="AA88" s="97">
        <f t="shared" si="7"/>
        <v>-2.7932884105238294E-3</v>
      </c>
      <c r="AB88" s="186">
        <f>SUM(Q79:AA89)</f>
        <v>16.81310136490038</v>
      </c>
    </row>
    <row r="89" spans="2:31" ht="12.75" customHeight="1" thickBot="1" x14ac:dyDescent="0.3">
      <c r="B89" s="21" t="s">
        <v>9</v>
      </c>
      <c r="C89" s="95">
        <f>Annual_sorted!F31</f>
        <v>266.61678052471848</v>
      </c>
      <c r="D89" s="29">
        <f>IF(C89-Table_1463457813[Burundi]&gt;0, C89-Table_1463457813[Burundi], 0)</f>
        <v>211.61882830920439</v>
      </c>
      <c r="E89" s="29">
        <f>IF(C89-Table_1463457813[DRC]&gt;0, C89-Table_1463457813[DRC], 0)</f>
        <v>252.65827508935539</v>
      </c>
      <c r="F89" s="29">
        <f>IF(C89-Table_1463457813[Egypt]&gt;0, C89-Table_1463457813[Egypt], 0)</f>
        <v>270.7465850070285</v>
      </c>
      <c r="G89" s="29">
        <f>IF(C89-Table_1463457813[Eritrea]&gt;0, C89-Table_1463457813[Eritrea], 0)</f>
        <v>235.24836108332107</v>
      </c>
      <c r="H89" s="29">
        <f>IF(C89-Table_1463457813[Ethiopia]&gt;0, C89-Table_1463457813[Ethiopia], 0)</f>
        <v>0</v>
      </c>
      <c r="I89" s="29">
        <f>IF(C89-Table_1463457813[Kenya]&gt;0, C89-Table_1463457813[Kenya], 0)</f>
        <v>6.2275836630797698</v>
      </c>
      <c r="J89" s="29">
        <f>IF(C89-Table_1463457813[Rwanda]&gt;0, C89-Table_1463457813[Rwanda], 0)</f>
        <v>168.45268519450804</v>
      </c>
      <c r="K89" s="29">
        <f>IF(C89-Table_1463457813[Sudan]&gt;0, C89-Table_1463457813[Sudan], 0)</f>
        <v>0</v>
      </c>
      <c r="L89" s="29">
        <f>IF(C89-Table_1463457813[S. Sudan]&gt;0, C89-Table_1463457813[S. Sudan], 0)</f>
        <v>840.42042651389124</v>
      </c>
      <c r="M89" s="29">
        <f>IF(C89-Table_1463457813[Tanzania]&gt;0, C89-Table_1463457813[Tanzania], 0)</f>
        <v>0</v>
      </c>
      <c r="N89" s="29">
        <f>IF(C89-Table_1463457813[Uganda]&gt;0, C89-Table_1463457813[Uganda], 0)</f>
        <v>0</v>
      </c>
      <c r="P89" s="22" t="s">
        <v>10</v>
      </c>
      <c r="Q89" s="98">
        <f t="shared" si="8"/>
        <v>0.17422025033244529</v>
      </c>
      <c r="R89" s="98">
        <f t="shared" si="7"/>
        <v>0.19921782021952239</v>
      </c>
      <c r="S89" s="98">
        <f t="shared" si="7"/>
        <v>0.21023560497983831</v>
      </c>
      <c r="T89" s="98">
        <f t="shared" si="7"/>
        <v>0.18861325372950002</v>
      </c>
      <c r="U89" s="98">
        <f t="shared" si="7"/>
        <v>-2.7932884105238294E-3</v>
      </c>
      <c r="V89" s="98">
        <f t="shared" si="7"/>
        <v>4.9114226858501094E-2</v>
      </c>
      <c r="W89" s="98">
        <f t="shared" si="7"/>
        <v>0.14792728675899175</v>
      </c>
      <c r="X89" s="98">
        <f t="shared" si="7"/>
        <v>-2.7932884105238294E-3</v>
      </c>
      <c r="Y89" s="98">
        <f t="shared" si="7"/>
        <v>0.5572300891451315</v>
      </c>
      <c r="Z89" s="98">
        <f t="shared" si="7"/>
        <v>4.5320938447977271E-2</v>
      </c>
      <c r="AA89" s="98">
        <f t="shared" si="7"/>
        <v>-2.7932884105238294E-3</v>
      </c>
    </row>
    <row r="90" spans="2:31" ht="12.75" customHeight="1" thickBot="1" x14ac:dyDescent="0.3">
      <c r="B90" s="22" t="s">
        <v>10</v>
      </c>
      <c r="C90" s="96">
        <f>Annual_sorted!F32</f>
        <v>345.60770890085467</v>
      </c>
      <c r="D90" s="32">
        <f>IF(C90-Table_1463457813[Burundi]&gt;0, C90-Table_1463457813[Burundi], 0)</f>
        <v>290.60975668534059</v>
      </c>
      <c r="E90" s="32">
        <f>IF(C90-Table_1463457813[DRC]&gt;0, C90-Table_1463457813[DRC], 0)</f>
        <v>331.64920346549155</v>
      </c>
      <c r="F90" s="32">
        <f>IF(C90-Table_1463457813[Egypt]&gt;0, C90-Table_1463457813[Egypt], 0)</f>
        <v>349.7375133831647</v>
      </c>
      <c r="G90" s="32">
        <f>IF(C90-Table_1463457813[Eritrea]&gt;0, C90-Table_1463457813[Eritrea], 0)</f>
        <v>314.23928945945727</v>
      </c>
      <c r="H90" s="32">
        <f>IF(C90-Table_1463457813[Ethiopia]&gt;0, C90-Table_1463457813[Ethiopia], 0)</f>
        <v>0</v>
      </c>
      <c r="I90" s="32">
        <f>IF(C90-Table_1463457813[Kenya]&gt;0, C90-Table_1463457813[Kenya], 0)</f>
        <v>85.218512039215966</v>
      </c>
      <c r="J90" s="32">
        <f>IF(C90-Table_1463457813[Rwanda]&gt;0, C90-Table_1463457813[Rwanda], 0)</f>
        <v>247.44361357064423</v>
      </c>
      <c r="K90" s="32">
        <f>IF(C90-Table_1463457813[Sudan]&gt;0, C90-Table_1463457813[Sudan], 0)</f>
        <v>0</v>
      </c>
      <c r="L90" s="32">
        <f>IF(C90-Table_1463457813[S. Sudan]&gt;0, C90-Table_1463457813[S. Sudan], 0)</f>
        <v>919.4113548900275</v>
      </c>
      <c r="M90" s="32">
        <f>IF(C90-Table_1463457813[Tanzania]&gt;0, C90-Table_1463457813[Tanzania], 0)</f>
        <v>78.990928376136196</v>
      </c>
      <c r="N90" s="32">
        <f>IF(C90-Table_1463457813[Uganda]&gt;0, C90-Table_1463457813[Uganda], 0)</f>
        <v>0</v>
      </c>
    </row>
    <row r="91" spans="2:31" ht="12.75" customHeight="1" x14ac:dyDescent="0.25"/>
    <row r="92" spans="2:31" ht="12.75" customHeight="1" x14ac:dyDescent="0.25"/>
    <row r="93" spans="2:31" ht="12.75" customHeight="1" x14ac:dyDescent="0.25">
      <c r="B93" s="5"/>
      <c r="C93" s="5"/>
      <c r="D93" s="5"/>
      <c r="E93" s="5"/>
      <c r="F93" s="5"/>
      <c r="G93" s="5"/>
      <c r="H93" s="5"/>
      <c r="I93" s="5"/>
      <c r="J93" s="5"/>
      <c r="K93" s="5"/>
      <c r="L93" s="5"/>
      <c r="M93" s="5"/>
      <c r="N93" s="5"/>
      <c r="O93" s="5"/>
      <c r="P93" s="5"/>
      <c r="Q93" s="5"/>
      <c r="R93" s="5"/>
      <c r="S93" s="5"/>
      <c r="T93" s="5"/>
      <c r="U93" s="5"/>
      <c r="V93" s="5"/>
      <c r="W93" s="5"/>
      <c r="X93" s="5"/>
      <c r="Y93" s="5"/>
      <c r="Z93" s="5"/>
      <c r="AA93" s="5"/>
    </row>
    <row r="94" spans="2:31" ht="12.75" customHeight="1" x14ac:dyDescent="0.25">
      <c r="B94" s="5"/>
      <c r="C94" s="5"/>
      <c r="D94" s="5"/>
      <c r="E94" s="5"/>
      <c r="F94" s="5"/>
      <c r="G94" s="5"/>
      <c r="H94" s="5"/>
      <c r="I94" s="5"/>
      <c r="J94" s="5"/>
      <c r="K94" s="5"/>
      <c r="L94" s="5"/>
      <c r="M94" s="5"/>
      <c r="N94" s="5"/>
      <c r="O94" s="5"/>
      <c r="P94" s="5"/>
      <c r="Q94" s="5"/>
      <c r="R94" s="5"/>
      <c r="S94" s="5"/>
      <c r="T94" s="5"/>
      <c r="U94" s="5"/>
      <c r="V94" s="5"/>
      <c r="W94" s="5"/>
      <c r="X94" s="5"/>
      <c r="Y94" s="5"/>
      <c r="Z94" s="5"/>
      <c r="AA94" s="5"/>
    </row>
    <row r="95" spans="2:31" ht="12.75" customHeight="1" thickBot="1" x14ac:dyDescent="0.3">
      <c r="B95" s="253" t="s">
        <v>85</v>
      </c>
      <c r="C95" s="253"/>
      <c r="D95" s="253"/>
      <c r="E95" s="253"/>
      <c r="F95" s="253"/>
      <c r="G95" s="253"/>
      <c r="H95" s="253"/>
      <c r="I95" s="253"/>
      <c r="J95" s="253"/>
      <c r="K95" s="253"/>
      <c r="L95" s="253"/>
      <c r="M95" s="253"/>
      <c r="N95" s="253"/>
      <c r="O95" s="5"/>
      <c r="P95" s="253" t="s">
        <v>87</v>
      </c>
      <c r="Q95" s="253"/>
      <c r="R95" s="253"/>
      <c r="S95" s="253"/>
      <c r="T95" s="253"/>
      <c r="U95" s="253"/>
      <c r="V95" s="253"/>
      <c r="W95" s="253"/>
      <c r="X95" s="253"/>
      <c r="Y95" s="253"/>
      <c r="Z95" s="253"/>
      <c r="AA95" s="253"/>
      <c r="AB95" s="10"/>
      <c r="AC95" s="3" t="s">
        <v>22</v>
      </c>
      <c r="AD95" s="13" t="s">
        <v>23</v>
      </c>
      <c r="AE95" s="74">
        <f t="array" ref="AE95">MIN(IF(D98:N108&gt;0,D98:N108))</f>
        <v>2.8305562900110388</v>
      </c>
    </row>
    <row r="96" spans="2:31" ht="12.75" customHeight="1" thickBot="1" x14ac:dyDescent="0.3">
      <c r="B96" s="75" t="s">
        <v>13</v>
      </c>
      <c r="C96" s="66" t="s">
        <v>14</v>
      </c>
      <c r="D96" s="67" t="s">
        <v>1</v>
      </c>
      <c r="E96" s="67" t="s">
        <v>195</v>
      </c>
      <c r="F96" s="67" t="s">
        <v>2</v>
      </c>
      <c r="G96" s="67" t="s">
        <v>3</v>
      </c>
      <c r="H96" s="67" t="s">
        <v>4</v>
      </c>
      <c r="I96" s="67" t="s">
        <v>5</v>
      </c>
      <c r="J96" s="67" t="s">
        <v>6</v>
      </c>
      <c r="K96" s="67" t="s">
        <v>7</v>
      </c>
      <c r="L96" s="67" t="s">
        <v>295</v>
      </c>
      <c r="M96" s="67" t="s">
        <v>9</v>
      </c>
      <c r="N96" s="67" t="s">
        <v>10</v>
      </c>
      <c r="P96" s="76" t="s">
        <v>19</v>
      </c>
      <c r="Q96" s="77" t="s">
        <v>1</v>
      </c>
      <c r="R96" s="77" t="s">
        <v>195</v>
      </c>
      <c r="S96" s="77" t="s">
        <v>2</v>
      </c>
      <c r="T96" s="77" t="s">
        <v>3</v>
      </c>
      <c r="U96" s="77" t="s">
        <v>4</v>
      </c>
      <c r="V96" s="77" t="s">
        <v>5</v>
      </c>
      <c r="W96" s="77" t="s">
        <v>6</v>
      </c>
      <c r="X96" s="77" t="s">
        <v>7</v>
      </c>
      <c r="Y96" s="77" t="s">
        <v>295</v>
      </c>
      <c r="Z96" s="77" t="s">
        <v>9</v>
      </c>
      <c r="AA96" s="77" t="s">
        <v>10</v>
      </c>
      <c r="AB96" s="254" t="s">
        <v>26</v>
      </c>
      <c r="AC96" s="254"/>
      <c r="AD96" s="13" t="s">
        <v>24</v>
      </c>
      <c r="AE96" s="20">
        <f>MAX(D98:N108)</f>
        <v>959.83029636314677</v>
      </c>
    </row>
    <row r="97" spans="2:31" ht="12.75" customHeight="1" x14ac:dyDescent="0.25">
      <c r="B97" s="93"/>
      <c r="C97" s="94" t="s">
        <v>262</v>
      </c>
      <c r="D97" s="95">
        <f>C98</f>
        <v>-19.637738099516472</v>
      </c>
      <c r="E97" s="95">
        <f>C99</f>
        <v>-22.468294389527511</v>
      </c>
      <c r="F97" s="95">
        <f>C100</f>
        <v>322.83760097360033</v>
      </c>
      <c r="G97" s="95">
        <f>C101</f>
        <v>-12.673235608365742</v>
      </c>
      <c r="H97" s="95">
        <f>C102</f>
        <v>-439.21949711542334</v>
      </c>
      <c r="I97" s="95">
        <f>C103</f>
        <v>-81.814579996392141</v>
      </c>
      <c r="J97" s="95">
        <f>C104</f>
        <v>-26.599271885155385</v>
      </c>
      <c r="K97" s="95">
        <f>C105</f>
        <v>-117.14723806909365</v>
      </c>
      <c r="L97" s="95">
        <f>C106</f>
        <v>-636.9926953895465</v>
      </c>
      <c r="M97" s="95">
        <f>C107</f>
        <v>-159.8629094389045</v>
      </c>
      <c r="N97" s="95">
        <f>C108</f>
        <v>-313.42388905904795</v>
      </c>
      <c r="P97" s="21" t="s">
        <v>1</v>
      </c>
      <c r="Q97" s="97">
        <f>$AE$97+(D98-$AE$95)*($AE$98-$AE$97)/($AE$96-$AE$95)</f>
        <v>-1.9547821334882786E-3</v>
      </c>
      <c r="R97" s="97">
        <f t="shared" ref="R97:AA107" si="9">$AE$97+(E98-$AE$95)*($AE$98-$AE$97)/($AE$96-$AE$95)</f>
        <v>1E-3</v>
      </c>
      <c r="S97" s="97">
        <f t="shared" si="9"/>
        <v>-1.9547821334882786E-3</v>
      </c>
      <c r="T97" s="97">
        <f t="shared" si="9"/>
        <v>-1.9547821334882786E-3</v>
      </c>
      <c r="U97" s="97">
        <f t="shared" si="9"/>
        <v>0.43604134232194552</v>
      </c>
      <c r="V97" s="97">
        <f t="shared" si="9"/>
        <v>6.2950841613318459E-2</v>
      </c>
      <c r="W97" s="97">
        <f t="shared" si="9"/>
        <v>5.3122754848573582E-3</v>
      </c>
      <c r="X97" s="97">
        <f t="shared" si="9"/>
        <v>9.9834159274336129E-2</v>
      </c>
      <c r="Y97" s="97">
        <f t="shared" si="9"/>
        <v>0.64249429816156778</v>
      </c>
      <c r="Z97" s="97">
        <f t="shared" si="9"/>
        <v>0.14442451171808904</v>
      </c>
      <c r="AA97" s="97">
        <f t="shared" si="9"/>
        <v>0.3047248882143247</v>
      </c>
      <c r="AD97" s="3" t="s">
        <v>25</v>
      </c>
      <c r="AE97" s="2">
        <v>1E-3</v>
      </c>
    </row>
    <row r="98" spans="2:31" ht="12.75" customHeight="1" x14ac:dyDescent="0.25">
      <c r="B98" s="21" t="s">
        <v>1</v>
      </c>
      <c r="C98" s="95">
        <f>Annual_sorted!G22</f>
        <v>-19.637738099516472</v>
      </c>
      <c r="D98" s="29">
        <f>IF(C98-Table_146345781116[Burundi]&gt;0, C98-Table_146345781116[Burundi], 0)</f>
        <v>0</v>
      </c>
      <c r="E98" s="29">
        <f>IF(C98-Table_146345781116[DRC]&gt;0, C98-Table_146345781116[DRC], 0)</f>
        <v>2.8305562900110388</v>
      </c>
      <c r="F98" s="29">
        <f>IF(C98-Table_146345781116[Egypt]&gt;0, C98-Table_146345781116[Egypt], 0)</f>
        <v>0</v>
      </c>
      <c r="G98" s="29">
        <f>IF(C98-Table_146345781116[Eritrea]&gt;0, C98-Table_146345781116[Eritrea], 0)</f>
        <v>0</v>
      </c>
      <c r="H98" s="29">
        <f>IF(C98-Table_146345781116[Ethiopia]&gt;0, C98-Table_146345781116[Ethiopia], 0)</f>
        <v>419.58175901590687</v>
      </c>
      <c r="I98" s="29">
        <f>IF(C98-Table_146345781116[Kenya]&gt;0, C98-Table_146345781116[Kenya], 0)</f>
        <v>62.176841896875672</v>
      </c>
      <c r="J98" s="29">
        <f>IF(C98-Table_146345781116[Rwanda]&gt;0, C98-Table_146345781116[Rwanda], 0)</f>
        <v>6.9615337856389132</v>
      </c>
      <c r="K98" s="29">
        <f>IF(C98-Table_146345781116[Sudan]&gt;0, C98-Table_146345781116[Sudan], 0)</f>
        <v>97.509499969577178</v>
      </c>
      <c r="L98" s="29">
        <f>IF(C98-Table_146345781116[S. Sudan]&gt;0, C98-Table_146345781116[S. Sudan], 0)</f>
        <v>617.35495729003003</v>
      </c>
      <c r="M98" s="29">
        <f>IF(C98-Table_146345781116[Tanzania]&gt;0, C98-Table_146345781116[Tanzania], 0)</f>
        <v>140.22517133938803</v>
      </c>
      <c r="N98" s="29">
        <f>IF(C98-Table_146345781116[Uganda]&gt;0, C98-Table_146345781116[Uganda], 0)</f>
        <v>293.78615095953148</v>
      </c>
      <c r="P98" s="21" t="s">
        <v>195</v>
      </c>
      <c r="Q98" s="97">
        <f t="shared" ref="Q98:Q107" si="10">$AE$97+(D99-$AE$95)*($AE$98-$AE$97)/($AE$96-$AE$95)</f>
        <v>-1.9547821334882786E-3</v>
      </c>
      <c r="R98" s="97">
        <f t="shared" si="9"/>
        <v>-1.9547821334882786E-3</v>
      </c>
      <c r="S98" s="97">
        <f t="shared" si="9"/>
        <v>-1.9547821334882786E-3</v>
      </c>
      <c r="T98" s="97">
        <f t="shared" si="9"/>
        <v>-1.9547821334882786E-3</v>
      </c>
      <c r="U98" s="97">
        <f t="shared" si="9"/>
        <v>0.43308656018845726</v>
      </c>
      <c r="V98" s="97">
        <f t="shared" si="9"/>
        <v>5.9996059479830173E-2</v>
      </c>
      <c r="W98" s="97">
        <f t="shared" si="9"/>
        <v>2.3574933513690792E-3</v>
      </c>
      <c r="X98" s="97">
        <f t="shared" si="9"/>
        <v>9.6879377140847836E-2</v>
      </c>
      <c r="Y98" s="97">
        <f t="shared" si="9"/>
        <v>0.63953951602807957</v>
      </c>
      <c r="Z98" s="97">
        <f t="shared" si="9"/>
        <v>0.14146972958460077</v>
      </c>
      <c r="AA98" s="97">
        <f t="shared" si="9"/>
        <v>0.30177010608083638</v>
      </c>
      <c r="AD98" s="3" t="s">
        <v>70</v>
      </c>
      <c r="AE98" s="2">
        <v>1</v>
      </c>
    </row>
    <row r="99" spans="2:31" ht="12.75" customHeight="1" x14ac:dyDescent="0.25">
      <c r="B99" s="21" t="s">
        <v>195</v>
      </c>
      <c r="C99" s="95">
        <f>Annual_sorted!G23</f>
        <v>-22.468294389527511</v>
      </c>
      <c r="D99" s="29">
        <f>IF(C99-Table_146345781116[Burundi]&gt;0, C99-Table_146345781116[Burundi], 0)</f>
        <v>0</v>
      </c>
      <c r="E99" s="29">
        <f>IF(C99-Table_146345781116[DRC]&gt;0, C99-Table_146345781116[DRC], 0)</f>
        <v>0</v>
      </c>
      <c r="F99" s="29">
        <f>IF(C99-Table_146345781116[Egypt]&gt;0, C99-Table_146345781116[Egypt], 0)</f>
        <v>0</v>
      </c>
      <c r="G99" s="29">
        <f>IF(C99-Table_146345781116[Eritrea]&gt;0, C99-Table_146345781116[Eritrea], 0)</f>
        <v>0</v>
      </c>
      <c r="H99" s="29">
        <f>IF(C99-Table_146345781116[Ethiopia]&gt;0, C99-Table_146345781116[Ethiopia], 0)</f>
        <v>416.75120272589584</v>
      </c>
      <c r="I99" s="29">
        <f>IF(C99-Table_146345781116[Kenya]&gt;0, C99-Table_146345781116[Kenya], 0)</f>
        <v>59.346285606864626</v>
      </c>
      <c r="J99" s="29">
        <f>IF(C99-Table_146345781116[Rwanda]&gt;0, C99-Table_146345781116[Rwanda], 0)</f>
        <v>4.1309774956278744</v>
      </c>
      <c r="K99" s="29">
        <f>IF(C99-Table_146345781116[Sudan]&gt;0, C99-Table_146345781116[Sudan], 0)</f>
        <v>94.678943679566132</v>
      </c>
      <c r="L99" s="29">
        <f>IF(C99-Table_146345781116[S. Sudan]&gt;0, C99-Table_146345781116[S. Sudan], 0)</f>
        <v>614.524401000019</v>
      </c>
      <c r="M99" s="29">
        <f>IF(C99-Table_146345781116[Tanzania]&gt;0, C99-Table_146345781116[Tanzania], 0)</f>
        <v>137.39461504937699</v>
      </c>
      <c r="N99" s="29">
        <f>IF(C99-Table_146345781116[Uganda]&gt;0, C99-Table_146345781116[Uganda], 0)</f>
        <v>290.95559466952045</v>
      </c>
      <c r="P99" s="21" t="s">
        <v>2</v>
      </c>
      <c r="Q99" s="97">
        <f t="shared" si="10"/>
        <v>0.35555091970494401</v>
      </c>
      <c r="R99" s="97">
        <f t="shared" si="9"/>
        <v>0.35850570183843228</v>
      </c>
      <c r="S99" s="97">
        <f t="shared" si="9"/>
        <v>-1.9547821334882786E-3</v>
      </c>
      <c r="T99" s="97">
        <f t="shared" si="9"/>
        <v>0.34828076309222866</v>
      </c>
      <c r="U99" s="97">
        <f t="shared" si="9"/>
        <v>0.7935470441603778</v>
      </c>
      <c r="V99" s="97">
        <f t="shared" si="9"/>
        <v>0.42045654345175076</v>
      </c>
      <c r="W99" s="97">
        <f t="shared" si="9"/>
        <v>0.36281797732328963</v>
      </c>
      <c r="X99" s="97">
        <f t="shared" si="9"/>
        <v>0.45733986111276848</v>
      </c>
      <c r="Y99" s="97">
        <f t="shared" si="9"/>
        <v>1</v>
      </c>
      <c r="Z99" s="97">
        <f t="shared" si="9"/>
        <v>0.50193021355652134</v>
      </c>
      <c r="AA99" s="97">
        <f t="shared" si="9"/>
        <v>0.66223059005275697</v>
      </c>
    </row>
    <row r="100" spans="2:31" ht="12.75" customHeight="1" x14ac:dyDescent="0.25">
      <c r="B100" s="21" t="s">
        <v>2</v>
      </c>
      <c r="C100" s="95">
        <f>Annual_sorted!G24</f>
        <v>322.83760097360033</v>
      </c>
      <c r="D100" s="29">
        <f>IF(C100-Table_146345781116[Burundi]&gt;0, C100-Table_146345781116[Burundi], 0)</f>
        <v>342.4753390731168</v>
      </c>
      <c r="E100" s="29">
        <f>IF(C100-Table_146345781116[DRC]&gt;0, C100-Table_146345781116[DRC], 0)</f>
        <v>345.30589536312783</v>
      </c>
      <c r="F100" s="29">
        <f>IF(C100-Table_146345781116[Egypt]&gt;0, C100-Table_146345781116[Egypt], 0)</f>
        <v>0</v>
      </c>
      <c r="G100" s="29">
        <f>IF(C100-Table_146345781116[Eritrea]&gt;0, C100-Table_146345781116[Eritrea], 0)</f>
        <v>335.51083658196609</v>
      </c>
      <c r="H100" s="29">
        <f>IF(C100-Table_146345781116[Ethiopia]&gt;0, C100-Table_146345781116[Ethiopia], 0)</f>
        <v>762.05709808902361</v>
      </c>
      <c r="I100" s="29">
        <f>IF(C100-Table_146345781116[Kenya]&gt;0, C100-Table_146345781116[Kenya], 0)</f>
        <v>404.65218096999246</v>
      </c>
      <c r="J100" s="29">
        <f>IF(C100-Table_146345781116[Rwanda]&gt;0, C100-Table_146345781116[Rwanda], 0)</f>
        <v>349.43687285875569</v>
      </c>
      <c r="K100" s="29">
        <f>IF(C100-Table_146345781116[Sudan]&gt;0, C100-Table_146345781116[Sudan], 0)</f>
        <v>439.98483904269398</v>
      </c>
      <c r="L100" s="29">
        <f>IF(C100-Table_146345781116[S. Sudan]&gt;0, C100-Table_146345781116[S. Sudan], 0)</f>
        <v>959.83029636314677</v>
      </c>
      <c r="M100" s="29">
        <f>IF(C100-Table_146345781116[Tanzania]&gt;0, C100-Table_146345781116[Tanzania], 0)</f>
        <v>482.70051041250485</v>
      </c>
      <c r="N100" s="29">
        <f>IF(C100-Table_146345781116[Uganda]&gt;0, C100-Table_146345781116[Uganda], 0)</f>
        <v>636.26149003264823</v>
      </c>
      <c r="P100" s="21" t="s">
        <v>3</v>
      </c>
      <c r="Q100" s="97">
        <f t="shared" si="10"/>
        <v>5.3153744792270724E-3</v>
      </c>
      <c r="R100" s="97">
        <f t="shared" si="9"/>
        <v>8.2701566127153514E-3</v>
      </c>
      <c r="S100" s="97">
        <f t="shared" si="9"/>
        <v>-1.9547821334882786E-3</v>
      </c>
      <c r="T100" s="97">
        <f t="shared" si="9"/>
        <v>-1.9547821334882786E-3</v>
      </c>
      <c r="U100" s="97">
        <f t="shared" si="9"/>
        <v>0.44331149893466087</v>
      </c>
      <c r="V100" s="97">
        <f t="shared" si="9"/>
        <v>7.0220998226033809E-2</v>
      </c>
      <c r="W100" s="97">
        <f t="shared" si="9"/>
        <v>1.2582432097572708E-2</v>
      </c>
      <c r="X100" s="97">
        <f t="shared" si="9"/>
        <v>0.10710431588705147</v>
      </c>
      <c r="Y100" s="97">
        <f t="shared" si="9"/>
        <v>0.64976445477428313</v>
      </c>
      <c r="Z100" s="97">
        <f t="shared" si="9"/>
        <v>0.15169466833080442</v>
      </c>
      <c r="AA100" s="97">
        <f t="shared" si="9"/>
        <v>0.31199504482703999</v>
      </c>
    </row>
    <row r="101" spans="2:31" ht="12.75" customHeight="1" x14ac:dyDescent="0.25">
      <c r="B101" s="21" t="s">
        <v>3</v>
      </c>
      <c r="C101" s="95">
        <f>Annual_sorted!G25</f>
        <v>-12.673235608365742</v>
      </c>
      <c r="D101" s="29">
        <f>IF(C101-Table_146345781116[Burundi]&gt;0, C101-Table_146345781116[Burundi], 0)</f>
        <v>6.9645024911507303</v>
      </c>
      <c r="E101" s="29">
        <f>IF(C101-Table_146345781116[DRC]&gt;0, C101-Table_146345781116[DRC], 0)</f>
        <v>9.7950587811617691</v>
      </c>
      <c r="F101" s="29">
        <f>IF(C101-Table_146345781116[Egypt]&gt;0, C101-Table_146345781116[Egypt], 0)</f>
        <v>0</v>
      </c>
      <c r="G101" s="29">
        <f>IF(C101-Table_146345781116[Eritrea]&gt;0, C101-Table_146345781116[Eritrea], 0)</f>
        <v>0</v>
      </c>
      <c r="H101" s="29">
        <f>IF(C101-Table_146345781116[Ethiopia]&gt;0, C101-Table_146345781116[Ethiopia], 0)</f>
        <v>426.54626150705758</v>
      </c>
      <c r="I101" s="29">
        <f>IF(C101-Table_146345781116[Kenya]&gt;0, C101-Table_146345781116[Kenya], 0)</f>
        <v>69.141344388026397</v>
      </c>
      <c r="J101" s="29">
        <f>IF(C101-Table_146345781116[Rwanda]&gt;0, C101-Table_146345781116[Rwanda], 0)</f>
        <v>13.926036276789644</v>
      </c>
      <c r="K101" s="29">
        <f>IF(C101-Table_146345781116[Sudan]&gt;0, C101-Table_146345781116[Sudan], 0)</f>
        <v>104.4740024607279</v>
      </c>
      <c r="L101" s="29">
        <f>IF(C101-Table_146345781116[S. Sudan]&gt;0, C101-Table_146345781116[S. Sudan], 0)</f>
        <v>624.31945978118074</v>
      </c>
      <c r="M101" s="29">
        <f>IF(C101-Table_146345781116[Tanzania]&gt;0, C101-Table_146345781116[Tanzania], 0)</f>
        <v>147.18967383053877</v>
      </c>
      <c r="N101" s="29">
        <f>IF(C101-Table_146345781116[Uganda]&gt;0, C101-Table_146345781116[Uganda], 0)</f>
        <v>300.75065345068219</v>
      </c>
      <c r="P101" s="21" t="s">
        <v>4</v>
      </c>
      <c r="Q101" s="97">
        <f t="shared" si="10"/>
        <v>-1.9547821334882786E-3</v>
      </c>
      <c r="R101" s="97">
        <f t="shared" si="9"/>
        <v>-1.9547821334882786E-3</v>
      </c>
      <c r="S101" s="97">
        <f t="shared" si="9"/>
        <v>-1.9547821334882786E-3</v>
      </c>
      <c r="T101" s="97">
        <f t="shared" si="9"/>
        <v>-1.9547821334882786E-3</v>
      </c>
      <c r="U101" s="97">
        <f t="shared" si="9"/>
        <v>-1.9547821334882786E-3</v>
      </c>
      <c r="V101" s="97">
        <f t="shared" si="9"/>
        <v>-1.9547821334882786E-3</v>
      </c>
      <c r="W101" s="97">
        <f t="shared" si="9"/>
        <v>-1.9547821334882786E-3</v>
      </c>
      <c r="X101" s="97">
        <f t="shared" si="9"/>
        <v>-1.9547821334882786E-3</v>
      </c>
      <c r="Y101" s="97">
        <f t="shared" si="9"/>
        <v>0.20449817370613396</v>
      </c>
      <c r="Z101" s="97">
        <f t="shared" si="9"/>
        <v>-1.9547821334882786E-3</v>
      </c>
      <c r="AA101" s="97">
        <f t="shared" si="9"/>
        <v>-1.9547821334882786E-3</v>
      </c>
    </row>
    <row r="102" spans="2:31" ht="12.75" customHeight="1" x14ac:dyDescent="0.25">
      <c r="B102" s="21" t="s">
        <v>4</v>
      </c>
      <c r="C102" s="95">
        <f>Annual_sorted!G26</f>
        <v>-439.21949711542334</v>
      </c>
      <c r="D102" s="29">
        <f>IF(C102-Table_146345781116[Burundi]&gt;0, C102-Table_146345781116[Burundi], 0)</f>
        <v>0</v>
      </c>
      <c r="E102" s="29">
        <f>IF(C102-Table_146345781116[DRC]&gt;0, C102-Table_146345781116[DRC], 0)</f>
        <v>0</v>
      </c>
      <c r="F102" s="29">
        <f>IF(C102-Table_146345781116[Egypt]&gt;0, C102-Table_146345781116[Egypt], 0)</f>
        <v>0</v>
      </c>
      <c r="G102" s="29">
        <f>IF(C102-Table_146345781116[Eritrea]&gt;0, C102-Table_146345781116[Eritrea], 0)</f>
        <v>0</v>
      </c>
      <c r="H102" s="29">
        <f>IF(C102-Table_146345781116[Ethiopia]&gt;0, C102-Table_146345781116[Ethiopia], 0)</f>
        <v>0</v>
      </c>
      <c r="I102" s="29">
        <f>IF(C102-Table_146345781116[Kenya]&gt;0, C102-Table_146345781116[Kenya], 0)</f>
        <v>0</v>
      </c>
      <c r="J102" s="29">
        <f>IF(C102-Table_146345781116[Rwanda]&gt;0, C102-Table_146345781116[Rwanda], 0)</f>
        <v>0</v>
      </c>
      <c r="K102" s="29">
        <f>IF(C102-Table_146345781116[Sudan]&gt;0, C102-Table_146345781116[Sudan], 0)</f>
        <v>0</v>
      </c>
      <c r="L102" s="29">
        <f>IF(C102-Table_146345781116[S. Sudan]&gt;0, C102-Table_146345781116[S. Sudan], 0)</f>
        <v>197.77319827412316</v>
      </c>
      <c r="M102" s="29">
        <f>IF(C102-Table_146345781116[Tanzania]&gt;0, C102-Table_146345781116[Tanzania], 0)</f>
        <v>0</v>
      </c>
      <c r="N102" s="29">
        <f>IF(C102-Table_146345781116[Uganda]&gt;0, C102-Table_146345781116[Uganda], 0)</f>
        <v>0</v>
      </c>
      <c r="P102" s="21" t="s">
        <v>5</v>
      </c>
      <c r="Q102" s="97">
        <f t="shared" si="10"/>
        <v>-1.9547821334882786E-3</v>
      </c>
      <c r="R102" s="97">
        <f t="shared" si="9"/>
        <v>-1.9547821334882786E-3</v>
      </c>
      <c r="S102" s="97">
        <f t="shared" si="9"/>
        <v>-1.9547821334882786E-3</v>
      </c>
      <c r="T102" s="97">
        <f t="shared" si="9"/>
        <v>-1.9547821334882786E-3</v>
      </c>
      <c r="U102" s="97">
        <f t="shared" si="9"/>
        <v>0.37113571857513883</v>
      </c>
      <c r="V102" s="97">
        <f t="shared" si="9"/>
        <v>-1.9547821334882786E-3</v>
      </c>
      <c r="W102" s="97">
        <f t="shared" si="9"/>
        <v>-1.9547821334882786E-3</v>
      </c>
      <c r="X102" s="97">
        <f t="shared" si="9"/>
        <v>3.4928535527529392E-2</v>
      </c>
      <c r="Y102" s="97">
        <f t="shared" si="9"/>
        <v>0.57758867441476103</v>
      </c>
      <c r="Z102" s="97">
        <f t="shared" si="9"/>
        <v>7.9518887971282287E-2</v>
      </c>
      <c r="AA102" s="97">
        <f t="shared" si="9"/>
        <v>0.23981926446751795</v>
      </c>
    </row>
    <row r="103" spans="2:31" ht="12.75" customHeight="1" x14ac:dyDescent="0.25">
      <c r="B103" s="21" t="s">
        <v>5</v>
      </c>
      <c r="C103" s="95">
        <f>Annual_sorted!G27</f>
        <v>-81.814579996392141</v>
      </c>
      <c r="D103" s="29">
        <f>IF(C103-Table_146345781116[Burundi]&gt;0, C103-Table_146345781116[Burundi], 0)</f>
        <v>0</v>
      </c>
      <c r="E103" s="29">
        <f>IF(C103-Table_146345781116[DRC]&gt;0, C103-Table_146345781116[DRC], 0)</f>
        <v>0</v>
      </c>
      <c r="F103" s="29">
        <f>IF(C103-Table_146345781116[Egypt]&gt;0, C103-Table_146345781116[Egypt], 0)</f>
        <v>0</v>
      </c>
      <c r="G103" s="29">
        <f>IF(C103-Table_146345781116[Eritrea]&gt;0, C103-Table_146345781116[Eritrea], 0)</f>
        <v>0</v>
      </c>
      <c r="H103" s="29">
        <f>IF(C103-Table_146345781116[Ethiopia]&gt;0, C103-Table_146345781116[Ethiopia], 0)</f>
        <v>357.40491711903121</v>
      </c>
      <c r="I103" s="29">
        <f>IF(C103-Table_146345781116[Kenya]&gt;0, C103-Table_146345781116[Kenya], 0)</f>
        <v>0</v>
      </c>
      <c r="J103" s="29">
        <f>IF(C103-Table_146345781116[Rwanda]&gt;0, C103-Table_146345781116[Rwanda], 0)</f>
        <v>0</v>
      </c>
      <c r="K103" s="29">
        <f>IF(C103-Table_146345781116[Sudan]&gt;0, C103-Table_146345781116[Sudan], 0)</f>
        <v>35.332658072701506</v>
      </c>
      <c r="L103" s="29">
        <f>IF(C103-Table_146345781116[S. Sudan]&gt;0, C103-Table_146345781116[S. Sudan], 0)</f>
        <v>555.17811539315437</v>
      </c>
      <c r="M103" s="29">
        <f>IF(C103-Table_146345781116[Tanzania]&gt;0, C103-Table_146345781116[Tanzania], 0)</f>
        <v>78.048329442512355</v>
      </c>
      <c r="N103" s="29">
        <f>IF(C103-Table_146345781116[Uganda]&gt;0, C103-Table_146345781116[Uganda], 0)</f>
        <v>231.60930906265583</v>
      </c>
      <c r="P103" s="21" t="s">
        <v>6</v>
      </c>
      <c r="Q103" s="97">
        <f t="shared" si="10"/>
        <v>-1.9547821334882786E-3</v>
      </c>
      <c r="R103" s="97">
        <f t="shared" si="9"/>
        <v>-1.9547821334882786E-3</v>
      </c>
      <c r="S103" s="97">
        <f t="shared" si="9"/>
        <v>-1.9547821334882786E-3</v>
      </c>
      <c r="T103" s="97">
        <f t="shared" si="9"/>
        <v>-1.9547821334882786E-3</v>
      </c>
      <c r="U103" s="97">
        <f t="shared" si="9"/>
        <v>0.42877428470359991</v>
      </c>
      <c r="V103" s="97">
        <f t="shared" si="9"/>
        <v>5.5683783994972813E-2</v>
      </c>
      <c r="W103" s="97">
        <f t="shared" si="9"/>
        <v>-1.9547821334882786E-3</v>
      </c>
      <c r="X103" s="97">
        <f t="shared" si="9"/>
        <v>9.2567101655990497E-2</v>
      </c>
      <c r="Y103" s="97">
        <f t="shared" si="9"/>
        <v>0.6352272405432221</v>
      </c>
      <c r="Z103" s="97">
        <f t="shared" si="9"/>
        <v>0.13715745409974339</v>
      </c>
      <c r="AA103" s="97">
        <f t="shared" si="9"/>
        <v>0.29745783059597908</v>
      </c>
    </row>
    <row r="104" spans="2:31" ht="12.75" customHeight="1" x14ac:dyDescent="0.25">
      <c r="B104" s="21" t="s">
        <v>6</v>
      </c>
      <c r="C104" s="95">
        <f>Annual_sorted!G28</f>
        <v>-26.599271885155385</v>
      </c>
      <c r="D104" s="29">
        <f>IF(C104-Table_146345781116[Burundi]&gt;0, C104-Table_146345781116[Burundi], 0)</f>
        <v>0</v>
      </c>
      <c r="E104" s="29">
        <f>IF(C104-Table_146345781116[DRC]&gt;0, C104-Table_146345781116[DRC], 0)</f>
        <v>0</v>
      </c>
      <c r="F104" s="29">
        <f>IF(C104-Table_146345781116[Egypt]&gt;0, C104-Table_146345781116[Egypt], 0)</f>
        <v>0</v>
      </c>
      <c r="G104" s="29">
        <f>IF(C104-Table_146345781116[Eritrea]&gt;0, C104-Table_146345781116[Eritrea], 0)</f>
        <v>0</v>
      </c>
      <c r="H104" s="29">
        <f>IF(C104-Table_146345781116[Ethiopia]&gt;0, C104-Table_146345781116[Ethiopia], 0)</f>
        <v>412.62022523026798</v>
      </c>
      <c r="I104" s="29">
        <f>IF(C104-Table_146345781116[Kenya]&gt;0, C104-Table_146345781116[Kenya], 0)</f>
        <v>55.215308111236752</v>
      </c>
      <c r="J104" s="29">
        <f>IF(C104-Table_146345781116[Rwanda]&gt;0, C104-Table_146345781116[Rwanda], 0)</f>
        <v>0</v>
      </c>
      <c r="K104" s="29">
        <f>IF(C104-Table_146345781116[Sudan]&gt;0, C104-Table_146345781116[Sudan], 0)</f>
        <v>90.547966183938257</v>
      </c>
      <c r="L104" s="29">
        <f>IF(C104-Table_146345781116[S. Sudan]&gt;0, C104-Table_146345781116[S. Sudan], 0)</f>
        <v>610.39342350439108</v>
      </c>
      <c r="M104" s="29">
        <f>IF(C104-Table_146345781116[Tanzania]&gt;0, C104-Table_146345781116[Tanzania], 0)</f>
        <v>133.26363755374911</v>
      </c>
      <c r="N104" s="29">
        <f>IF(C104-Table_146345781116[Uganda]&gt;0, C104-Table_146345781116[Uganda], 0)</f>
        <v>286.82461717389259</v>
      </c>
      <c r="P104" s="21" t="s">
        <v>7</v>
      </c>
      <c r="Q104" s="97">
        <f t="shared" si="10"/>
        <v>-1.9547821334882786E-3</v>
      </c>
      <c r="R104" s="97">
        <f t="shared" si="9"/>
        <v>-1.9547821334882786E-3</v>
      </c>
      <c r="S104" s="97">
        <f t="shared" si="9"/>
        <v>-1.9547821334882786E-3</v>
      </c>
      <c r="T104" s="97">
        <f t="shared" si="9"/>
        <v>-1.9547821334882786E-3</v>
      </c>
      <c r="U104" s="97">
        <f t="shared" si="9"/>
        <v>0.33425240091412117</v>
      </c>
      <c r="V104" s="97">
        <f t="shared" si="9"/>
        <v>-1.9547821334882786E-3</v>
      </c>
      <c r="W104" s="97">
        <f t="shared" si="9"/>
        <v>-1.9547821334882786E-3</v>
      </c>
      <c r="X104" s="97">
        <f t="shared" si="9"/>
        <v>-1.9547821334882786E-3</v>
      </c>
      <c r="Y104" s="97">
        <f t="shared" si="9"/>
        <v>0.54070535675374343</v>
      </c>
      <c r="Z104" s="97">
        <f t="shared" si="9"/>
        <v>4.2635570310264624E-2</v>
      </c>
      <c r="AA104" s="97">
        <f t="shared" si="9"/>
        <v>0.20293594680650029</v>
      </c>
    </row>
    <row r="105" spans="2:31" ht="12.75" customHeight="1" x14ac:dyDescent="0.25">
      <c r="B105" s="21" t="s">
        <v>7</v>
      </c>
      <c r="C105" s="95">
        <f>Annual_sorted!G29</f>
        <v>-117.14723806909365</v>
      </c>
      <c r="D105" s="29">
        <f>IF(C105-Table_146345781116[Burundi]&gt;0, C105-Table_146345781116[Burundi], 0)</f>
        <v>0</v>
      </c>
      <c r="E105" s="29">
        <f>IF(C105-Table_146345781116[DRC]&gt;0, C105-Table_146345781116[DRC], 0)</f>
        <v>0</v>
      </c>
      <c r="F105" s="29">
        <f>IF(C105-Table_146345781116[Egypt]&gt;0, C105-Table_146345781116[Egypt], 0)</f>
        <v>0</v>
      </c>
      <c r="G105" s="29">
        <f>IF(C105-Table_146345781116[Eritrea]&gt;0, C105-Table_146345781116[Eritrea], 0)</f>
        <v>0</v>
      </c>
      <c r="H105" s="29">
        <f>IF(C105-Table_146345781116[Ethiopia]&gt;0, C105-Table_146345781116[Ethiopia], 0)</f>
        <v>322.07225904632969</v>
      </c>
      <c r="I105" s="29">
        <f>IF(C105-Table_146345781116[Kenya]&gt;0, C105-Table_146345781116[Kenya], 0)</f>
        <v>0</v>
      </c>
      <c r="J105" s="29">
        <f>IF(C105-Table_146345781116[Rwanda]&gt;0, C105-Table_146345781116[Rwanda], 0)</f>
        <v>0</v>
      </c>
      <c r="K105" s="29">
        <f>IF(C105-Table_146345781116[Sudan]&gt;0, C105-Table_146345781116[Sudan], 0)</f>
        <v>0</v>
      </c>
      <c r="L105" s="29">
        <f>IF(C105-Table_146345781116[S. Sudan]&gt;0, C105-Table_146345781116[S. Sudan], 0)</f>
        <v>519.84545732045285</v>
      </c>
      <c r="M105" s="29">
        <f>IF(C105-Table_146345781116[Tanzania]&gt;0, C105-Table_146345781116[Tanzania], 0)</f>
        <v>42.715671369810849</v>
      </c>
      <c r="N105" s="29">
        <f>IF(C105-Table_146345781116[Uganda]&gt;0, C105-Table_146345781116[Uganda], 0)</f>
        <v>196.27665098995431</v>
      </c>
      <c r="P105" s="21" t="s">
        <v>8</v>
      </c>
      <c r="Q105" s="97">
        <f t="shared" si="10"/>
        <v>-1.9547821334882786E-3</v>
      </c>
      <c r="R105" s="97">
        <f t="shared" si="9"/>
        <v>-1.9547821334882786E-3</v>
      </c>
      <c r="S105" s="97">
        <f t="shared" si="9"/>
        <v>-1.9547821334882786E-3</v>
      </c>
      <c r="T105" s="97">
        <f t="shared" si="9"/>
        <v>-1.9547821334882786E-3</v>
      </c>
      <c r="U105" s="97">
        <f t="shared" si="9"/>
        <v>-1.9547821334882786E-3</v>
      </c>
      <c r="V105" s="97">
        <f t="shared" si="9"/>
        <v>-1.9547821334882786E-3</v>
      </c>
      <c r="W105" s="97">
        <f t="shared" si="9"/>
        <v>-1.9547821334882786E-3</v>
      </c>
      <c r="X105" s="97">
        <f t="shared" si="9"/>
        <v>-1.9547821334882786E-3</v>
      </c>
      <c r="Y105" s="97">
        <f t="shared" si="9"/>
        <v>-1.9547821334882786E-3</v>
      </c>
      <c r="Z105" s="97">
        <f t="shared" si="9"/>
        <v>-1.9547821334882786E-3</v>
      </c>
      <c r="AA105" s="97">
        <f t="shared" si="9"/>
        <v>-1.9547821334882786E-3</v>
      </c>
    </row>
    <row r="106" spans="2:31" ht="12.75" customHeight="1" x14ac:dyDescent="0.25">
      <c r="B106" s="21" t="s">
        <v>8</v>
      </c>
      <c r="C106" s="95">
        <f>Annual_sorted!G30</f>
        <v>-636.9926953895465</v>
      </c>
      <c r="D106" s="29">
        <f>IF(C106-Table_146345781116[Burundi]&gt;0, C106-Table_146345781116[Burundi], 0)</f>
        <v>0</v>
      </c>
      <c r="E106" s="29">
        <f>IF(C106-Table_146345781116[DRC]&gt;0, C106-Table_146345781116[DRC], 0)</f>
        <v>0</v>
      </c>
      <c r="F106" s="29">
        <f>IF(C106-Table_146345781116[Egypt]&gt;0, C106-Table_146345781116[Egypt], 0)</f>
        <v>0</v>
      </c>
      <c r="G106" s="29">
        <f>IF(C106-Table_146345781116[Eritrea]&gt;0, C106-Table_146345781116[Eritrea], 0)</f>
        <v>0</v>
      </c>
      <c r="H106" s="29">
        <f>IF(C106-Table_146345781116[Ethiopia]&gt;0, C106-Table_146345781116[Ethiopia], 0)</f>
        <v>0</v>
      </c>
      <c r="I106" s="29">
        <f>IF(C106-Table_146345781116[Kenya]&gt;0, C106-Table_146345781116[Kenya], 0)</f>
        <v>0</v>
      </c>
      <c r="J106" s="29">
        <f>IF(C106-Table_146345781116[Rwanda]&gt;0, C106-Table_146345781116[Rwanda], 0)</f>
        <v>0</v>
      </c>
      <c r="K106" s="29">
        <f>IF(C106-Table_146345781116[Sudan]&gt;0, C106-Table_146345781116[Sudan], 0)</f>
        <v>0</v>
      </c>
      <c r="L106" s="29">
        <f>IF(C106-Table_146345781116[S. Sudan]&gt;0, C106-Table_146345781116[S. Sudan], 0)</f>
        <v>0</v>
      </c>
      <c r="M106" s="29">
        <f>IF(C106-Table_146345781116[Tanzania]&gt;0, C106-Table_146345781116[Tanzania], 0)</f>
        <v>0</v>
      </c>
      <c r="N106" s="29">
        <f>IF(C106-Table_146345781116[Uganda]&gt;0, C106-Table_146345781116[Uganda], 0)</f>
        <v>0</v>
      </c>
      <c r="P106" s="21" t="s">
        <v>9</v>
      </c>
      <c r="Q106" s="97">
        <f t="shared" si="10"/>
        <v>-1.9547821334882786E-3</v>
      </c>
      <c r="R106" s="97">
        <f t="shared" si="9"/>
        <v>-1.9547821334882786E-3</v>
      </c>
      <c r="S106" s="97">
        <f t="shared" si="9"/>
        <v>-1.9547821334882786E-3</v>
      </c>
      <c r="T106" s="97">
        <f t="shared" si="9"/>
        <v>-1.9547821334882786E-3</v>
      </c>
      <c r="U106" s="97">
        <f t="shared" si="9"/>
        <v>0.28966204847036831</v>
      </c>
      <c r="V106" s="97">
        <f t="shared" si="9"/>
        <v>-1.9547821334882786E-3</v>
      </c>
      <c r="W106" s="97">
        <f t="shared" si="9"/>
        <v>-1.9547821334882786E-3</v>
      </c>
      <c r="X106" s="97">
        <f t="shared" si="9"/>
        <v>-1.9547821334882786E-3</v>
      </c>
      <c r="Y106" s="97">
        <f t="shared" si="9"/>
        <v>0.4961150043099905</v>
      </c>
      <c r="Z106" s="97">
        <f t="shared" si="9"/>
        <v>-1.9547821334882786E-3</v>
      </c>
      <c r="AA106" s="97">
        <f t="shared" si="9"/>
        <v>0.15834559436274737</v>
      </c>
    </row>
    <row r="107" spans="2:31" ht="12.75" customHeight="1" thickBot="1" x14ac:dyDescent="0.3">
      <c r="B107" s="21" t="s">
        <v>9</v>
      </c>
      <c r="C107" s="95">
        <f>Annual_sorted!G31</f>
        <v>-159.8629094389045</v>
      </c>
      <c r="D107" s="29">
        <f>IF(C107-Table_146345781116[Burundi]&gt;0, C107-Table_146345781116[Burundi], 0)</f>
        <v>0</v>
      </c>
      <c r="E107" s="29">
        <f>IF(C107-Table_146345781116[DRC]&gt;0, C107-Table_146345781116[DRC], 0)</f>
        <v>0</v>
      </c>
      <c r="F107" s="29">
        <f>IF(C107-Table_146345781116[Egypt]&gt;0, C107-Table_146345781116[Egypt], 0)</f>
        <v>0</v>
      </c>
      <c r="G107" s="29">
        <f>IF(C107-Table_146345781116[Eritrea]&gt;0, C107-Table_146345781116[Eritrea], 0)</f>
        <v>0</v>
      </c>
      <c r="H107" s="29">
        <f>IF(C107-Table_146345781116[Ethiopia]&gt;0, C107-Table_146345781116[Ethiopia], 0)</f>
        <v>279.35658767651887</v>
      </c>
      <c r="I107" s="29">
        <f>IF(C107-Table_146345781116[Kenya]&gt;0, C107-Table_146345781116[Kenya], 0)</f>
        <v>0</v>
      </c>
      <c r="J107" s="29">
        <f>IF(C107-Table_146345781116[Rwanda]&gt;0, C107-Table_146345781116[Rwanda], 0)</f>
        <v>0</v>
      </c>
      <c r="K107" s="29">
        <f>IF(C107-Table_146345781116[Sudan]&gt;0, C107-Table_146345781116[Sudan], 0)</f>
        <v>0</v>
      </c>
      <c r="L107" s="29">
        <f>IF(C107-Table_146345781116[S. Sudan]&gt;0, C107-Table_146345781116[S. Sudan], 0)</f>
        <v>477.12978595064203</v>
      </c>
      <c r="M107" s="29">
        <f>IF(C107-Table_146345781116[Tanzania]&gt;0, C107-Table_146345781116[Tanzania], 0)</f>
        <v>0</v>
      </c>
      <c r="N107" s="29">
        <f>IF(C107-Table_146345781116[Uganda]&gt;0, C107-Table_146345781116[Uganda], 0)</f>
        <v>153.56097962014346</v>
      </c>
      <c r="P107" s="22" t="s">
        <v>10</v>
      </c>
      <c r="Q107" s="98">
        <f t="shared" si="10"/>
        <v>-1.9547821334882786E-3</v>
      </c>
      <c r="R107" s="98">
        <f t="shared" si="9"/>
        <v>-1.9547821334882786E-3</v>
      </c>
      <c r="S107" s="98">
        <f t="shared" si="9"/>
        <v>-1.9547821334882786E-3</v>
      </c>
      <c r="T107" s="98">
        <f t="shared" si="9"/>
        <v>-1.9547821334882786E-3</v>
      </c>
      <c r="U107" s="98">
        <f t="shared" si="9"/>
        <v>0.12936167197413256</v>
      </c>
      <c r="V107" s="98">
        <f t="shared" si="9"/>
        <v>-1.9547821334882786E-3</v>
      </c>
      <c r="W107" s="98">
        <f t="shared" si="9"/>
        <v>-1.9547821334882786E-3</v>
      </c>
      <c r="X107" s="98">
        <f t="shared" si="9"/>
        <v>-1.9547821334882786E-3</v>
      </c>
      <c r="Y107" s="98">
        <f t="shared" si="9"/>
        <v>0.33581462781375476</v>
      </c>
      <c r="Z107" s="98">
        <f t="shared" si="9"/>
        <v>-1.9547821334882786E-3</v>
      </c>
      <c r="AA107" s="98">
        <f t="shared" si="9"/>
        <v>-1.9547821334882786E-3</v>
      </c>
      <c r="AB107" s="186">
        <f>SUM(Q97:AA107)</f>
        <v>15.947969268266192</v>
      </c>
    </row>
    <row r="108" spans="2:31" ht="12.75" customHeight="1" thickBot="1" x14ac:dyDescent="0.3">
      <c r="B108" s="22" t="s">
        <v>10</v>
      </c>
      <c r="C108" s="96">
        <f>Annual_sorted!G32</f>
        <v>-313.42388905904795</v>
      </c>
      <c r="D108" s="32">
        <f>IF(C108-Table_146345781116[Burundi]&gt;0, C108-Table_146345781116[Burundi], 0)</f>
        <v>0</v>
      </c>
      <c r="E108" s="32">
        <f>IF(C108-Table_146345781116[DRC]&gt;0, C108-Table_146345781116[DRC], 0)</f>
        <v>0</v>
      </c>
      <c r="F108" s="32">
        <f>IF(C108-Table_146345781116[Egypt]&gt;0, C108-Table_146345781116[Egypt], 0)</f>
        <v>0</v>
      </c>
      <c r="G108" s="32">
        <f>IF(C108-Table_146345781116[Eritrea]&gt;0, C108-Table_146345781116[Eritrea], 0)</f>
        <v>0</v>
      </c>
      <c r="H108" s="32">
        <f>IF(C108-Table_146345781116[Ethiopia]&gt;0, C108-Table_146345781116[Ethiopia], 0)</f>
        <v>125.79560805637539</v>
      </c>
      <c r="I108" s="32">
        <f>IF(C108-Table_146345781116[Kenya]&gt;0, C108-Table_146345781116[Kenya], 0)</f>
        <v>0</v>
      </c>
      <c r="J108" s="32">
        <f>IF(C108-Table_146345781116[Rwanda]&gt;0, C108-Table_146345781116[Rwanda], 0)</f>
        <v>0</v>
      </c>
      <c r="K108" s="32">
        <f>IF(C108-Table_146345781116[Sudan]&gt;0, C108-Table_146345781116[Sudan], 0)</f>
        <v>0</v>
      </c>
      <c r="L108" s="32">
        <f>IF(C108-Table_146345781116[S. Sudan]&gt;0, C108-Table_146345781116[S. Sudan], 0)</f>
        <v>323.56880633049855</v>
      </c>
      <c r="M108" s="32">
        <f>IF(C108-Table_146345781116[Tanzania]&gt;0, C108-Table_146345781116[Tanzania], 0)</f>
        <v>0</v>
      </c>
      <c r="N108" s="32">
        <f>IF(C108-Table_146345781116[Uganda]&gt;0, C108-Table_146345781116[Uganda], 0)</f>
        <v>0</v>
      </c>
      <c r="Y108" s="186">
        <f>SUM(Y97:Y107)</f>
        <v>5.7197925643720486</v>
      </c>
    </row>
    <row r="109" spans="2:31" ht="12.75" customHeight="1" x14ac:dyDescent="0.25"/>
    <row r="110" spans="2:31" ht="12.75" customHeight="1" x14ac:dyDescent="0.25"/>
    <row r="111" spans="2:31" ht="12.75" customHeight="1" x14ac:dyDescent="0.25">
      <c r="B111" s="5"/>
      <c r="C111" s="5"/>
      <c r="D111" s="5"/>
      <c r="E111" s="5"/>
      <c r="F111" s="5"/>
      <c r="G111" s="5"/>
      <c r="H111" s="5"/>
      <c r="I111" s="5"/>
      <c r="J111" s="5"/>
      <c r="K111" s="5"/>
      <c r="L111" s="5"/>
      <c r="M111" s="5"/>
      <c r="N111" s="5"/>
    </row>
    <row r="112" spans="2:31" ht="12.75" customHeight="1" x14ac:dyDescent="0.25">
      <c r="B112" s="5"/>
      <c r="C112" s="5"/>
      <c r="D112" s="5"/>
      <c r="E112" s="5"/>
      <c r="F112" s="5"/>
      <c r="G112" s="5"/>
      <c r="H112" s="5"/>
      <c r="I112" s="5"/>
      <c r="J112" s="5"/>
      <c r="K112" s="5"/>
      <c r="L112" s="5"/>
      <c r="M112" s="5"/>
      <c r="N112" s="5"/>
      <c r="P112" s="5"/>
      <c r="Q112" s="5"/>
      <c r="R112" s="5"/>
      <c r="S112" s="5"/>
      <c r="T112" s="5"/>
      <c r="U112" s="5"/>
      <c r="V112" s="5"/>
      <c r="W112" s="5"/>
      <c r="X112" s="5"/>
      <c r="Y112" s="5"/>
      <c r="Z112" s="5"/>
      <c r="AA112" s="5"/>
    </row>
    <row r="113" spans="2:31" ht="12.75" customHeight="1" thickBot="1" x14ac:dyDescent="0.3">
      <c r="B113" s="253" t="s">
        <v>86</v>
      </c>
      <c r="C113" s="253"/>
      <c r="D113" s="253"/>
      <c r="E113" s="253"/>
      <c r="F113" s="253"/>
      <c r="G113" s="253"/>
      <c r="H113" s="253"/>
      <c r="I113" s="253"/>
      <c r="J113" s="253"/>
      <c r="K113" s="253"/>
      <c r="L113" s="253"/>
      <c r="M113" s="253"/>
      <c r="N113" s="253"/>
      <c r="P113" s="253" t="s">
        <v>88</v>
      </c>
      <c r="Q113" s="253"/>
      <c r="R113" s="253"/>
      <c r="S113" s="253"/>
      <c r="T113" s="253"/>
      <c r="U113" s="253"/>
      <c r="V113" s="253"/>
      <c r="W113" s="253"/>
      <c r="X113" s="253"/>
      <c r="Y113" s="253"/>
      <c r="Z113" s="253"/>
      <c r="AA113" s="253"/>
      <c r="AB113" s="10"/>
      <c r="AC113" s="3" t="s">
        <v>22</v>
      </c>
      <c r="AD113" s="13" t="s">
        <v>23</v>
      </c>
      <c r="AE113" s="74">
        <f t="array" ref="AE113">MIN(IF(D116:N126&gt;0,D116:N126))</f>
        <v>2.9179123531199558E-2</v>
      </c>
    </row>
    <row r="114" spans="2:31" ht="12.75" customHeight="1" thickBot="1" x14ac:dyDescent="0.3">
      <c r="B114" s="75" t="s">
        <v>13</v>
      </c>
      <c r="C114" s="66" t="s">
        <v>14</v>
      </c>
      <c r="D114" s="67" t="s">
        <v>1</v>
      </c>
      <c r="E114" s="67" t="s">
        <v>195</v>
      </c>
      <c r="F114" s="67" t="s">
        <v>2</v>
      </c>
      <c r="G114" s="67" t="s">
        <v>3</v>
      </c>
      <c r="H114" s="67" t="s">
        <v>4</v>
      </c>
      <c r="I114" s="67" t="s">
        <v>5</v>
      </c>
      <c r="J114" s="67" t="s">
        <v>6</v>
      </c>
      <c r="K114" s="67" t="s">
        <v>7</v>
      </c>
      <c r="L114" s="67" t="s">
        <v>295</v>
      </c>
      <c r="M114" s="67" t="s">
        <v>9</v>
      </c>
      <c r="N114" s="67" t="s">
        <v>10</v>
      </c>
      <c r="P114" s="76" t="s">
        <v>19</v>
      </c>
      <c r="Q114" s="77" t="s">
        <v>1</v>
      </c>
      <c r="R114" s="77" t="s">
        <v>195</v>
      </c>
      <c r="S114" s="77" t="s">
        <v>2</v>
      </c>
      <c r="T114" s="77" t="s">
        <v>3</v>
      </c>
      <c r="U114" s="77" t="s">
        <v>4</v>
      </c>
      <c r="V114" s="77" t="s">
        <v>5</v>
      </c>
      <c r="W114" s="77" t="s">
        <v>6</v>
      </c>
      <c r="X114" s="77" t="s">
        <v>7</v>
      </c>
      <c r="Y114" s="77" t="s">
        <v>295</v>
      </c>
      <c r="Z114" s="77" t="s">
        <v>9</v>
      </c>
      <c r="AA114" s="77" t="s">
        <v>10</v>
      </c>
      <c r="AB114" s="254" t="s">
        <v>26</v>
      </c>
      <c r="AC114" s="254"/>
      <c r="AD114" s="13" t="s">
        <v>24</v>
      </c>
      <c r="AE114" s="20">
        <f>MAX(D116:N126)</f>
        <v>395.35895801487771</v>
      </c>
    </row>
    <row r="115" spans="2:31" ht="12.75" customHeight="1" x14ac:dyDescent="0.25">
      <c r="B115" s="93"/>
      <c r="C115" s="94" t="s">
        <v>263</v>
      </c>
      <c r="D115" s="95">
        <f>C116</f>
        <v>-6.9797979705865894</v>
      </c>
      <c r="E115" s="95">
        <f>C117</f>
        <v>3.2092074908436903</v>
      </c>
      <c r="F115" s="95">
        <f>C118</f>
        <v>327.32968091907202</v>
      </c>
      <c r="G115" s="95">
        <f>C119</f>
        <v>-0.23366743531473522</v>
      </c>
      <c r="H115" s="95">
        <f>C120</f>
        <v>-68.029277095805696</v>
      </c>
      <c r="I115" s="95">
        <f>C121</f>
        <v>-26.065197687203078</v>
      </c>
      <c r="J115" s="95">
        <f>C122</f>
        <v>-7.0089770941177889</v>
      </c>
      <c r="K115" s="95">
        <f>C123</f>
        <v>299.65584925157799</v>
      </c>
      <c r="L115" s="95">
        <f>C124</f>
        <v>10.468507913800099</v>
      </c>
      <c r="M115" s="95">
        <f>C125</f>
        <v>-56.073607015549506</v>
      </c>
      <c r="N115" s="95">
        <f>C126</f>
        <v>-43.53891917793198</v>
      </c>
      <c r="P115" s="21" t="s">
        <v>1</v>
      </c>
      <c r="Q115" s="97">
        <f>$AE$115+(D116-$AE$113)*($AE$116-$AE$115)/($AE$114-$AE$113)</f>
        <v>9.2626423314374204E-4</v>
      </c>
      <c r="R115" s="97">
        <f t="shared" ref="R115:AA125" si="11">$AE$115+(E116-$AE$113)*($AE$116-$AE$115)/($AE$114-$AE$113)</f>
        <v>9.2626423314374204E-4</v>
      </c>
      <c r="S115" s="97">
        <f t="shared" si="11"/>
        <v>9.2626423314374204E-4</v>
      </c>
      <c r="T115" s="97">
        <f t="shared" si="11"/>
        <v>9.2626423314374204E-4</v>
      </c>
      <c r="U115" s="97">
        <f t="shared" si="11"/>
        <v>0.15519855259231669</v>
      </c>
      <c r="V115" s="97">
        <f t="shared" si="11"/>
        <v>4.915514891359709E-2</v>
      </c>
      <c r="W115" s="97">
        <f t="shared" si="11"/>
        <v>1E-3</v>
      </c>
      <c r="X115" s="97">
        <f t="shared" si="11"/>
        <v>9.2626423314374204E-4</v>
      </c>
      <c r="Y115" s="97">
        <f t="shared" si="11"/>
        <v>9.2626423314374204E-4</v>
      </c>
      <c r="Z115" s="97">
        <f t="shared" si="11"/>
        <v>0.12498652443782095</v>
      </c>
      <c r="AA115" s="97">
        <f t="shared" si="11"/>
        <v>9.3311315995652136E-2</v>
      </c>
      <c r="AD115" s="3" t="s">
        <v>25</v>
      </c>
      <c r="AE115" s="2">
        <v>1E-3</v>
      </c>
    </row>
    <row r="116" spans="2:31" ht="12.75" customHeight="1" x14ac:dyDescent="0.25">
      <c r="B116" s="21" t="s">
        <v>1</v>
      </c>
      <c r="C116" s="95">
        <f>Annual_sorted!H22</f>
        <v>-6.9797979705865894</v>
      </c>
      <c r="D116" s="29">
        <f>IF(C116-Table_1463457811217[Burundi]&gt;0, C116-Table_1463457811217[Burundi], 0)</f>
        <v>0</v>
      </c>
      <c r="E116" s="29">
        <f>IF(C116-Table_1463457811217[DRC]&gt;0, C116-Table_1463457811217[DRC], 0)</f>
        <v>0</v>
      </c>
      <c r="F116" s="29">
        <f>IF(C116-Table_1463457811217[Egypt]&gt;0, C116-Table_1463457811217[Egypt], 0)</f>
        <v>0</v>
      </c>
      <c r="G116" s="29">
        <f>IF(C116-Table_1463457811217[Eritrea]&gt;0, C116-Table_1463457811217[Eritrea], 0)</f>
        <v>0</v>
      </c>
      <c r="H116" s="29">
        <f>IF(C116-Table_1463457811217[Ethiopia]&gt;0, C116-Table_1463457811217[Ethiopia], 0)</f>
        <v>61.049479125219108</v>
      </c>
      <c r="I116" s="29">
        <f>IF(C116-Table_1463457811217[Kenya]&gt;0, C116-Table_1463457811217[Kenya], 0)</f>
        <v>19.085399716616489</v>
      </c>
      <c r="J116" s="29">
        <f>IF(C116-Table_1463457811217[Rwanda]&gt;0, C116-Table_1463457811217[Rwanda], 0)</f>
        <v>2.9179123531199558E-2</v>
      </c>
      <c r="K116" s="29">
        <f>IF(C116-Table_1463457811217[Sudan]&gt;0, C116-Table_1463457811217[Sudan], 0)</f>
        <v>0</v>
      </c>
      <c r="L116" s="29">
        <f>IF(C116-Table_1463457811217[S. Sudan]&gt;0, C116-Table_1463457811217[S. Sudan], 0)</f>
        <v>0</v>
      </c>
      <c r="M116" s="29">
        <f>IF(C116-Table_1463457811217[Tanzania]&gt;0, C116-Table_1463457811217[Tanzania], 0)</f>
        <v>49.093809044962917</v>
      </c>
      <c r="N116" s="29">
        <f>IF(C116-Table_1463457811217[Uganda]&gt;0, C116-Table_1463457811217[Uganda], 0)</f>
        <v>36.559121207345392</v>
      </c>
      <c r="P116" s="21" t="s">
        <v>195</v>
      </c>
      <c r="Q116" s="97">
        <f t="shared" ref="Q116:Q125" si="12">$AE$115+(D117-$AE$113)*($AE$116-$AE$115)/($AE$114-$AE$113)</f>
        <v>2.6673923527907931E-2</v>
      </c>
      <c r="R116" s="97">
        <f t="shared" si="11"/>
        <v>9.2626423314374204E-4</v>
      </c>
      <c r="S116" s="97">
        <f t="shared" si="11"/>
        <v>9.2626423314374204E-4</v>
      </c>
      <c r="T116" s="97">
        <f t="shared" si="11"/>
        <v>9.6264235302190304E-3</v>
      </c>
      <c r="U116" s="97">
        <f t="shared" si="11"/>
        <v>0.1809462118870809</v>
      </c>
      <c r="V116" s="97">
        <f t="shared" si="11"/>
        <v>7.4902808208361288E-2</v>
      </c>
      <c r="W116" s="97">
        <f t="shared" si="11"/>
        <v>2.6747659294764189E-2</v>
      </c>
      <c r="X116" s="97">
        <f t="shared" si="11"/>
        <v>9.2626423314374204E-4</v>
      </c>
      <c r="Y116" s="97">
        <f t="shared" si="11"/>
        <v>9.2626423314374204E-4</v>
      </c>
      <c r="Z116" s="97">
        <f t="shared" si="11"/>
        <v>0.15073418373258513</v>
      </c>
      <c r="AA116" s="97">
        <f t="shared" si="11"/>
        <v>0.11905897529041631</v>
      </c>
      <c r="AD116" s="3" t="s">
        <v>70</v>
      </c>
      <c r="AE116" s="2">
        <v>1</v>
      </c>
    </row>
    <row r="117" spans="2:31" ht="12.75" customHeight="1" x14ac:dyDescent="0.25">
      <c r="B117" s="21" t="s">
        <v>195</v>
      </c>
      <c r="C117" s="95">
        <f>Annual_sorted!H23</f>
        <v>3.2092074908436903</v>
      </c>
      <c r="D117" s="29">
        <f>IF(C117-Table_1463457811217[Burundi]&gt;0, C117-Table_1463457811217[Burundi], 0)</f>
        <v>10.189005461430281</v>
      </c>
      <c r="E117" s="29">
        <f>IF(C117-Table_1463457811217[DRC]&gt;0, C117-Table_1463457811217[DRC], 0)</f>
        <v>0</v>
      </c>
      <c r="F117" s="29">
        <f>IF(C117-Table_1463457811217[Egypt]&gt;0, C117-Table_1463457811217[Egypt], 0)</f>
        <v>0</v>
      </c>
      <c r="G117" s="29">
        <f>IF(C117-Table_1463457811217[Eritrea]&gt;0, C117-Table_1463457811217[Eritrea], 0)</f>
        <v>3.4428749261584253</v>
      </c>
      <c r="H117" s="29">
        <f>IF(C117-Table_1463457811217[Ethiopia]&gt;0, C117-Table_1463457811217[Ethiopia], 0)</f>
        <v>71.238484586649392</v>
      </c>
      <c r="I117" s="29">
        <f>IF(C117-Table_1463457811217[Kenya]&gt;0, C117-Table_1463457811217[Kenya], 0)</f>
        <v>29.27440517804677</v>
      </c>
      <c r="J117" s="29">
        <f>IF(C117-Table_1463457811217[Rwanda]&gt;0, C117-Table_1463457811217[Rwanda], 0)</f>
        <v>10.218184584961479</v>
      </c>
      <c r="K117" s="29">
        <f>IF(C117-Table_1463457811217[Sudan]&gt;0, C117-Table_1463457811217[Sudan], 0)</f>
        <v>0</v>
      </c>
      <c r="L117" s="29">
        <f>IF(C117-Table_1463457811217[S. Sudan]&gt;0, C117-Table_1463457811217[S. Sudan], 0)</f>
        <v>0</v>
      </c>
      <c r="M117" s="29">
        <f>IF(C117-Table_1463457811217[Tanzania]&gt;0, C117-Table_1463457811217[Tanzania], 0)</f>
        <v>59.282814506393194</v>
      </c>
      <c r="N117" s="29">
        <f>IF(C117-Table_1463457811217[Uganda]&gt;0, C117-Table_1463457811217[Uganda], 0)</f>
        <v>46.748126668775669</v>
      </c>
      <c r="P117" s="21" t="s">
        <v>2</v>
      </c>
      <c r="Q117" s="97">
        <f t="shared" si="12"/>
        <v>0.84572771164082716</v>
      </c>
      <c r="R117" s="97">
        <f t="shared" si="11"/>
        <v>0.81998005234606275</v>
      </c>
      <c r="S117" s="97">
        <f t="shared" si="11"/>
        <v>9.2626423314374204E-4</v>
      </c>
      <c r="T117" s="97">
        <f t="shared" si="11"/>
        <v>0.82868021164313821</v>
      </c>
      <c r="U117" s="97">
        <f t="shared" si="11"/>
        <v>1</v>
      </c>
      <c r="V117" s="97">
        <f t="shared" si="11"/>
        <v>0.89395659632128033</v>
      </c>
      <c r="W117" s="97">
        <f t="shared" si="11"/>
        <v>0.84580144740768326</v>
      </c>
      <c r="X117" s="97">
        <f t="shared" si="11"/>
        <v>7.0858152271926877E-2</v>
      </c>
      <c r="Y117" s="97">
        <f t="shared" si="11"/>
        <v>0.8016357699019957</v>
      </c>
      <c r="Z117" s="97">
        <f t="shared" si="11"/>
        <v>0.96978797184550425</v>
      </c>
      <c r="AA117" s="97">
        <f t="shared" si="11"/>
        <v>0.93811276340333538</v>
      </c>
    </row>
    <row r="118" spans="2:31" ht="12.75" customHeight="1" x14ac:dyDescent="0.25">
      <c r="B118" s="21" t="s">
        <v>2</v>
      </c>
      <c r="C118" s="95">
        <f>Annual_sorted!H24</f>
        <v>327.32968091907202</v>
      </c>
      <c r="D118" s="29">
        <f>IF(C118-Table_1463457811217[Burundi]&gt;0, C118-Table_1463457811217[Burundi], 0)</f>
        <v>334.30947888965864</v>
      </c>
      <c r="E118" s="29">
        <f>IF(C118-Table_1463457811217[DRC]&gt;0, C118-Table_1463457811217[DRC], 0)</f>
        <v>324.12047342822831</v>
      </c>
      <c r="F118" s="29">
        <f>IF(C118-Table_1463457811217[Egypt]&gt;0, C118-Table_1463457811217[Egypt], 0)</f>
        <v>0</v>
      </c>
      <c r="G118" s="29">
        <f>IF(C118-Table_1463457811217[Eritrea]&gt;0, C118-Table_1463457811217[Eritrea], 0)</f>
        <v>327.56334835438673</v>
      </c>
      <c r="H118" s="29">
        <f>IF(C118-Table_1463457811217[Ethiopia]&gt;0, C118-Table_1463457811217[Ethiopia], 0)</f>
        <v>395.35895801487771</v>
      </c>
      <c r="I118" s="29">
        <f>IF(C118-Table_1463457811217[Kenya]&gt;0, C118-Table_1463457811217[Kenya], 0)</f>
        <v>353.39487860627509</v>
      </c>
      <c r="J118" s="29">
        <f>IF(C118-Table_1463457811217[Rwanda]&gt;0, C118-Table_1463457811217[Rwanda], 0)</f>
        <v>334.33865801318979</v>
      </c>
      <c r="K118" s="29">
        <f>IF(C118-Table_1463457811217[Sudan]&gt;0, C118-Table_1463457811217[Sudan], 0)</f>
        <v>27.673831667494028</v>
      </c>
      <c r="L118" s="29">
        <f>IF(C118-Table_1463457811217[S. Sudan]&gt;0, C118-Table_1463457811217[S. Sudan], 0)</f>
        <v>316.86117300527189</v>
      </c>
      <c r="M118" s="29">
        <f>IF(C118-Table_1463457811217[Tanzania]&gt;0, C118-Table_1463457811217[Tanzania], 0)</f>
        <v>383.40328793462152</v>
      </c>
      <c r="N118" s="29">
        <f>IF(C118-Table_1463457811217[Uganda]&gt;0, C118-Table_1463457811217[Uganda], 0)</f>
        <v>370.86860009700399</v>
      </c>
      <c r="P118" s="21" t="s">
        <v>3</v>
      </c>
      <c r="Q118" s="97">
        <f t="shared" si="12"/>
        <v>1.7973764230832641E-2</v>
      </c>
      <c r="R118" s="97">
        <f t="shared" si="11"/>
        <v>9.2626423314374204E-4</v>
      </c>
      <c r="S118" s="97">
        <f t="shared" si="11"/>
        <v>9.2626423314374204E-4</v>
      </c>
      <c r="T118" s="97">
        <f t="shared" si="11"/>
        <v>9.2626423314374204E-4</v>
      </c>
      <c r="U118" s="97">
        <f t="shared" si="11"/>
        <v>0.17224605259000561</v>
      </c>
      <c r="V118" s="97">
        <f t="shared" si="11"/>
        <v>6.620264891128598E-2</v>
      </c>
      <c r="W118" s="97">
        <f t="shared" si="11"/>
        <v>1.8047499997688898E-2</v>
      </c>
      <c r="X118" s="97">
        <f t="shared" si="11"/>
        <v>9.2626423314374204E-4</v>
      </c>
      <c r="Y118" s="97">
        <f t="shared" si="11"/>
        <v>9.2626423314374204E-4</v>
      </c>
      <c r="Z118" s="97">
        <f t="shared" si="11"/>
        <v>0.14203402443550986</v>
      </c>
      <c r="AA118" s="97">
        <f t="shared" si="11"/>
        <v>0.11035881599334103</v>
      </c>
    </row>
    <row r="119" spans="2:31" ht="12.75" customHeight="1" x14ac:dyDescent="0.25">
      <c r="B119" s="21" t="s">
        <v>3</v>
      </c>
      <c r="C119" s="95">
        <f>Annual_sorted!H25</f>
        <v>-0.23366743531473522</v>
      </c>
      <c r="D119" s="29">
        <f>IF(C119-Table_1463457811217[Burundi]&gt;0, C119-Table_1463457811217[Burundi], 0)</f>
        <v>6.7461305352718544</v>
      </c>
      <c r="E119" s="29">
        <f>IF(C119-Table_1463457811217[DRC]&gt;0, C119-Table_1463457811217[DRC], 0)</f>
        <v>0</v>
      </c>
      <c r="F119" s="29">
        <f>IF(C119-Table_1463457811217[Egypt]&gt;0, C119-Table_1463457811217[Egypt], 0)</f>
        <v>0</v>
      </c>
      <c r="G119" s="29">
        <f>IF(C119-Table_1463457811217[Eritrea]&gt;0, C119-Table_1463457811217[Eritrea], 0)</f>
        <v>0</v>
      </c>
      <c r="H119" s="29">
        <f>IF(C119-Table_1463457811217[Ethiopia]&gt;0, C119-Table_1463457811217[Ethiopia], 0)</f>
        <v>67.795609660490967</v>
      </c>
      <c r="I119" s="29">
        <f>IF(C119-Table_1463457811217[Kenya]&gt;0, C119-Table_1463457811217[Kenya], 0)</f>
        <v>25.831530251888342</v>
      </c>
      <c r="J119" s="29">
        <f>IF(C119-Table_1463457811217[Rwanda]&gt;0, C119-Table_1463457811217[Rwanda], 0)</f>
        <v>6.7753096588030539</v>
      </c>
      <c r="K119" s="29">
        <f>IF(C119-Table_1463457811217[Sudan]&gt;0, C119-Table_1463457811217[Sudan], 0)</f>
        <v>0</v>
      </c>
      <c r="L119" s="29">
        <f>IF(C119-Table_1463457811217[S. Sudan]&gt;0, C119-Table_1463457811217[S. Sudan], 0)</f>
        <v>0</v>
      </c>
      <c r="M119" s="29">
        <f>IF(C119-Table_1463457811217[Tanzania]&gt;0, C119-Table_1463457811217[Tanzania], 0)</f>
        <v>55.83993958023477</v>
      </c>
      <c r="N119" s="29">
        <f>IF(C119-Table_1463457811217[Uganda]&gt;0, C119-Table_1463457811217[Uganda], 0)</f>
        <v>43.305251742617244</v>
      </c>
      <c r="P119" s="21" t="s">
        <v>4</v>
      </c>
      <c r="Q119" s="97">
        <f t="shared" si="12"/>
        <v>9.2626423314374204E-4</v>
      </c>
      <c r="R119" s="97">
        <f t="shared" si="11"/>
        <v>9.2626423314374204E-4</v>
      </c>
      <c r="S119" s="97">
        <f t="shared" si="11"/>
        <v>9.2626423314374204E-4</v>
      </c>
      <c r="T119" s="97">
        <f t="shared" si="11"/>
        <v>9.2626423314374204E-4</v>
      </c>
      <c r="U119" s="97">
        <f t="shared" si="11"/>
        <v>9.2626423314374204E-4</v>
      </c>
      <c r="V119" s="97">
        <f t="shared" si="11"/>
        <v>9.2626423314374204E-4</v>
      </c>
      <c r="W119" s="97">
        <f t="shared" si="11"/>
        <v>9.2626423314374204E-4</v>
      </c>
      <c r="X119" s="97">
        <f t="shared" si="11"/>
        <v>9.2626423314374204E-4</v>
      </c>
      <c r="Y119" s="97">
        <f t="shared" si="11"/>
        <v>9.2626423314374204E-4</v>
      </c>
      <c r="Z119" s="97">
        <f t="shared" si="11"/>
        <v>9.2626423314374204E-4</v>
      </c>
      <c r="AA119" s="97">
        <f t="shared" si="11"/>
        <v>9.2626423314374204E-4</v>
      </c>
    </row>
    <row r="120" spans="2:31" ht="12.75" customHeight="1" x14ac:dyDescent="0.25">
      <c r="B120" s="21" t="s">
        <v>4</v>
      </c>
      <c r="C120" s="95">
        <f>Annual_sorted!H26</f>
        <v>-68.029277095805696</v>
      </c>
      <c r="D120" s="29">
        <f>IF(C120-Table_1463457811217[Burundi]&gt;0, C120-Table_1463457811217[Burundi], 0)</f>
        <v>0</v>
      </c>
      <c r="E120" s="29">
        <f>IF(C120-Table_1463457811217[DRC]&gt;0, C120-Table_1463457811217[DRC], 0)</f>
        <v>0</v>
      </c>
      <c r="F120" s="29">
        <f>IF(C120-Table_1463457811217[Egypt]&gt;0, C120-Table_1463457811217[Egypt], 0)</f>
        <v>0</v>
      </c>
      <c r="G120" s="29">
        <f>IF(C120-Table_1463457811217[Eritrea]&gt;0, C120-Table_1463457811217[Eritrea], 0)</f>
        <v>0</v>
      </c>
      <c r="H120" s="29">
        <f>IF(C120-Table_1463457811217[Ethiopia]&gt;0, C120-Table_1463457811217[Ethiopia], 0)</f>
        <v>0</v>
      </c>
      <c r="I120" s="29">
        <f>IF(C120-Table_1463457811217[Kenya]&gt;0, C120-Table_1463457811217[Kenya], 0)</f>
        <v>0</v>
      </c>
      <c r="J120" s="29">
        <f>IF(C120-Table_1463457811217[Rwanda]&gt;0, C120-Table_1463457811217[Rwanda], 0)</f>
        <v>0</v>
      </c>
      <c r="K120" s="29">
        <f>IF(C120-Table_1463457811217[Sudan]&gt;0, C120-Table_1463457811217[Sudan], 0)</f>
        <v>0</v>
      </c>
      <c r="L120" s="29">
        <f>IF(C120-Table_1463457811217[S. Sudan]&gt;0, C120-Table_1463457811217[S. Sudan], 0)</f>
        <v>0</v>
      </c>
      <c r="M120" s="29">
        <f>IF(C120-Table_1463457811217[Tanzania]&gt;0, C120-Table_1463457811217[Tanzania], 0)</f>
        <v>0</v>
      </c>
      <c r="N120" s="29">
        <f>IF(C120-Table_1463457811217[Uganda]&gt;0, C120-Table_1463457811217[Uganda], 0)</f>
        <v>0</v>
      </c>
      <c r="P120" s="21" t="s">
        <v>5</v>
      </c>
      <c r="Q120" s="97">
        <f t="shared" si="12"/>
        <v>9.2626423314374204E-4</v>
      </c>
      <c r="R120" s="97">
        <f t="shared" si="11"/>
        <v>9.2626423314374204E-4</v>
      </c>
      <c r="S120" s="97">
        <f t="shared" si="11"/>
        <v>9.2626423314374204E-4</v>
      </c>
      <c r="T120" s="97">
        <f t="shared" si="11"/>
        <v>9.2626423314374204E-4</v>
      </c>
      <c r="U120" s="97">
        <f t="shared" si="11"/>
        <v>0.10696966791186333</v>
      </c>
      <c r="V120" s="97">
        <f t="shared" si="11"/>
        <v>9.2626423314374204E-4</v>
      </c>
      <c r="W120" s="97">
        <f t="shared" si="11"/>
        <v>9.2626423314374204E-4</v>
      </c>
      <c r="X120" s="97">
        <f t="shared" si="11"/>
        <v>9.2626423314374204E-4</v>
      </c>
      <c r="Y120" s="97">
        <f t="shared" si="11"/>
        <v>9.2626423314374204E-4</v>
      </c>
      <c r="Z120" s="97">
        <f t="shared" si="11"/>
        <v>7.6757639757367588E-2</v>
      </c>
      <c r="AA120" s="97">
        <f t="shared" si="11"/>
        <v>4.5082431315198783E-2</v>
      </c>
    </row>
    <row r="121" spans="2:31" ht="12.75" customHeight="1" x14ac:dyDescent="0.25">
      <c r="B121" s="21" t="s">
        <v>5</v>
      </c>
      <c r="C121" s="95">
        <f>Annual_sorted!H27</f>
        <v>-26.065197687203078</v>
      </c>
      <c r="D121" s="29">
        <f>IF(C121-Table_1463457811217[Burundi]&gt;0, C121-Table_1463457811217[Burundi], 0)</f>
        <v>0</v>
      </c>
      <c r="E121" s="29">
        <f>IF(C121-Table_1463457811217[DRC]&gt;0, C121-Table_1463457811217[DRC], 0)</f>
        <v>0</v>
      </c>
      <c r="F121" s="29">
        <f>IF(C121-Table_1463457811217[Egypt]&gt;0, C121-Table_1463457811217[Egypt], 0)</f>
        <v>0</v>
      </c>
      <c r="G121" s="29">
        <f>IF(C121-Table_1463457811217[Eritrea]&gt;0, C121-Table_1463457811217[Eritrea], 0)</f>
        <v>0</v>
      </c>
      <c r="H121" s="29">
        <f>IF(C121-Table_1463457811217[Ethiopia]&gt;0, C121-Table_1463457811217[Ethiopia], 0)</f>
        <v>41.964079408602615</v>
      </c>
      <c r="I121" s="29">
        <f>IF(C121-Table_1463457811217[Kenya]&gt;0, C121-Table_1463457811217[Kenya], 0)</f>
        <v>0</v>
      </c>
      <c r="J121" s="29">
        <f>IF(C121-Table_1463457811217[Rwanda]&gt;0, C121-Table_1463457811217[Rwanda], 0)</f>
        <v>0</v>
      </c>
      <c r="K121" s="29">
        <f>IF(C121-Table_1463457811217[Sudan]&gt;0, C121-Table_1463457811217[Sudan], 0)</f>
        <v>0</v>
      </c>
      <c r="L121" s="29">
        <f>IF(C121-Table_1463457811217[S. Sudan]&gt;0, C121-Table_1463457811217[S. Sudan], 0)</f>
        <v>0</v>
      </c>
      <c r="M121" s="29">
        <f>IF(C121-Table_1463457811217[Tanzania]&gt;0, C121-Table_1463457811217[Tanzania], 0)</f>
        <v>30.008409328346428</v>
      </c>
      <c r="N121" s="29">
        <f>IF(C121-Table_1463457811217[Uganda]&gt;0, C121-Table_1463457811217[Uganda], 0)</f>
        <v>17.473721490728902</v>
      </c>
      <c r="P121" s="21" t="s">
        <v>6</v>
      </c>
      <c r="Q121" s="97">
        <f t="shared" si="12"/>
        <v>9.2626423314374204E-4</v>
      </c>
      <c r="R121" s="97">
        <f t="shared" si="11"/>
        <v>9.2626423314374204E-4</v>
      </c>
      <c r="S121" s="97">
        <f t="shared" si="11"/>
        <v>9.2626423314374204E-4</v>
      </c>
      <c r="T121" s="97">
        <f t="shared" si="11"/>
        <v>9.2626423314374204E-4</v>
      </c>
      <c r="U121" s="97">
        <f t="shared" si="11"/>
        <v>0.15512481682546042</v>
      </c>
      <c r="V121" s="97">
        <f t="shared" si="11"/>
        <v>4.9081413146740839E-2</v>
      </c>
      <c r="W121" s="97">
        <f t="shared" si="11"/>
        <v>9.2626423314374204E-4</v>
      </c>
      <c r="X121" s="97">
        <f t="shared" si="11"/>
        <v>9.2626423314374204E-4</v>
      </c>
      <c r="Y121" s="97">
        <f t="shared" si="11"/>
        <v>9.2626423314374204E-4</v>
      </c>
      <c r="Z121" s="97">
        <f t="shared" si="11"/>
        <v>0.12491278867096468</v>
      </c>
      <c r="AA121" s="97">
        <f t="shared" si="11"/>
        <v>9.3237580228795885E-2</v>
      </c>
    </row>
    <row r="122" spans="2:31" ht="12.75" customHeight="1" x14ac:dyDescent="0.25">
      <c r="B122" s="21" t="s">
        <v>6</v>
      </c>
      <c r="C122" s="95">
        <f>Annual_sorted!H28</f>
        <v>-7.0089770941177889</v>
      </c>
      <c r="D122" s="29">
        <f>IF(C122-Table_1463457811217[Burundi]&gt;0, C122-Table_1463457811217[Burundi], 0)</f>
        <v>0</v>
      </c>
      <c r="E122" s="29">
        <f>IF(C122-Table_1463457811217[DRC]&gt;0, C122-Table_1463457811217[DRC], 0)</f>
        <v>0</v>
      </c>
      <c r="F122" s="29">
        <f>IF(C122-Table_1463457811217[Egypt]&gt;0, C122-Table_1463457811217[Egypt], 0)</f>
        <v>0</v>
      </c>
      <c r="G122" s="29">
        <f>IF(C122-Table_1463457811217[Eritrea]&gt;0, C122-Table_1463457811217[Eritrea], 0)</f>
        <v>0</v>
      </c>
      <c r="H122" s="29">
        <f>IF(C122-Table_1463457811217[Ethiopia]&gt;0, C122-Table_1463457811217[Ethiopia], 0)</f>
        <v>61.020300001687907</v>
      </c>
      <c r="I122" s="29">
        <f>IF(C122-Table_1463457811217[Kenya]&gt;0, C122-Table_1463457811217[Kenya], 0)</f>
        <v>19.056220593085289</v>
      </c>
      <c r="J122" s="29">
        <f>IF(C122-Table_1463457811217[Rwanda]&gt;0, C122-Table_1463457811217[Rwanda], 0)</f>
        <v>0</v>
      </c>
      <c r="K122" s="29">
        <f>IF(C122-Table_1463457811217[Sudan]&gt;0, C122-Table_1463457811217[Sudan], 0)</f>
        <v>0</v>
      </c>
      <c r="L122" s="29">
        <f>IF(C122-Table_1463457811217[S. Sudan]&gt;0, C122-Table_1463457811217[S. Sudan], 0)</f>
        <v>0</v>
      </c>
      <c r="M122" s="29">
        <f>IF(C122-Table_1463457811217[Tanzania]&gt;0, C122-Table_1463457811217[Tanzania], 0)</f>
        <v>49.064629921431717</v>
      </c>
      <c r="N122" s="29">
        <f>IF(C122-Table_1463457811217[Uganda]&gt;0, C122-Table_1463457811217[Uganda], 0)</f>
        <v>36.529942083814191</v>
      </c>
      <c r="P122" s="21" t="s">
        <v>7</v>
      </c>
      <c r="Q122" s="97">
        <f t="shared" si="12"/>
        <v>0.77579582360204402</v>
      </c>
      <c r="R122" s="97">
        <f t="shared" si="11"/>
        <v>0.75004816430727972</v>
      </c>
      <c r="S122" s="97">
        <f t="shared" si="11"/>
        <v>9.2626423314374204E-4</v>
      </c>
      <c r="T122" s="97">
        <f t="shared" si="11"/>
        <v>0.75874832360435496</v>
      </c>
      <c r="U122" s="97">
        <f t="shared" si="11"/>
        <v>0.93006811196121686</v>
      </c>
      <c r="V122" s="97">
        <f t="shared" si="11"/>
        <v>0.8240247082824973</v>
      </c>
      <c r="W122" s="97">
        <f t="shared" si="11"/>
        <v>0.77586955936890012</v>
      </c>
      <c r="X122" s="97">
        <f t="shared" si="11"/>
        <v>9.2626423314374204E-4</v>
      </c>
      <c r="Y122" s="97">
        <f>$AE$115+(L123-$AE$113)*($AE$116-$AE$115)/($AE$114-$AE$113)</f>
        <v>0.73170388186321267</v>
      </c>
      <c r="Z122" s="97">
        <f t="shared" si="11"/>
        <v>0.89985608380672122</v>
      </c>
      <c r="AA122" s="97">
        <f t="shared" si="11"/>
        <v>0.86818087536455235</v>
      </c>
    </row>
    <row r="123" spans="2:31" ht="12.75" customHeight="1" x14ac:dyDescent="0.25">
      <c r="B123" s="21" t="s">
        <v>7</v>
      </c>
      <c r="C123" s="95">
        <f>Annual_sorted!H29</f>
        <v>299.65584925157799</v>
      </c>
      <c r="D123" s="29">
        <f>IF(C123-Table_1463457811217[Burundi]&gt;0, C123-Table_1463457811217[Burundi], 0)</f>
        <v>306.63564722216461</v>
      </c>
      <c r="E123" s="29">
        <f>IF(C123-Table_1463457811217[DRC]&gt;0, C123-Table_1463457811217[DRC], 0)</f>
        <v>296.44664176073428</v>
      </c>
      <c r="F123" s="29">
        <f>IF(C123-Table_1463457811217[Egypt]&gt;0, C123-Table_1463457811217[Egypt], 0)</f>
        <v>0</v>
      </c>
      <c r="G123" s="29">
        <f>IF(C123-Table_1463457811217[Eritrea]&gt;0, C123-Table_1463457811217[Eritrea], 0)</f>
        <v>299.8895166868927</v>
      </c>
      <c r="H123" s="29">
        <f>IF(C123-Table_1463457811217[Ethiopia]&gt;0, C123-Table_1463457811217[Ethiopia], 0)</f>
        <v>367.68512634738369</v>
      </c>
      <c r="I123" s="29">
        <f>IF(C123-Table_1463457811217[Kenya]&gt;0, C123-Table_1463457811217[Kenya], 0)</f>
        <v>325.72104693878106</v>
      </c>
      <c r="J123" s="29">
        <f>IF(C123-Table_1463457811217[Rwanda]&gt;0, C123-Table_1463457811217[Rwanda], 0)</f>
        <v>306.66482634569576</v>
      </c>
      <c r="K123" s="29">
        <f>IF(C123-Table_1463457811217[Sudan]&gt;0, C123-Table_1463457811217[Sudan], 0)</f>
        <v>0</v>
      </c>
      <c r="L123" s="29">
        <f>IF(C123-Table_1463457811217[S. Sudan]&gt;0, C123-Table_1463457811217[S. Sudan], 0)</f>
        <v>289.18734133777787</v>
      </c>
      <c r="M123" s="29">
        <f>IF(C123-Table_1463457811217[Tanzania]&gt;0, C123-Table_1463457811217[Tanzania], 0)</f>
        <v>355.72945626712749</v>
      </c>
      <c r="N123" s="29">
        <f>IF(C123-Table_1463457811217[Uganda]&gt;0, C123-Table_1463457811217[Uganda], 0)</f>
        <v>343.19476842950996</v>
      </c>
      <c r="P123" s="21" t="s">
        <v>8</v>
      </c>
      <c r="Q123" s="97">
        <f t="shared" si="12"/>
        <v>4.5018205971975013E-2</v>
      </c>
      <c r="R123" s="97">
        <f t="shared" si="11"/>
        <v>1.9270546677210832E-2</v>
      </c>
      <c r="S123" s="97">
        <f t="shared" si="11"/>
        <v>9.2626423314374204E-4</v>
      </c>
      <c r="T123" s="97">
        <f t="shared" si="11"/>
        <v>2.7970705974286126E-2</v>
      </c>
      <c r="U123" s="97">
        <f t="shared" si="11"/>
        <v>0.19929049433114798</v>
      </c>
      <c r="V123" s="97">
        <f t="shared" si="11"/>
        <v>9.3247090652428366E-2</v>
      </c>
      <c r="W123" s="97">
        <f t="shared" si="11"/>
        <v>4.5091941738831277E-2</v>
      </c>
      <c r="X123" s="97">
        <f t="shared" si="11"/>
        <v>9.2626423314374204E-4</v>
      </c>
      <c r="Y123" s="97">
        <f t="shared" si="11"/>
        <v>9.2626423314374204E-4</v>
      </c>
      <c r="Z123" s="97">
        <f t="shared" si="11"/>
        <v>0.16907846617665226</v>
      </c>
      <c r="AA123" s="97">
        <f t="shared" si="11"/>
        <v>0.13740325773448342</v>
      </c>
    </row>
    <row r="124" spans="2:31" ht="12.75" customHeight="1" x14ac:dyDescent="0.25">
      <c r="B124" s="21" t="s">
        <v>8</v>
      </c>
      <c r="C124" s="95">
        <f>Annual_sorted!H30</f>
        <v>10.468507913800099</v>
      </c>
      <c r="D124" s="29">
        <f>IF(C124-Table_1463457811217[Burundi]&gt;0, C124-Table_1463457811217[Burundi], 0)</f>
        <v>17.448305884386688</v>
      </c>
      <c r="E124" s="29">
        <f>IF(C124-Table_1463457811217[DRC]&gt;0, C124-Table_1463457811217[DRC], 0)</f>
        <v>7.2593004229564091</v>
      </c>
      <c r="F124" s="29">
        <f>IF(C124-Table_1463457811217[Egypt]&gt;0, C124-Table_1463457811217[Egypt], 0)</f>
        <v>0</v>
      </c>
      <c r="G124" s="29">
        <f>IF(C124-Table_1463457811217[Eritrea]&gt;0, C124-Table_1463457811217[Eritrea], 0)</f>
        <v>10.702175349114835</v>
      </c>
      <c r="H124" s="29">
        <f>IF(C124-Table_1463457811217[Ethiopia]&gt;0, C124-Table_1463457811217[Ethiopia], 0)</f>
        <v>78.497785009605792</v>
      </c>
      <c r="I124" s="29">
        <f>IF(C124-Table_1463457811217[Kenya]&gt;0, C124-Table_1463457811217[Kenya], 0)</f>
        <v>36.533705601003177</v>
      </c>
      <c r="J124" s="29">
        <f>IF(C124-Table_1463457811217[Rwanda]&gt;0, C124-Table_1463457811217[Rwanda], 0)</f>
        <v>17.477485007917888</v>
      </c>
      <c r="K124" s="29">
        <f>IF(C124-Table_1463457811217[Sudan]&gt;0, C124-Table_1463457811217[Sudan], 0)</f>
        <v>0</v>
      </c>
      <c r="L124" s="29">
        <f>IF(C124-Table_1463457811217[S. Sudan]&gt;0, C124-Table_1463457811217[S. Sudan], 0)</f>
        <v>0</v>
      </c>
      <c r="M124" s="29">
        <f>IF(C124-Table_1463457811217[Tanzania]&gt;0, C124-Table_1463457811217[Tanzania], 0)</f>
        <v>66.542114929349609</v>
      </c>
      <c r="N124" s="29">
        <f>IF(C124-Table_1463457811217[Uganda]&gt;0, C124-Table_1463457811217[Uganda], 0)</f>
        <v>54.007427091732083</v>
      </c>
      <c r="P124" s="21" t="s">
        <v>9</v>
      </c>
      <c r="Q124" s="97">
        <f t="shared" si="12"/>
        <v>9.2626423314374204E-4</v>
      </c>
      <c r="R124" s="97">
        <f t="shared" si="11"/>
        <v>9.2626423314374204E-4</v>
      </c>
      <c r="S124" s="97">
        <f t="shared" si="11"/>
        <v>9.2626423314374204E-4</v>
      </c>
      <c r="T124" s="97">
        <f t="shared" si="11"/>
        <v>9.2626423314374204E-4</v>
      </c>
      <c r="U124" s="97">
        <f t="shared" si="11"/>
        <v>3.1138292387639478E-2</v>
      </c>
      <c r="V124" s="97">
        <f t="shared" si="11"/>
        <v>9.2626423314374204E-4</v>
      </c>
      <c r="W124" s="97">
        <f t="shared" si="11"/>
        <v>9.2626423314374204E-4</v>
      </c>
      <c r="X124" s="97">
        <f t="shared" si="11"/>
        <v>9.2626423314374204E-4</v>
      </c>
      <c r="Y124" s="97">
        <f t="shared" si="11"/>
        <v>9.2626423314374204E-4</v>
      </c>
      <c r="Z124" s="97">
        <f t="shared" si="11"/>
        <v>9.2626423314374204E-4</v>
      </c>
      <c r="AA124" s="97">
        <f t="shared" si="11"/>
        <v>9.2626423314374204E-4</v>
      </c>
    </row>
    <row r="125" spans="2:31" ht="12.75" customHeight="1" thickBot="1" x14ac:dyDescent="0.3">
      <c r="B125" s="21" t="s">
        <v>9</v>
      </c>
      <c r="C125" s="95">
        <f>Annual_sorted!H31</f>
        <v>-56.073607015549506</v>
      </c>
      <c r="D125" s="29">
        <f>IF(C125-Table_1463457811217[Burundi]&gt;0, C125-Table_1463457811217[Burundi], 0)</f>
        <v>0</v>
      </c>
      <c r="E125" s="29">
        <f>IF(C125-Table_1463457811217[DRC]&gt;0, C125-Table_1463457811217[DRC], 0)</f>
        <v>0</v>
      </c>
      <c r="F125" s="29">
        <f>IF(C125-Table_1463457811217[Egypt]&gt;0, C125-Table_1463457811217[Egypt], 0)</f>
        <v>0</v>
      </c>
      <c r="G125" s="29">
        <f>IF(C125-Table_1463457811217[Eritrea]&gt;0, C125-Table_1463457811217[Eritrea], 0)</f>
        <v>0</v>
      </c>
      <c r="H125" s="29">
        <f>IF(C125-Table_1463457811217[Ethiopia]&gt;0, C125-Table_1463457811217[Ethiopia], 0)</f>
        <v>11.955670080256191</v>
      </c>
      <c r="I125" s="29">
        <f>IF(C125-Table_1463457811217[Kenya]&gt;0, C125-Table_1463457811217[Kenya], 0)</f>
        <v>0</v>
      </c>
      <c r="J125" s="29">
        <f>IF(C125-Table_1463457811217[Rwanda]&gt;0, C125-Table_1463457811217[Rwanda], 0)</f>
        <v>0</v>
      </c>
      <c r="K125" s="29">
        <f>IF(C125-Table_1463457811217[Sudan]&gt;0, C125-Table_1463457811217[Sudan], 0)</f>
        <v>0</v>
      </c>
      <c r="L125" s="29">
        <f>IF(C125-Table_1463457811217[S. Sudan]&gt;0, C125-Table_1463457811217[S. Sudan], 0)</f>
        <v>0</v>
      </c>
      <c r="M125" s="29">
        <f>IF(C125-Table_1463457811217[Tanzania]&gt;0, C125-Table_1463457811217[Tanzania], 0)</f>
        <v>0</v>
      </c>
      <c r="N125" s="29">
        <f>IF(C125-Table_1463457811217[Uganda]&gt;0, C125-Table_1463457811217[Uganda], 0)</f>
        <v>0</v>
      </c>
      <c r="P125" s="22" t="s">
        <v>10</v>
      </c>
      <c r="Q125" s="98">
        <f t="shared" si="12"/>
        <v>9.2626423314374204E-4</v>
      </c>
      <c r="R125" s="98">
        <f t="shared" si="11"/>
        <v>9.2626423314374204E-4</v>
      </c>
      <c r="S125" s="98">
        <f t="shared" si="11"/>
        <v>9.2626423314374204E-4</v>
      </c>
      <c r="T125" s="98">
        <f t="shared" si="11"/>
        <v>9.2626423314374204E-4</v>
      </c>
      <c r="U125" s="98">
        <f t="shared" si="11"/>
        <v>6.2813500829808286E-2</v>
      </c>
      <c r="V125" s="98">
        <f t="shared" si="11"/>
        <v>9.2626423314374204E-4</v>
      </c>
      <c r="W125" s="98">
        <f t="shared" si="11"/>
        <v>9.2626423314374204E-4</v>
      </c>
      <c r="X125" s="98">
        <f t="shared" si="11"/>
        <v>9.2626423314374204E-4</v>
      </c>
      <c r="Y125" s="98">
        <f t="shared" si="11"/>
        <v>9.2626423314374204E-4</v>
      </c>
      <c r="Z125" s="98">
        <f t="shared" si="11"/>
        <v>3.2601472675312548E-2</v>
      </c>
      <c r="AA125" s="98">
        <f t="shared" si="11"/>
        <v>9.2626423314374204E-4</v>
      </c>
    </row>
    <row r="126" spans="2:31" ht="12.75" customHeight="1" thickBot="1" x14ac:dyDescent="0.3">
      <c r="B126" s="22" t="s">
        <v>10</v>
      </c>
      <c r="C126" s="96">
        <f>Annual_sorted!H32</f>
        <v>-43.53891917793198</v>
      </c>
      <c r="D126" s="32">
        <f>IF(C126-Table_1463457811217[Burundi]&gt;0, C126-Table_1463457811217[Burundi], 0)</f>
        <v>0</v>
      </c>
      <c r="E126" s="32">
        <f>IF(C126-Table_1463457811217[DRC]&gt;0, C126-Table_1463457811217[DRC], 0)</f>
        <v>0</v>
      </c>
      <c r="F126" s="32">
        <f>IF(C126-Table_1463457811217[Egypt]&gt;0, C126-Table_1463457811217[Egypt], 0)</f>
        <v>0</v>
      </c>
      <c r="G126" s="32">
        <f>IF(C126-Table_1463457811217[Eritrea]&gt;0, C126-Table_1463457811217[Eritrea], 0)</f>
        <v>0</v>
      </c>
      <c r="H126" s="32">
        <f>IF(C126-Table_1463457811217[Ethiopia]&gt;0, C126-Table_1463457811217[Ethiopia], 0)</f>
        <v>24.490357917873716</v>
      </c>
      <c r="I126" s="32">
        <f>IF(C126-Table_1463457811217[Kenya]&gt;0, C126-Table_1463457811217[Kenya], 0)</f>
        <v>0</v>
      </c>
      <c r="J126" s="32">
        <f>IF(C126-Table_1463457811217[Rwanda]&gt;0, C126-Table_1463457811217[Rwanda], 0)</f>
        <v>0</v>
      </c>
      <c r="K126" s="32">
        <f>IF(C126-Table_1463457811217[Sudan]&gt;0, C126-Table_1463457811217[Sudan], 0)</f>
        <v>0</v>
      </c>
      <c r="L126" s="32">
        <f>IF(C126-Table_1463457811217[S. Sudan]&gt;0, C126-Table_1463457811217[S. Sudan], 0)</f>
        <v>0</v>
      </c>
      <c r="M126" s="32">
        <f>IF(C126-Table_1463457811217[Tanzania]&gt;0, C126-Table_1463457811217[Tanzania], 0)</f>
        <v>12.534687837617525</v>
      </c>
      <c r="N126" s="32">
        <f>IF(C126-Table_1463457811217[Uganda]&gt;0, C126-Table_1463457811217[Uganda], 0)</f>
        <v>0</v>
      </c>
      <c r="Z126" s="186"/>
    </row>
    <row r="127" spans="2:31" ht="12.75" customHeight="1" x14ac:dyDescent="0.25"/>
    <row r="128" spans="2:31" ht="12.75" customHeight="1" x14ac:dyDescent="0.25"/>
    <row r="129" spans="2:31" ht="12.75" customHeight="1" x14ac:dyDescent="0.25">
      <c r="P129" s="5"/>
      <c r="Q129" s="5"/>
      <c r="R129" s="5"/>
      <c r="S129" s="5"/>
      <c r="T129" s="5"/>
      <c r="U129" s="5"/>
      <c r="V129" s="5"/>
      <c r="W129" s="5"/>
      <c r="X129" s="5"/>
      <c r="Y129" s="5"/>
      <c r="Z129" s="5"/>
      <c r="AA129" s="5"/>
    </row>
    <row r="130" spans="2:31" ht="12.75" customHeight="1" x14ac:dyDescent="0.25">
      <c r="B130" s="5"/>
      <c r="C130" s="5"/>
      <c r="D130" s="5"/>
      <c r="E130" s="5"/>
      <c r="F130" s="5"/>
      <c r="G130" s="5"/>
      <c r="H130" s="5"/>
      <c r="I130" s="5"/>
      <c r="J130" s="5"/>
      <c r="K130" s="5"/>
      <c r="L130" s="5"/>
      <c r="M130" s="5"/>
      <c r="N130" s="5"/>
      <c r="P130" s="5"/>
      <c r="Q130" s="5"/>
      <c r="R130" s="5"/>
      <c r="S130" s="5"/>
      <c r="T130" s="5"/>
      <c r="U130" s="5"/>
      <c r="V130" s="5"/>
      <c r="W130" s="5"/>
      <c r="X130" s="5"/>
      <c r="Y130" s="5"/>
      <c r="Z130" s="5"/>
      <c r="AA130" s="5"/>
    </row>
    <row r="131" spans="2:31" ht="12.75" customHeight="1" thickBot="1" x14ac:dyDescent="0.3">
      <c r="B131" s="253" t="s">
        <v>89</v>
      </c>
      <c r="C131" s="253"/>
      <c r="D131" s="253"/>
      <c r="E131" s="253"/>
      <c r="F131" s="253"/>
      <c r="G131" s="253"/>
      <c r="H131" s="253"/>
      <c r="I131" s="253"/>
      <c r="J131" s="253"/>
      <c r="K131" s="253"/>
      <c r="L131" s="253"/>
      <c r="M131" s="253"/>
      <c r="N131" s="253"/>
      <c r="P131" s="253" t="s">
        <v>90</v>
      </c>
      <c r="Q131" s="253"/>
      <c r="R131" s="253"/>
      <c r="S131" s="253"/>
      <c r="T131" s="253"/>
      <c r="U131" s="253"/>
      <c r="V131" s="253"/>
      <c r="W131" s="253"/>
      <c r="X131" s="253"/>
      <c r="Y131" s="253"/>
      <c r="Z131" s="253"/>
      <c r="AA131" s="253"/>
      <c r="AB131" s="10"/>
      <c r="AC131" s="3" t="s">
        <v>22</v>
      </c>
      <c r="AD131" s="13" t="s">
        <v>23</v>
      </c>
      <c r="AE131" s="74">
        <f t="array" ref="AE131">MIN(IF(D134:N144&gt;0,D134:N144))</f>
        <v>2.222514992082111</v>
      </c>
    </row>
    <row r="132" spans="2:31" ht="12.75" customHeight="1" thickBot="1" x14ac:dyDescent="0.3">
      <c r="B132" s="75" t="s">
        <v>13</v>
      </c>
      <c r="C132" s="66" t="s">
        <v>14</v>
      </c>
      <c r="D132" s="67" t="s">
        <v>1</v>
      </c>
      <c r="E132" s="67" t="s">
        <v>195</v>
      </c>
      <c r="F132" s="67" t="s">
        <v>2</v>
      </c>
      <c r="G132" s="67" t="s">
        <v>3</v>
      </c>
      <c r="H132" s="67" t="s">
        <v>4</v>
      </c>
      <c r="I132" s="67" t="s">
        <v>5</v>
      </c>
      <c r="J132" s="67" t="s">
        <v>6</v>
      </c>
      <c r="K132" s="67" t="s">
        <v>7</v>
      </c>
      <c r="L132" s="67" t="s">
        <v>295</v>
      </c>
      <c r="M132" s="67" t="s">
        <v>9</v>
      </c>
      <c r="N132" s="67" t="s">
        <v>10</v>
      </c>
      <c r="P132" s="76" t="s">
        <v>19</v>
      </c>
      <c r="Q132" s="77" t="s">
        <v>1</v>
      </c>
      <c r="R132" s="77" t="s">
        <v>195</v>
      </c>
      <c r="S132" s="77" t="s">
        <v>2</v>
      </c>
      <c r="T132" s="77" t="s">
        <v>3</v>
      </c>
      <c r="U132" s="77" t="s">
        <v>4</v>
      </c>
      <c r="V132" s="77" t="s">
        <v>5</v>
      </c>
      <c r="W132" s="77" t="s">
        <v>6</v>
      </c>
      <c r="X132" s="77" t="s">
        <v>7</v>
      </c>
      <c r="Y132" s="77" t="s">
        <v>295</v>
      </c>
      <c r="Z132" s="77" t="s">
        <v>9</v>
      </c>
      <c r="AA132" s="77" t="s">
        <v>10</v>
      </c>
      <c r="AB132" s="254" t="s">
        <v>26</v>
      </c>
      <c r="AC132" s="254"/>
      <c r="AD132" s="13" t="s">
        <v>24</v>
      </c>
      <c r="AE132" s="20">
        <f>MAX(D134:N144)</f>
        <v>338.85895801487771</v>
      </c>
    </row>
    <row r="133" spans="2:31" ht="12.75" customHeight="1" x14ac:dyDescent="0.25">
      <c r="B133" s="93"/>
      <c r="C133" s="94" t="s">
        <v>260</v>
      </c>
      <c r="D133" s="95">
        <f>C134</f>
        <v>-6.9797979705865894</v>
      </c>
      <c r="E133" s="95">
        <f>C135</f>
        <v>3.2092074908436903</v>
      </c>
      <c r="F133" s="95">
        <f>C136</f>
        <v>270.82968091907202</v>
      </c>
      <c r="G133" s="95">
        <f>C137</f>
        <v>-0.23366743531473522</v>
      </c>
      <c r="H133" s="95">
        <f>C138</f>
        <v>-68.029277095805696</v>
      </c>
      <c r="I133" s="95">
        <f>C139</f>
        <v>-26.065197687203078</v>
      </c>
      <c r="J133" s="95">
        <f>C140</f>
        <v>-10.80897709411779</v>
      </c>
      <c r="K133" s="95">
        <f>C141</f>
        <v>265.85584925157798</v>
      </c>
      <c r="L133" s="95">
        <f>C142</f>
        <v>-13.031492086199901</v>
      </c>
      <c r="M133" s="95">
        <f>C143</f>
        <v>-56.073607015549506</v>
      </c>
      <c r="N133" s="95">
        <f>C144</f>
        <v>-64.638919177931967</v>
      </c>
      <c r="P133" s="21" t="s">
        <v>1</v>
      </c>
      <c r="Q133" s="97">
        <f>$AE$133+(D134-$AE$131)*($AE$134-$AE$133)/($AE$132-$AE$131)</f>
        <v>-5.5955202507284099E-3</v>
      </c>
      <c r="R133" s="97">
        <f t="shared" ref="R133:AA143" si="13">$AE$133+(E134-$AE$131)*($AE$134-$AE$133)/($AE$132-$AE$131)</f>
        <v>-5.5955202507284099E-3</v>
      </c>
      <c r="S133" s="97">
        <f t="shared" si="13"/>
        <v>-5.5955202507284099E-3</v>
      </c>
      <c r="T133" s="97">
        <f t="shared" si="13"/>
        <v>-5.5955202507284099E-3</v>
      </c>
      <c r="U133" s="97">
        <f t="shared" si="13"/>
        <v>0.17557449538529113</v>
      </c>
      <c r="V133" s="97">
        <f t="shared" si="13"/>
        <v>5.1042181079809894E-2</v>
      </c>
      <c r="W133" s="97">
        <f t="shared" si="13"/>
        <v>5.7679254596002026E-3</v>
      </c>
      <c r="X133" s="97">
        <f t="shared" si="13"/>
        <v>-5.5955202507284099E-3</v>
      </c>
      <c r="Y133" s="97">
        <f t="shared" si="13"/>
        <v>1.2363445710328613E-2</v>
      </c>
      <c r="Z133" s="97">
        <f t="shared" si="13"/>
        <v>0.14009493083509433</v>
      </c>
      <c r="AA133" s="97">
        <f t="shared" si="13"/>
        <v>0.16551329247587676</v>
      </c>
      <c r="AD133" s="3" t="s">
        <v>25</v>
      </c>
      <c r="AE133" s="2">
        <v>1E-3</v>
      </c>
    </row>
    <row r="134" spans="2:31" ht="12.75" customHeight="1" x14ac:dyDescent="0.25">
      <c r="B134" s="21" t="s">
        <v>1</v>
      </c>
      <c r="C134" s="95">
        <f>Annual_sorted!I22</f>
        <v>-6.9797979705865894</v>
      </c>
      <c r="D134" s="29">
        <f>IF(C134-Table_14634578112918[Burundi]&gt;0, C134-Table_14634578112918[Burundi], 0)</f>
        <v>0</v>
      </c>
      <c r="E134" s="29">
        <f>IF(C134-Table_14634578112918[DRC]&gt;0, C134-Table_14634578112918[DRC], 0)</f>
        <v>0</v>
      </c>
      <c r="F134" s="29">
        <f>IF(C134-Table_14634578112918[Egypt]&gt;0, C134-Table_14634578112918[Egypt], 0)</f>
        <v>0</v>
      </c>
      <c r="G134" s="29">
        <f>IF(C134-Table_14634578112918[Eritrea]&gt;0, C134-Table_14634578112918[Eritrea], 0)</f>
        <v>0</v>
      </c>
      <c r="H134" s="29">
        <f>IF(C134-Table_14634578112918[Ethiopia]&gt;0, C134-Table_14634578112918[Ethiopia], 0)</f>
        <v>61.049479125219108</v>
      </c>
      <c r="I134" s="29">
        <f>IF(C134-Table_14634578112918[Kenya]&gt;0, C134-Table_14634578112918[Kenya], 0)</f>
        <v>19.085399716616489</v>
      </c>
      <c r="J134" s="29">
        <f>IF(C134-Table_14634578112918[Rwanda]&gt;0, C134-Table_14634578112918[Rwanda], 0)</f>
        <v>3.8291791235312003</v>
      </c>
      <c r="K134" s="29">
        <f>IF(C134-Table_14634578112918[Sudan]&gt;0, C134-Table_14634578112918[Sudan], 0)</f>
        <v>0</v>
      </c>
      <c r="L134" s="29">
        <f>IF(C134-Table_14634578112918[S. Sudan]&gt;0, C134-Table_14634578112918[S. Sudan], 0)</f>
        <v>6.0516941156133113</v>
      </c>
      <c r="M134" s="29">
        <f>IF(C134-Table_14634578112918[Tanzania]&gt;0, C134-Table_14634578112918[Tanzania], 0)</f>
        <v>49.093809044962917</v>
      </c>
      <c r="N134" s="29">
        <f>IF(C134-Table_14634578112918[Uganda]&gt;0, C134-Table_14634578112918[Uganda], 0)</f>
        <v>57.659121207345379</v>
      </c>
      <c r="P134" s="21" t="s">
        <v>195</v>
      </c>
      <c r="Q134" s="97">
        <f t="shared" ref="Q134:Q143" si="14">$AE$133+(D135-$AE$131)*($AE$134-$AE$133)/($AE$132-$AE$131)</f>
        <v>2.4641302490651325E-2</v>
      </c>
      <c r="R134" s="97">
        <f t="shared" si="13"/>
        <v>-5.5955202507284099E-3</v>
      </c>
      <c r="S134" s="97">
        <f t="shared" si="13"/>
        <v>-5.5955202507284099E-3</v>
      </c>
      <c r="T134" s="97">
        <f t="shared" si="13"/>
        <v>4.6215317723627535E-3</v>
      </c>
      <c r="U134" s="97">
        <f t="shared" si="13"/>
        <v>0.20581131812667086</v>
      </c>
      <c r="V134" s="97">
        <f t="shared" si="13"/>
        <v>8.1279003821189633E-2</v>
      </c>
      <c r="W134" s="97">
        <f t="shared" si="13"/>
        <v>3.6004748200979937E-2</v>
      </c>
      <c r="X134" s="97">
        <f t="shared" si="13"/>
        <v>-5.5955202507284099E-3</v>
      </c>
      <c r="Y134" s="97">
        <f t="shared" si="13"/>
        <v>4.2600268451708355E-2</v>
      </c>
      <c r="Z134" s="97">
        <f t="shared" si="13"/>
        <v>0.17033175357647404</v>
      </c>
      <c r="AA134" s="97">
        <f t="shared" si="13"/>
        <v>0.19575011521725652</v>
      </c>
      <c r="AD134" s="3" t="s">
        <v>70</v>
      </c>
      <c r="AE134" s="2">
        <v>1</v>
      </c>
    </row>
    <row r="135" spans="2:31" ht="12.75" customHeight="1" x14ac:dyDescent="0.25">
      <c r="B135" s="21" t="s">
        <v>195</v>
      </c>
      <c r="C135" s="95">
        <f>Annual_sorted!I23</f>
        <v>3.2092074908436903</v>
      </c>
      <c r="D135" s="29">
        <f>IF(C135-Table_14634578112918[Burundi]&gt;0, C135-Table_14634578112918[Burundi], 0)</f>
        <v>10.189005461430281</v>
      </c>
      <c r="E135" s="29">
        <f>IF(C135-Table_14634578112918[DRC]&gt;0, C135-Table_14634578112918[DRC], 0)</f>
        <v>0</v>
      </c>
      <c r="F135" s="29">
        <f>IF(C135-Table_14634578112918[Egypt]&gt;0, C135-Table_14634578112918[Egypt], 0)</f>
        <v>0</v>
      </c>
      <c r="G135" s="29">
        <f>IF(C135-Table_14634578112918[Eritrea]&gt;0, C135-Table_14634578112918[Eritrea], 0)</f>
        <v>3.4428749261584253</v>
      </c>
      <c r="H135" s="29">
        <f>IF(C135-Table_14634578112918[Ethiopia]&gt;0, C135-Table_14634578112918[Ethiopia], 0)</f>
        <v>71.238484586649392</v>
      </c>
      <c r="I135" s="29">
        <f>IF(C135-Table_14634578112918[Kenya]&gt;0, C135-Table_14634578112918[Kenya], 0)</f>
        <v>29.27440517804677</v>
      </c>
      <c r="J135" s="29">
        <f>IF(C135-Table_14634578112918[Rwanda]&gt;0, C135-Table_14634578112918[Rwanda], 0)</f>
        <v>14.01818458496148</v>
      </c>
      <c r="K135" s="29">
        <f>IF(C135-Table_14634578112918[Sudan]&gt;0, C135-Table_14634578112918[Sudan], 0)</f>
        <v>0</v>
      </c>
      <c r="L135" s="29">
        <f>IF(C135-Table_14634578112918[S. Sudan]&gt;0, C135-Table_14634578112918[S. Sudan], 0)</f>
        <v>16.240699577043593</v>
      </c>
      <c r="M135" s="29">
        <f>IF(C135-Table_14634578112918[Tanzania]&gt;0, C135-Table_14634578112918[Tanzania], 0)</f>
        <v>59.282814506393194</v>
      </c>
      <c r="N135" s="29">
        <f>IF(C135-Table_14634578112918[Uganda]&gt;0, C135-Table_14634578112918[Uganda], 0)</f>
        <v>67.848126668775663</v>
      </c>
      <c r="P135" s="21" t="s">
        <v>2</v>
      </c>
      <c r="Q135" s="97">
        <f t="shared" si="14"/>
        <v>0.81882998436398047</v>
      </c>
      <c r="R135" s="97">
        <f t="shared" si="13"/>
        <v>0.78859316162260062</v>
      </c>
      <c r="S135" s="97">
        <f t="shared" si="13"/>
        <v>-5.5955202507284099E-3</v>
      </c>
      <c r="T135" s="97">
        <f t="shared" si="13"/>
        <v>0.79881021364569171</v>
      </c>
      <c r="U135" s="97">
        <f t="shared" si="13"/>
        <v>1</v>
      </c>
      <c r="V135" s="97">
        <f t="shared" si="13"/>
        <v>0.87546768569451872</v>
      </c>
      <c r="W135" s="97">
        <f t="shared" si="13"/>
        <v>0.83019343007430912</v>
      </c>
      <c r="X135" s="97">
        <f t="shared" si="13"/>
        <v>9.1647885001874124E-3</v>
      </c>
      <c r="Y135" s="97">
        <f t="shared" si="13"/>
        <v>0.83678895032503731</v>
      </c>
      <c r="Z135" s="97">
        <f t="shared" si="13"/>
        <v>0.96452043544980315</v>
      </c>
      <c r="AA135" s="97">
        <f t="shared" si="13"/>
        <v>0.98993879709058574</v>
      </c>
    </row>
    <row r="136" spans="2:31" ht="12.75" customHeight="1" x14ac:dyDescent="0.25">
      <c r="B136" s="21" t="s">
        <v>2</v>
      </c>
      <c r="C136" s="95">
        <f>Annual_sorted!I24</f>
        <v>270.82968091907202</v>
      </c>
      <c r="D136" s="29">
        <f>IF(C136-Table_14634578112918[Burundi]&gt;0, C136-Table_14634578112918[Burundi], 0)</f>
        <v>277.80947888965864</v>
      </c>
      <c r="E136" s="29">
        <f>IF(C136-Table_14634578112918[DRC]&gt;0, C136-Table_14634578112918[DRC], 0)</f>
        <v>267.62047342822831</v>
      </c>
      <c r="F136" s="29">
        <f>IF(C136-Table_14634578112918[Egypt]&gt;0, C136-Table_14634578112918[Egypt], 0)</f>
        <v>0</v>
      </c>
      <c r="G136" s="29">
        <f>IF(C136-Table_14634578112918[Eritrea]&gt;0, C136-Table_14634578112918[Eritrea], 0)</f>
        <v>271.06334835438673</v>
      </c>
      <c r="H136" s="29">
        <f>IF(C136-Table_14634578112918[Ethiopia]&gt;0, C136-Table_14634578112918[Ethiopia], 0)</f>
        <v>338.85895801487771</v>
      </c>
      <c r="I136" s="29">
        <f>IF(C136-Table_14634578112918[Kenya]&gt;0, C136-Table_14634578112918[Kenya], 0)</f>
        <v>296.89487860627509</v>
      </c>
      <c r="J136" s="29">
        <f>IF(C136-Table_14634578112918[Rwanda]&gt;0, C136-Table_14634578112918[Rwanda], 0)</f>
        <v>281.6386580131898</v>
      </c>
      <c r="K136" s="29">
        <f>IF(C136-Table_14634578112918[Sudan]&gt;0, C136-Table_14634578112918[Sudan], 0)</f>
        <v>4.9738316674940393</v>
      </c>
      <c r="L136" s="29">
        <f>IF(C136-Table_14634578112918[S. Sudan]&gt;0, C136-Table_14634578112918[S. Sudan], 0)</f>
        <v>283.86117300527189</v>
      </c>
      <c r="M136" s="29">
        <f>IF(C136-Table_14634578112918[Tanzania]&gt;0, C136-Table_14634578112918[Tanzania], 0)</f>
        <v>326.90328793462152</v>
      </c>
      <c r="N136" s="29">
        <f>IF(C136-Table_14634578112918[Uganda]&gt;0, C136-Table_14634578112918[Uganda], 0)</f>
        <v>335.46860009700401</v>
      </c>
      <c r="P136" s="21" t="s">
        <v>3</v>
      </c>
      <c r="Q136" s="97">
        <f t="shared" si="14"/>
        <v>1.442425046756016E-2</v>
      </c>
      <c r="R136" s="97">
        <f t="shared" si="13"/>
        <v>-5.5955202507284099E-3</v>
      </c>
      <c r="S136" s="97">
        <f t="shared" si="13"/>
        <v>-5.5955202507284099E-3</v>
      </c>
      <c r="T136" s="97">
        <f t="shared" si="13"/>
        <v>-5.5955202507284099E-3</v>
      </c>
      <c r="U136" s="97">
        <f t="shared" si="13"/>
        <v>0.19559426610357974</v>
      </c>
      <c r="V136" s="97">
        <f t="shared" si="13"/>
        <v>7.1061951798098461E-2</v>
      </c>
      <c r="W136" s="97">
        <f t="shared" si="13"/>
        <v>2.5787696177888772E-2</v>
      </c>
      <c r="X136" s="97">
        <f t="shared" si="13"/>
        <v>-5.5955202507284099E-3</v>
      </c>
      <c r="Y136" s="97">
        <f t="shared" si="13"/>
        <v>3.2383216428617183E-2</v>
      </c>
      <c r="Z136" s="97">
        <f t="shared" si="13"/>
        <v>0.16011470155338289</v>
      </c>
      <c r="AA136" s="97">
        <f t="shared" si="13"/>
        <v>0.18553306319416538</v>
      </c>
    </row>
    <row r="137" spans="2:31" ht="12.75" customHeight="1" x14ac:dyDescent="0.25">
      <c r="B137" s="21" t="s">
        <v>3</v>
      </c>
      <c r="C137" s="95">
        <f>Annual_sorted!I25</f>
        <v>-0.23366743531473522</v>
      </c>
      <c r="D137" s="29">
        <f>IF(C137-Table_14634578112918[Burundi]&gt;0, C137-Table_14634578112918[Burundi], 0)</f>
        <v>6.7461305352718544</v>
      </c>
      <c r="E137" s="29">
        <f>IF(C137-Table_14634578112918[DRC]&gt;0, C137-Table_14634578112918[DRC], 0)</f>
        <v>0</v>
      </c>
      <c r="F137" s="29">
        <f>IF(C137-Table_14634578112918[Egypt]&gt;0, C137-Table_14634578112918[Egypt], 0)</f>
        <v>0</v>
      </c>
      <c r="G137" s="29">
        <f>IF(C137-Table_14634578112918[Eritrea]&gt;0, C137-Table_14634578112918[Eritrea], 0)</f>
        <v>0</v>
      </c>
      <c r="H137" s="29">
        <f>IF(C137-Table_14634578112918[Ethiopia]&gt;0, C137-Table_14634578112918[Ethiopia], 0)</f>
        <v>67.795609660490967</v>
      </c>
      <c r="I137" s="29">
        <f>IF(C137-Table_14634578112918[Kenya]&gt;0, C137-Table_14634578112918[Kenya], 0)</f>
        <v>25.831530251888342</v>
      </c>
      <c r="J137" s="29">
        <f>IF(C137-Table_14634578112918[Rwanda]&gt;0, C137-Table_14634578112918[Rwanda], 0)</f>
        <v>10.575309658803054</v>
      </c>
      <c r="K137" s="29">
        <f>IF(C137-Table_14634578112918[Sudan]&gt;0, C137-Table_14634578112918[Sudan], 0)</f>
        <v>0</v>
      </c>
      <c r="L137" s="29">
        <f>IF(C137-Table_14634578112918[S. Sudan]&gt;0, C137-Table_14634578112918[S. Sudan], 0)</f>
        <v>12.797824650885165</v>
      </c>
      <c r="M137" s="29">
        <f>IF(C137-Table_14634578112918[Tanzania]&gt;0, C137-Table_14634578112918[Tanzania], 0)</f>
        <v>55.83993958023477</v>
      </c>
      <c r="N137" s="29">
        <f>IF(C137-Table_14634578112918[Uganda]&gt;0, C137-Table_14634578112918[Uganda], 0)</f>
        <v>64.405251742617239</v>
      </c>
      <c r="P137" s="21" t="s">
        <v>4</v>
      </c>
      <c r="Q137" s="97">
        <f t="shared" si="14"/>
        <v>-5.5955202507284099E-3</v>
      </c>
      <c r="R137" s="97">
        <f t="shared" si="13"/>
        <v>-5.5955202507284099E-3</v>
      </c>
      <c r="S137" s="97">
        <f t="shared" si="13"/>
        <v>-5.5955202507284099E-3</v>
      </c>
      <c r="T137" s="97">
        <f t="shared" si="13"/>
        <v>-5.5955202507284099E-3</v>
      </c>
      <c r="U137" s="97">
        <f t="shared" si="13"/>
        <v>-5.5955202507284099E-3</v>
      </c>
      <c r="V137" s="97">
        <f t="shared" si="13"/>
        <v>-5.5955202507284099E-3</v>
      </c>
      <c r="W137" s="97">
        <f t="shared" si="13"/>
        <v>-5.5955202507284099E-3</v>
      </c>
      <c r="X137" s="97">
        <f t="shared" si="13"/>
        <v>-5.5955202507284099E-3</v>
      </c>
      <c r="Y137" s="97">
        <f t="shared" si="13"/>
        <v>-5.5955202507284099E-3</v>
      </c>
      <c r="Z137" s="97">
        <f t="shared" si="13"/>
        <v>-5.5955202507284099E-3</v>
      </c>
      <c r="AA137" s="97">
        <f t="shared" si="13"/>
        <v>-5.5955202507284099E-3</v>
      </c>
    </row>
    <row r="138" spans="2:31" ht="12.75" customHeight="1" x14ac:dyDescent="0.25">
      <c r="B138" s="21" t="s">
        <v>4</v>
      </c>
      <c r="C138" s="95">
        <f>Annual_sorted!I26</f>
        <v>-68.029277095805696</v>
      </c>
      <c r="D138" s="29">
        <f>IF(C138-Table_14634578112918[Burundi]&gt;0, C138-Table_14634578112918[Burundi], 0)</f>
        <v>0</v>
      </c>
      <c r="E138" s="29">
        <f>IF(C138-Table_14634578112918[DRC]&gt;0, C138-Table_14634578112918[DRC], 0)</f>
        <v>0</v>
      </c>
      <c r="F138" s="29">
        <f>IF(C138-Table_14634578112918[Egypt]&gt;0, C138-Table_14634578112918[Egypt], 0)</f>
        <v>0</v>
      </c>
      <c r="G138" s="29">
        <f>IF(C138-Table_14634578112918[Eritrea]&gt;0, C138-Table_14634578112918[Eritrea], 0)</f>
        <v>0</v>
      </c>
      <c r="H138" s="29">
        <f>IF(C138-Table_14634578112918[Ethiopia]&gt;0, C138-Table_14634578112918[Ethiopia], 0)</f>
        <v>0</v>
      </c>
      <c r="I138" s="29">
        <f>IF(C138-Table_14634578112918[Kenya]&gt;0, C138-Table_14634578112918[Kenya], 0)</f>
        <v>0</v>
      </c>
      <c r="J138" s="29">
        <f>IF(C138-Table_14634578112918[Rwanda]&gt;0, C138-Table_14634578112918[Rwanda], 0)</f>
        <v>0</v>
      </c>
      <c r="K138" s="29">
        <f>IF(C138-Table_14634578112918[Sudan]&gt;0, C138-Table_14634578112918[Sudan], 0)</f>
        <v>0</v>
      </c>
      <c r="L138" s="29">
        <f>IF(C138-Table_14634578112918[S. Sudan]&gt;0, C138-Table_14634578112918[S. Sudan], 0)</f>
        <v>0</v>
      </c>
      <c r="M138" s="29">
        <f>IF(C138-Table_14634578112918[Tanzania]&gt;0, C138-Table_14634578112918[Tanzania], 0)</f>
        <v>0</v>
      </c>
      <c r="N138" s="29">
        <f>IF(C138-Table_14634578112918[Uganda]&gt;0, C138-Table_14634578112918[Uganda], 0)</f>
        <v>0</v>
      </c>
      <c r="P138" s="21" t="s">
        <v>5</v>
      </c>
      <c r="Q138" s="97">
        <f t="shared" si="14"/>
        <v>-5.5955202507284099E-3</v>
      </c>
      <c r="R138" s="97">
        <f t="shared" si="13"/>
        <v>-5.5955202507284099E-3</v>
      </c>
      <c r="S138" s="97">
        <f t="shared" si="13"/>
        <v>-5.5955202507284099E-3</v>
      </c>
      <c r="T138" s="97">
        <f t="shared" si="13"/>
        <v>-5.5955202507284099E-3</v>
      </c>
      <c r="U138" s="97">
        <f t="shared" si="13"/>
        <v>0.11893679405475283</v>
      </c>
      <c r="V138" s="97">
        <f t="shared" si="13"/>
        <v>-5.5955202507284099E-3</v>
      </c>
      <c r="W138" s="97">
        <f t="shared" si="13"/>
        <v>-5.5955202507284099E-3</v>
      </c>
      <c r="X138" s="97">
        <f t="shared" si="13"/>
        <v>-5.5955202507284099E-3</v>
      </c>
      <c r="Y138" s="97">
        <f t="shared" si="13"/>
        <v>-5.5955202507284099E-3</v>
      </c>
      <c r="Z138" s="97">
        <f t="shared" si="13"/>
        <v>8.3457229504556016E-2</v>
      </c>
      <c r="AA138" s="97">
        <f t="shared" si="13"/>
        <v>0.10887559114533847</v>
      </c>
    </row>
    <row r="139" spans="2:31" ht="12.75" customHeight="1" x14ac:dyDescent="0.25">
      <c r="B139" s="21" t="s">
        <v>5</v>
      </c>
      <c r="C139" s="95">
        <f>Annual_sorted!I27</f>
        <v>-26.065197687203078</v>
      </c>
      <c r="D139" s="29">
        <f>IF(C139-Table_14634578112918[Burundi]&gt;0, C139-Table_14634578112918[Burundi], 0)</f>
        <v>0</v>
      </c>
      <c r="E139" s="29">
        <f>IF(C139-Table_14634578112918[DRC]&gt;0, C139-Table_14634578112918[DRC], 0)</f>
        <v>0</v>
      </c>
      <c r="F139" s="29">
        <f>IF(C139-Table_14634578112918[Egypt]&gt;0, C139-Table_14634578112918[Egypt], 0)</f>
        <v>0</v>
      </c>
      <c r="G139" s="29">
        <f>IF(C139-Table_14634578112918[Eritrea]&gt;0, C139-Table_14634578112918[Eritrea], 0)</f>
        <v>0</v>
      </c>
      <c r="H139" s="29">
        <f>IF(C139-Table_14634578112918[Ethiopia]&gt;0, C139-Table_14634578112918[Ethiopia], 0)</f>
        <v>41.964079408602615</v>
      </c>
      <c r="I139" s="29">
        <f>IF(C139-Table_14634578112918[Kenya]&gt;0, C139-Table_14634578112918[Kenya], 0)</f>
        <v>0</v>
      </c>
      <c r="J139" s="29">
        <f>IF(C139-Table_14634578112918[Rwanda]&gt;0, C139-Table_14634578112918[Rwanda], 0)</f>
        <v>0</v>
      </c>
      <c r="K139" s="29">
        <f>IF(C139-Table_14634578112918[Sudan]&gt;0, C139-Table_14634578112918[Sudan], 0)</f>
        <v>0</v>
      </c>
      <c r="L139" s="29">
        <f>IF(C139-Table_14634578112918[S. Sudan]&gt;0, C139-Table_14634578112918[S. Sudan], 0)</f>
        <v>0</v>
      </c>
      <c r="M139" s="29">
        <f>IF(C139-Table_14634578112918[Tanzania]&gt;0, C139-Table_14634578112918[Tanzania], 0)</f>
        <v>30.008409328346428</v>
      </c>
      <c r="N139" s="29">
        <f>IF(C139-Table_14634578112918[Uganda]&gt;0, C139-Table_14634578112918[Uganda], 0)</f>
        <v>38.573721490728886</v>
      </c>
      <c r="P139" s="21" t="s">
        <v>6</v>
      </c>
      <c r="Q139" s="97">
        <f t="shared" si="14"/>
        <v>-5.5955202507284099E-3</v>
      </c>
      <c r="R139" s="97">
        <f t="shared" si="13"/>
        <v>-5.5955202507284099E-3</v>
      </c>
      <c r="S139" s="97">
        <f t="shared" si="13"/>
        <v>-5.5955202507284099E-3</v>
      </c>
      <c r="T139" s="97">
        <f t="shared" si="13"/>
        <v>-5.5955202507284099E-3</v>
      </c>
      <c r="U139" s="97">
        <f t="shared" si="13"/>
        <v>0.16421104967496253</v>
      </c>
      <c r="V139" s="97">
        <f t="shared" si="13"/>
        <v>3.9678735369481279E-2</v>
      </c>
      <c r="W139" s="97">
        <f t="shared" si="13"/>
        <v>-5.5955202507284099E-3</v>
      </c>
      <c r="X139" s="97">
        <f t="shared" si="13"/>
        <v>-5.5955202507284099E-3</v>
      </c>
      <c r="Y139" s="97">
        <f t="shared" si="13"/>
        <v>1E-3</v>
      </c>
      <c r="Z139" s="97">
        <f t="shared" si="13"/>
        <v>0.1287314851247657</v>
      </c>
      <c r="AA139" s="97">
        <f t="shared" si="13"/>
        <v>0.15414984676554816</v>
      </c>
    </row>
    <row r="140" spans="2:31" ht="12.75" customHeight="1" x14ac:dyDescent="0.25">
      <c r="B140" s="21" t="s">
        <v>6</v>
      </c>
      <c r="C140" s="95">
        <f>Annual_sorted!I28</f>
        <v>-10.80897709411779</v>
      </c>
      <c r="D140" s="29">
        <f>IF(C140-Table_14634578112918[Burundi]&gt;0, C140-Table_14634578112918[Burundi], 0)</f>
        <v>0</v>
      </c>
      <c r="E140" s="29">
        <f>IF(C140-Table_14634578112918[DRC]&gt;0, C140-Table_14634578112918[DRC], 0)</f>
        <v>0</v>
      </c>
      <c r="F140" s="29">
        <f>IF(C140-Table_14634578112918[Egypt]&gt;0, C140-Table_14634578112918[Egypt], 0)</f>
        <v>0</v>
      </c>
      <c r="G140" s="29">
        <f>IF(C140-Table_14634578112918[Eritrea]&gt;0, C140-Table_14634578112918[Eritrea], 0)</f>
        <v>0</v>
      </c>
      <c r="H140" s="29">
        <f>IF(C140-Table_14634578112918[Ethiopia]&gt;0, C140-Table_14634578112918[Ethiopia], 0)</f>
        <v>57.220300001687903</v>
      </c>
      <c r="I140" s="29">
        <f>IF(C140-Table_14634578112918[Kenya]&gt;0, C140-Table_14634578112918[Kenya], 0)</f>
        <v>15.256220593085288</v>
      </c>
      <c r="J140" s="29">
        <f>IF(C140-Table_14634578112918[Rwanda]&gt;0, C140-Table_14634578112918[Rwanda], 0)</f>
        <v>0</v>
      </c>
      <c r="K140" s="29">
        <f>IF(C140-Table_14634578112918[Sudan]&gt;0, C140-Table_14634578112918[Sudan], 0)</f>
        <v>0</v>
      </c>
      <c r="L140" s="29">
        <f>IF(C140-Table_14634578112918[S. Sudan]&gt;0, C140-Table_14634578112918[S. Sudan], 0)</f>
        <v>2.222514992082111</v>
      </c>
      <c r="M140" s="29">
        <f>IF(C140-Table_14634578112918[Tanzania]&gt;0, C140-Table_14634578112918[Tanzania], 0)</f>
        <v>45.26462992143172</v>
      </c>
      <c r="N140" s="29">
        <f>IF(C140-Table_14634578112918[Uganda]&gt;0, C140-Table_14634578112918[Uganda], 0)</f>
        <v>53.829942083814174</v>
      </c>
      <c r="P140" s="21" t="s">
        <v>7</v>
      </c>
      <c r="Q140" s="97">
        <f t="shared" si="14"/>
        <v>0.80406967561306464</v>
      </c>
      <c r="R140" s="97">
        <f t="shared" si="13"/>
        <v>0.7738328528716848</v>
      </c>
      <c r="S140" s="97">
        <f t="shared" si="13"/>
        <v>-5.5955202507284099E-3</v>
      </c>
      <c r="T140" s="97">
        <f t="shared" si="13"/>
        <v>0.78404990489477611</v>
      </c>
      <c r="U140" s="97">
        <f t="shared" si="13"/>
        <v>0.98523969124908428</v>
      </c>
      <c r="V140" s="97">
        <f t="shared" si="13"/>
        <v>0.86070737694360278</v>
      </c>
      <c r="W140" s="97">
        <f t="shared" si="13"/>
        <v>0.8154331213233933</v>
      </c>
      <c r="X140" s="97">
        <f t="shared" si="13"/>
        <v>-5.5955202507284099E-3</v>
      </c>
      <c r="Y140" s="97">
        <f t="shared" si="13"/>
        <v>0.82202864157412148</v>
      </c>
      <c r="Z140" s="97">
        <f t="shared" si="13"/>
        <v>0.94976012669888732</v>
      </c>
      <c r="AA140" s="97">
        <f t="shared" si="13"/>
        <v>0.97517848833966969</v>
      </c>
    </row>
    <row r="141" spans="2:31" ht="12.75" customHeight="1" x14ac:dyDescent="0.25">
      <c r="B141" s="21" t="s">
        <v>7</v>
      </c>
      <c r="C141" s="95">
        <f>Annual_sorted!I29</f>
        <v>265.85584925157798</v>
      </c>
      <c r="D141" s="29">
        <f>IF(C141-Table_14634578112918[Burundi]&gt;0, C141-Table_14634578112918[Burundi], 0)</f>
        <v>272.8356472221646</v>
      </c>
      <c r="E141" s="29">
        <f>IF(C141-Table_14634578112918[DRC]&gt;0, C141-Table_14634578112918[DRC], 0)</f>
        <v>262.64664176073427</v>
      </c>
      <c r="F141" s="29">
        <f>IF(C141-Table_14634578112918[Egypt]&gt;0, C141-Table_14634578112918[Egypt], 0)</f>
        <v>0</v>
      </c>
      <c r="G141" s="29">
        <f>IF(C141-Table_14634578112918[Eritrea]&gt;0, C141-Table_14634578112918[Eritrea], 0)</f>
        <v>266.08951668689269</v>
      </c>
      <c r="H141" s="29">
        <f>IF(C141-Table_14634578112918[Ethiopia]&gt;0, C141-Table_14634578112918[Ethiopia], 0)</f>
        <v>333.88512634738368</v>
      </c>
      <c r="I141" s="29">
        <f>IF(C141-Table_14634578112918[Kenya]&gt;0, C141-Table_14634578112918[Kenya], 0)</f>
        <v>291.92104693878105</v>
      </c>
      <c r="J141" s="29">
        <f>IF(C141-Table_14634578112918[Rwanda]&gt;0, C141-Table_14634578112918[Rwanda], 0)</f>
        <v>276.66482634569576</v>
      </c>
      <c r="K141" s="29">
        <f>IF(C141-Table_14634578112918[Sudan]&gt;0, C141-Table_14634578112918[Sudan], 0)</f>
        <v>0</v>
      </c>
      <c r="L141" s="29">
        <f>IF(C141-Table_14634578112918[S. Sudan]&gt;0, C141-Table_14634578112918[S. Sudan], 0)</f>
        <v>278.88734133777785</v>
      </c>
      <c r="M141" s="29">
        <f>IF(C141-Table_14634578112918[Tanzania]&gt;0, C141-Table_14634578112918[Tanzania], 0)</f>
        <v>321.92945626712748</v>
      </c>
      <c r="N141" s="29">
        <f>IF(C141-Table_14634578112918[Uganda]&gt;0, C141-Table_14634578112918[Uganda], 0)</f>
        <v>330.49476842950992</v>
      </c>
      <c r="P141" s="21" t="s">
        <v>8</v>
      </c>
      <c r="Q141" s="97">
        <f t="shared" si="14"/>
        <v>-5.5955202507284099E-3</v>
      </c>
      <c r="R141" s="97">
        <f t="shared" si="13"/>
        <v>-5.5955202507284099E-3</v>
      </c>
      <c r="S141" s="97">
        <f t="shared" si="13"/>
        <v>-5.5955202507284099E-3</v>
      </c>
      <c r="T141" s="97">
        <f t="shared" si="13"/>
        <v>-5.5955202507284099E-3</v>
      </c>
      <c r="U141" s="97">
        <f t="shared" si="13"/>
        <v>0.1576155294242341</v>
      </c>
      <c r="V141" s="97">
        <f t="shared" si="13"/>
        <v>3.3083215118752868E-2</v>
      </c>
      <c r="W141" s="97">
        <f t="shared" si="13"/>
        <v>-5.5955202507284099E-3</v>
      </c>
      <c r="X141" s="97">
        <f t="shared" si="13"/>
        <v>-5.5955202507284099E-3</v>
      </c>
      <c r="Y141" s="97">
        <f t="shared" si="13"/>
        <v>-5.5955202507284099E-3</v>
      </c>
      <c r="Z141" s="97">
        <f t="shared" si="13"/>
        <v>0.12213596487403731</v>
      </c>
      <c r="AA141" s="97">
        <f t="shared" si="13"/>
        <v>0.14755432651481976</v>
      </c>
    </row>
    <row r="142" spans="2:31" ht="12.75" customHeight="1" x14ac:dyDescent="0.25">
      <c r="B142" s="21" t="s">
        <v>8</v>
      </c>
      <c r="C142" s="95">
        <f>Annual_sorted!I30</f>
        <v>-13.031492086199901</v>
      </c>
      <c r="D142" s="29">
        <f>IF(C142-Table_14634578112918[Burundi]&gt;0, C142-Table_14634578112918[Burundi], 0)</f>
        <v>0</v>
      </c>
      <c r="E142" s="29">
        <f>IF(C142-Table_14634578112918[DRC]&gt;0, C142-Table_14634578112918[DRC], 0)</f>
        <v>0</v>
      </c>
      <c r="F142" s="29">
        <f>IF(C142-Table_14634578112918[Egypt]&gt;0, C142-Table_14634578112918[Egypt], 0)</f>
        <v>0</v>
      </c>
      <c r="G142" s="29">
        <f>IF(C142-Table_14634578112918[Eritrea]&gt;0, C142-Table_14634578112918[Eritrea], 0)</f>
        <v>0</v>
      </c>
      <c r="H142" s="29">
        <f>IF(C142-Table_14634578112918[Ethiopia]&gt;0, C142-Table_14634578112918[Ethiopia], 0)</f>
        <v>54.997785009605792</v>
      </c>
      <c r="I142" s="29">
        <f>IF(C142-Table_14634578112918[Kenya]&gt;0, C142-Table_14634578112918[Kenya], 0)</f>
        <v>13.033705601003177</v>
      </c>
      <c r="J142" s="29">
        <f>IF(C142-Table_14634578112918[Rwanda]&gt;0, C142-Table_14634578112918[Rwanda], 0)</f>
        <v>0</v>
      </c>
      <c r="K142" s="29">
        <f>IF(C142-Table_14634578112918[Sudan]&gt;0, C142-Table_14634578112918[Sudan], 0)</f>
        <v>0</v>
      </c>
      <c r="L142" s="29">
        <f>IF(C142-Table_14634578112918[S. Sudan]&gt;0, C142-Table_14634578112918[S. Sudan], 0)</f>
        <v>0</v>
      </c>
      <c r="M142" s="29">
        <f>IF(C142-Table_14634578112918[Tanzania]&gt;0, C142-Table_14634578112918[Tanzania], 0)</f>
        <v>43.042114929349609</v>
      </c>
      <c r="N142" s="29">
        <f>IF(C142-Table_14634578112918[Uganda]&gt;0, C142-Table_14634578112918[Uganda], 0)</f>
        <v>51.607427091732063</v>
      </c>
      <c r="P142" s="21" t="s">
        <v>9</v>
      </c>
      <c r="Q142" s="97">
        <f t="shared" si="14"/>
        <v>-5.5955202507284099E-3</v>
      </c>
      <c r="R142" s="97">
        <f t="shared" si="13"/>
        <v>-5.5955202507284099E-3</v>
      </c>
      <c r="S142" s="97">
        <f t="shared" si="13"/>
        <v>-5.5955202507284099E-3</v>
      </c>
      <c r="T142" s="97">
        <f t="shared" si="13"/>
        <v>-5.5955202507284099E-3</v>
      </c>
      <c r="U142" s="97">
        <f t="shared" si="13"/>
        <v>2.9884044299468421E-2</v>
      </c>
      <c r="V142" s="97">
        <f t="shared" si="13"/>
        <v>-5.5955202507284099E-3</v>
      </c>
      <c r="W142" s="97">
        <f t="shared" si="13"/>
        <v>-5.5955202507284099E-3</v>
      </c>
      <c r="X142" s="97">
        <f t="shared" si="13"/>
        <v>-5.5955202507284099E-3</v>
      </c>
      <c r="Y142" s="97">
        <f t="shared" si="13"/>
        <v>-5.5955202507284099E-3</v>
      </c>
      <c r="Z142" s="97">
        <f t="shared" si="13"/>
        <v>-5.5955202507284099E-3</v>
      </c>
      <c r="AA142" s="97">
        <f t="shared" si="13"/>
        <v>1.9822841390054052E-2</v>
      </c>
    </row>
    <row r="143" spans="2:31" ht="12.75" customHeight="1" thickBot="1" x14ac:dyDescent="0.3">
      <c r="B143" s="21" t="s">
        <v>9</v>
      </c>
      <c r="C143" s="95">
        <f>Annual_sorted!I31</f>
        <v>-56.073607015549506</v>
      </c>
      <c r="D143" s="29">
        <f>IF(C143-Table_14634578112918[Burundi]&gt;0, C143-Table_14634578112918[Burundi], 0)</f>
        <v>0</v>
      </c>
      <c r="E143" s="29">
        <f>IF(C143-Table_14634578112918[DRC]&gt;0, C143-Table_14634578112918[DRC], 0)</f>
        <v>0</v>
      </c>
      <c r="F143" s="29">
        <f>IF(C143-Table_14634578112918[Egypt]&gt;0, C143-Table_14634578112918[Egypt], 0)</f>
        <v>0</v>
      </c>
      <c r="G143" s="29">
        <f>IF(C143-Table_14634578112918[Eritrea]&gt;0, C143-Table_14634578112918[Eritrea], 0)</f>
        <v>0</v>
      </c>
      <c r="H143" s="29">
        <f>IF(C143-Table_14634578112918[Ethiopia]&gt;0, C143-Table_14634578112918[Ethiopia], 0)</f>
        <v>11.955670080256191</v>
      </c>
      <c r="I143" s="29">
        <f>IF(C143-Table_14634578112918[Kenya]&gt;0, C143-Table_14634578112918[Kenya], 0)</f>
        <v>0</v>
      </c>
      <c r="J143" s="29">
        <f>IF(C143-Table_14634578112918[Rwanda]&gt;0, C143-Table_14634578112918[Rwanda], 0)</f>
        <v>0</v>
      </c>
      <c r="K143" s="29">
        <f>IF(C143-Table_14634578112918[Sudan]&gt;0, C143-Table_14634578112918[Sudan], 0)</f>
        <v>0</v>
      </c>
      <c r="L143" s="29">
        <f>IF(C143-Table_14634578112918[S. Sudan]&gt;0, C143-Table_14634578112918[S. Sudan], 0)</f>
        <v>0</v>
      </c>
      <c r="M143" s="29">
        <f>IF(C143-Table_14634578112918[Tanzania]&gt;0, C143-Table_14634578112918[Tanzania], 0)</f>
        <v>0</v>
      </c>
      <c r="N143" s="29">
        <f>IF(C143-Table_14634578112918[Uganda]&gt;0, C143-Table_14634578112918[Uganda], 0)</f>
        <v>8.5653121623824617</v>
      </c>
      <c r="P143" s="22" t="s">
        <v>10</v>
      </c>
      <c r="Q143" s="98">
        <f t="shared" si="14"/>
        <v>-5.5955202507284099E-3</v>
      </c>
      <c r="R143" s="98">
        <f t="shared" si="13"/>
        <v>-5.5955202507284099E-3</v>
      </c>
      <c r="S143" s="98">
        <f t="shared" si="13"/>
        <v>-5.5955202507284099E-3</v>
      </c>
      <c r="T143" s="98">
        <f t="shared" si="13"/>
        <v>-5.5955202507284099E-3</v>
      </c>
      <c r="U143" s="98">
        <f t="shared" si="13"/>
        <v>4.4656826586859585E-3</v>
      </c>
      <c r="V143" s="98">
        <f t="shared" si="13"/>
        <v>-5.5955202507284099E-3</v>
      </c>
      <c r="W143" s="98">
        <f t="shared" si="13"/>
        <v>-5.5955202507284099E-3</v>
      </c>
      <c r="X143" s="98">
        <f t="shared" si="13"/>
        <v>-5.5955202507284099E-3</v>
      </c>
      <c r="Y143" s="98">
        <f t="shared" si="13"/>
        <v>-5.5955202507284099E-3</v>
      </c>
      <c r="Z143" s="98">
        <f t="shared" si="13"/>
        <v>-5.5955202507284099E-3</v>
      </c>
      <c r="AA143" s="98">
        <f t="shared" si="13"/>
        <v>-5.5955202507284099E-3</v>
      </c>
      <c r="AB143" s="186">
        <f>SUM(Q133:AA143)</f>
        <v>18.623200783972919</v>
      </c>
    </row>
    <row r="144" spans="2:31" ht="12.75" customHeight="1" thickBot="1" x14ac:dyDescent="0.3">
      <c r="B144" s="22" t="s">
        <v>10</v>
      </c>
      <c r="C144" s="96">
        <f>Annual_sorted!I32</f>
        <v>-64.638919177931967</v>
      </c>
      <c r="D144" s="32">
        <f>IF(C144-Table_14634578112918[Burundi]&gt;0, C144-Table_14634578112918[Burundi], 0)</f>
        <v>0</v>
      </c>
      <c r="E144" s="32">
        <f>IF(C144-Table_14634578112918[DRC]&gt;0, C144-Table_14634578112918[DRC], 0)</f>
        <v>0</v>
      </c>
      <c r="F144" s="32">
        <f>IF(C144-Table_14634578112918[Egypt]&gt;0, C144-Table_14634578112918[Egypt], 0)</f>
        <v>0</v>
      </c>
      <c r="G144" s="32">
        <f>IF(C144-Table_14634578112918[Eritrea]&gt;0, C144-Table_14634578112918[Eritrea], 0)</f>
        <v>0</v>
      </c>
      <c r="H144" s="32">
        <f>IF(C144-Table_14634578112918[Ethiopia]&gt;0, C144-Table_14634578112918[Ethiopia], 0)</f>
        <v>3.3903579178737289</v>
      </c>
      <c r="I144" s="32">
        <f>IF(C144-Table_14634578112918[Kenya]&gt;0, C144-Table_14634578112918[Kenya], 0)</f>
        <v>0</v>
      </c>
      <c r="J144" s="32">
        <f>IF(C144-Table_14634578112918[Rwanda]&gt;0, C144-Table_14634578112918[Rwanda], 0)</f>
        <v>0</v>
      </c>
      <c r="K144" s="32">
        <f>IF(C144-Table_14634578112918[Sudan]&gt;0, C144-Table_14634578112918[Sudan], 0)</f>
        <v>0</v>
      </c>
      <c r="L144" s="32">
        <f>IF(C144-Table_14634578112918[S. Sudan]&gt;0, C144-Table_14634578112918[S. Sudan], 0)</f>
        <v>0</v>
      </c>
      <c r="M144" s="32">
        <f>IF(C144-Table_14634578112918[Tanzania]&gt;0, C144-Table_14634578112918[Tanzania], 0)</f>
        <v>0</v>
      </c>
      <c r="N144" s="32">
        <f>IF(C144-Table_14634578112918[Uganda]&gt;0, C144-Table_14634578112918[Uganda], 0)</f>
        <v>0</v>
      </c>
    </row>
    <row r="145" spans="1:31" ht="12.75" customHeight="1" x14ac:dyDescent="0.25"/>
    <row r="146" spans="1:31" ht="12.75" customHeight="1" x14ac:dyDescent="0.25"/>
    <row r="147" spans="1:31" ht="12.75" customHeight="1" x14ac:dyDescent="0.25">
      <c r="A147" s="255" t="s">
        <v>106</v>
      </c>
      <c r="B147" s="255"/>
      <c r="C147" s="255"/>
      <c r="D147" s="255"/>
      <c r="E147" s="255"/>
      <c r="F147" s="255"/>
      <c r="G147" s="255"/>
      <c r="H147" s="255"/>
      <c r="I147" s="255"/>
      <c r="J147" s="255"/>
    </row>
    <row r="148" spans="1:31" ht="12.75" customHeight="1" x14ac:dyDescent="0.25"/>
    <row r="149" spans="1:31" ht="12.75" customHeight="1" x14ac:dyDescent="0.25"/>
    <row r="150" spans="1:31" ht="12.75" customHeight="1" thickBot="1" x14ac:dyDescent="0.3">
      <c r="B150" s="253" t="s">
        <v>79</v>
      </c>
      <c r="C150" s="253"/>
      <c r="D150" s="253"/>
      <c r="E150" s="253"/>
      <c r="F150" s="253"/>
      <c r="G150" s="253"/>
      <c r="H150" s="253"/>
      <c r="I150" s="253"/>
      <c r="J150" s="253"/>
      <c r="K150" s="253"/>
      <c r="L150" s="253"/>
      <c r="M150" s="253"/>
      <c r="N150" s="253"/>
      <c r="O150" s="5"/>
      <c r="P150" s="253" t="s">
        <v>80</v>
      </c>
      <c r="Q150" s="253"/>
      <c r="R150" s="253"/>
      <c r="S150" s="253"/>
      <c r="T150" s="253"/>
      <c r="U150" s="253"/>
      <c r="V150" s="253"/>
      <c r="W150" s="253"/>
      <c r="X150" s="253"/>
      <c r="Y150" s="253"/>
      <c r="Z150" s="253"/>
      <c r="AA150" s="253"/>
      <c r="AB150" s="10"/>
      <c r="AC150" s="3" t="s">
        <v>22</v>
      </c>
      <c r="AD150" s="13" t="s">
        <v>23</v>
      </c>
      <c r="AE150" s="74">
        <f t="array" ref="AE150">MIN(IF(D153:N163&gt;0,D153:N163))</f>
        <v>0.73450706875127736</v>
      </c>
    </row>
    <row r="151" spans="1:31" ht="12.75" customHeight="1" thickBot="1" x14ac:dyDescent="0.3">
      <c r="B151" s="75" t="s">
        <v>13</v>
      </c>
      <c r="C151" s="66" t="s">
        <v>14</v>
      </c>
      <c r="D151" s="67" t="s">
        <v>1</v>
      </c>
      <c r="E151" s="67" t="s">
        <v>195</v>
      </c>
      <c r="F151" s="67" t="s">
        <v>2</v>
      </c>
      <c r="G151" s="67" t="s">
        <v>3</v>
      </c>
      <c r="H151" s="67" t="s">
        <v>4</v>
      </c>
      <c r="I151" s="67" t="s">
        <v>5</v>
      </c>
      <c r="J151" s="67" t="s">
        <v>6</v>
      </c>
      <c r="K151" s="67" t="s">
        <v>7</v>
      </c>
      <c r="L151" s="67" t="s">
        <v>295</v>
      </c>
      <c r="M151" s="67" t="s">
        <v>9</v>
      </c>
      <c r="N151" s="67" t="s">
        <v>10</v>
      </c>
      <c r="P151" s="76" t="s">
        <v>19</v>
      </c>
      <c r="Q151" s="77" t="s">
        <v>1</v>
      </c>
      <c r="R151" s="77" t="s">
        <v>195</v>
      </c>
      <c r="S151" s="77" t="s">
        <v>2</v>
      </c>
      <c r="T151" s="77" t="s">
        <v>3</v>
      </c>
      <c r="U151" s="77" t="s">
        <v>4</v>
      </c>
      <c r="V151" s="77" t="s">
        <v>5</v>
      </c>
      <c r="W151" s="77" t="s">
        <v>6</v>
      </c>
      <c r="X151" s="77" t="s">
        <v>7</v>
      </c>
      <c r="Y151" s="77" t="s">
        <v>295</v>
      </c>
      <c r="Z151" s="77" t="s">
        <v>9</v>
      </c>
      <c r="AA151" s="77" t="s">
        <v>10</v>
      </c>
      <c r="AB151" s="254" t="s">
        <v>26</v>
      </c>
      <c r="AC151" s="254"/>
      <c r="AD151" s="13" t="s">
        <v>24</v>
      </c>
      <c r="AE151" s="20">
        <f>MAX(D153:N163)</f>
        <v>116.60479745022056</v>
      </c>
    </row>
    <row r="152" spans="1:31" ht="12.75" customHeight="1" x14ac:dyDescent="0.25">
      <c r="B152" s="93"/>
      <c r="C152" s="94" t="s">
        <v>260</v>
      </c>
      <c r="D152" s="95">
        <f>C153</f>
        <v>-8.7036012972008034</v>
      </c>
      <c r="E152" s="95">
        <f>C154</f>
        <v>-5.4669578880312573</v>
      </c>
      <c r="F152" s="95">
        <f>C155</f>
        <v>-118.4247768378942</v>
      </c>
      <c r="G152" s="95">
        <f>C156</f>
        <v>-1.8199793876736456</v>
      </c>
      <c r="H152" s="95">
        <f>C157</f>
        <v>-55.34586646710364</v>
      </c>
      <c r="I152" s="95">
        <f>C158</f>
        <v>-27.851365586514603</v>
      </c>
      <c r="J152" s="95">
        <f>C159</f>
        <v>-16.119465359163375</v>
      </c>
      <c r="K152" s="95">
        <f>C160</f>
        <v>-52.172279261413046</v>
      </c>
      <c r="L152" s="95">
        <f>C161</f>
        <v>-15.384958290412097</v>
      </c>
      <c r="M152" s="95">
        <f>C162</f>
        <v>-16.92328594436843</v>
      </c>
      <c r="N152" s="95">
        <f>C163</f>
        <v>-59.135211649252149</v>
      </c>
      <c r="P152" s="21" t="s">
        <v>1</v>
      </c>
      <c r="Q152" s="97">
        <f>$AE$152+(D153-$AE$150)*($AE$153-$AE$152)/($AE$151-$AE$150)</f>
        <v>-5.3327066780172287E-3</v>
      </c>
      <c r="R152" s="97">
        <f t="shared" ref="R152:AA162" si="15">$AE$152+(E153-$AE$150)*($AE$153-$AE$152)/($AE$151-$AE$150)</f>
        <v>-5.3327066780172287E-3</v>
      </c>
      <c r="S152" s="97">
        <f t="shared" si="15"/>
        <v>0.94065141059905888</v>
      </c>
      <c r="T152" s="97">
        <f t="shared" si="15"/>
        <v>-5.3327066780172287E-3</v>
      </c>
      <c r="U152" s="97">
        <f t="shared" si="15"/>
        <v>0.39680336074125283</v>
      </c>
      <c r="V152" s="97">
        <f t="shared" si="15"/>
        <v>0.1597537573504155</v>
      </c>
      <c r="W152" s="97">
        <f t="shared" si="15"/>
        <v>5.8604720021358803E-2</v>
      </c>
      <c r="X152" s="97">
        <f t="shared" si="15"/>
        <v>0.36944161332483366</v>
      </c>
      <c r="Y152" s="97">
        <f t="shared" si="15"/>
        <v>5.227201334334157E-2</v>
      </c>
      <c r="Z152" s="97">
        <f t="shared" si="15"/>
        <v>6.5535027712624205E-2</v>
      </c>
      <c r="AA152" s="97">
        <f t="shared" si="15"/>
        <v>0.42947399464148311</v>
      </c>
      <c r="AD152" s="3" t="s">
        <v>25</v>
      </c>
      <c r="AE152" s="2">
        <v>1E-3</v>
      </c>
    </row>
    <row r="153" spans="1:31" ht="12.75" customHeight="1" x14ac:dyDescent="0.25">
      <c r="B153" s="21" t="s">
        <v>1</v>
      </c>
      <c r="C153" s="95">
        <f>Annual_sorted!V22</f>
        <v>-8.7036012972008034</v>
      </c>
      <c r="D153" s="29">
        <f>IF(C153-Table_1463457142[Burundi]&gt;0, C153-Table_1463457142[Burundi], 0)</f>
        <v>0</v>
      </c>
      <c r="E153" s="29">
        <f>IF(C153-Table_1463457142[DRC]&gt;0, C153-Table_1463457142[DRC], 0)</f>
        <v>0</v>
      </c>
      <c r="F153" s="29">
        <f>IF(C153-Table_1463457142[Egypt]&gt;0, C153-Table_1463457142[Egypt], 0)</f>
        <v>109.72117554069339</v>
      </c>
      <c r="G153" s="29">
        <f>IF(C153-Table_1463457142[Eritrea]&gt;0, C153-Table_1463457142[Eritrea], 0)</f>
        <v>0</v>
      </c>
      <c r="H153" s="29">
        <f>IF(C153-Table_1463457142[Ethiopia]&gt;0, C153-Table_1463457142[Ethiopia], 0)</f>
        <v>46.642265169902835</v>
      </c>
      <c r="I153" s="29">
        <f>IF(C153-Table_1463457142[Kenya]&gt;0, C153-Table_1463457142[Kenya], 0)</f>
        <v>19.147764289313798</v>
      </c>
      <c r="J153" s="29">
        <f>IF(C153-Table_1463457142[Rwanda]&gt;0, C153-Table_1463457142[Rwanda], 0)</f>
        <v>7.4158640619625711</v>
      </c>
      <c r="K153" s="29">
        <f>IF(C153-Table_1463457142[Sudan]&gt;0, C153-Table_1463457142[Sudan], 0)</f>
        <v>43.46867796421224</v>
      </c>
      <c r="L153" s="29">
        <f>IF(C153-Table_1463457142[S. Sudan]&gt;0, C153-Table_1463457142[S. Sudan], 0)</f>
        <v>6.6813569932112937</v>
      </c>
      <c r="M153" s="29">
        <f>IF(C153-Table_1463457142[Tanzania]&gt;0, C153-Table_1463457142[Tanzania], 0)</f>
        <v>8.219684647167627</v>
      </c>
      <c r="N153" s="29">
        <f>IF(C153-Table_1463457142[Uganda]&gt;0, C153-Table_1463457142[Uganda], 0)</f>
        <v>50.431610352051344</v>
      </c>
      <c r="P153" s="21" t="s">
        <v>195</v>
      </c>
      <c r="Q153" s="97">
        <f t="shared" ref="Q153:Q162" si="16">$AE$152+(D154-$AE$150)*($AE$153-$AE$152)/($AE$151-$AE$150)</f>
        <v>2.2572693016031382E-2</v>
      </c>
      <c r="R153" s="97">
        <f t="shared" si="15"/>
        <v>-5.3327066780172287E-3</v>
      </c>
      <c r="S153" s="97">
        <f t="shared" si="15"/>
        <v>0.96855681029310747</v>
      </c>
      <c r="T153" s="97">
        <f t="shared" si="15"/>
        <v>-5.3327066780172287E-3</v>
      </c>
      <c r="U153" s="97">
        <f t="shared" si="15"/>
        <v>0.42470876043530142</v>
      </c>
      <c r="V153" s="97">
        <f t="shared" si="15"/>
        <v>0.18765915704446412</v>
      </c>
      <c r="W153" s="97">
        <f t="shared" si="15"/>
        <v>8.6510119715407424E-2</v>
      </c>
      <c r="X153" s="97">
        <f t="shared" si="15"/>
        <v>0.39734701301888226</v>
      </c>
      <c r="Y153" s="97">
        <f t="shared" si="15"/>
        <v>8.0177413037390191E-2</v>
      </c>
      <c r="Z153" s="97">
        <f t="shared" si="15"/>
        <v>9.3440427406672813E-2</v>
      </c>
      <c r="AA153" s="97">
        <f t="shared" si="15"/>
        <v>0.45737939433553176</v>
      </c>
      <c r="AD153" s="3" t="s">
        <v>70</v>
      </c>
      <c r="AE153" s="2">
        <v>1</v>
      </c>
    </row>
    <row r="154" spans="1:31" ht="12.75" customHeight="1" x14ac:dyDescent="0.25">
      <c r="B154" s="21" t="s">
        <v>195</v>
      </c>
      <c r="C154" s="95">
        <f>Annual_sorted!V23</f>
        <v>-5.4669578880312573</v>
      </c>
      <c r="D154" s="29">
        <f>IF(C154-Table_1463457142[Burundi]&gt;0, C154-Table_1463457142[Burundi], 0)</f>
        <v>3.2366434091695462</v>
      </c>
      <c r="E154" s="29">
        <f>IF(C154-Table_1463457142[DRC]&gt;0, C154-Table_1463457142[DRC], 0)</f>
        <v>0</v>
      </c>
      <c r="F154" s="29">
        <f>IF(C154-Table_1463457142[Egypt]&gt;0, C154-Table_1463457142[Egypt], 0)</f>
        <v>112.95781894986294</v>
      </c>
      <c r="G154" s="29">
        <f>IF(C154-Table_1463457142[Eritrea]&gt;0, C154-Table_1463457142[Eritrea], 0)</f>
        <v>0</v>
      </c>
      <c r="H154" s="29">
        <f>IF(C154-Table_1463457142[Ethiopia]&gt;0, C154-Table_1463457142[Ethiopia], 0)</f>
        <v>49.87890857907238</v>
      </c>
      <c r="I154" s="29">
        <f>IF(C154-Table_1463457142[Kenya]&gt;0, C154-Table_1463457142[Kenya], 0)</f>
        <v>22.384407698483347</v>
      </c>
      <c r="J154" s="29">
        <f>IF(C154-Table_1463457142[Rwanda]&gt;0, C154-Table_1463457142[Rwanda], 0)</f>
        <v>10.652507471132118</v>
      </c>
      <c r="K154" s="29">
        <f>IF(C154-Table_1463457142[Sudan]&gt;0, C154-Table_1463457142[Sudan], 0)</f>
        <v>46.705321373381786</v>
      </c>
      <c r="L154" s="29">
        <f>IF(C154-Table_1463457142[S. Sudan]&gt;0, C154-Table_1463457142[S. Sudan], 0)</f>
        <v>9.9180004023808408</v>
      </c>
      <c r="M154" s="29">
        <f>IF(C154-Table_1463457142[Tanzania]&gt;0, C154-Table_1463457142[Tanzania], 0)</f>
        <v>11.456328056337174</v>
      </c>
      <c r="N154" s="29">
        <f>IF(C154-Table_1463457142[Uganda]&gt;0, C154-Table_1463457142[Uganda], 0)</f>
        <v>53.668253761220889</v>
      </c>
      <c r="P154" s="21" t="s">
        <v>2</v>
      </c>
      <c r="Q154" s="97">
        <f t="shared" si="16"/>
        <v>-5.3327066780172287E-3</v>
      </c>
      <c r="R154" s="97">
        <f t="shared" si="15"/>
        <v>-5.3327066780172287E-3</v>
      </c>
      <c r="S154" s="97">
        <f t="shared" si="15"/>
        <v>-5.3327066780172287E-3</v>
      </c>
      <c r="T154" s="97">
        <f t="shared" si="15"/>
        <v>-5.3327066780172287E-3</v>
      </c>
      <c r="U154" s="97">
        <f t="shared" si="15"/>
        <v>-5.3327066780172287E-3</v>
      </c>
      <c r="V154" s="97">
        <f t="shared" si="15"/>
        <v>-5.3327066780172287E-3</v>
      </c>
      <c r="W154" s="97">
        <f t="shared" si="15"/>
        <v>-5.3327066780172287E-3</v>
      </c>
      <c r="X154" s="97">
        <f t="shared" si="15"/>
        <v>-5.3327066780172287E-3</v>
      </c>
      <c r="Y154" s="97">
        <f t="shared" si="15"/>
        <v>-5.3327066780172287E-3</v>
      </c>
      <c r="Z154" s="97">
        <f t="shared" si="15"/>
        <v>-5.3327066780172287E-3</v>
      </c>
      <c r="AA154" s="97">
        <f t="shared" si="15"/>
        <v>-5.3327066780172287E-3</v>
      </c>
    </row>
    <row r="155" spans="1:31" ht="12.75" customHeight="1" x14ac:dyDescent="0.25">
      <c r="B155" s="21" t="s">
        <v>2</v>
      </c>
      <c r="C155" s="95">
        <f>Annual_sorted!V24</f>
        <v>-118.4247768378942</v>
      </c>
      <c r="D155" s="29">
        <f>IF(C155-Table_1463457142[Burundi]&gt;0, C155-Table_1463457142[Burundi], 0)</f>
        <v>0</v>
      </c>
      <c r="E155" s="29">
        <f>IF(C155-Table_1463457142[DRC]&gt;0, C155-Table_1463457142[DRC], 0)</f>
        <v>0</v>
      </c>
      <c r="F155" s="29">
        <f>IF(C155-Table_1463457142[Egypt]&gt;0, C155-Table_1463457142[Egypt], 0)</f>
        <v>0</v>
      </c>
      <c r="G155" s="29">
        <f>IF(C155-Table_1463457142[Eritrea]&gt;0, C155-Table_1463457142[Eritrea], 0)</f>
        <v>0</v>
      </c>
      <c r="H155" s="29">
        <f>IF(C155-Table_1463457142[Ethiopia]&gt;0, C155-Table_1463457142[Ethiopia], 0)</f>
        <v>0</v>
      </c>
      <c r="I155" s="29">
        <f>IF(C155-Table_1463457142[Kenya]&gt;0, C155-Table_1463457142[Kenya], 0)</f>
        <v>0</v>
      </c>
      <c r="J155" s="29">
        <f>IF(C155-Table_1463457142[Rwanda]&gt;0, C155-Table_1463457142[Rwanda], 0)</f>
        <v>0</v>
      </c>
      <c r="K155" s="29">
        <f>IF(C155-Table_1463457142[Sudan]&gt;0, C155-Table_1463457142[Sudan], 0)</f>
        <v>0</v>
      </c>
      <c r="L155" s="29">
        <f>IF(C155-Table_1463457142[S. Sudan]&gt;0, C155-Table_1463457142[S. Sudan], 0)</f>
        <v>0</v>
      </c>
      <c r="M155" s="29">
        <f>IF(C155-Table_1463457142[Tanzania]&gt;0, C155-Table_1463457142[Tanzania], 0)</f>
        <v>0</v>
      </c>
      <c r="N155" s="29">
        <f>IF(C155-Table_1463457142[Uganda]&gt;0, C155-Table_1463457142[Uganda], 0)</f>
        <v>0</v>
      </c>
      <c r="P155" s="21" t="s">
        <v>3</v>
      </c>
      <c r="Q155" s="97">
        <f t="shared" si="16"/>
        <v>5.4015882722923826E-2</v>
      </c>
      <c r="R155" s="97">
        <f t="shared" si="15"/>
        <v>2.6110483028875218E-2</v>
      </c>
      <c r="S155" s="97">
        <f t="shared" si="15"/>
        <v>1</v>
      </c>
      <c r="T155" s="97">
        <f t="shared" si="15"/>
        <v>-5.3327066780172287E-3</v>
      </c>
      <c r="U155" s="97">
        <f t="shared" si="15"/>
        <v>0.45615195014219384</v>
      </c>
      <c r="V155" s="97">
        <f t="shared" si="15"/>
        <v>0.21910234675135659</v>
      </c>
      <c r="W155" s="97">
        <f t="shared" si="15"/>
        <v>0.11795330942229985</v>
      </c>
      <c r="X155" s="97">
        <f t="shared" si="15"/>
        <v>0.42879020272577473</v>
      </c>
      <c r="Y155" s="97">
        <f t="shared" si="15"/>
        <v>0.11162060274428262</v>
      </c>
      <c r="Z155" s="97">
        <f t="shared" si="15"/>
        <v>0.12488361711356524</v>
      </c>
      <c r="AA155" s="97">
        <f t="shared" si="15"/>
        <v>0.48882258404242418</v>
      </c>
    </row>
    <row r="156" spans="1:31" ht="12.75" customHeight="1" x14ac:dyDescent="0.25">
      <c r="B156" s="21" t="s">
        <v>3</v>
      </c>
      <c r="C156" s="95">
        <f>Annual_sorted!V25</f>
        <v>-1.8199793876736456</v>
      </c>
      <c r="D156" s="29">
        <f>IF(C156-Table_1463457142[Burundi]&gt;0, C156-Table_1463457142[Burundi], 0)</f>
        <v>6.8836219095271574</v>
      </c>
      <c r="E156" s="29">
        <f>IF(C156-Table_1463457142[DRC]&gt;0, C156-Table_1463457142[DRC], 0)</f>
        <v>3.6469785003576116</v>
      </c>
      <c r="F156" s="29">
        <f>IF(C156-Table_1463457142[Egypt]&gt;0, C156-Table_1463457142[Egypt], 0)</f>
        <v>116.60479745022056</v>
      </c>
      <c r="G156" s="29">
        <f>IF(C156-Table_1463457142[Eritrea]&gt;0, C156-Table_1463457142[Eritrea], 0)</f>
        <v>0</v>
      </c>
      <c r="H156" s="29">
        <f>IF(C156-Table_1463457142[Ethiopia]&gt;0, C156-Table_1463457142[Ethiopia], 0)</f>
        <v>53.525887079429992</v>
      </c>
      <c r="I156" s="29">
        <f>IF(C156-Table_1463457142[Kenya]&gt;0, C156-Table_1463457142[Kenya], 0)</f>
        <v>26.031386198840959</v>
      </c>
      <c r="J156" s="29">
        <f>IF(C156-Table_1463457142[Rwanda]&gt;0, C156-Table_1463457142[Rwanda], 0)</f>
        <v>14.299485971489728</v>
      </c>
      <c r="K156" s="29">
        <f>IF(C156-Table_1463457142[Sudan]&gt;0, C156-Table_1463457142[Sudan], 0)</f>
        <v>50.352299873739398</v>
      </c>
      <c r="L156" s="29">
        <f>IF(C156-Table_1463457142[S. Sudan]&gt;0, C156-Table_1463457142[S. Sudan], 0)</f>
        <v>13.564978902738451</v>
      </c>
      <c r="M156" s="29">
        <f>IF(C156-Table_1463457142[Tanzania]&gt;0, C156-Table_1463457142[Tanzania], 0)</f>
        <v>15.103306556694784</v>
      </c>
      <c r="N156" s="29">
        <f>IF(C156-Table_1463457142[Uganda]&gt;0, C156-Table_1463457142[Uganda], 0)</f>
        <v>57.315232261578501</v>
      </c>
      <c r="P156" s="21" t="s">
        <v>4</v>
      </c>
      <c r="Q156" s="97">
        <f t="shared" si="16"/>
        <v>-5.3327066780172287E-3</v>
      </c>
      <c r="R156" s="97">
        <f t="shared" si="15"/>
        <v>-5.3327066780172287E-3</v>
      </c>
      <c r="S156" s="97">
        <f t="shared" si="15"/>
        <v>0.53851534317978877</v>
      </c>
      <c r="T156" s="97">
        <f t="shared" si="15"/>
        <v>-5.3327066780172287E-3</v>
      </c>
      <c r="U156" s="97">
        <f t="shared" si="15"/>
        <v>-5.3327066780172287E-3</v>
      </c>
      <c r="V156" s="97">
        <f t="shared" si="15"/>
        <v>-5.3327066780172287E-3</v>
      </c>
      <c r="W156" s="97">
        <f t="shared" si="15"/>
        <v>-5.3327066780172287E-3</v>
      </c>
      <c r="X156" s="97">
        <f t="shared" si="15"/>
        <v>-5.3327066780172287E-3</v>
      </c>
      <c r="Y156" s="97">
        <f t="shared" si="15"/>
        <v>-5.3327066780172287E-3</v>
      </c>
      <c r="Z156" s="97">
        <f t="shared" si="15"/>
        <v>-5.3327066780172287E-3</v>
      </c>
      <c r="AA156" s="97">
        <f t="shared" si="15"/>
        <v>2.7337927222213079E-2</v>
      </c>
    </row>
    <row r="157" spans="1:31" ht="12.75" customHeight="1" x14ac:dyDescent="0.25">
      <c r="B157" s="21" t="s">
        <v>4</v>
      </c>
      <c r="C157" s="95">
        <f>Annual_sorted!V26</f>
        <v>-55.34586646710364</v>
      </c>
      <c r="D157" s="29">
        <f>IF(C157-Table_1463457142[Burundi]&gt;0, C157-Table_1463457142[Burundi], 0)</f>
        <v>0</v>
      </c>
      <c r="E157" s="29">
        <f>IF(C157-Table_1463457142[DRC]&gt;0, C157-Table_1463457142[DRC], 0)</f>
        <v>0</v>
      </c>
      <c r="F157" s="29">
        <f>IF(C157-Table_1463457142[Egypt]&gt;0, C157-Table_1463457142[Egypt], 0)</f>
        <v>63.07891037079056</v>
      </c>
      <c r="G157" s="29">
        <f>IF(C157-Table_1463457142[Eritrea]&gt;0, C157-Table_1463457142[Eritrea], 0)</f>
        <v>0</v>
      </c>
      <c r="H157" s="29">
        <f>IF(C157-Table_1463457142[Ethiopia]&gt;0, C157-Table_1463457142[Ethiopia], 0)</f>
        <v>0</v>
      </c>
      <c r="I157" s="29">
        <f>IF(C157-Table_1463457142[Kenya]&gt;0, C157-Table_1463457142[Kenya], 0)</f>
        <v>0</v>
      </c>
      <c r="J157" s="29">
        <f>IF(C157-Table_1463457142[Rwanda]&gt;0, C157-Table_1463457142[Rwanda], 0)</f>
        <v>0</v>
      </c>
      <c r="K157" s="29">
        <f>IF(C157-Table_1463457142[Sudan]&gt;0, C157-Table_1463457142[Sudan], 0)</f>
        <v>0</v>
      </c>
      <c r="L157" s="29">
        <f>IF(C157-Table_1463457142[S. Sudan]&gt;0, C157-Table_1463457142[S. Sudan], 0)</f>
        <v>0</v>
      </c>
      <c r="M157" s="29">
        <f>IF(C157-Table_1463457142[Tanzania]&gt;0, C157-Table_1463457142[Tanzania], 0)</f>
        <v>0</v>
      </c>
      <c r="N157" s="29">
        <f>IF(C157-Table_1463457142[Uganda]&gt;0, C157-Table_1463457142[Uganda], 0)</f>
        <v>3.7893451821485087</v>
      </c>
      <c r="P157" s="21" t="s">
        <v>5</v>
      </c>
      <c r="Q157" s="97">
        <f t="shared" si="16"/>
        <v>-5.3327066780172287E-3</v>
      </c>
      <c r="R157" s="97">
        <f t="shared" si="15"/>
        <v>-5.3327066780172287E-3</v>
      </c>
      <c r="S157" s="97">
        <f t="shared" si="15"/>
        <v>0.77556494657062602</v>
      </c>
      <c r="T157" s="97">
        <f t="shared" si="15"/>
        <v>-5.3327066780172287E-3</v>
      </c>
      <c r="U157" s="97">
        <f t="shared" si="15"/>
        <v>0.23171689671282011</v>
      </c>
      <c r="V157" s="97">
        <f t="shared" si="15"/>
        <v>-5.3327066780172287E-3</v>
      </c>
      <c r="W157" s="97">
        <f t="shared" si="15"/>
        <v>-5.3327066780172287E-3</v>
      </c>
      <c r="X157" s="97">
        <f t="shared" si="15"/>
        <v>0.20435514929640095</v>
      </c>
      <c r="Y157" s="97">
        <f t="shared" si="15"/>
        <v>-5.3327066780172287E-3</v>
      </c>
      <c r="Z157" s="97">
        <f t="shared" si="15"/>
        <v>-5.3327066780172287E-3</v>
      </c>
      <c r="AA157" s="97">
        <f t="shared" si="15"/>
        <v>0.26438753061305043</v>
      </c>
    </row>
    <row r="158" spans="1:31" ht="12.75" customHeight="1" x14ac:dyDescent="0.25">
      <c r="B158" s="21" t="s">
        <v>5</v>
      </c>
      <c r="C158" s="95">
        <f>Annual_sorted!V27</f>
        <v>-27.851365586514603</v>
      </c>
      <c r="D158" s="29">
        <f>IF(C158-Table_1463457142[Burundi]&gt;0, C158-Table_1463457142[Burundi], 0)</f>
        <v>0</v>
      </c>
      <c r="E158" s="29">
        <f>IF(C158-Table_1463457142[DRC]&gt;0, C158-Table_1463457142[DRC], 0)</f>
        <v>0</v>
      </c>
      <c r="F158" s="29">
        <f>IF(C158-Table_1463457142[Egypt]&gt;0, C158-Table_1463457142[Egypt], 0)</f>
        <v>90.573411251379596</v>
      </c>
      <c r="G158" s="29">
        <f>IF(C158-Table_1463457142[Eritrea]&gt;0, C158-Table_1463457142[Eritrea], 0)</f>
        <v>0</v>
      </c>
      <c r="H158" s="29">
        <f>IF(C158-Table_1463457142[Ethiopia]&gt;0, C158-Table_1463457142[Ethiopia], 0)</f>
        <v>27.494500880589037</v>
      </c>
      <c r="I158" s="29">
        <f>IF(C158-Table_1463457142[Kenya]&gt;0, C158-Table_1463457142[Kenya], 0)</f>
        <v>0</v>
      </c>
      <c r="J158" s="29">
        <f>IF(C158-Table_1463457142[Rwanda]&gt;0, C158-Table_1463457142[Rwanda], 0)</f>
        <v>0</v>
      </c>
      <c r="K158" s="29">
        <f>IF(C158-Table_1463457142[Sudan]&gt;0, C158-Table_1463457142[Sudan], 0)</f>
        <v>24.320913674898442</v>
      </c>
      <c r="L158" s="29">
        <f>IF(C158-Table_1463457142[S. Sudan]&gt;0, C158-Table_1463457142[S. Sudan], 0)</f>
        <v>0</v>
      </c>
      <c r="M158" s="29">
        <f>IF(C158-Table_1463457142[Tanzania]&gt;0, C158-Table_1463457142[Tanzania], 0)</f>
        <v>0</v>
      </c>
      <c r="N158" s="29">
        <f>IF(C158-Table_1463457142[Uganda]&gt;0, C158-Table_1463457142[Uganda], 0)</f>
        <v>31.283846062737545</v>
      </c>
      <c r="P158" s="21" t="s">
        <v>6</v>
      </c>
      <c r="Q158" s="97">
        <f t="shared" si="16"/>
        <v>-5.3327066780172287E-3</v>
      </c>
      <c r="R158" s="97">
        <f t="shared" si="15"/>
        <v>-5.3327066780172287E-3</v>
      </c>
      <c r="S158" s="97">
        <f t="shared" si="15"/>
        <v>0.87671398389968291</v>
      </c>
      <c r="T158" s="97">
        <f t="shared" si="15"/>
        <v>-5.3327066780172287E-3</v>
      </c>
      <c r="U158" s="97">
        <f t="shared" si="15"/>
        <v>0.33286593404187675</v>
      </c>
      <c r="V158" s="97">
        <f t="shared" si="15"/>
        <v>9.5816330651039477E-2</v>
      </c>
      <c r="W158" s="97">
        <f t="shared" si="15"/>
        <v>-5.3327066780172287E-3</v>
      </c>
      <c r="X158" s="97">
        <f t="shared" si="15"/>
        <v>0.30550418662545764</v>
      </c>
      <c r="Y158" s="97">
        <f t="shared" si="15"/>
        <v>-5.3327066780172287E-3</v>
      </c>
      <c r="Z158" s="97">
        <f t="shared" si="15"/>
        <v>1.597601013248162E-3</v>
      </c>
      <c r="AA158" s="97">
        <f t="shared" si="15"/>
        <v>0.36553656794210709</v>
      </c>
    </row>
    <row r="159" spans="1:31" ht="12.75" customHeight="1" x14ac:dyDescent="0.25">
      <c r="B159" s="21" t="s">
        <v>6</v>
      </c>
      <c r="C159" s="95">
        <f>Annual_sorted!V28</f>
        <v>-16.119465359163375</v>
      </c>
      <c r="D159" s="29">
        <f>IF(C159-Table_1463457142[Burundi]&gt;0, C159-Table_1463457142[Burundi], 0)</f>
        <v>0</v>
      </c>
      <c r="E159" s="29">
        <f>IF(C159-Table_1463457142[DRC]&gt;0, C159-Table_1463457142[DRC], 0)</f>
        <v>0</v>
      </c>
      <c r="F159" s="29">
        <f>IF(C159-Table_1463457142[Egypt]&gt;0, C159-Table_1463457142[Egypt], 0)</f>
        <v>102.30531147873083</v>
      </c>
      <c r="G159" s="29">
        <f>IF(C159-Table_1463457142[Eritrea]&gt;0, C159-Table_1463457142[Eritrea], 0)</f>
        <v>0</v>
      </c>
      <c r="H159" s="29">
        <f>IF(C159-Table_1463457142[Ethiopia]&gt;0, C159-Table_1463457142[Ethiopia], 0)</f>
        <v>39.226401107940262</v>
      </c>
      <c r="I159" s="29">
        <f>IF(C159-Table_1463457142[Kenya]&gt;0, C159-Table_1463457142[Kenya], 0)</f>
        <v>11.731900227351229</v>
      </c>
      <c r="J159" s="29">
        <f>IF(C159-Table_1463457142[Rwanda]&gt;0, C159-Table_1463457142[Rwanda], 0)</f>
        <v>0</v>
      </c>
      <c r="K159" s="29">
        <f>IF(C159-Table_1463457142[Sudan]&gt;0, C159-Table_1463457142[Sudan], 0)</f>
        <v>36.052813902249667</v>
      </c>
      <c r="L159" s="29">
        <f>IF(C159-Table_1463457142[S. Sudan]&gt;0, C159-Table_1463457142[S. Sudan], 0)</f>
        <v>0</v>
      </c>
      <c r="M159" s="29">
        <f>IF(C159-Table_1463457142[Tanzania]&gt;0, C159-Table_1463457142[Tanzania], 0)</f>
        <v>0.80382058520505595</v>
      </c>
      <c r="N159" s="29">
        <f>IF(C159-Table_1463457142[Uganda]&gt;0, C159-Table_1463457142[Uganda], 0)</f>
        <v>43.015746290088771</v>
      </c>
      <c r="P159" s="21" t="s">
        <v>7</v>
      </c>
      <c r="Q159" s="97">
        <f t="shared" si="16"/>
        <v>-5.3327066780172287E-3</v>
      </c>
      <c r="R159" s="97">
        <f t="shared" si="15"/>
        <v>-5.3327066780172287E-3</v>
      </c>
      <c r="S159" s="97">
        <f t="shared" si="15"/>
        <v>0.56587709059620794</v>
      </c>
      <c r="T159" s="97">
        <f t="shared" si="15"/>
        <v>-5.3327066780172287E-3</v>
      </c>
      <c r="U159" s="97">
        <f t="shared" si="15"/>
        <v>2.2029040738401923E-2</v>
      </c>
      <c r="V159" s="97">
        <f t="shared" si="15"/>
        <v>-5.3327066780172287E-3</v>
      </c>
      <c r="W159" s="97">
        <f t="shared" si="15"/>
        <v>-5.3327066780172287E-3</v>
      </c>
      <c r="X159" s="97">
        <f t="shared" si="15"/>
        <v>-5.3327066780172287E-3</v>
      </c>
      <c r="Y159" s="97">
        <f t="shared" si="15"/>
        <v>-5.3327066780172287E-3</v>
      </c>
      <c r="Z159" s="97">
        <f t="shared" si="15"/>
        <v>-5.3327066780172287E-3</v>
      </c>
      <c r="AA159" s="97">
        <f t="shared" si="15"/>
        <v>5.4699674638632234E-2</v>
      </c>
    </row>
    <row r="160" spans="1:31" ht="12.75" customHeight="1" x14ac:dyDescent="0.25">
      <c r="B160" s="21" t="s">
        <v>7</v>
      </c>
      <c r="C160" s="95">
        <f>Annual_sorted!V29</f>
        <v>-52.172279261413046</v>
      </c>
      <c r="D160" s="29">
        <f>IF(C160-Table_1463457142[Burundi]&gt;0, C160-Table_1463457142[Burundi], 0)</f>
        <v>0</v>
      </c>
      <c r="E160" s="29">
        <f>IF(C160-Table_1463457142[DRC]&gt;0, C160-Table_1463457142[DRC], 0)</f>
        <v>0</v>
      </c>
      <c r="F160" s="29">
        <f>IF(C160-Table_1463457142[Egypt]&gt;0, C160-Table_1463457142[Egypt], 0)</f>
        <v>66.252497576481147</v>
      </c>
      <c r="G160" s="29">
        <f>IF(C160-Table_1463457142[Eritrea]&gt;0, C160-Table_1463457142[Eritrea], 0)</f>
        <v>0</v>
      </c>
      <c r="H160" s="29">
        <f>IF(C160-Table_1463457142[Ethiopia]&gt;0, C160-Table_1463457142[Ethiopia], 0)</f>
        <v>3.1735872056905947</v>
      </c>
      <c r="I160" s="29">
        <f>IF(C160-Table_1463457142[Kenya]&gt;0, C160-Table_1463457142[Kenya], 0)</f>
        <v>0</v>
      </c>
      <c r="J160" s="29">
        <f>IF(C160-Table_1463457142[Rwanda]&gt;0, C160-Table_1463457142[Rwanda], 0)</f>
        <v>0</v>
      </c>
      <c r="K160" s="29">
        <f>IF(C160-Table_1463457142[Sudan]&gt;0, C160-Table_1463457142[Sudan], 0)</f>
        <v>0</v>
      </c>
      <c r="L160" s="29">
        <f>IF(C160-Table_1463457142[S. Sudan]&gt;0, C160-Table_1463457142[S. Sudan], 0)</f>
        <v>0</v>
      </c>
      <c r="M160" s="29">
        <f>IF(C160-Table_1463457142[Tanzania]&gt;0, C160-Table_1463457142[Tanzania], 0)</f>
        <v>0</v>
      </c>
      <c r="N160" s="29">
        <f>IF(C160-Table_1463457142[Uganda]&gt;0, C160-Table_1463457142[Uganda], 0)</f>
        <v>6.9629323878391034</v>
      </c>
      <c r="P160" s="21" t="s">
        <v>8</v>
      </c>
      <c r="Q160" s="97">
        <f t="shared" si="16"/>
        <v>-5.3327066780172287E-3</v>
      </c>
      <c r="R160" s="97">
        <f t="shared" si="15"/>
        <v>-5.3327066780172287E-3</v>
      </c>
      <c r="S160" s="97">
        <f t="shared" si="15"/>
        <v>0.88304669057770002</v>
      </c>
      <c r="T160" s="97">
        <f t="shared" si="15"/>
        <v>-5.3327066780172287E-3</v>
      </c>
      <c r="U160" s="97">
        <f t="shared" si="15"/>
        <v>0.33919864071989408</v>
      </c>
      <c r="V160" s="97">
        <f t="shared" si="15"/>
        <v>0.10214903732905671</v>
      </c>
      <c r="W160" s="97">
        <f t="shared" si="15"/>
        <v>1E-3</v>
      </c>
      <c r="X160" s="97">
        <f t="shared" si="15"/>
        <v>0.31183689330347492</v>
      </c>
      <c r="Y160" s="97">
        <f t="shared" si="15"/>
        <v>-5.3327066780172287E-3</v>
      </c>
      <c r="Z160" s="97">
        <f t="shared" si="15"/>
        <v>7.9303076912653914E-3</v>
      </c>
      <c r="AA160" s="97">
        <f t="shared" si="15"/>
        <v>0.37186927462012437</v>
      </c>
    </row>
    <row r="161" spans="2:31" ht="12.75" customHeight="1" x14ac:dyDescent="0.25">
      <c r="B161" s="21" t="s">
        <v>8</v>
      </c>
      <c r="C161" s="95">
        <f>Annual_sorted!V30</f>
        <v>-15.384958290412097</v>
      </c>
      <c r="D161" s="29">
        <f>IF(C161-Table_1463457142[Burundi]&gt;0, C161-Table_1463457142[Burundi], 0)</f>
        <v>0</v>
      </c>
      <c r="E161" s="29">
        <f>IF(C161-Table_1463457142[DRC]&gt;0, C161-Table_1463457142[DRC], 0)</f>
        <v>0</v>
      </c>
      <c r="F161" s="29">
        <f>IF(C161-Table_1463457142[Egypt]&gt;0, C161-Table_1463457142[Egypt], 0)</f>
        <v>103.0398185474821</v>
      </c>
      <c r="G161" s="29">
        <f>IF(C161-Table_1463457142[Eritrea]&gt;0, C161-Table_1463457142[Eritrea], 0)</f>
        <v>0</v>
      </c>
      <c r="H161" s="29">
        <f>IF(C161-Table_1463457142[Ethiopia]&gt;0, C161-Table_1463457142[Ethiopia], 0)</f>
        <v>39.960908176691547</v>
      </c>
      <c r="I161" s="29">
        <f>IF(C161-Table_1463457142[Kenya]&gt;0, C161-Table_1463457142[Kenya], 0)</f>
        <v>12.466407296102506</v>
      </c>
      <c r="J161" s="29">
        <f>IF(C161-Table_1463457142[Rwanda]&gt;0, C161-Table_1463457142[Rwanda], 0)</f>
        <v>0.73450706875127736</v>
      </c>
      <c r="K161" s="29">
        <f>IF(C161-Table_1463457142[Sudan]&gt;0, C161-Table_1463457142[Sudan], 0)</f>
        <v>36.787320971000952</v>
      </c>
      <c r="L161" s="29">
        <f>IF(C161-Table_1463457142[S. Sudan]&gt;0, C161-Table_1463457142[S. Sudan], 0)</f>
        <v>0</v>
      </c>
      <c r="M161" s="29">
        <f>IF(C161-Table_1463457142[Tanzania]&gt;0, C161-Table_1463457142[Tanzania], 0)</f>
        <v>1.5383276539563333</v>
      </c>
      <c r="N161" s="29">
        <f>IF(C161-Table_1463457142[Uganda]&gt;0, C161-Table_1463457142[Uganda], 0)</f>
        <v>43.750253358840055</v>
      </c>
      <c r="P161" s="21" t="s">
        <v>9</v>
      </c>
      <c r="Q161" s="97">
        <f t="shared" si="16"/>
        <v>-5.3327066780172287E-3</v>
      </c>
      <c r="R161" s="97">
        <f t="shared" si="15"/>
        <v>-5.3327066780172287E-3</v>
      </c>
      <c r="S161" s="97">
        <f t="shared" si="15"/>
        <v>0.86978367620841734</v>
      </c>
      <c r="T161" s="97">
        <f t="shared" si="15"/>
        <v>-5.3327066780172287E-3</v>
      </c>
      <c r="U161" s="97">
        <f t="shared" si="15"/>
        <v>0.32593562635061141</v>
      </c>
      <c r="V161" s="97">
        <f t="shared" si="15"/>
        <v>8.8886022959774103E-2</v>
      </c>
      <c r="W161" s="97">
        <f t="shared" si="15"/>
        <v>-5.3327066780172287E-3</v>
      </c>
      <c r="X161" s="97">
        <f t="shared" si="15"/>
        <v>0.29857387893419229</v>
      </c>
      <c r="Y161" s="97">
        <f t="shared" si="15"/>
        <v>-5.3327066780172287E-3</v>
      </c>
      <c r="Z161" s="97">
        <f t="shared" si="15"/>
        <v>-5.3327066780172287E-3</v>
      </c>
      <c r="AA161" s="97">
        <f t="shared" si="15"/>
        <v>0.35860626025084169</v>
      </c>
    </row>
    <row r="162" spans="2:31" ht="12.75" customHeight="1" thickBot="1" x14ac:dyDescent="0.3">
      <c r="B162" s="21" t="s">
        <v>9</v>
      </c>
      <c r="C162" s="95">
        <f>Annual_sorted!V31</f>
        <v>-16.92328594436843</v>
      </c>
      <c r="D162" s="29">
        <f>IF(C162-Table_1463457142[Burundi]&gt;0, C162-Table_1463457142[Burundi], 0)</f>
        <v>0</v>
      </c>
      <c r="E162" s="29">
        <f>IF(C162-Table_1463457142[DRC]&gt;0, C162-Table_1463457142[DRC], 0)</f>
        <v>0</v>
      </c>
      <c r="F162" s="29">
        <f>IF(C162-Table_1463457142[Egypt]&gt;0, C162-Table_1463457142[Egypt], 0)</f>
        <v>101.50149089352577</v>
      </c>
      <c r="G162" s="29">
        <f>IF(C162-Table_1463457142[Eritrea]&gt;0, C162-Table_1463457142[Eritrea], 0)</f>
        <v>0</v>
      </c>
      <c r="H162" s="29">
        <f>IF(C162-Table_1463457142[Ethiopia]&gt;0, C162-Table_1463457142[Ethiopia], 0)</f>
        <v>38.42258052273521</v>
      </c>
      <c r="I162" s="29">
        <f>IF(C162-Table_1463457142[Kenya]&gt;0, C162-Table_1463457142[Kenya], 0)</f>
        <v>10.928079642146173</v>
      </c>
      <c r="J162" s="29">
        <f>IF(C162-Table_1463457142[Rwanda]&gt;0, C162-Table_1463457142[Rwanda], 0)</f>
        <v>0</v>
      </c>
      <c r="K162" s="29">
        <f>IF(C162-Table_1463457142[Sudan]&gt;0, C162-Table_1463457142[Sudan], 0)</f>
        <v>35.248993317044615</v>
      </c>
      <c r="L162" s="29">
        <f>IF(C162-Table_1463457142[S. Sudan]&gt;0, C162-Table_1463457142[S. Sudan], 0)</f>
        <v>0</v>
      </c>
      <c r="M162" s="29">
        <f>IF(C162-Table_1463457142[Tanzania]&gt;0, C162-Table_1463457142[Tanzania], 0)</f>
        <v>0</v>
      </c>
      <c r="N162" s="29">
        <f>IF(C162-Table_1463457142[Uganda]&gt;0, C162-Table_1463457142[Uganda], 0)</f>
        <v>42.211925704883718</v>
      </c>
      <c r="P162" s="22" t="s">
        <v>10</v>
      </c>
      <c r="Q162" s="98">
        <f t="shared" si="16"/>
        <v>-5.3327066780172287E-3</v>
      </c>
      <c r="R162" s="98">
        <f t="shared" si="15"/>
        <v>-5.3327066780172287E-3</v>
      </c>
      <c r="S162" s="98">
        <f t="shared" si="15"/>
        <v>0.50584470927955849</v>
      </c>
      <c r="T162" s="98">
        <f t="shared" si="15"/>
        <v>-5.3327066780172287E-3</v>
      </c>
      <c r="U162" s="98">
        <f t="shared" si="15"/>
        <v>-5.3327066780172287E-3</v>
      </c>
      <c r="V162" s="98">
        <f t="shared" si="15"/>
        <v>-5.3327066780172287E-3</v>
      </c>
      <c r="W162" s="98">
        <f t="shared" si="15"/>
        <v>-5.3327066780172287E-3</v>
      </c>
      <c r="X162" s="98">
        <f t="shared" si="15"/>
        <v>-5.3327066780172287E-3</v>
      </c>
      <c r="Y162" s="98">
        <f t="shared" si="15"/>
        <v>-5.3327066780172287E-3</v>
      </c>
      <c r="Z162" s="98">
        <f t="shared" si="15"/>
        <v>-5.3327066780172287E-3</v>
      </c>
      <c r="AA162" s="98">
        <f t="shared" si="15"/>
        <v>-5.3327066780172287E-3</v>
      </c>
    </row>
    <row r="163" spans="2:31" ht="12.75" customHeight="1" thickBot="1" x14ac:dyDescent="0.3">
      <c r="B163" s="22" t="s">
        <v>10</v>
      </c>
      <c r="C163" s="96">
        <f>Annual_sorted!V32</f>
        <v>-59.135211649252149</v>
      </c>
      <c r="D163" s="32">
        <f>IF(C163-Table_1463457142[Burundi]&gt;0, C163-Table_1463457142[Burundi], 0)</f>
        <v>0</v>
      </c>
      <c r="E163" s="32">
        <f>IF(C163-Table_1463457142[DRC]&gt;0, C163-Table_1463457142[DRC], 0)</f>
        <v>0</v>
      </c>
      <c r="F163" s="32">
        <f>IF(C163-Table_1463457142[Egypt]&gt;0, C163-Table_1463457142[Egypt], 0)</f>
        <v>59.289565188642051</v>
      </c>
      <c r="G163" s="32">
        <f>IF(C163-Table_1463457142[Eritrea]&gt;0, C163-Table_1463457142[Eritrea], 0)</f>
        <v>0</v>
      </c>
      <c r="H163" s="32">
        <f>IF(C163-Table_1463457142[Ethiopia]&gt;0, C163-Table_1463457142[Ethiopia], 0)</f>
        <v>0</v>
      </c>
      <c r="I163" s="32">
        <f>IF(C163-Table_1463457142[Kenya]&gt;0, C163-Table_1463457142[Kenya], 0)</f>
        <v>0</v>
      </c>
      <c r="J163" s="32">
        <f>IF(C163-Table_1463457142[Rwanda]&gt;0, C163-Table_1463457142[Rwanda], 0)</f>
        <v>0</v>
      </c>
      <c r="K163" s="32">
        <f>IF(C163-Table_1463457142[Sudan]&gt;0, C163-Table_1463457142[Sudan], 0)</f>
        <v>0</v>
      </c>
      <c r="L163" s="32">
        <f>IF(C163-Table_1463457142[S. Sudan]&gt;0, C163-Table_1463457142[S. Sudan], 0)</f>
        <v>0</v>
      </c>
      <c r="M163" s="32">
        <f>IF(C163-Table_1463457142[Tanzania]&gt;0, C163-Table_1463457142[Tanzania], 0)</f>
        <v>0</v>
      </c>
      <c r="N163" s="32">
        <f>IF(C163-Table_1463457142[Uganda]&gt;0, C163-Table_1463457142[Uganda], 0)</f>
        <v>0</v>
      </c>
    </row>
    <row r="164" spans="2:31" ht="12.75" customHeight="1" x14ac:dyDescent="0.25"/>
    <row r="165" spans="2:31" ht="12.75" customHeight="1" x14ac:dyDescent="0.25"/>
    <row r="166" spans="2:31" ht="12.75" customHeight="1" x14ac:dyDescent="0.25"/>
    <row r="167" spans="2:31" ht="12.75" customHeight="1" x14ac:dyDescent="0.25"/>
    <row r="168" spans="2:31" ht="12.75" customHeight="1" thickBot="1" x14ac:dyDescent="0.3">
      <c r="B168" s="253" t="s">
        <v>89</v>
      </c>
      <c r="C168" s="253"/>
      <c r="D168" s="253"/>
      <c r="E168" s="253"/>
      <c r="F168" s="253"/>
      <c r="G168" s="253"/>
      <c r="H168" s="253"/>
      <c r="I168" s="253"/>
      <c r="J168" s="253"/>
      <c r="K168" s="253"/>
      <c r="L168" s="253"/>
      <c r="M168" s="253"/>
      <c r="N168" s="253"/>
      <c r="P168" s="253" t="s">
        <v>90</v>
      </c>
      <c r="Q168" s="253"/>
      <c r="R168" s="253"/>
      <c r="S168" s="253"/>
      <c r="T168" s="253"/>
      <c r="U168" s="253"/>
      <c r="V168" s="253"/>
      <c r="W168" s="253"/>
      <c r="X168" s="253"/>
      <c r="Y168" s="253"/>
      <c r="Z168" s="253"/>
      <c r="AA168" s="253"/>
      <c r="AB168" s="10"/>
      <c r="AC168" s="3" t="s">
        <v>22</v>
      </c>
      <c r="AD168" s="13" t="s">
        <v>23</v>
      </c>
      <c r="AE168" s="74">
        <f t="array" ref="AE168">MIN(IF(D171:N181&gt;0,D171:N181))</f>
        <v>2.7345097879746483E-2</v>
      </c>
    </row>
    <row r="169" spans="2:31" ht="12.75" customHeight="1" thickBot="1" x14ac:dyDescent="0.3">
      <c r="B169" s="75" t="s">
        <v>13</v>
      </c>
      <c r="C169" s="66" t="s">
        <v>14</v>
      </c>
      <c r="D169" s="67" t="s">
        <v>1</v>
      </c>
      <c r="E169" s="67" t="s">
        <v>195</v>
      </c>
      <c r="F169" s="67" t="s">
        <v>2</v>
      </c>
      <c r="G169" s="67" t="s">
        <v>3</v>
      </c>
      <c r="H169" s="67" t="s">
        <v>4</v>
      </c>
      <c r="I169" s="67" t="s">
        <v>5</v>
      </c>
      <c r="J169" s="67" t="s">
        <v>6</v>
      </c>
      <c r="K169" s="67" t="s">
        <v>7</v>
      </c>
      <c r="L169" s="67" t="s">
        <v>295</v>
      </c>
      <c r="M169" s="67" t="s">
        <v>9</v>
      </c>
      <c r="N169" s="67" t="s">
        <v>10</v>
      </c>
      <c r="P169" s="76" t="s">
        <v>19</v>
      </c>
      <c r="Q169" s="77" t="s">
        <v>1</v>
      </c>
      <c r="R169" s="77" t="s">
        <v>195</v>
      </c>
      <c r="S169" s="77" t="s">
        <v>2</v>
      </c>
      <c r="T169" s="77" t="s">
        <v>3</v>
      </c>
      <c r="U169" s="77" t="s">
        <v>4</v>
      </c>
      <c r="V169" s="77" t="s">
        <v>5</v>
      </c>
      <c r="W169" s="77" t="s">
        <v>6</v>
      </c>
      <c r="X169" s="77" t="s">
        <v>7</v>
      </c>
      <c r="Y169" s="77" t="s">
        <v>295</v>
      </c>
      <c r="Z169" s="77" t="s">
        <v>9</v>
      </c>
      <c r="AA169" s="77" t="s">
        <v>10</v>
      </c>
      <c r="AB169" s="254" t="s">
        <v>26</v>
      </c>
      <c r="AC169" s="254"/>
      <c r="AD169" s="13" t="s">
        <v>24</v>
      </c>
      <c r="AE169" s="20">
        <f>MAX(D171:N181)</f>
        <v>142.23091764993683</v>
      </c>
    </row>
    <row r="170" spans="2:31" ht="12.75" customHeight="1" x14ac:dyDescent="0.25">
      <c r="B170" s="93"/>
      <c r="C170" s="94" t="s">
        <v>260</v>
      </c>
      <c r="D170" s="95">
        <f>C171</f>
        <v>7.5328102698613453E-2</v>
      </c>
      <c r="E170" s="95">
        <f>C172</f>
        <v>1.9701544035719007</v>
      </c>
      <c r="F170" s="95">
        <f>C173</f>
        <v>142.30624575263545</v>
      </c>
      <c r="G170" s="95">
        <f>C174</f>
        <v>0.72893617080992978</v>
      </c>
      <c r="H170" s="95">
        <f>C175</f>
        <v>4.0361522650127828</v>
      </c>
      <c r="I170" s="95">
        <f>C176</f>
        <v>0.7015910729301833</v>
      </c>
      <c r="J170" s="95">
        <f>C177</f>
        <v>0.50587049977984966</v>
      </c>
      <c r="K170" s="95">
        <f>C178</f>
        <v>130.27507559069363</v>
      </c>
      <c r="L170" s="95">
        <f>C179</f>
        <v>4.5511731648098337</v>
      </c>
      <c r="M170" s="95">
        <f>C180</f>
        <v>1.2585140579223411</v>
      </c>
      <c r="N170" s="95">
        <f>C181</f>
        <v>7.6247610179199814</v>
      </c>
      <c r="P170" s="21" t="s">
        <v>1</v>
      </c>
      <c r="Q170" s="97">
        <f>$AE$170+(D171-$AE$168)*($AE$171-$AE$170)/($AE$169-$AE$168)</f>
        <v>8.0789686017300022E-4</v>
      </c>
      <c r="R170" s="97">
        <f t="shared" ref="R170:AA180" si="17">$AE$170+(E171-$AE$168)*($AE$171-$AE$170)/($AE$169-$AE$168)</f>
        <v>8.0789686017300022E-4</v>
      </c>
      <c r="S170" s="97">
        <f t="shared" si="17"/>
        <v>8.0789686017300022E-4</v>
      </c>
      <c r="T170" s="97">
        <f t="shared" si="17"/>
        <v>8.0789686017300022E-4</v>
      </c>
      <c r="U170" s="97">
        <f t="shared" si="17"/>
        <v>8.0789686017300022E-4</v>
      </c>
      <c r="V170" s="97">
        <f t="shared" si="17"/>
        <v>8.0789686017300022E-4</v>
      </c>
      <c r="W170" s="97">
        <f t="shared" si="17"/>
        <v>8.0789686017300022E-4</v>
      </c>
      <c r="X170" s="97">
        <f t="shared" si="17"/>
        <v>8.0789686017300022E-4</v>
      </c>
      <c r="Y170" s="97">
        <f t="shared" si="17"/>
        <v>8.0789686017300022E-4</v>
      </c>
      <c r="Z170" s="97">
        <f t="shared" si="17"/>
        <v>8.0789686017300022E-4</v>
      </c>
      <c r="AA170" s="97">
        <f t="shared" si="17"/>
        <v>8.0789686017300022E-4</v>
      </c>
      <c r="AD170" s="3" t="s">
        <v>25</v>
      </c>
      <c r="AE170" s="2">
        <v>1E-3</v>
      </c>
    </row>
    <row r="171" spans="2:31" ht="12.75" customHeight="1" x14ac:dyDescent="0.25">
      <c r="B171" s="21" t="s">
        <v>1</v>
      </c>
      <c r="C171" s="95">
        <f>Annual_sorted!W22</f>
        <v>7.5328102698613453E-2</v>
      </c>
      <c r="D171" s="29">
        <f>IF(C171-Table_146345781129183[Burundi]&gt;0, C171-Table_146345781129183[Burundi], 0)</f>
        <v>0</v>
      </c>
      <c r="E171" s="29">
        <f>IF(C171-Table_146345781129183[DRC]&gt;0, C171-Table_146345781129183[DRC], 0)</f>
        <v>0</v>
      </c>
      <c r="F171" s="29">
        <f>IF(C171-Table_146345781129183[Egypt]&gt;0, C171-Table_146345781129183[Egypt], 0)</f>
        <v>0</v>
      </c>
      <c r="G171" s="29">
        <f>IF(C171-Table_146345781129183[Eritrea]&gt;0, C171-Table_146345781129183[Eritrea], 0)</f>
        <v>0</v>
      </c>
      <c r="H171" s="29">
        <f>IF(C171-Table_146345781129183[Ethiopia]&gt;0, C171-Table_146345781129183[Ethiopia], 0)</f>
        <v>0</v>
      </c>
      <c r="I171" s="29">
        <f>IF(C171-Table_146345781129183[Kenya]&gt;0, C171-Table_146345781129183[Kenya], 0)</f>
        <v>0</v>
      </c>
      <c r="J171" s="29">
        <f>IF(C171-Table_146345781129183[Rwanda]&gt;0, C171-Table_146345781129183[Rwanda], 0)</f>
        <v>0</v>
      </c>
      <c r="K171" s="29">
        <f>IF(C171-Table_146345781129183[Sudan]&gt;0, C171-Table_146345781129183[Sudan], 0)</f>
        <v>0</v>
      </c>
      <c r="L171" s="29">
        <f>IF(C171-Table_146345781129183[S. Sudan]&gt;0, C171-Table_146345781129183[S. Sudan], 0)</f>
        <v>0</v>
      </c>
      <c r="M171" s="29">
        <f>IF(C171-Table_146345781129183[Tanzania]&gt;0, C171-Table_146345781129183[Tanzania], 0)</f>
        <v>0</v>
      </c>
      <c r="N171" s="29">
        <f>IF(C171-Table_146345781129183[Uganda]&gt;0, C171-Table_146345781129183[Uganda], 0)</f>
        <v>0</v>
      </c>
      <c r="P171" s="21" t="s">
        <v>195</v>
      </c>
      <c r="Q171" s="97">
        <f t="shared" ref="Q171:Q180" si="18">$AE$170+(D172-$AE$168)*($AE$171-$AE$170)/($AE$169-$AE$168)</f>
        <v>1.4119316823827291E-2</v>
      </c>
      <c r="R171" s="97">
        <f t="shared" si="17"/>
        <v>8.0789686017300022E-4</v>
      </c>
      <c r="S171" s="97">
        <f t="shared" si="17"/>
        <v>8.0789686017300022E-4</v>
      </c>
      <c r="T171" s="97">
        <f t="shared" si="17"/>
        <v>9.527628666315107E-3</v>
      </c>
      <c r="U171" s="97">
        <f t="shared" si="17"/>
        <v>8.0789686017300022E-4</v>
      </c>
      <c r="V171" s="97">
        <f t="shared" si="17"/>
        <v>9.7197318061421102E-3</v>
      </c>
      <c r="W171" s="97">
        <f t="shared" si="17"/>
        <v>1.1094696225588088E-2</v>
      </c>
      <c r="X171" s="97">
        <f t="shared" si="17"/>
        <v>8.0789686017300022E-4</v>
      </c>
      <c r="Y171" s="97">
        <f t="shared" si="17"/>
        <v>8.0789686017300022E-4</v>
      </c>
      <c r="Z171" s="97">
        <f t="shared" si="17"/>
        <v>5.8072698895929005E-3</v>
      </c>
      <c r="AA171" s="97">
        <f t="shared" si="17"/>
        <v>8.0789686017300022E-4</v>
      </c>
      <c r="AD171" s="3" t="s">
        <v>70</v>
      </c>
      <c r="AE171" s="2">
        <v>1</v>
      </c>
    </row>
    <row r="172" spans="2:31" ht="12.75" customHeight="1" x14ac:dyDescent="0.25">
      <c r="B172" s="21" t="s">
        <v>195</v>
      </c>
      <c r="C172" s="95">
        <f>Annual_sorted!W23</f>
        <v>1.9701544035719007</v>
      </c>
      <c r="D172" s="29">
        <f>IF(C172-Table_146345781129183[Burundi]&gt;0, C172-Table_146345781129183[Burundi], 0)</f>
        <v>1.8948263008732873</v>
      </c>
      <c r="E172" s="29">
        <f>IF(C172-Table_146345781129183[DRC]&gt;0, C172-Table_146345781129183[DRC], 0)</f>
        <v>0</v>
      </c>
      <c r="F172" s="29">
        <f>IF(C172-Table_146345781129183[Egypt]&gt;0, C172-Table_146345781129183[Egypt], 0)</f>
        <v>0</v>
      </c>
      <c r="G172" s="29">
        <f>IF(C172-Table_146345781129183[Eritrea]&gt;0, C172-Table_146345781129183[Eritrea], 0)</f>
        <v>1.241218232761971</v>
      </c>
      <c r="H172" s="29">
        <f>IF(C172-Table_146345781129183[Ethiopia]&gt;0, C172-Table_146345781129183[Ethiopia], 0)</f>
        <v>0</v>
      </c>
      <c r="I172" s="29">
        <f>IF(C172-Table_146345781129183[Kenya]&gt;0, C172-Table_146345781129183[Kenya], 0)</f>
        <v>1.2685633306417174</v>
      </c>
      <c r="J172" s="29">
        <f>IF(C172-Table_146345781129183[Rwanda]&gt;0, C172-Table_146345781129183[Rwanda], 0)</f>
        <v>1.464283903792051</v>
      </c>
      <c r="K172" s="29">
        <f>IF(C172-Table_146345781129183[Sudan]&gt;0, C172-Table_146345781129183[Sudan], 0)</f>
        <v>0</v>
      </c>
      <c r="L172" s="29">
        <f>IF(C172-Table_146345781129183[S. Sudan]&gt;0, C172-Table_146345781129183[S. Sudan], 0)</f>
        <v>0</v>
      </c>
      <c r="M172" s="29">
        <f>IF(C172-Table_146345781129183[Tanzania]&gt;0, C172-Table_146345781129183[Tanzania], 0)</f>
        <v>0.71164034564955969</v>
      </c>
      <c r="N172" s="29">
        <f>IF(C172-Table_146345781129183[Uganda]&gt;0, C172-Table_146345781129183[Uganda], 0)</f>
        <v>0</v>
      </c>
      <c r="P172" s="21" t="s">
        <v>2</v>
      </c>
      <c r="Q172" s="97">
        <f t="shared" si="18"/>
        <v>1</v>
      </c>
      <c r="R172" s="97">
        <f t="shared" si="17"/>
        <v>0.98668858003634574</v>
      </c>
      <c r="S172" s="97">
        <f t="shared" si="17"/>
        <v>8.0789686017300022E-4</v>
      </c>
      <c r="T172" s="97">
        <f t="shared" si="17"/>
        <v>0.9954083118424879</v>
      </c>
      <c r="U172" s="97">
        <f t="shared" si="17"/>
        <v>0.97217465590252072</v>
      </c>
      <c r="V172" s="97">
        <f t="shared" si="17"/>
        <v>0.99560041498231489</v>
      </c>
      <c r="W172" s="97">
        <f t="shared" si="17"/>
        <v>0.99697537940176073</v>
      </c>
      <c r="X172" s="97">
        <f t="shared" si="17"/>
        <v>8.532855113121797E-2</v>
      </c>
      <c r="Y172" s="97">
        <f t="shared" si="17"/>
        <v>0.9685565619990858</v>
      </c>
      <c r="Z172" s="97">
        <f t="shared" si="17"/>
        <v>0.99168795306576552</v>
      </c>
      <c r="AA172" s="97">
        <f t="shared" si="17"/>
        <v>0.94696417715141967</v>
      </c>
    </row>
    <row r="173" spans="2:31" ht="12.75" customHeight="1" x14ac:dyDescent="0.25">
      <c r="B173" s="21" t="s">
        <v>2</v>
      </c>
      <c r="C173" s="95">
        <f>Annual_sorted!W24</f>
        <v>142.30624575263545</v>
      </c>
      <c r="D173" s="29">
        <f>IF(C173-Table_146345781129183[Burundi]&gt;0, C173-Table_146345781129183[Burundi], 0)</f>
        <v>142.23091764993683</v>
      </c>
      <c r="E173" s="29">
        <f>IF(C173-Table_146345781129183[DRC]&gt;0, C173-Table_146345781129183[DRC], 0)</f>
        <v>140.33609134906354</v>
      </c>
      <c r="F173" s="29">
        <f>IF(C173-Table_146345781129183[Egypt]&gt;0, C173-Table_146345781129183[Egypt], 0)</f>
        <v>0</v>
      </c>
      <c r="G173" s="29">
        <f>IF(C173-Table_146345781129183[Eritrea]&gt;0, C173-Table_146345781129183[Eritrea], 0)</f>
        <v>141.57730958182552</v>
      </c>
      <c r="H173" s="29">
        <f>IF(C173-Table_146345781129183[Ethiopia]&gt;0, C173-Table_146345781129183[Ethiopia], 0)</f>
        <v>138.27009348762266</v>
      </c>
      <c r="I173" s="29">
        <f>IF(C173-Table_146345781129183[Kenya]&gt;0, C173-Table_146345781129183[Kenya], 0)</f>
        <v>141.60465467970528</v>
      </c>
      <c r="J173" s="29">
        <f>IF(C173-Table_146345781129183[Rwanda]&gt;0, C173-Table_146345781129183[Rwanda], 0)</f>
        <v>141.80037525285559</v>
      </c>
      <c r="K173" s="29">
        <f>IF(C173-Table_146345781129183[Sudan]&gt;0, C173-Table_146345781129183[Sudan], 0)</f>
        <v>12.031170161941816</v>
      </c>
      <c r="L173" s="29">
        <f>IF(C173-Table_146345781129183[S. Sudan]&gt;0, C173-Table_146345781129183[S. Sudan], 0)</f>
        <v>137.75507258782562</v>
      </c>
      <c r="M173" s="29">
        <f>IF(C173-Table_146345781129183[Tanzania]&gt;0, C173-Table_146345781129183[Tanzania], 0)</f>
        <v>141.04773169471309</v>
      </c>
      <c r="N173" s="29">
        <f>IF(C173-Table_146345781129183[Uganda]&gt;0, C173-Table_146345781129183[Uganda], 0)</f>
        <v>134.68148473471547</v>
      </c>
      <c r="P173" s="21" t="s">
        <v>3</v>
      </c>
      <c r="Q173" s="97">
        <f t="shared" si="18"/>
        <v>5.3995850176851833E-3</v>
      </c>
      <c r="R173" s="97">
        <f t="shared" si="17"/>
        <v>8.0789686017300022E-4</v>
      </c>
      <c r="S173" s="97">
        <f t="shared" si="17"/>
        <v>8.0789686017300022E-4</v>
      </c>
      <c r="T173" s="97">
        <f t="shared" si="17"/>
        <v>8.0789686017300022E-4</v>
      </c>
      <c r="U173" s="97">
        <f t="shared" si="17"/>
        <v>8.0789686017300022E-4</v>
      </c>
      <c r="V173" s="97">
        <f t="shared" si="17"/>
        <v>1E-3</v>
      </c>
      <c r="W173" s="97">
        <f t="shared" si="17"/>
        <v>2.3749644194459791E-3</v>
      </c>
      <c r="X173" s="97">
        <f t="shared" si="17"/>
        <v>8.0789686017300022E-4</v>
      </c>
      <c r="Y173" s="97">
        <f t="shared" si="17"/>
        <v>8.0789686017300022E-4</v>
      </c>
      <c r="Z173" s="97">
        <f t="shared" si="17"/>
        <v>8.0789686017300022E-4</v>
      </c>
      <c r="AA173" s="97">
        <f t="shared" si="17"/>
        <v>8.0789686017300022E-4</v>
      </c>
    </row>
    <row r="174" spans="2:31" ht="12.75" customHeight="1" x14ac:dyDescent="0.25">
      <c r="B174" s="21" t="s">
        <v>3</v>
      </c>
      <c r="C174" s="95">
        <f>Annual_sorted!W25</f>
        <v>0.72893617080992978</v>
      </c>
      <c r="D174" s="29">
        <f>IF(C174-Table_146345781129183[Burundi]&gt;0, C174-Table_146345781129183[Burundi], 0)</f>
        <v>0.65360806811131633</v>
      </c>
      <c r="E174" s="29">
        <f>IF(C174-Table_146345781129183[DRC]&gt;0, C174-Table_146345781129183[DRC], 0)</f>
        <v>0</v>
      </c>
      <c r="F174" s="29">
        <f>IF(C174-Table_146345781129183[Egypt]&gt;0, C174-Table_146345781129183[Egypt], 0)</f>
        <v>0</v>
      </c>
      <c r="G174" s="29">
        <f>IF(C174-Table_146345781129183[Eritrea]&gt;0, C174-Table_146345781129183[Eritrea], 0)</f>
        <v>0</v>
      </c>
      <c r="H174" s="29">
        <f>IF(C174-Table_146345781129183[Ethiopia]&gt;0, C174-Table_146345781129183[Ethiopia], 0)</f>
        <v>0</v>
      </c>
      <c r="I174" s="29">
        <f>IF(C174-Table_146345781129183[Kenya]&gt;0, C174-Table_146345781129183[Kenya], 0)</f>
        <v>2.7345097879746483E-2</v>
      </c>
      <c r="J174" s="29">
        <f>IF(C174-Table_146345781129183[Rwanda]&gt;0, C174-Table_146345781129183[Rwanda], 0)</f>
        <v>0.22306567103008013</v>
      </c>
      <c r="K174" s="29">
        <f>IF(C174-Table_146345781129183[Sudan]&gt;0, C174-Table_146345781129183[Sudan], 0)</f>
        <v>0</v>
      </c>
      <c r="L174" s="29">
        <f>IF(C174-Table_146345781129183[S. Sudan]&gt;0, C174-Table_146345781129183[S. Sudan], 0)</f>
        <v>0</v>
      </c>
      <c r="M174" s="29">
        <f>IF(C174-Table_146345781129183[Tanzania]&gt;0, C174-Table_146345781129183[Tanzania], 0)</f>
        <v>0</v>
      </c>
      <c r="N174" s="29">
        <f>IF(C174-Table_146345781129183[Uganda]&gt;0, C174-Table_146345781129183[Uganda], 0)</f>
        <v>0</v>
      </c>
      <c r="P174" s="21" t="s">
        <v>4</v>
      </c>
      <c r="Q174" s="97">
        <f t="shared" si="18"/>
        <v>2.8633240957652333E-2</v>
      </c>
      <c r="R174" s="97">
        <f t="shared" si="17"/>
        <v>1.532182099399804E-2</v>
      </c>
      <c r="S174" s="97">
        <f t="shared" si="17"/>
        <v>8.0789686017300022E-4</v>
      </c>
      <c r="T174" s="97">
        <f t="shared" si="17"/>
        <v>2.4041552800140149E-2</v>
      </c>
      <c r="U174" s="97">
        <f t="shared" si="17"/>
        <v>8.0789686017300022E-4</v>
      </c>
      <c r="V174" s="97">
        <f t="shared" si="17"/>
        <v>2.4233655939967149E-2</v>
      </c>
      <c r="W174" s="97">
        <f t="shared" si="17"/>
        <v>2.560862035941313E-2</v>
      </c>
      <c r="X174" s="97">
        <f t="shared" si="17"/>
        <v>8.0789686017300022E-4</v>
      </c>
      <c r="Y174" s="97">
        <f t="shared" si="17"/>
        <v>8.0789686017300022E-4</v>
      </c>
      <c r="Z174" s="97">
        <f t="shared" si="17"/>
        <v>2.0321194023417942E-2</v>
      </c>
      <c r="AA174" s="97">
        <f t="shared" si="17"/>
        <v>8.0789686017300022E-4</v>
      </c>
    </row>
    <row r="175" spans="2:31" ht="12.75" customHeight="1" x14ac:dyDescent="0.25">
      <c r="B175" s="21" t="s">
        <v>4</v>
      </c>
      <c r="C175" s="95">
        <f>Annual_sorted!W26</f>
        <v>4.0361522650127828</v>
      </c>
      <c r="D175" s="29">
        <f>IF(C175-Table_146345781129183[Burundi]&gt;0, C175-Table_146345781129183[Burundi], 0)</f>
        <v>3.9608241623141693</v>
      </c>
      <c r="E175" s="29">
        <f>IF(C175-Table_146345781129183[DRC]&gt;0, C175-Table_146345781129183[DRC], 0)</f>
        <v>2.065997861440882</v>
      </c>
      <c r="F175" s="29">
        <f>IF(C175-Table_146345781129183[Egypt]&gt;0, C175-Table_146345781129183[Egypt], 0)</f>
        <v>0</v>
      </c>
      <c r="G175" s="29">
        <f>IF(C175-Table_146345781129183[Eritrea]&gt;0, C175-Table_146345781129183[Eritrea], 0)</f>
        <v>3.307216094202853</v>
      </c>
      <c r="H175" s="29">
        <f>IF(C175-Table_146345781129183[Ethiopia]&gt;0, C175-Table_146345781129183[Ethiopia], 0)</f>
        <v>0</v>
      </c>
      <c r="I175" s="29">
        <f>IF(C175-Table_146345781129183[Kenya]&gt;0, C175-Table_146345781129183[Kenya], 0)</f>
        <v>3.3345611920825995</v>
      </c>
      <c r="J175" s="29">
        <f>IF(C175-Table_146345781129183[Rwanda]&gt;0, C175-Table_146345781129183[Rwanda], 0)</f>
        <v>3.530281765232933</v>
      </c>
      <c r="K175" s="29">
        <f>IF(C175-Table_146345781129183[Sudan]&gt;0, C175-Table_146345781129183[Sudan], 0)</f>
        <v>0</v>
      </c>
      <c r="L175" s="29">
        <f>IF(C175-Table_146345781129183[S. Sudan]&gt;0, C175-Table_146345781129183[S. Sudan], 0)</f>
        <v>0</v>
      </c>
      <c r="M175" s="29">
        <f>IF(C175-Table_146345781129183[Tanzania]&gt;0, C175-Table_146345781129183[Tanzania], 0)</f>
        <v>2.7776382070904417</v>
      </c>
      <c r="N175" s="29">
        <f>IF(C175-Table_146345781129183[Uganda]&gt;0, C175-Table_146345781129183[Uganda], 0)</f>
        <v>0</v>
      </c>
      <c r="P175" s="21" t="s">
        <v>5</v>
      </c>
      <c r="Q175" s="97">
        <f t="shared" si="18"/>
        <v>5.2074818778581836E-3</v>
      </c>
      <c r="R175" s="97">
        <f t="shared" si="17"/>
        <v>8.0789686017300022E-4</v>
      </c>
      <c r="S175" s="97">
        <f t="shared" si="17"/>
        <v>8.0789686017300022E-4</v>
      </c>
      <c r="T175" s="97">
        <f t="shared" si="17"/>
        <v>8.0789686017300022E-4</v>
      </c>
      <c r="U175" s="97">
        <f t="shared" si="17"/>
        <v>8.0789686017300022E-4</v>
      </c>
      <c r="V175" s="97">
        <f t="shared" si="17"/>
        <v>8.0789686017300022E-4</v>
      </c>
      <c r="W175" s="97">
        <f t="shared" si="17"/>
        <v>2.1828612796189794E-3</v>
      </c>
      <c r="X175" s="97">
        <f t="shared" si="17"/>
        <v>8.0789686017300022E-4</v>
      </c>
      <c r="Y175" s="97">
        <f t="shared" si="17"/>
        <v>8.0789686017300022E-4</v>
      </c>
      <c r="Z175" s="97">
        <f t="shared" si="17"/>
        <v>8.0789686017300022E-4</v>
      </c>
      <c r="AA175" s="97">
        <f t="shared" si="17"/>
        <v>8.0789686017300022E-4</v>
      </c>
    </row>
    <row r="176" spans="2:31" ht="12.75" customHeight="1" x14ac:dyDescent="0.25">
      <c r="B176" s="21" t="s">
        <v>5</v>
      </c>
      <c r="C176" s="95">
        <f>Annual_sorted!W27</f>
        <v>0.7015910729301833</v>
      </c>
      <c r="D176" s="29">
        <f>IF(C176-Table_146345781129183[Burundi]&gt;0, C176-Table_146345781129183[Burundi], 0)</f>
        <v>0.62626297023156985</v>
      </c>
      <c r="E176" s="29">
        <f>IF(C176-Table_146345781129183[DRC]&gt;0, C176-Table_146345781129183[DRC], 0)</f>
        <v>0</v>
      </c>
      <c r="F176" s="29">
        <f>IF(C176-Table_146345781129183[Egypt]&gt;0, C176-Table_146345781129183[Egypt], 0)</f>
        <v>0</v>
      </c>
      <c r="G176" s="29">
        <f>IF(C176-Table_146345781129183[Eritrea]&gt;0, C176-Table_146345781129183[Eritrea], 0)</f>
        <v>0</v>
      </c>
      <c r="H176" s="29">
        <f>IF(C176-Table_146345781129183[Ethiopia]&gt;0, C176-Table_146345781129183[Ethiopia], 0)</f>
        <v>0</v>
      </c>
      <c r="I176" s="29">
        <f>IF(C176-Table_146345781129183[Kenya]&gt;0, C176-Table_146345781129183[Kenya], 0)</f>
        <v>0</v>
      </c>
      <c r="J176" s="29">
        <f>IF(C176-Table_146345781129183[Rwanda]&gt;0, C176-Table_146345781129183[Rwanda], 0)</f>
        <v>0.19572057315033364</v>
      </c>
      <c r="K176" s="29">
        <f>IF(C176-Table_146345781129183[Sudan]&gt;0, C176-Table_146345781129183[Sudan], 0)</f>
        <v>0</v>
      </c>
      <c r="L176" s="29">
        <f>IF(C176-Table_146345781129183[S. Sudan]&gt;0, C176-Table_146345781129183[S. Sudan], 0)</f>
        <v>0</v>
      </c>
      <c r="M176" s="29">
        <f>IF(C176-Table_146345781129183[Tanzania]&gt;0, C176-Table_146345781129183[Tanzania], 0)</f>
        <v>0</v>
      </c>
      <c r="N176" s="29">
        <f>IF(C176-Table_146345781129183[Uganda]&gt;0, C176-Table_146345781129183[Uganda], 0)</f>
        <v>0</v>
      </c>
      <c r="P176" s="21" t="s">
        <v>6</v>
      </c>
      <c r="Q176" s="97">
        <f t="shared" si="18"/>
        <v>3.832517458412205E-3</v>
      </c>
      <c r="R176" s="97">
        <f t="shared" si="17"/>
        <v>8.0789686017300022E-4</v>
      </c>
      <c r="S176" s="97">
        <f t="shared" si="17"/>
        <v>8.0789686017300022E-4</v>
      </c>
      <c r="T176" s="97">
        <f t="shared" si="17"/>
        <v>8.0789686017300022E-4</v>
      </c>
      <c r="U176" s="97">
        <f t="shared" si="17"/>
        <v>8.0789686017300022E-4</v>
      </c>
      <c r="V176" s="97">
        <f t="shared" si="17"/>
        <v>8.0789686017300022E-4</v>
      </c>
      <c r="W176" s="97">
        <f t="shared" si="17"/>
        <v>8.0789686017300022E-4</v>
      </c>
      <c r="X176" s="97">
        <f t="shared" si="17"/>
        <v>8.0789686017300022E-4</v>
      </c>
      <c r="Y176" s="97">
        <f t="shared" si="17"/>
        <v>8.0789686017300022E-4</v>
      </c>
      <c r="Z176" s="97">
        <f t="shared" si="17"/>
        <v>8.0789686017300022E-4</v>
      </c>
      <c r="AA176" s="97">
        <f t="shared" si="17"/>
        <v>8.0789686017300022E-4</v>
      </c>
    </row>
    <row r="177" spans="1:31" ht="12.75" customHeight="1" x14ac:dyDescent="0.25">
      <c r="B177" s="21" t="s">
        <v>6</v>
      </c>
      <c r="C177" s="95">
        <f>Annual_sorted!W28</f>
        <v>0.50587049977984966</v>
      </c>
      <c r="D177" s="29">
        <f>IF(C177-Table_146345781129183[Burundi]&gt;0, C177-Table_146345781129183[Burundi], 0)</f>
        <v>0.43054239708123621</v>
      </c>
      <c r="E177" s="29">
        <f>IF(C177-Table_146345781129183[DRC]&gt;0, C177-Table_146345781129183[DRC], 0)</f>
        <v>0</v>
      </c>
      <c r="F177" s="29">
        <f>IF(C177-Table_146345781129183[Egypt]&gt;0, C177-Table_146345781129183[Egypt], 0)</f>
        <v>0</v>
      </c>
      <c r="G177" s="29">
        <f>IF(C177-Table_146345781129183[Eritrea]&gt;0, C177-Table_146345781129183[Eritrea], 0)</f>
        <v>0</v>
      </c>
      <c r="H177" s="29">
        <f>IF(C177-Table_146345781129183[Ethiopia]&gt;0, C177-Table_146345781129183[Ethiopia], 0)</f>
        <v>0</v>
      </c>
      <c r="I177" s="29">
        <f>IF(C177-Table_146345781129183[Kenya]&gt;0, C177-Table_146345781129183[Kenya], 0)</f>
        <v>0</v>
      </c>
      <c r="J177" s="29">
        <f>IF(C177-Table_146345781129183[Rwanda]&gt;0, C177-Table_146345781129183[Rwanda], 0)</f>
        <v>0</v>
      </c>
      <c r="K177" s="29">
        <f>IF(C177-Table_146345781129183[Sudan]&gt;0, C177-Table_146345781129183[Sudan], 0)</f>
        <v>0</v>
      </c>
      <c r="L177" s="29">
        <f>IF(C177-Table_146345781129183[S. Sudan]&gt;0, C177-Table_146345781129183[S. Sudan], 0)</f>
        <v>0</v>
      </c>
      <c r="M177" s="29">
        <f>IF(C177-Table_146345781129183[Tanzania]&gt;0, C177-Table_146345781129183[Tanzania], 0)</f>
        <v>0</v>
      </c>
      <c r="N177" s="29">
        <f>IF(C177-Table_146345781129183[Uganda]&gt;0, C177-Table_146345781129183[Uganda], 0)</f>
        <v>0</v>
      </c>
      <c r="P177" s="21" t="s">
        <v>7</v>
      </c>
      <c r="Q177" s="97">
        <f t="shared" si="18"/>
        <v>0.91547934572895506</v>
      </c>
      <c r="R177" s="97">
        <f t="shared" si="17"/>
        <v>0.9021679257653008</v>
      </c>
      <c r="S177" s="97">
        <f t="shared" si="17"/>
        <v>8.0789686017300022E-4</v>
      </c>
      <c r="T177" s="97">
        <f t="shared" si="17"/>
        <v>0.91088765757144297</v>
      </c>
      <c r="U177" s="97">
        <f t="shared" si="17"/>
        <v>0.8876540016314759</v>
      </c>
      <c r="V177" s="97">
        <f t="shared" si="17"/>
        <v>0.91107976071126995</v>
      </c>
      <c r="W177" s="97">
        <f t="shared" si="17"/>
        <v>0.91245472513071579</v>
      </c>
      <c r="X177" s="97">
        <f t="shared" si="17"/>
        <v>8.0789686017300022E-4</v>
      </c>
      <c r="Y177" s="97">
        <f t="shared" si="17"/>
        <v>0.88403590772804097</v>
      </c>
      <c r="Z177" s="97">
        <f t="shared" si="17"/>
        <v>0.90716729879472058</v>
      </c>
      <c r="AA177" s="97">
        <f t="shared" si="17"/>
        <v>0.86244352288037485</v>
      </c>
    </row>
    <row r="178" spans="1:31" ht="12.75" customHeight="1" x14ac:dyDescent="0.25">
      <c r="B178" s="21" t="s">
        <v>7</v>
      </c>
      <c r="C178" s="95">
        <f>Annual_sorted!W29</f>
        <v>130.27507559069363</v>
      </c>
      <c r="D178" s="29">
        <f>IF(C178-Table_146345781129183[Burundi]&gt;0, C178-Table_146345781129183[Burundi], 0)</f>
        <v>130.19974748799501</v>
      </c>
      <c r="E178" s="29">
        <f>IF(C178-Table_146345781129183[DRC]&gt;0, C178-Table_146345781129183[DRC], 0)</f>
        <v>128.30492118712172</v>
      </c>
      <c r="F178" s="29">
        <f>IF(C178-Table_146345781129183[Egypt]&gt;0, C178-Table_146345781129183[Egypt], 0)</f>
        <v>0</v>
      </c>
      <c r="G178" s="29">
        <f>IF(C178-Table_146345781129183[Eritrea]&gt;0, C178-Table_146345781129183[Eritrea], 0)</f>
        <v>129.5461394198837</v>
      </c>
      <c r="H178" s="29">
        <f>IF(C178-Table_146345781129183[Ethiopia]&gt;0, C178-Table_146345781129183[Ethiopia], 0)</f>
        <v>126.23892332568084</v>
      </c>
      <c r="I178" s="29">
        <f>IF(C178-Table_146345781129183[Kenya]&gt;0, C178-Table_146345781129183[Kenya], 0)</f>
        <v>129.57348451776346</v>
      </c>
      <c r="J178" s="29">
        <f>IF(C178-Table_146345781129183[Rwanda]&gt;0, C178-Table_146345781129183[Rwanda], 0)</f>
        <v>129.76920509091377</v>
      </c>
      <c r="K178" s="29">
        <f>IF(C178-Table_146345781129183[Sudan]&gt;0, C178-Table_146345781129183[Sudan], 0)</f>
        <v>0</v>
      </c>
      <c r="L178" s="29">
        <f>IF(C178-Table_146345781129183[S. Sudan]&gt;0, C178-Table_146345781129183[S. Sudan], 0)</f>
        <v>125.72390242588379</v>
      </c>
      <c r="M178" s="29">
        <f>IF(C178-Table_146345781129183[Tanzania]&gt;0, C178-Table_146345781129183[Tanzania], 0)</f>
        <v>129.01656153277128</v>
      </c>
      <c r="N178" s="29">
        <f>IF(C178-Table_146345781129183[Uganda]&gt;0, C178-Table_146345781129183[Uganda], 0)</f>
        <v>122.65031457277365</v>
      </c>
      <c r="P178" s="21" t="s">
        <v>8</v>
      </c>
      <c r="Q178" s="97">
        <f t="shared" si="18"/>
        <v>3.2251334861087187E-2</v>
      </c>
      <c r="R178" s="97">
        <f t="shared" si="17"/>
        <v>1.8939914897432897E-2</v>
      </c>
      <c r="S178" s="97">
        <f t="shared" si="17"/>
        <v>8.0789686017300022E-4</v>
      </c>
      <c r="T178" s="97">
        <f t="shared" si="17"/>
        <v>2.7659646703575007E-2</v>
      </c>
      <c r="U178" s="97">
        <f t="shared" si="17"/>
        <v>4.4259907636078552E-3</v>
      </c>
      <c r="V178" s="97">
        <f t="shared" si="17"/>
        <v>2.7851749843402007E-2</v>
      </c>
      <c r="W178" s="97">
        <f t="shared" si="17"/>
        <v>2.9226714262847987E-2</v>
      </c>
      <c r="X178" s="97">
        <f t="shared" si="17"/>
        <v>8.0789686017300022E-4</v>
      </c>
      <c r="Y178" s="97">
        <f t="shared" si="17"/>
        <v>8.0789686017300022E-4</v>
      </c>
      <c r="Z178" s="97">
        <f t="shared" si="17"/>
        <v>2.3939287926852799E-2</v>
      </c>
      <c r="AA178" s="97">
        <f t="shared" si="17"/>
        <v>8.0789686017300022E-4</v>
      </c>
    </row>
    <row r="179" spans="1:31" ht="12.75" customHeight="1" x14ac:dyDescent="0.25">
      <c r="B179" s="21" t="s">
        <v>8</v>
      </c>
      <c r="C179" s="95">
        <f>Annual_sorted!W30</f>
        <v>4.5511731648098337</v>
      </c>
      <c r="D179" s="29">
        <f>IF(C179-Table_146345781129183[Burundi]&gt;0, C179-Table_146345781129183[Burundi], 0)</f>
        <v>4.4758450621112207</v>
      </c>
      <c r="E179" s="29">
        <f>IF(C179-Table_146345781129183[DRC]&gt;0, C179-Table_146345781129183[DRC], 0)</f>
        <v>2.5810187612379329</v>
      </c>
      <c r="F179" s="29">
        <f>IF(C179-Table_146345781129183[Egypt]&gt;0, C179-Table_146345781129183[Egypt], 0)</f>
        <v>0</v>
      </c>
      <c r="G179" s="29">
        <f>IF(C179-Table_146345781129183[Eritrea]&gt;0, C179-Table_146345781129183[Eritrea], 0)</f>
        <v>3.8222369939999039</v>
      </c>
      <c r="H179" s="29">
        <f>IF(C179-Table_146345781129183[Ethiopia]&gt;0, C179-Table_146345781129183[Ethiopia], 0)</f>
        <v>0.5150208997970509</v>
      </c>
      <c r="I179" s="29">
        <f>IF(C179-Table_146345781129183[Kenya]&gt;0, C179-Table_146345781129183[Kenya], 0)</f>
        <v>3.8495820918796504</v>
      </c>
      <c r="J179" s="29">
        <f>IF(C179-Table_146345781129183[Rwanda]&gt;0, C179-Table_146345781129183[Rwanda], 0)</f>
        <v>4.0453026650299844</v>
      </c>
      <c r="K179" s="29">
        <f>IF(C179-Table_146345781129183[Sudan]&gt;0, C179-Table_146345781129183[Sudan], 0)</f>
        <v>0</v>
      </c>
      <c r="L179" s="29">
        <f>IF(C179-Table_146345781129183[S. Sudan]&gt;0, C179-Table_146345781129183[S. Sudan], 0)</f>
        <v>0</v>
      </c>
      <c r="M179" s="29">
        <f>IF(C179-Table_146345781129183[Tanzania]&gt;0, C179-Table_146345781129183[Tanzania], 0)</f>
        <v>3.2926591068874926</v>
      </c>
      <c r="N179" s="29">
        <f>IF(C179-Table_146345781129183[Uganda]&gt;0, C179-Table_146345781129183[Uganda], 0)</f>
        <v>0</v>
      </c>
      <c r="P179" s="21" t="s">
        <v>9</v>
      </c>
      <c r="Q179" s="97">
        <f t="shared" si="18"/>
        <v>9.1199437944073924E-3</v>
      </c>
      <c r="R179" s="97">
        <f t="shared" si="17"/>
        <v>8.0789686017300022E-4</v>
      </c>
      <c r="S179" s="97">
        <f t="shared" si="17"/>
        <v>8.0789686017300022E-4</v>
      </c>
      <c r="T179" s="97">
        <f t="shared" si="17"/>
        <v>4.5282556368952086E-3</v>
      </c>
      <c r="U179" s="97">
        <f t="shared" si="17"/>
        <v>8.0789686017300022E-4</v>
      </c>
      <c r="V179" s="97">
        <f t="shared" si="17"/>
        <v>4.7203587767222083E-3</v>
      </c>
      <c r="W179" s="97">
        <f t="shared" si="17"/>
        <v>6.0953231961681882E-3</v>
      </c>
      <c r="X179" s="97">
        <f t="shared" si="17"/>
        <v>8.0789686017300022E-4</v>
      </c>
      <c r="Y179" s="97">
        <f t="shared" si="17"/>
        <v>8.0789686017300022E-4</v>
      </c>
      <c r="Z179" s="97">
        <f t="shared" si="17"/>
        <v>8.0789686017300022E-4</v>
      </c>
      <c r="AA179" s="97">
        <f t="shared" si="17"/>
        <v>8.0789686017300022E-4</v>
      </c>
    </row>
    <row r="180" spans="1:31" ht="12.75" customHeight="1" thickBot="1" x14ac:dyDescent="0.3">
      <c r="B180" s="21" t="s">
        <v>9</v>
      </c>
      <c r="C180" s="95">
        <f>Annual_sorted!W31</f>
        <v>1.2585140579223411</v>
      </c>
      <c r="D180" s="29">
        <f>IF(C180-Table_146345781129183[Burundi]&gt;0, C180-Table_146345781129183[Burundi], 0)</f>
        <v>1.1831859552237276</v>
      </c>
      <c r="E180" s="29">
        <f>IF(C180-Table_146345781129183[DRC]&gt;0, C180-Table_146345781129183[DRC], 0)</f>
        <v>0</v>
      </c>
      <c r="F180" s="29">
        <f>IF(C180-Table_146345781129183[Egypt]&gt;0, C180-Table_146345781129183[Egypt], 0)</f>
        <v>0</v>
      </c>
      <c r="G180" s="29">
        <f>IF(C180-Table_146345781129183[Eritrea]&gt;0, C180-Table_146345781129183[Eritrea], 0)</f>
        <v>0.52957788711241127</v>
      </c>
      <c r="H180" s="29">
        <f>IF(C180-Table_146345781129183[Ethiopia]&gt;0, C180-Table_146345781129183[Ethiopia], 0)</f>
        <v>0</v>
      </c>
      <c r="I180" s="29">
        <f>IF(C180-Table_146345781129183[Kenya]&gt;0, C180-Table_146345781129183[Kenya], 0)</f>
        <v>0.55692298499215775</v>
      </c>
      <c r="J180" s="29">
        <f>IF(C180-Table_146345781129183[Rwanda]&gt;0, C180-Table_146345781129183[Rwanda], 0)</f>
        <v>0.7526435581424914</v>
      </c>
      <c r="K180" s="29">
        <f>IF(C180-Table_146345781129183[Sudan]&gt;0, C180-Table_146345781129183[Sudan], 0)</f>
        <v>0</v>
      </c>
      <c r="L180" s="29">
        <f>IF(C180-Table_146345781129183[S. Sudan]&gt;0, C180-Table_146345781129183[S. Sudan], 0)</f>
        <v>0</v>
      </c>
      <c r="M180" s="29">
        <f>IF(C180-Table_146345781129183[Tanzania]&gt;0, C180-Table_146345781129183[Tanzania], 0)</f>
        <v>0</v>
      </c>
      <c r="N180" s="29">
        <f>IF(C180-Table_146345781129183[Uganda]&gt;0, C180-Table_146345781129183[Uganda], 0)</f>
        <v>0</v>
      </c>
      <c r="P180" s="22" t="s">
        <v>10</v>
      </c>
      <c r="Q180" s="98">
        <f t="shared" si="18"/>
        <v>5.3843719708753388E-2</v>
      </c>
      <c r="R180" s="98">
        <f t="shared" si="17"/>
        <v>4.0532299745099094E-2</v>
      </c>
      <c r="S180" s="98">
        <f t="shared" si="17"/>
        <v>8.0789686017300022E-4</v>
      </c>
      <c r="T180" s="98">
        <f t="shared" si="17"/>
        <v>4.92520315512412E-2</v>
      </c>
      <c r="U180" s="98">
        <f t="shared" si="17"/>
        <v>2.6018375611274052E-2</v>
      </c>
      <c r="V180" s="98">
        <f t="shared" si="17"/>
        <v>4.9444134691068203E-2</v>
      </c>
      <c r="W180" s="98">
        <f t="shared" si="17"/>
        <v>5.0819099110514188E-2</v>
      </c>
      <c r="X180" s="98">
        <f t="shared" si="17"/>
        <v>8.0789686017300022E-4</v>
      </c>
      <c r="Y180" s="98">
        <f t="shared" si="17"/>
        <v>2.2400281707839195E-2</v>
      </c>
      <c r="Z180" s="98">
        <f t="shared" si="17"/>
        <v>4.5531672774519E-2</v>
      </c>
      <c r="AA180" s="98">
        <f t="shared" si="17"/>
        <v>8.0789686017300022E-4</v>
      </c>
    </row>
    <row r="181" spans="1:31" ht="12.75" customHeight="1" thickBot="1" x14ac:dyDescent="0.3">
      <c r="B181" s="22" t="s">
        <v>10</v>
      </c>
      <c r="C181" s="96">
        <f>Annual_sorted!W32</f>
        <v>7.6247610179199814</v>
      </c>
      <c r="D181" s="32">
        <f>IF(C181-Table_146345781129183[Burundi]&gt;0, C181-Table_146345781129183[Burundi], 0)</f>
        <v>7.5494329152213684</v>
      </c>
      <c r="E181" s="32">
        <f>IF(C181-Table_146345781129183[DRC]&gt;0, C181-Table_146345781129183[DRC], 0)</f>
        <v>5.6546066143480811</v>
      </c>
      <c r="F181" s="32">
        <f>IF(C181-Table_146345781129183[Egypt]&gt;0, C181-Table_146345781129183[Egypt], 0)</f>
        <v>0</v>
      </c>
      <c r="G181" s="32">
        <f>IF(C181-Table_146345781129183[Eritrea]&gt;0, C181-Table_146345781129183[Eritrea], 0)</f>
        <v>6.8958248471100516</v>
      </c>
      <c r="H181" s="32">
        <f>IF(C181-Table_146345781129183[Ethiopia]&gt;0, C181-Table_146345781129183[Ethiopia], 0)</f>
        <v>3.5886087529071986</v>
      </c>
      <c r="I181" s="32">
        <f>IF(C181-Table_146345781129183[Kenya]&gt;0, C181-Table_146345781129183[Kenya], 0)</f>
        <v>6.9231699449897981</v>
      </c>
      <c r="J181" s="32">
        <f>IF(C181-Table_146345781129183[Rwanda]&gt;0, C181-Table_146345781129183[Rwanda], 0)</f>
        <v>7.1188905181401321</v>
      </c>
      <c r="K181" s="32">
        <f>IF(C181-Table_146345781129183[Sudan]&gt;0, C181-Table_146345781129183[Sudan], 0)</f>
        <v>0</v>
      </c>
      <c r="L181" s="32">
        <f>IF(C181-Table_146345781129183[S. Sudan]&gt;0, C181-Table_146345781129183[S. Sudan], 0)</f>
        <v>3.0735878531101477</v>
      </c>
      <c r="M181" s="32">
        <f>IF(C181-Table_146345781129183[Tanzania]&gt;0, C181-Table_146345781129183[Tanzania], 0)</f>
        <v>6.3662469599976408</v>
      </c>
      <c r="N181" s="32">
        <f>IF(C181-Table_146345781129183[Uganda]&gt;0, C181-Table_146345781129183[Uganda], 0)</f>
        <v>0</v>
      </c>
    </row>
    <row r="182" spans="1:31" ht="12.75" customHeight="1" x14ac:dyDescent="0.25"/>
    <row r="183" spans="1:31" ht="12.75" customHeight="1" x14ac:dyDescent="0.25">
      <c r="A183" s="255" t="s">
        <v>220</v>
      </c>
      <c r="B183" s="255"/>
      <c r="C183" s="255"/>
      <c r="D183" s="255"/>
      <c r="E183" s="255"/>
      <c r="F183" s="255"/>
      <c r="G183" s="255"/>
      <c r="H183" s="255"/>
      <c r="I183" s="255"/>
      <c r="J183" s="255"/>
    </row>
    <row r="184" spans="1:31" ht="12.75" customHeight="1" x14ac:dyDescent="0.25"/>
    <row r="185" spans="1:31" ht="12.75" customHeight="1" x14ac:dyDescent="0.25"/>
    <row r="186" spans="1:31" ht="12.75" customHeight="1" thickBot="1" x14ac:dyDescent="0.3">
      <c r="B186" s="253" t="s">
        <v>79</v>
      </c>
      <c r="C186" s="253"/>
      <c r="D186" s="253"/>
      <c r="E186" s="253"/>
      <c r="F186" s="253"/>
      <c r="G186" s="253"/>
      <c r="H186" s="253"/>
      <c r="I186" s="253"/>
      <c r="J186" s="253"/>
      <c r="K186" s="253"/>
      <c r="L186" s="253"/>
      <c r="M186" s="253"/>
      <c r="N186" s="253"/>
      <c r="O186" s="5"/>
      <c r="P186" s="253" t="s">
        <v>80</v>
      </c>
      <c r="Q186" s="253"/>
      <c r="R186" s="253"/>
      <c r="S186" s="253"/>
      <c r="T186" s="253"/>
      <c r="U186" s="253"/>
      <c r="V186" s="253"/>
      <c r="W186" s="253"/>
      <c r="X186" s="253"/>
      <c r="Y186" s="253"/>
      <c r="Z186" s="253"/>
      <c r="AA186" s="253"/>
      <c r="AB186" s="10"/>
      <c r="AC186" s="3" t="s">
        <v>22</v>
      </c>
      <c r="AD186" s="13" t="s">
        <v>23</v>
      </c>
      <c r="AE186" s="74">
        <f t="array" ref="AE186">MIN(IF(D189:N199&gt;0,D189:N199))</f>
        <v>9.6322551982552795E-3</v>
      </c>
    </row>
    <row r="187" spans="1:31" ht="12.75" customHeight="1" thickBot="1" x14ac:dyDescent="0.3">
      <c r="B187" s="75" t="s">
        <v>13</v>
      </c>
      <c r="C187" s="66" t="s">
        <v>14</v>
      </c>
      <c r="D187" s="67" t="s">
        <v>1</v>
      </c>
      <c r="E187" s="67" t="s">
        <v>195</v>
      </c>
      <c r="F187" s="67" t="s">
        <v>2</v>
      </c>
      <c r="G187" s="67" t="s">
        <v>3</v>
      </c>
      <c r="H187" s="67" t="s">
        <v>4</v>
      </c>
      <c r="I187" s="67" t="s">
        <v>5</v>
      </c>
      <c r="J187" s="67" t="s">
        <v>6</v>
      </c>
      <c r="K187" s="67" t="s">
        <v>7</v>
      </c>
      <c r="L187" s="67" t="s">
        <v>295</v>
      </c>
      <c r="M187" s="67" t="s">
        <v>9</v>
      </c>
      <c r="N187" s="67" t="s">
        <v>10</v>
      </c>
      <c r="P187" s="128" t="s">
        <v>19</v>
      </c>
      <c r="Q187" s="123" t="s">
        <v>1</v>
      </c>
      <c r="R187" s="123" t="s">
        <v>195</v>
      </c>
      <c r="S187" s="123" t="s">
        <v>2</v>
      </c>
      <c r="T187" s="123" t="s">
        <v>3</v>
      </c>
      <c r="U187" s="123" t="s">
        <v>4</v>
      </c>
      <c r="V187" s="123" t="s">
        <v>5</v>
      </c>
      <c r="W187" s="123" t="s">
        <v>6</v>
      </c>
      <c r="X187" s="123" t="s">
        <v>7</v>
      </c>
      <c r="Y187" s="123" t="s">
        <v>295</v>
      </c>
      <c r="Z187" s="123" t="s">
        <v>9</v>
      </c>
      <c r="AA187" s="123" t="s">
        <v>10</v>
      </c>
      <c r="AB187" s="254" t="s">
        <v>26</v>
      </c>
      <c r="AC187" s="254"/>
      <c r="AD187" s="13" t="s">
        <v>24</v>
      </c>
      <c r="AE187" s="20">
        <f>MAX(D189:N199)</f>
        <v>1.5291441214999963</v>
      </c>
    </row>
    <row r="188" spans="1:31" ht="12.75" customHeight="1" x14ac:dyDescent="0.25">
      <c r="B188" s="93"/>
      <c r="C188" s="94" t="s">
        <v>260</v>
      </c>
      <c r="D188" s="95">
        <f>C189</f>
        <v>-34.640066364029913</v>
      </c>
      <c r="E188" s="95">
        <f>C190</f>
        <v>-34.682511395029913</v>
      </c>
      <c r="F188" s="95">
        <f>C191</f>
        <v>-33.201193399529913</v>
      </c>
      <c r="G188" s="95">
        <f>C192</f>
        <v>-34.730337521029909</v>
      </c>
      <c r="H188" s="95">
        <f>C193</f>
        <v>-34.028404175529914</v>
      </c>
      <c r="I188" s="95">
        <f>C194</f>
        <v>-34.388964421029911</v>
      </c>
      <c r="J188" s="95">
        <f>C195</f>
        <v>-34.542815434529913</v>
      </c>
      <c r="K188" s="95">
        <f>C196</f>
        <v>-34.07002229352991</v>
      </c>
      <c r="L188" s="95">
        <f>C197</f>
        <v>-34.552447689728169</v>
      </c>
      <c r="M188" s="95">
        <f>C198</f>
        <v>-34.532274208529913</v>
      </c>
      <c r="N188" s="95">
        <f>C199</f>
        <v>-33.978711066529911</v>
      </c>
      <c r="P188" s="21" t="s">
        <v>1</v>
      </c>
      <c r="Q188" s="97">
        <f>$AE$188+(D189-$AE$186)*($AE$189-$AE$188)/($AE$187-$AE$186)</f>
        <v>-5.3327066780182591E-3</v>
      </c>
      <c r="R188" s="97">
        <f t="shared" ref="R188:AA188" si="19">$AE$188+(E189-$AE$186)*($AE$189-$AE$188)/($AE$187-$AE$186)</f>
        <v>2.2572693016030293E-2</v>
      </c>
      <c r="S188" s="97">
        <f t="shared" si="19"/>
        <v>-5.3327066780182591E-3</v>
      </c>
      <c r="T188" s="97">
        <f t="shared" si="19"/>
        <v>5.4015882722920745E-2</v>
      </c>
      <c r="U188" s="97">
        <f t="shared" si="19"/>
        <v>-5.3327066780182591E-3</v>
      </c>
      <c r="V188" s="97">
        <f t="shared" si="19"/>
        <v>-5.3327066780182591E-3</v>
      </c>
      <c r="W188" s="97">
        <f t="shared" si="19"/>
        <v>-5.3327066780182591E-3</v>
      </c>
      <c r="X188" s="97">
        <f t="shared" si="19"/>
        <v>-5.3327066780182591E-3</v>
      </c>
      <c r="Y188" s="97">
        <f t="shared" si="19"/>
        <v>-5.3327066780182591E-3</v>
      </c>
      <c r="Z188" s="97">
        <f t="shared" si="19"/>
        <v>-5.3327066780182591E-3</v>
      </c>
      <c r="AA188" s="97">
        <f t="shared" si="19"/>
        <v>-5.3327066780182591E-3</v>
      </c>
      <c r="AD188" s="3" t="s">
        <v>25</v>
      </c>
      <c r="AE188" s="2">
        <v>1E-3</v>
      </c>
    </row>
    <row r="189" spans="1:31" ht="12.75" customHeight="1" x14ac:dyDescent="0.25">
      <c r="B189" s="21" t="s">
        <v>1</v>
      </c>
      <c r="C189" s="95">
        <f>Annual_sorted!AB22</f>
        <v>-34.640066364029913</v>
      </c>
      <c r="D189" s="29">
        <f>IF(C189-Table_1463457146[Burundi]&gt;0, C189-Table_1463457146[Burundi], 0)</f>
        <v>0</v>
      </c>
      <c r="E189" s="29">
        <f>IF(C189-Table_1463457146[DRC]&gt;0, C189-Table_1463457146[DRC], 0)</f>
        <v>4.2445030999999744E-2</v>
      </c>
      <c r="F189" s="29">
        <f>IF(C189-Table_1463457146[Egypt]&gt;0, C189-Table_1463457146[Egypt], 0)</f>
        <v>0</v>
      </c>
      <c r="G189" s="29">
        <f>IF(C189-Table_1463457146[Eritrea]&gt;0, C189-Table_1463457146[Eritrea], 0)</f>
        <v>9.0271156999996549E-2</v>
      </c>
      <c r="H189" s="29">
        <f>IF(C189-Table_1463457146[Ethiopia]&gt;0, C189-Table_1463457146[Ethiopia], 0)</f>
        <v>0</v>
      </c>
      <c r="I189" s="29">
        <f>IF(C189-Table_1463457146[Kenya]&gt;0, C189-Table_1463457146[Kenya], 0)</f>
        <v>0</v>
      </c>
      <c r="J189" s="29">
        <f>IF(C189-Table_1463457146[Rwanda]&gt;0, C189-Table_1463457146[Rwanda], 0)</f>
        <v>0</v>
      </c>
      <c r="K189" s="29">
        <f>IF(C189-Table_1463457146[Sudan]&gt;0, C189-Table_1463457146[Sudan], 0)</f>
        <v>0</v>
      </c>
      <c r="L189" s="29">
        <f>IF(C189-Table_1463457146[S. Sudan]&gt;0, C189-Table_1463457146[S. Sudan], 0)</f>
        <v>0</v>
      </c>
      <c r="M189" s="29">
        <f>IF(C189-Table_1463457146[Tanzania]&gt;0, C189-Table_1463457146[Tanzania], 0)</f>
        <v>0</v>
      </c>
      <c r="N189" s="29">
        <f>IF(C189-Table_1463457146[Uganda]&gt;0, C189-Table_1463457146[Uganda], 0)</f>
        <v>0</v>
      </c>
      <c r="P189" s="21" t="s">
        <v>195</v>
      </c>
      <c r="Q189" s="97">
        <f t="shared" ref="Q189:Q198" si="20">$AE$188+(D190-$AE$186)*($AE$189-$AE$188)/($AE$187-$AE$186)</f>
        <v>-5.3327066780182591E-3</v>
      </c>
      <c r="R189" s="97">
        <f t="shared" ref="R189:R198" si="21">$AE$188+(E190-$AE$186)*($AE$189-$AE$188)/($AE$187-$AE$186)</f>
        <v>-5.3327066780182591E-3</v>
      </c>
      <c r="S189" s="97">
        <f t="shared" ref="S189:S198" si="22">$AE$188+(F190-$AE$186)*($AE$189-$AE$188)/($AE$187-$AE$186)</f>
        <v>-5.3327066780182591E-3</v>
      </c>
      <c r="T189" s="97">
        <f t="shared" ref="T189:T198" si="23">$AE$188+(G190-$AE$186)*($AE$189-$AE$188)/($AE$187-$AE$186)</f>
        <v>2.6110483028872193E-2</v>
      </c>
      <c r="U189" s="97">
        <f t="shared" ref="U189:U198" si="24">$AE$188+(H190-$AE$186)*($AE$189-$AE$188)/($AE$187-$AE$186)</f>
        <v>-5.3327066780182591E-3</v>
      </c>
      <c r="V189" s="97">
        <f t="shared" ref="V189:V198" si="25">$AE$188+(I190-$AE$186)*($AE$189-$AE$188)/($AE$187-$AE$186)</f>
        <v>-5.3327066780182591E-3</v>
      </c>
      <c r="W189" s="97">
        <f t="shared" ref="W189:W198" si="26">$AE$188+(J190-$AE$186)*($AE$189-$AE$188)/($AE$187-$AE$186)</f>
        <v>-5.3327066780182591E-3</v>
      </c>
      <c r="X189" s="97">
        <f t="shared" ref="X189:X198" si="27">$AE$188+(K190-$AE$186)*($AE$189-$AE$188)/($AE$187-$AE$186)</f>
        <v>-5.3327066780182591E-3</v>
      </c>
      <c r="Y189" s="97">
        <f t="shared" ref="Y189:Y198" si="28">$AE$188+(L190-$AE$186)*($AE$189-$AE$188)/($AE$187-$AE$186)</f>
        <v>-5.3327066780182591E-3</v>
      </c>
      <c r="Z189" s="97">
        <f t="shared" ref="Z189:Z198" si="29">$AE$188+(M190-$AE$186)*($AE$189-$AE$188)/($AE$187-$AE$186)</f>
        <v>-5.3327066780182591E-3</v>
      </c>
      <c r="AA189" s="97">
        <f t="shared" ref="AA189:AA198" si="30">$AE$188+(N190-$AE$186)*($AE$189-$AE$188)/($AE$187-$AE$186)</f>
        <v>-5.3327066780182591E-3</v>
      </c>
      <c r="AD189" s="3" t="s">
        <v>70</v>
      </c>
      <c r="AE189" s="2">
        <v>1</v>
      </c>
    </row>
    <row r="190" spans="1:31" ht="12.75" customHeight="1" x14ac:dyDescent="0.25">
      <c r="B190" s="21" t="s">
        <v>195</v>
      </c>
      <c r="C190" s="95">
        <f>Annual_sorted!AB23</f>
        <v>-34.682511395029913</v>
      </c>
      <c r="D190" s="29">
        <f>IF(C190-Table_1463457146[Burundi]&gt;0, C190-Table_1463457146[Burundi], 0)</f>
        <v>0</v>
      </c>
      <c r="E190" s="29">
        <f>IF(C190-Table_1463457146[DRC]&gt;0, C190-Table_1463457146[DRC], 0)</f>
        <v>0</v>
      </c>
      <c r="F190" s="29">
        <f>IF(C190-Table_1463457146[Egypt]&gt;0, C190-Table_1463457146[Egypt], 0)</f>
        <v>0</v>
      </c>
      <c r="G190" s="29">
        <f>IF(C190-Table_1463457146[Eritrea]&gt;0, C190-Table_1463457146[Eritrea], 0)</f>
        <v>4.7826125999996805E-2</v>
      </c>
      <c r="H190" s="29">
        <f>IF(C190-Table_1463457146[Ethiopia]&gt;0, C190-Table_1463457146[Ethiopia], 0)</f>
        <v>0</v>
      </c>
      <c r="I190" s="29">
        <f>IF(C190-Table_1463457146[Kenya]&gt;0, C190-Table_1463457146[Kenya], 0)</f>
        <v>0</v>
      </c>
      <c r="J190" s="29">
        <f>IF(C190-Table_1463457146[Rwanda]&gt;0, C190-Table_1463457146[Rwanda], 0)</f>
        <v>0</v>
      </c>
      <c r="K190" s="29">
        <f>IF(C190-Table_1463457146[Sudan]&gt;0, C190-Table_1463457146[Sudan], 0)</f>
        <v>0</v>
      </c>
      <c r="L190" s="29">
        <f>IF(C190-Table_1463457146[S. Sudan]&gt;0, C190-Table_1463457146[S. Sudan], 0)</f>
        <v>0</v>
      </c>
      <c r="M190" s="29">
        <f>IF(C190-Table_1463457146[Tanzania]&gt;0, C190-Table_1463457146[Tanzania], 0)</f>
        <v>0</v>
      </c>
      <c r="N190" s="29">
        <f>IF(C190-Table_1463457146[Uganda]&gt;0, C190-Table_1463457146[Uganda], 0)</f>
        <v>0</v>
      </c>
      <c r="P190" s="21" t="s">
        <v>2</v>
      </c>
      <c r="Q190" s="97">
        <f t="shared" si="20"/>
        <v>0.94065141059906099</v>
      </c>
      <c r="R190" s="97">
        <f t="shared" si="21"/>
        <v>0.96855681029310958</v>
      </c>
      <c r="S190" s="97">
        <f t="shared" si="22"/>
        <v>-5.3327066780182591E-3</v>
      </c>
      <c r="T190" s="97">
        <f t="shared" si="23"/>
        <v>0.99999999999999989</v>
      </c>
      <c r="U190" s="97">
        <f t="shared" si="24"/>
        <v>0.53851534317979033</v>
      </c>
      <c r="V190" s="97">
        <f t="shared" si="25"/>
        <v>0.77556494657062647</v>
      </c>
      <c r="W190" s="97">
        <f t="shared" si="26"/>
        <v>0.87671398389968513</v>
      </c>
      <c r="X190" s="97">
        <f t="shared" si="27"/>
        <v>0.5658770905962065</v>
      </c>
      <c r="Y190" s="97">
        <f t="shared" si="28"/>
        <v>0.88304669057770335</v>
      </c>
      <c r="Z190" s="97">
        <f t="shared" si="29"/>
        <v>0.86978367620841912</v>
      </c>
      <c r="AA190" s="97">
        <f t="shared" si="30"/>
        <v>0.50584470927955794</v>
      </c>
    </row>
    <row r="191" spans="1:31" ht="12.75" customHeight="1" x14ac:dyDescent="0.25">
      <c r="B191" s="21" t="s">
        <v>2</v>
      </c>
      <c r="C191" s="95">
        <f>Annual_sorted!AB24</f>
        <v>-33.201193399529913</v>
      </c>
      <c r="D191" s="29">
        <f>IF(C191-Table_1463457146[Burundi]&gt;0, C191-Table_1463457146[Burundi], 0)</f>
        <v>1.4388729644999998</v>
      </c>
      <c r="E191" s="29">
        <f>IF(C191-Table_1463457146[DRC]&gt;0, C191-Table_1463457146[DRC], 0)</f>
        <v>1.4813179954999995</v>
      </c>
      <c r="F191" s="29">
        <f>IF(C191-Table_1463457146[Egypt]&gt;0, C191-Table_1463457146[Egypt], 0)</f>
        <v>0</v>
      </c>
      <c r="G191" s="29">
        <f>IF(C191-Table_1463457146[Eritrea]&gt;0, C191-Table_1463457146[Eritrea], 0)</f>
        <v>1.5291441214999963</v>
      </c>
      <c r="H191" s="29">
        <f>IF(C191-Table_1463457146[Ethiopia]&gt;0, C191-Table_1463457146[Ethiopia], 0)</f>
        <v>0.82721077600000115</v>
      </c>
      <c r="I191" s="29">
        <f>IF(C191-Table_1463457146[Kenya]&gt;0, C191-Table_1463457146[Kenya], 0)</f>
        <v>1.1877710214999979</v>
      </c>
      <c r="J191" s="29">
        <f>IF(C191-Table_1463457146[Rwanda]&gt;0, C191-Table_1463457146[Rwanda], 0)</f>
        <v>1.3416220350000003</v>
      </c>
      <c r="K191" s="29">
        <f>IF(C191-Table_1463457146[Sudan]&gt;0, C191-Table_1463457146[Sudan], 0)</f>
        <v>0.86882889399999641</v>
      </c>
      <c r="L191" s="29">
        <f>IF(C191-Table_1463457146[S. Sudan]&gt;0, C191-Table_1463457146[S. Sudan], 0)</f>
        <v>1.3512542901982556</v>
      </c>
      <c r="M191" s="29">
        <f>IF(C191-Table_1463457146[Tanzania]&gt;0, C191-Table_1463457146[Tanzania], 0)</f>
        <v>1.3310808089999995</v>
      </c>
      <c r="N191" s="29">
        <f>IF(C191-Table_1463457146[Uganda]&gt;0, C191-Table_1463457146[Uganda], 0)</f>
        <v>0.77751766699999791</v>
      </c>
      <c r="P191" s="21" t="s">
        <v>3</v>
      </c>
      <c r="Q191" s="97">
        <f t="shared" si="20"/>
        <v>-5.3327066780182591E-3</v>
      </c>
      <c r="R191" s="97">
        <f t="shared" si="21"/>
        <v>-5.3327066780182591E-3</v>
      </c>
      <c r="S191" s="97">
        <f t="shared" si="22"/>
        <v>-5.3327066780182591E-3</v>
      </c>
      <c r="T191" s="97">
        <f t="shared" si="23"/>
        <v>-5.3327066780182591E-3</v>
      </c>
      <c r="U191" s="97">
        <f t="shared" si="24"/>
        <v>-5.3327066780182591E-3</v>
      </c>
      <c r="V191" s="97">
        <f t="shared" si="25"/>
        <v>-5.3327066780182591E-3</v>
      </c>
      <c r="W191" s="97">
        <f t="shared" si="26"/>
        <v>-5.3327066780182591E-3</v>
      </c>
      <c r="X191" s="97">
        <f t="shared" si="27"/>
        <v>-5.3327066780182591E-3</v>
      </c>
      <c r="Y191" s="97">
        <f t="shared" si="28"/>
        <v>-5.3327066780182591E-3</v>
      </c>
      <c r="Z191" s="97">
        <f t="shared" si="29"/>
        <v>-5.3327066780182591E-3</v>
      </c>
      <c r="AA191" s="97">
        <f t="shared" si="30"/>
        <v>-5.3327066780182591E-3</v>
      </c>
    </row>
    <row r="192" spans="1:31" ht="12.75" customHeight="1" x14ac:dyDescent="0.25">
      <c r="B192" s="21" t="s">
        <v>3</v>
      </c>
      <c r="C192" s="95">
        <f>Annual_sorted!AB25</f>
        <v>-34.730337521029909</v>
      </c>
      <c r="D192" s="29">
        <f>IF(C192-Table_1463457146[Burundi]&gt;0, C192-Table_1463457146[Burundi], 0)</f>
        <v>0</v>
      </c>
      <c r="E192" s="29">
        <f>IF(C192-Table_1463457146[DRC]&gt;0, C192-Table_1463457146[DRC], 0)</f>
        <v>0</v>
      </c>
      <c r="F192" s="29">
        <f>IF(C192-Table_1463457146[Egypt]&gt;0, C192-Table_1463457146[Egypt], 0)</f>
        <v>0</v>
      </c>
      <c r="G192" s="29">
        <f>IF(C192-Table_1463457146[Eritrea]&gt;0, C192-Table_1463457146[Eritrea], 0)</f>
        <v>0</v>
      </c>
      <c r="H192" s="29">
        <f>IF(C192-Table_1463457146[Ethiopia]&gt;0, C192-Table_1463457146[Ethiopia], 0)</f>
        <v>0</v>
      </c>
      <c r="I192" s="29">
        <f>IF(C192-Table_1463457146[Kenya]&gt;0, C192-Table_1463457146[Kenya], 0)</f>
        <v>0</v>
      </c>
      <c r="J192" s="29">
        <f>IF(C192-Table_1463457146[Rwanda]&gt;0, C192-Table_1463457146[Rwanda], 0)</f>
        <v>0</v>
      </c>
      <c r="K192" s="29">
        <f>IF(C192-Table_1463457146[Sudan]&gt;0, C192-Table_1463457146[Sudan], 0)</f>
        <v>0</v>
      </c>
      <c r="L192" s="29">
        <f>IF(C192-Table_1463457146[S. Sudan]&gt;0, C192-Table_1463457146[S. Sudan], 0)</f>
        <v>0</v>
      </c>
      <c r="M192" s="29">
        <f>IF(C192-Table_1463457146[Tanzania]&gt;0, C192-Table_1463457146[Tanzania], 0)</f>
        <v>0</v>
      </c>
      <c r="N192" s="29">
        <f>IF(C192-Table_1463457146[Uganda]&gt;0, C192-Table_1463457146[Uganda], 0)</f>
        <v>0</v>
      </c>
      <c r="P192" s="21" t="s">
        <v>4</v>
      </c>
      <c r="Q192" s="97">
        <f t="shared" si="20"/>
        <v>0.39680336074125239</v>
      </c>
      <c r="R192" s="97">
        <f t="shared" si="21"/>
        <v>0.42470876043530087</v>
      </c>
      <c r="S192" s="97">
        <f t="shared" si="22"/>
        <v>-5.3327066780182591E-3</v>
      </c>
      <c r="T192" s="97">
        <f t="shared" si="23"/>
        <v>0.45615195014219134</v>
      </c>
      <c r="U192" s="97">
        <f t="shared" si="24"/>
        <v>-5.3327066780182591E-3</v>
      </c>
      <c r="V192" s="97">
        <f t="shared" si="25"/>
        <v>0.23171689671281778</v>
      </c>
      <c r="W192" s="97">
        <f t="shared" si="26"/>
        <v>0.33286593404187642</v>
      </c>
      <c r="X192" s="97">
        <f t="shared" si="27"/>
        <v>2.2029040738397843E-2</v>
      </c>
      <c r="Y192" s="97">
        <f t="shared" si="28"/>
        <v>0.3391986407198947</v>
      </c>
      <c r="Z192" s="97">
        <f t="shared" si="29"/>
        <v>0.32593562635061046</v>
      </c>
      <c r="AA192" s="97">
        <f t="shared" si="30"/>
        <v>-5.3327066780182591E-3</v>
      </c>
    </row>
    <row r="193" spans="2:31" ht="12.75" customHeight="1" x14ac:dyDescent="0.25">
      <c r="B193" s="21" t="s">
        <v>4</v>
      </c>
      <c r="C193" s="95">
        <f>Annual_sorted!AB26</f>
        <v>-34.028404175529914</v>
      </c>
      <c r="D193" s="29">
        <f>IF(C193-Table_1463457146[Burundi]&gt;0, C193-Table_1463457146[Burundi], 0)</f>
        <v>0.61166218849999865</v>
      </c>
      <c r="E193" s="29">
        <f>IF(C193-Table_1463457146[DRC]&gt;0, C193-Table_1463457146[DRC], 0)</f>
        <v>0.65410721949999839</v>
      </c>
      <c r="F193" s="29">
        <f>IF(C193-Table_1463457146[Egypt]&gt;0, C193-Table_1463457146[Egypt], 0)</f>
        <v>0</v>
      </c>
      <c r="G193" s="29">
        <f>IF(C193-Table_1463457146[Eritrea]&gt;0, C193-Table_1463457146[Eritrea], 0)</f>
        <v>0.7019333454999952</v>
      </c>
      <c r="H193" s="29">
        <f>IF(C193-Table_1463457146[Ethiopia]&gt;0, C193-Table_1463457146[Ethiopia], 0)</f>
        <v>0</v>
      </c>
      <c r="I193" s="29">
        <f>IF(C193-Table_1463457146[Kenya]&gt;0, C193-Table_1463457146[Kenya], 0)</f>
        <v>0.36056024549999677</v>
      </c>
      <c r="J193" s="29">
        <f>IF(C193-Table_1463457146[Rwanda]&gt;0, C193-Table_1463457146[Rwanda], 0)</f>
        <v>0.51441125899999918</v>
      </c>
      <c r="K193" s="29">
        <f>IF(C193-Table_1463457146[Sudan]&gt;0, C193-Table_1463457146[Sudan], 0)</f>
        <v>4.1618117999995263E-2</v>
      </c>
      <c r="L193" s="29">
        <f>IF(C193-Table_1463457146[S. Sudan]&gt;0, C193-Table_1463457146[S. Sudan], 0)</f>
        <v>0.52404351419825446</v>
      </c>
      <c r="M193" s="29">
        <f>IF(C193-Table_1463457146[Tanzania]&gt;0, C193-Table_1463457146[Tanzania], 0)</f>
        <v>0.50387003299999833</v>
      </c>
      <c r="N193" s="29">
        <f>IF(C193-Table_1463457146[Uganda]&gt;0, C193-Table_1463457146[Uganda], 0)</f>
        <v>0</v>
      </c>
      <c r="P193" s="21" t="s">
        <v>5</v>
      </c>
      <c r="Q193" s="97">
        <f t="shared" si="20"/>
        <v>0.15975375735041633</v>
      </c>
      <c r="R193" s="97">
        <f t="shared" si="21"/>
        <v>0.18765915704446487</v>
      </c>
      <c r="S193" s="97">
        <f t="shared" si="22"/>
        <v>-5.3327066780182591E-3</v>
      </c>
      <c r="T193" s="97">
        <f t="shared" si="23"/>
        <v>0.21910234675135531</v>
      </c>
      <c r="U193" s="97">
        <f t="shared" si="24"/>
        <v>-5.3327066780182591E-3</v>
      </c>
      <c r="V193" s="97">
        <f t="shared" si="25"/>
        <v>-5.3327066780182591E-3</v>
      </c>
      <c r="W193" s="97">
        <f t="shared" si="26"/>
        <v>9.5816330651040407E-2</v>
      </c>
      <c r="X193" s="97">
        <f t="shared" si="27"/>
        <v>-5.3327066780182591E-3</v>
      </c>
      <c r="Y193" s="97">
        <f t="shared" si="28"/>
        <v>0.10214903732905868</v>
      </c>
      <c r="Z193" s="97">
        <f t="shared" si="29"/>
        <v>8.8886022959774436E-2</v>
      </c>
      <c r="AA193" s="97">
        <f t="shared" si="30"/>
        <v>-5.3327066780182591E-3</v>
      </c>
    </row>
    <row r="194" spans="2:31" ht="12.75" customHeight="1" x14ac:dyDescent="0.25">
      <c r="B194" s="21" t="s">
        <v>5</v>
      </c>
      <c r="C194" s="95">
        <f>Annual_sorted!AB27</f>
        <v>-34.388964421029911</v>
      </c>
      <c r="D194" s="29">
        <f>IF(C194-Table_1463457146[Burundi]&gt;0, C194-Table_1463457146[Burundi], 0)</f>
        <v>0.25110194300000188</v>
      </c>
      <c r="E194" s="29">
        <f>IF(C194-Table_1463457146[DRC]&gt;0, C194-Table_1463457146[DRC], 0)</f>
        <v>0.29354697400000163</v>
      </c>
      <c r="F194" s="29">
        <f>IF(C194-Table_1463457146[Egypt]&gt;0, C194-Table_1463457146[Egypt], 0)</f>
        <v>0</v>
      </c>
      <c r="G194" s="29">
        <f>IF(C194-Table_1463457146[Eritrea]&gt;0, C194-Table_1463457146[Eritrea], 0)</f>
        <v>0.34137309999999843</v>
      </c>
      <c r="H194" s="29">
        <f>IF(C194-Table_1463457146[Ethiopia]&gt;0, C194-Table_1463457146[Ethiopia], 0)</f>
        <v>0</v>
      </c>
      <c r="I194" s="29">
        <f>IF(C194-Table_1463457146[Kenya]&gt;0, C194-Table_1463457146[Kenya], 0)</f>
        <v>0</v>
      </c>
      <c r="J194" s="29">
        <f>IF(C194-Table_1463457146[Rwanda]&gt;0, C194-Table_1463457146[Rwanda], 0)</f>
        <v>0.15385101350000241</v>
      </c>
      <c r="K194" s="29">
        <f>IF(C194-Table_1463457146[Sudan]&gt;0, C194-Table_1463457146[Sudan], 0)</f>
        <v>0</v>
      </c>
      <c r="L194" s="29">
        <f>IF(C194-Table_1463457146[S. Sudan]&gt;0, C194-Table_1463457146[S. Sudan], 0)</f>
        <v>0.16348326869825769</v>
      </c>
      <c r="M194" s="29">
        <f>IF(C194-Table_1463457146[Tanzania]&gt;0, C194-Table_1463457146[Tanzania], 0)</f>
        <v>0.14330978750000156</v>
      </c>
      <c r="N194" s="29">
        <f>IF(C194-Table_1463457146[Uganda]&gt;0, C194-Table_1463457146[Uganda], 0)</f>
        <v>0</v>
      </c>
      <c r="P194" s="21" t="s">
        <v>6</v>
      </c>
      <c r="Q194" s="97">
        <f t="shared" si="20"/>
        <v>5.8604720021357658E-2</v>
      </c>
      <c r="R194" s="97">
        <f t="shared" si="21"/>
        <v>8.6510119715406203E-2</v>
      </c>
      <c r="S194" s="97">
        <f t="shared" si="22"/>
        <v>-5.3327066780182591E-3</v>
      </c>
      <c r="T194" s="97">
        <f t="shared" si="23"/>
        <v>0.11795330942229666</v>
      </c>
      <c r="U194" s="97">
        <f t="shared" si="24"/>
        <v>-5.3327066780182591E-3</v>
      </c>
      <c r="V194" s="97">
        <f t="shared" si="25"/>
        <v>-5.3327066780182591E-3</v>
      </c>
      <c r="W194" s="97">
        <f t="shared" si="26"/>
        <v>-5.3327066780182591E-3</v>
      </c>
      <c r="X194" s="97">
        <f t="shared" si="27"/>
        <v>-5.3327066780182591E-3</v>
      </c>
      <c r="Y194" s="97">
        <f t="shared" si="28"/>
        <v>1E-3</v>
      </c>
      <c r="Z194" s="97">
        <f t="shared" si="29"/>
        <v>-5.3327066780182591E-3</v>
      </c>
      <c r="AA194" s="97">
        <f t="shared" si="30"/>
        <v>-5.3327066780182591E-3</v>
      </c>
    </row>
    <row r="195" spans="2:31" ht="12.75" customHeight="1" x14ac:dyDescent="0.25">
      <c r="B195" s="21" t="s">
        <v>6</v>
      </c>
      <c r="C195" s="95">
        <f>Annual_sorted!AB28</f>
        <v>-34.542815434529913</v>
      </c>
      <c r="D195" s="29">
        <f>IF(C195-Table_1463457146[Burundi]&gt;0, C195-Table_1463457146[Burundi], 0)</f>
        <v>9.7250929499999472E-2</v>
      </c>
      <c r="E195" s="29">
        <f>IF(C195-Table_1463457146[DRC]&gt;0, C195-Table_1463457146[DRC], 0)</f>
        <v>0.13969596049999922</v>
      </c>
      <c r="F195" s="29">
        <f>IF(C195-Table_1463457146[Egypt]&gt;0, C195-Table_1463457146[Egypt], 0)</f>
        <v>0</v>
      </c>
      <c r="G195" s="29">
        <f>IF(C195-Table_1463457146[Eritrea]&gt;0, C195-Table_1463457146[Eritrea], 0)</f>
        <v>0.18752208649999602</v>
      </c>
      <c r="H195" s="29">
        <f>IF(C195-Table_1463457146[Ethiopia]&gt;0, C195-Table_1463457146[Ethiopia], 0)</f>
        <v>0</v>
      </c>
      <c r="I195" s="29">
        <f>IF(C195-Table_1463457146[Kenya]&gt;0, C195-Table_1463457146[Kenya], 0)</f>
        <v>0</v>
      </c>
      <c r="J195" s="29">
        <f>IF(C195-Table_1463457146[Rwanda]&gt;0, C195-Table_1463457146[Rwanda], 0)</f>
        <v>0</v>
      </c>
      <c r="K195" s="29">
        <f>IF(C195-Table_1463457146[Sudan]&gt;0, C195-Table_1463457146[Sudan], 0)</f>
        <v>0</v>
      </c>
      <c r="L195" s="29">
        <f>IF(C195-Table_1463457146[S. Sudan]&gt;0, C195-Table_1463457146[S. Sudan], 0)</f>
        <v>9.6322551982552795E-3</v>
      </c>
      <c r="M195" s="29">
        <f>IF(C195-Table_1463457146[Tanzania]&gt;0, C195-Table_1463457146[Tanzania], 0)</f>
        <v>0</v>
      </c>
      <c r="N195" s="29">
        <f>IF(C195-Table_1463457146[Uganda]&gt;0, C195-Table_1463457146[Uganda], 0)</f>
        <v>0</v>
      </c>
      <c r="P195" s="21" t="s">
        <v>7</v>
      </c>
      <c r="Q195" s="97">
        <f t="shared" si="20"/>
        <v>0.36944161332483627</v>
      </c>
      <c r="R195" s="97">
        <f t="shared" si="21"/>
        <v>0.39734701301888475</v>
      </c>
      <c r="S195" s="97">
        <f t="shared" si="22"/>
        <v>-5.3327066780182591E-3</v>
      </c>
      <c r="T195" s="97">
        <f t="shared" si="23"/>
        <v>0.42879020272577523</v>
      </c>
      <c r="U195" s="97">
        <f t="shared" si="24"/>
        <v>-5.3327066780182591E-3</v>
      </c>
      <c r="V195" s="97">
        <f t="shared" si="25"/>
        <v>0.20435514929640164</v>
      </c>
      <c r="W195" s="97">
        <f t="shared" si="26"/>
        <v>0.30550418662546036</v>
      </c>
      <c r="X195" s="97">
        <f t="shared" si="27"/>
        <v>-5.3327066780182591E-3</v>
      </c>
      <c r="Y195" s="97">
        <f t="shared" si="28"/>
        <v>0.31183689330347858</v>
      </c>
      <c r="Z195" s="97">
        <f t="shared" si="29"/>
        <v>0.29857387893419435</v>
      </c>
      <c r="AA195" s="97">
        <f t="shared" si="30"/>
        <v>-5.3327066780182591E-3</v>
      </c>
    </row>
    <row r="196" spans="2:31" ht="12.75" customHeight="1" x14ac:dyDescent="0.25">
      <c r="B196" s="21" t="s">
        <v>7</v>
      </c>
      <c r="C196" s="95">
        <f>Annual_sorted!AB29</f>
        <v>-34.07002229352991</v>
      </c>
      <c r="D196" s="29">
        <f>IF(C196-Table_1463457146[Burundi]&gt;0, C196-Table_1463457146[Burundi], 0)</f>
        <v>0.57004407050000339</v>
      </c>
      <c r="E196" s="29">
        <f>IF(C196-Table_1463457146[DRC]&gt;0, C196-Table_1463457146[DRC], 0)</f>
        <v>0.61248910150000313</v>
      </c>
      <c r="F196" s="29">
        <f>IF(C196-Table_1463457146[Egypt]&gt;0, C196-Table_1463457146[Egypt], 0)</f>
        <v>0</v>
      </c>
      <c r="G196" s="29">
        <f>IF(C196-Table_1463457146[Eritrea]&gt;0, C196-Table_1463457146[Eritrea], 0)</f>
        <v>0.66031522749999993</v>
      </c>
      <c r="H196" s="29">
        <f>IF(C196-Table_1463457146[Ethiopia]&gt;0, C196-Table_1463457146[Ethiopia], 0)</f>
        <v>0</v>
      </c>
      <c r="I196" s="29">
        <f>IF(C196-Table_1463457146[Kenya]&gt;0, C196-Table_1463457146[Kenya], 0)</f>
        <v>0.3189421275000015</v>
      </c>
      <c r="J196" s="29">
        <f>IF(C196-Table_1463457146[Rwanda]&gt;0, C196-Table_1463457146[Rwanda], 0)</f>
        <v>0.47279314100000391</v>
      </c>
      <c r="K196" s="29">
        <f>IF(C196-Table_1463457146[Sudan]&gt;0, C196-Table_1463457146[Sudan], 0)</f>
        <v>0</v>
      </c>
      <c r="L196" s="29">
        <f>IF(C196-Table_1463457146[S. Sudan]&gt;0, C196-Table_1463457146[S. Sudan], 0)</f>
        <v>0.48242539619825919</v>
      </c>
      <c r="M196" s="29">
        <f>IF(C196-Table_1463457146[Tanzania]&gt;0, C196-Table_1463457146[Tanzania], 0)</f>
        <v>0.46225191500000307</v>
      </c>
      <c r="N196" s="29">
        <f>IF(C196-Table_1463457146[Uganda]&gt;0, C196-Table_1463457146[Uganda], 0)</f>
        <v>0</v>
      </c>
      <c r="P196" s="21" t="s">
        <v>8</v>
      </c>
      <c r="Q196" s="97">
        <f t="shared" si="20"/>
        <v>5.2272013343339405E-2</v>
      </c>
      <c r="R196" s="97">
        <f t="shared" si="21"/>
        <v>8.0177413037387957E-2</v>
      </c>
      <c r="S196" s="97">
        <f t="shared" si="22"/>
        <v>-5.3327066780182591E-3</v>
      </c>
      <c r="T196" s="97">
        <f t="shared" si="23"/>
        <v>0.11162060274427842</v>
      </c>
      <c r="U196" s="97">
        <f t="shared" si="24"/>
        <v>-5.3327066780182591E-3</v>
      </c>
      <c r="V196" s="97">
        <f t="shared" si="25"/>
        <v>-5.3327066780182591E-3</v>
      </c>
      <c r="W196" s="97">
        <f t="shared" si="26"/>
        <v>-5.3327066780182591E-3</v>
      </c>
      <c r="X196" s="97">
        <f t="shared" si="27"/>
        <v>-5.3327066780182591E-3</v>
      </c>
      <c r="Y196" s="97">
        <f t="shared" si="28"/>
        <v>-5.3327066780182591E-3</v>
      </c>
      <c r="Z196" s="97">
        <f t="shared" si="29"/>
        <v>-5.3327066780182591E-3</v>
      </c>
      <c r="AA196" s="97">
        <f t="shared" si="30"/>
        <v>-5.3327066780182591E-3</v>
      </c>
    </row>
    <row r="197" spans="2:31" ht="12.75" customHeight="1" x14ac:dyDescent="0.25">
      <c r="B197" s="21" t="s">
        <v>8</v>
      </c>
      <c r="C197" s="95">
        <f>Annual_sorted!AB30</f>
        <v>-34.552447689728169</v>
      </c>
      <c r="D197" s="29">
        <f>IF(C197-Table_1463457146[Burundi]&gt;0, C197-Table_1463457146[Burundi], 0)</f>
        <v>8.7618674301744193E-2</v>
      </c>
      <c r="E197" s="29">
        <f>IF(C197-Table_1463457146[DRC]&gt;0, C197-Table_1463457146[DRC], 0)</f>
        <v>0.13006370530174394</v>
      </c>
      <c r="F197" s="29">
        <f>IF(C197-Table_1463457146[Egypt]&gt;0, C197-Table_1463457146[Egypt], 0)</f>
        <v>0</v>
      </c>
      <c r="G197" s="29">
        <f>IF(C197-Table_1463457146[Eritrea]&gt;0, C197-Table_1463457146[Eritrea], 0)</f>
        <v>0.17788983130174074</v>
      </c>
      <c r="H197" s="29">
        <f>IF(C197-Table_1463457146[Ethiopia]&gt;0, C197-Table_1463457146[Ethiopia], 0)</f>
        <v>0</v>
      </c>
      <c r="I197" s="29">
        <f>IF(C197-Table_1463457146[Kenya]&gt;0, C197-Table_1463457146[Kenya], 0)</f>
        <v>0</v>
      </c>
      <c r="J197" s="29">
        <f>IF(C197-Table_1463457146[Rwanda]&gt;0, C197-Table_1463457146[Rwanda], 0)</f>
        <v>0</v>
      </c>
      <c r="K197" s="29">
        <f>IF(C197-Table_1463457146[Sudan]&gt;0, C197-Table_1463457146[Sudan], 0)</f>
        <v>0</v>
      </c>
      <c r="L197" s="29">
        <f>IF(C197-Table_1463457146[S. Sudan]&gt;0, C197-Table_1463457146[S. Sudan], 0)</f>
        <v>0</v>
      </c>
      <c r="M197" s="29">
        <f>IF(C197-Table_1463457146[Tanzania]&gt;0, C197-Table_1463457146[Tanzania], 0)</f>
        <v>0</v>
      </c>
      <c r="N197" s="29">
        <f>IF(C197-Table_1463457146[Uganda]&gt;0, C197-Table_1463457146[Uganda], 0)</f>
        <v>0</v>
      </c>
      <c r="P197" s="21" t="s">
        <v>9</v>
      </c>
      <c r="Q197" s="97">
        <f t="shared" si="20"/>
        <v>6.5535027712623622E-2</v>
      </c>
      <c r="R197" s="97">
        <f t="shared" si="21"/>
        <v>9.3440427406672161E-2</v>
      </c>
      <c r="S197" s="97">
        <f t="shared" si="22"/>
        <v>-5.3327066780182591E-3</v>
      </c>
      <c r="T197" s="97">
        <f t="shared" si="23"/>
        <v>0.12488361711356262</v>
      </c>
      <c r="U197" s="97">
        <f t="shared" si="24"/>
        <v>-5.3327066780182591E-3</v>
      </c>
      <c r="V197" s="97">
        <f t="shared" si="25"/>
        <v>-5.3327066780182591E-3</v>
      </c>
      <c r="W197" s="97">
        <f t="shared" si="26"/>
        <v>1.5976010132476987E-3</v>
      </c>
      <c r="X197" s="97">
        <f t="shared" si="27"/>
        <v>-5.3327066780182591E-3</v>
      </c>
      <c r="Y197" s="97">
        <f t="shared" si="28"/>
        <v>7.9303076912659587E-3</v>
      </c>
      <c r="Z197" s="97">
        <f t="shared" si="29"/>
        <v>-5.3327066780182591E-3</v>
      </c>
      <c r="AA197" s="97">
        <f t="shared" si="30"/>
        <v>-5.3327066780182591E-3</v>
      </c>
    </row>
    <row r="198" spans="2:31" ht="12.75" customHeight="1" thickBot="1" x14ac:dyDescent="0.3">
      <c r="B198" s="21" t="s">
        <v>9</v>
      </c>
      <c r="C198" s="95">
        <f>Annual_sorted!AB31</f>
        <v>-34.532274208529913</v>
      </c>
      <c r="D198" s="29">
        <f>IF(C198-Table_1463457146[Burundi]&gt;0, C198-Table_1463457146[Burundi], 0)</f>
        <v>0.10779215550000032</v>
      </c>
      <c r="E198" s="29">
        <f>IF(C198-Table_1463457146[DRC]&gt;0, C198-Table_1463457146[DRC], 0)</f>
        <v>0.15023718650000006</v>
      </c>
      <c r="F198" s="29">
        <f>IF(C198-Table_1463457146[Egypt]&gt;0, C198-Table_1463457146[Egypt], 0)</f>
        <v>0</v>
      </c>
      <c r="G198" s="29">
        <f>IF(C198-Table_1463457146[Eritrea]&gt;0, C198-Table_1463457146[Eritrea], 0)</f>
        <v>0.19806331249999687</v>
      </c>
      <c r="H198" s="29">
        <f>IF(C198-Table_1463457146[Ethiopia]&gt;0, C198-Table_1463457146[Ethiopia], 0)</f>
        <v>0</v>
      </c>
      <c r="I198" s="29">
        <f>IF(C198-Table_1463457146[Kenya]&gt;0, C198-Table_1463457146[Kenya], 0)</f>
        <v>0</v>
      </c>
      <c r="J198" s="29">
        <f>IF(C198-Table_1463457146[Rwanda]&gt;0, C198-Table_1463457146[Rwanda], 0)</f>
        <v>1.0541226000000847E-2</v>
      </c>
      <c r="K198" s="29">
        <f>IF(C198-Table_1463457146[Sudan]&gt;0, C198-Table_1463457146[Sudan], 0)</f>
        <v>0</v>
      </c>
      <c r="L198" s="29">
        <f>IF(C198-Table_1463457146[S. Sudan]&gt;0, C198-Table_1463457146[S. Sudan], 0)</f>
        <v>2.0173481198256127E-2</v>
      </c>
      <c r="M198" s="29">
        <f>IF(C198-Table_1463457146[Tanzania]&gt;0, C198-Table_1463457146[Tanzania], 0)</f>
        <v>0</v>
      </c>
      <c r="N198" s="29">
        <f>IF(C198-Table_1463457146[Uganda]&gt;0, C198-Table_1463457146[Uganda], 0)</f>
        <v>0</v>
      </c>
      <c r="P198" s="22" t="s">
        <v>10</v>
      </c>
      <c r="Q198" s="98">
        <f t="shared" si="20"/>
        <v>0.42947399464148484</v>
      </c>
      <c r="R198" s="98">
        <f t="shared" si="21"/>
        <v>0.45737939433553343</v>
      </c>
      <c r="S198" s="98">
        <f t="shared" si="22"/>
        <v>-5.3327066780182591E-3</v>
      </c>
      <c r="T198" s="98">
        <f t="shared" si="23"/>
        <v>0.48882258404242385</v>
      </c>
      <c r="U198" s="98">
        <f t="shared" si="24"/>
        <v>2.7337927222214252E-2</v>
      </c>
      <c r="V198" s="98">
        <f t="shared" si="25"/>
        <v>0.26438753061305026</v>
      </c>
      <c r="W198" s="98">
        <f t="shared" si="26"/>
        <v>0.36553656794210893</v>
      </c>
      <c r="X198" s="98">
        <f t="shared" si="27"/>
        <v>5.4699674638630354E-2</v>
      </c>
      <c r="Y198" s="98">
        <f t="shared" si="28"/>
        <v>0.3718692746201272</v>
      </c>
      <c r="Z198" s="98">
        <f t="shared" si="29"/>
        <v>0.35860626025084302</v>
      </c>
      <c r="AA198" s="98">
        <f t="shared" si="30"/>
        <v>-5.3327066780182591E-3</v>
      </c>
      <c r="AB198" s="186">
        <f>SUM(Q188:AA198)</f>
        <v>16.993559245948106</v>
      </c>
    </row>
    <row r="199" spans="2:31" ht="12.75" customHeight="1" thickBot="1" x14ac:dyDescent="0.3">
      <c r="B199" s="22" t="s">
        <v>10</v>
      </c>
      <c r="C199" s="96">
        <f>Annual_sorted!AB32</f>
        <v>-33.978711066529911</v>
      </c>
      <c r="D199" s="32">
        <f>IF(C199-Table_1463457146[Burundi]&gt;0, C199-Table_1463457146[Burundi], 0)</f>
        <v>0.66135529750000188</v>
      </c>
      <c r="E199" s="32">
        <f>IF(C199-Table_1463457146[DRC]&gt;0, C199-Table_1463457146[DRC], 0)</f>
        <v>0.70380032850000163</v>
      </c>
      <c r="F199" s="32">
        <f>IF(C199-Table_1463457146[Egypt]&gt;0, C199-Table_1463457146[Egypt], 0)</f>
        <v>0</v>
      </c>
      <c r="G199" s="32">
        <f>IF(C199-Table_1463457146[Eritrea]&gt;0, C199-Table_1463457146[Eritrea], 0)</f>
        <v>0.75162645449999843</v>
      </c>
      <c r="H199" s="32">
        <f>IF(C199-Table_1463457146[Ethiopia]&gt;0, C199-Table_1463457146[Ethiopia], 0)</f>
        <v>4.9693109000003233E-2</v>
      </c>
      <c r="I199" s="32">
        <f>IF(C199-Table_1463457146[Kenya]&gt;0, C199-Table_1463457146[Kenya], 0)</f>
        <v>0.4102533545</v>
      </c>
      <c r="J199" s="32">
        <f>IF(C199-Table_1463457146[Rwanda]&gt;0, C199-Table_1463457146[Rwanda], 0)</f>
        <v>0.56410436800000241</v>
      </c>
      <c r="K199" s="32">
        <f>IF(C199-Table_1463457146[Sudan]&gt;0, C199-Table_1463457146[Sudan], 0)</f>
        <v>9.1311226999998496E-2</v>
      </c>
      <c r="L199" s="32">
        <f>IF(C199-Table_1463457146[S. Sudan]&gt;0, C199-Table_1463457146[S. Sudan], 0)</f>
        <v>0.57373662319825769</v>
      </c>
      <c r="M199" s="32">
        <f>IF(C199-Table_1463457146[Tanzania]&gt;0, C199-Table_1463457146[Tanzania], 0)</f>
        <v>0.55356314200000156</v>
      </c>
      <c r="N199" s="32">
        <f>IF(C199-Table_1463457146[Uganda]&gt;0, C199-Table_1463457146[Uganda], 0)</f>
        <v>0</v>
      </c>
    </row>
    <row r="200" spans="2:31" ht="12.75" customHeight="1" x14ac:dyDescent="0.25"/>
    <row r="201" spans="2:31" ht="12.75" customHeight="1" x14ac:dyDescent="0.25"/>
    <row r="202" spans="2:31" ht="12.75" customHeight="1" thickBot="1" x14ac:dyDescent="0.3">
      <c r="B202" s="253" t="s">
        <v>89</v>
      </c>
      <c r="C202" s="253"/>
      <c r="D202" s="253"/>
      <c r="E202" s="253"/>
      <c r="F202" s="253"/>
      <c r="G202" s="253"/>
      <c r="H202" s="253"/>
      <c r="I202" s="253"/>
      <c r="J202" s="253"/>
      <c r="K202" s="253"/>
      <c r="L202" s="253"/>
      <c r="M202" s="253"/>
      <c r="N202" s="253"/>
      <c r="P202" s="253" t="s">
        <v>90</v>
      </c>
      <c r="Q202" s="253"/>
      <c r="R202" s="253"/>
      <c r="S202" s="253"/>
      <c r="T202" s="253"/>
      <c r="U202" s="253"/>
      <c r="V202" s="253"/>
      <c r="W202" s="253"/>
      <c r="X202" s="253"/>
      <c r="Y202" s="253"/>
      <c r="Z202" s="253"/>
      <c r="AA202" s="253"/>
      <c r="AB202" s="10"/>
      <c r="AC202" s="3" t="s">
        <v>22</v>
      </c>
      <c r="AD202" s="13" t="s">
        <v>23</v>
      </c>
      <c r="AE202" s="74">
        <f t="array" ref="AE202">MIN(IF(D205:N215&gt;0,D205:N215))</f>
        <v>6.2898589702356844E-2</v>
      </c>
    </row>
    <row r="203" spans="2:31" ht="12.75" customHeight="1" thickBot="1" x14ac:dyDescent="0.3">
      <c r="B203" s="75" t="s">
        <v>13</v>
      </c>
      <c r="C203" s="66" t="s">
        <v>14</v>
      </c>
      <c r="D203" s="67" t="s">
        <v>1</v>
      </c>
      <c r="E203" s="67" t="s">
        <v>195</v>
      </c>
      <c r="F203" s="67" t="s">
        <v>2</v>
      </c>
      <c r="G203" s="67" t="s">
        <v>3</v>
      </c>
      <c r="H203" s="67" t="s">
        <v>4</v>
      </c>
      <c r="I203" s="67" t="s">
        <v>5</v>
      </c>
      <c r="J203" s="67" t="s">
        <v>6</v>
      </c>
      <c r="K203" s="67" t="s">
        <v>7</v>
      </c>
      <c r="L203" s="67" t="s">
        <v>295</v>
      </c>
      <c r="M203" s="67" t="s">
        <v>9</v>
      </c>
      <c r="N203" s="67" t="s">
        <v>10</v>
      </c>
      <c r="P203" s="76" t="s">
        <v>19</v>
      </c>
      <c r="Q203" s="77" t="s">
        <v>1</v>
      </c>
      <c r="R203" s="77" t="s">
        <v>195</v>
      </c>
      <c r="S203" s="77" t="s">
        <v>2</v>
      </c>
      <c r="T203" s="77" t="s">
        <v>3</v>
      </c>
      <c r="U203" s="77" t="s">
        <v>4</v>
      </c>
      <c r="V203" s="77" t="s">
        <v>5</v>
      </c>
      <c r="W203" s="77" t="s">
        <v>6</v>
      </c>
      <c r="X203" s="77" t="s">
        <v>7</v>
      </c>
      <c r="Y203" s="77" t="s">
        <v>295</v>
      </c>
      <c r="Z203" s="77" t="s">
        <v>9</v>
      </c>
      <c r="AA203" s="77" t="s">
        <v>10</v>
      </c>
      <c r="AB203" s="254" t="s">
        <v>26</v>
      </c>
      <c r="AC203" s="254"/>
      <c r="AD203" s="13" t="s">
        <v>24</v>
      </c>
      <c r="AE203" s="20">
        <f>MAX(D205:N215)</f>
        <v>327.15641288230972</v>
      </c>
    </row>
    <row r="204" spans="2:31" ht="12.75" customHeight="1" x14ac:dyDescent="0.25">
      <c r="B204" s="93"/>
      <c r="C204" s="94" t="s">
        <v>260</v>
      </c>
      <c r="D204" s="95">
        <f>C205</f>
        <v>-34.580936519267588</v>
      </c>
      <c r="E204" s="95">
        <f>C206</f>
        <v>-30.222498945557422</v>
      </c>
      <c r="F204" s="95">
        <f>C207</f>
        <v>292.57547636304213</v>
      </c>
      <c r="G204" s="95">
        <f>C208</f>
        <v>-33.077521688460372</v>
      </c>
      <c r="H204" s="95">
        <f>C209</f>
        <v>-25.470336331834581</v>
      </c>
      <c r="I204" s="95">
        <f>C210</f>
        <v>-33.140420278162729</v>
      </c>
      <c r="J204" s="95">
        <f>C211</f>
        <v>-33.590612414282731</v>
      </c>
      <c r="K204" s="95">
        <f>C212</f>
        <v>264.9016446955481</v>
      </c>
      <c r="L204" s="95">
        <f>C213</f>
        <v>-24.285696642229812</v>
      </c>
      <c r="M204" s="95">
        <f>C214</f>
        <v>-31.859398338402901</v>
      </c>
      <c r="N204" s="95">
        <f>C215</f>
        <v>-17.215897801607611</v>
      </c>
      <c r="P204" s="21" t="s">
        <v>1</v>
      </c>
      <c r="Q204" s="97">
        <f>$AE$204+(D205-$AE$202)*($AE$205-$AE$204)/($AE$203-$AE$202)</f>
        <v>8.0789686017300943E-4</v>
      </c>
      <c r="R204" s="97">
        <f t="shared" ref="R204:AA204" si="31">$AE$204+(E205-$AE$202)*($AE$205-$AE$204)/($AE$203-$AE$202)</f>
        <v>8.0789686017300943E-4</v>
      </c>
      <c r="S204" s="97">
        <f t="shared" si="31"/>
        <v>8.0789686017300943E-4</v>
      </c>
      <c r="T204" s="97">
        <f t="shared" si="31"/>
        <v>8.0789686017300943E-4</v>
      </c>
      <c r="U204" s="97">
        <f t="shared" si="31"/>
        <v>8.0789686017300943E-4</v>
      </c>
      <c r="V204" s="97">
        <f t="shared" si="31"/>
        <v>8.0789686017300943E-4</v>
      </c>
      <c r="W204" s="97">
        <f t="shared" si="31"/>
        <v>8.0789686017300943E-4</v>
      </c>
      <c r="X204" s="97">
        <f t="shared" si="31"/>
        <v>8.0789686017300943E-4</v>
      </c>
      <c r="Y204" s="97">
        <f t="shared" si="31"/>
        <v>8.0789686017300943E-4</v>
      </c>
      <c r="Z204" s="97">
        <f t="shared" si="31"/>
        <v>8.0789686017300943E-4</v>
      </c>
      <c r="AA204" s="97">
        <f t="shared" si="31"/>
        <v>8.0789686017300943E-4</v>
      </c>
      <c r="AD204" s="3" t="s">
        <v>25</v>
      </c>
      <c r="AE204" s="2">
        <v>1E-3</v>
      </c>
    </row>
    <row r="205" spans="2:31" ht="12.75" customHeight="1" x14ac:dyDescent="0.25">
      <c r="B205" s="21" t="s">
        <v>1</v>
      </c>
      <c r="C205" s="95">
        <f>Annual_sorted!AD22</f>
        <v>-34.580936519267588</v>
      </c>
      <c r="D205" s="29">
        <f>IF(C205-Table_146345781129187[Burundi]&gt;0, C205-Table_146345781129187[Burundi], 0)</f>
        <v>0</v>
      </c>
      <c r="E205" s="29">
        <f>IF(C205-Table_146345781129187[DRC]&gt;0, C205-Table_146345781129187[DRC], 0)</f>
        <v>0</v>
      </c>
      <c r="F205" s="29">
        <f>IF(C205-Table_146345781129187[Egypt]&gt;0, C205-Table_146345781129187[Egypt], 0)</f>
        <v>0</v>
      </c>
      <c r="G205" s="29">
        <f>IF(C205-Table_146345781129187[Eritrea]&gt;0, C205-Table_146345781129187[Eritrea], 0)</f>
        <v>0</v>
      </c>
      <c r="H205" s="29">
        <f>IF(C205-Table_146345781129187[Ethiopia]&gt;0, C205-Table_146345781129187[Ethiopia], 0)</f>
        <v>0</v>
      </c>
      <c r="I205" s="29">
        <f>IF(C205-Table_146345781129187[Kenya]&gt;0, C205-Table_146345781129187[Kenya], 0)</f>
        <v>0</v>
      </c>
      <c r="J205" s="29">
        <f>IF(C205-Table_146345781129187[Rwanda]&gt;0, C205-Table_146345781129187[Rwanda], 0)</f>
        <v>0</v>
      </c>
      <c r="K205" s="29">
        <f>IF(C205-Table_146345781129187[Sudan]&gt;0, C205-Table_146345781129187[Sudan], 0)</f>
        <v>0</v>
      </c>
      <c r="L205" s="29">
        <f>IF(C205-Table_146345781129187[S. Sudan]&gt;0, C205-Table_146345781129187[S. Sudan], 0)</f>
        <v>0</v>
      </c>
      <c r="M205" s="29">
        <f>IF(C205-Table_146345781129187[Tanzania]&gt;0, C205-Table_146345781129187[Tanzania], 0)</f>
        <v>0</v>
      </c>
      <c r="N205" s="29">
        <f>IF(C205-Table_146345781129187[Uganda]&gt;0, C205-Table_146345781129187[Uganda], 0)</f>
        <v>0</v>
      </c>
      <c r="P205" s="21" t="s">
        <v>195</v>
      </c>
      <c r="Q205" s="97">
        <f t="shared" ref="Q205:Q214" si="32">$AE$204+(D206-$AE$202)*($AE$205-$AE$204)/($AE$203-$AE$202)</f>
        <v>1.4119316823827305E-2</v>
      </c>
      <c r="R205" s="97">
        <f t="shared" ref="R205:R214" si="33">$AE$204+(E206-$AE$202)*($AE$205-$AE$204)/($AE$203-$AE$202)</f>
        <v>8.0789686017300943E-4</v>
      </c>
      <c r="S205" s="97">
        <f t="shared" ref="S205:S214" si="34">$AE$204+(F206-$AE$202)*($AE$205-$AE$204)/($AE$203-$AE$202)</f>
        <v>8.0789686017300943E-4</v>
      </c>
      <c r="T205" s="97">
        <f t="shared" ref="T205:T214" si="35">$AE$204+(G206-$AE$202)*($AE$205-$AE$204)/($AE$203-$AE$202)</f>
        <v>9.5276286663151175E-3</v>
      </c>
      <c r="U205" s="97">
        <f t="shared" ref="U205:U214" si="36">$AE$204+(H206-$AE$202)*($AE$205-$AE$204)/($AE$203-$AE$202)</f>
        <v>8.0789686017300943E-4</v>
      </c>
      <c r="V205" s="97">
        <f t="shared" ref="V205:V214" si="37">$AE$204+(I206-$AE$202)*($AE$205-$AE$204)/($AE$203-$AE$202)</f>
        <v>9.7197318061421067E-3</v>
      </c>
      <c r="W205" s="97">
        <f t="shared" ref="W205:W214" si="38">$AE$204+(J206-$AE$202)*($AE$205-$AE$204)/($AE$203-$AE$202)</f>
        <v>1.1094696225588091E-2</v>
      </c>
      <c r="X205" s="97">
        <f t="shared" ref="X205:X214" si="39">$AE$204+(K206-$AE$202)*($AE$205-$AE$204)/($AE$203-$AE$202)</f>
        <v>8.0789686017300943E-4</v>
      </c>
      <c r="Y205" s="97">
        <f t="shared" ref="Y205:Y214" si="40">$AE$204+(L206-$AE$202)*($AE$205-$AE$204)/($AE$203-$AE$202)</f>
        <v>8.0789686017300943E-4</v>
      </c>
      <c r="Z205" s="97">
        <f t="shared" ref="Z205:Z214" si="41">$AE$204+(M206-$AE$202)*($AE$205-$AE$204)/($AE$203-$AE$202)</f>
        <v>5.8072698895929066E-3</v>
      </c>
      <c r="AA205" s="97">
        <f t="shared" ref="AA205:AA214" si="42">$AE$204+(N206-$AE$202)*($AE$205-$AE$204)/($AE$203-$AE$202)</f>
        <v>8.0789686017300943E-4</v>
      </c>
      <c r="AD205" s="3" t="s">
        <v>70</v>
      </c>
      <c r="AE205" s="2">
        <v>1</v>
      </c>
    </row>
    <row r="206" spans="2:31" ht="12.75" customHeight="1" x14ac:dyDescent="0.25">
      <c r="B206" s="21" t="s">
        <v>195</v>
      </c>
      <c r="C206" s="95">
        <f>Annual_sorted!AD23</f>
        <v>-30.222498945557422</v>
      </c>
      <c r="D206" s="29">
        <f>IF(C206-Table_146345781129187[Burundi]&gt;0, C206-Table_146345781129187[Burundi], 0)</f>
        <v>4.3584375737101659</v>
      </c>
      <c r="E206" s="29">
        <f>IF(C206-Table_146345781129187[DRC]&gt;0, C206-Table_146345781129187[DRC], 0)</f>
        <v>0</v>
      </c>
      <c r="F206" s="29">
        <f>IF(C206-Table_146345781129187[Egypt]&gt;0, C206-Table_146345781129187[Egypt], 0)</f>
        <v>0</v>
      </c>
      <c r="G206" s="29">
        <f>IF(C206-Table_146345781129187[Eritrea]&gt;0, C206-Table_146345781129187[Eritrea], 0)</f>
        <v>2.8550227429029498</v>
      </c>
      <c r="H206" s="29">
        <f>IF(C206-Table_146345781129187[Ethiopia]&gt;0, C206-Table_146345781129187[Ethiopia], 0)</f>
        <v>0</v>
      </c>
      <c r="I206" s="29">
        <f>IF(C206-Table_146345781129187[Kenya]&gt;0, C206-Table_146345781129187[Kenya], 0)</f>
        <v>2.9179213326053066</v>
      </c>
      <c r="J206" s="29">
        <f>IF(C206-Table_146345781129187[Rwanda]&gt;0, C206-Table_146345781129187[Rwanda], 0)</f>
        <v>3.3681134687253085</v>
      </c>
      <c r="K206" s="29">
        <f>IF(C206-Table_146345781129187[Sudan]&gt;0, C206-Table_146345781129187[Sudan], 0)</f>
        <v>0</v>
      </c>
      <c r="L206" s="29">
        <f>IF(C206-Table_146345781129187[S. Sudan]&gt;0, C206-Table_146345781129187[S. Sudan], 0)</f>
        <v>0</v>
      </c>
      <c r="M206" s="29">
        <f>IF(C206-Table_146345781129187[Tanzania]&gt;0, C206-Table_146345781129187[Tanzania], 0)</f>
        <v>1.6368993928454785</v>
      </c>
      <c r="N206" s="29">
        <f>IF(C206-Table_146345781129187[Uganda]&gt;0, C206-Table_146345781129187[Uganda], 0)</f>
        <v>0</v>
      </c>
      <c r="P206" s="21" t="s">
        <v>2</v>
      </c>
      <c r="Q206" s="97">
        <f t="shared" si="32"/>
        <v>1</v>
      </c>
      <c r="R206" s="97">
        <f t="shared" si="33"/>
        <v>0.98668858003634574</v>
      </c>
      <c r="S206" s="97">
        <f t="shared" si="34"/>
        <v>8.0789686017300943E-4</v>
      </c>
      <c r="T206" s="97">
        <f t="shared" si="35"/>
        <v>0.99540831184248779</v>
      </c>
      <c r="U206" s="97">
        <f t="shared" si="36"/>
        <v>0.97217465590252061</v>
      </c>
      <c r="V206" s="97">
        <f t="shared" si="37"/>
        <v>0.99560041498231466</v>
      </c>
      <c r="W206" s="97">
        <f t="shared" si="38"/>
        <v>0.99697537940176073</v>
      </c>
      <c r="X206" s="97">
        <f t="shared" si="39"/>
        <v>8.5328551131217859E-2</v>
      </c>
      <c r="Y206" s="97">
        <f t="shared" si="40"/>
        <v>0.9685565619990858</v>
      </c>
      <c r="Z206" s="97">
        <f t="shared" si="41"/>
        <v>0.99168795306576552</v>
      </c>
      <c r="AA206" s="97">
        <f t="shared" si="42"/>
        <v>0.94696417715141945</v>
      </c>
    </row>
    <row r="207" spans="2:31" ht="12.75" customHeight="1" x14ac:dyDescent="0.25">
      <c r="B207" s="21" t="s">
        <v>2</v>
      </c>
      <c r="C207" s="95">
        <f>Annual_sorted!AD24</f>
        <v>292.57547636304213</v>
      </c>
      <c r="D207" s="29">
        <f>IF(C207-Table_146345781129187[Burundi]&gt;0, C207-Table_146345781129187[Burundi], 0)</f>
        <v>327.15641288230972</v>
      </c>
      <c r="E207" s="29">
        <f>IF(C207-Table_146345781129187[DRC]&gt;0, C207-Table_146345781129187[DRC], 0)</f>
        <v>322.79797530859958</v>
      </c>
      <c r="F207" s="29">
        <f>IF(C207-Table_146345781129187[Egypt]&gt;0, C207-Table_146345781129187[Egypt], 0)</f>
        <v>0</v>
      </c>
      <c r="G207" s="29">
        <f>IF(C207-Table_146345781129187[Eritrea]&gt;0, C207-Table_146345781129187[Eritrea], 0)</f>
        <v>325.65299805150249</v>
      </c>
      <c r="H207" s="29">
        <f>IF(C207-Table_146345781129187[Ethiopia]&gt;0, C207-Table_146345781129187[Ethiopia], 0)</f>
        <v>318.0458126948767</v>
      </c>
      <c r="I207" s="29">
        <f>IF(C207-Table_146345781129187[Kenya]&gt;0, C207-Table_146345781129187[Kenya], 0)</f>
        <v>325.71589664120484</v>
      </c>
      <c r="J207" s="29">
        <f>IF(C207-Table_146345781129187[Rwanda]&gt;0, C207-Table_146345781129187[Rwanda], 0)</f>
        <v>326.16608877732483</v>
      </c>
      <c r="K207" s="29">
        <f>IF(C207-Table_146345781129187[Sudan]&gt;0, C207-Table_146345781129187[Sudan], 0)</f>
        <v>27.673831667494028</v>
      </c>
      <c r="L207" s="29">
        <f>IF(C207-Table_146345781129187[S. Sudan]&gt;0, C207-Table_146345781129187[S. Sudan], 0)</f>
        <v>316.86117300527195</v>
      </c>
      <c r="M207" s="29">
        <f>IF(C207-Table_146345781129187[Tanzania]&gt;0, C207-Table_146345781129187[Tanzania], 0)</f>
        <v>324.43487470144504</v>
      </c>
      <c r="N207" s="29">
        <f>IF(C207-Table_146345781129187[Uganda]&gt;0, C207-Table_146345781129187[Uganda], 0)</f>
        <v>309.79137416464971</v>
      </c>
      <c r="P207" s="21" t="s">
        <v>3</v>
      </c>
      <c r="Q207" s="97">
        <f t="shared" si="32"/>
        <v>5.3995850176851972E-3</v>
      </c>
      <c r="R207" s="97">
        <f t="shared" si="33"/>
        <v>8.0789686017300943E-4</v>
      </c>
      <c r="S207" s="97">
        <f t="shared" si="34"/>
        <v>8.0789686017300943E-4</v>
      </c>
      <c r="T207" s="97">
        <f t="shared" si="35"/>
        <v>8.0789686017300943E-4</v>
      </c>
      <c r="U207" s="97">
        <f t="shared" si="36"/>
        <v>8.0789686017300943E-4</v>
      </c>
      <c r="V207" s="97">
        <f t="shared" si="37"/>
        <v>1E-3</v>
      </c>
      <c r="W207" s="97">
        <f t="shared" si="38"/>
        <v>2.3749644194459851E-3</v>
      </c>
      <c r="X207" s="97">
        <f t="shared" si="39"/>
        <v>8.0789686017300943E-4</v>
      </c>
      <c r="Y207" s="97">
        <f t="shared" si="40"/>
        <v>8.0789686017300943E-4</v>
      </c>
      <c r="Z207" s="97">
        <f t="shared" si="41"/>
        <v>8.0789686017300943E-4</v>
      </c>
      <c r="AA207" s="97">
        <f t="shared" si="42"/>
        <v>8.0789686017300943E-4</v>
      </c>
    </row>
    <row r="208" spans="2:31" ht="12.75" customHeight="1" x14ac:dyDescent="0.25">
      <c r="B208" s="21" t="s">
        <v>3</v>
      </c>
      <c r="C208" s="95">
        <f>Annual_sorted!AD25</f>
        <v>-33.077521688460372</v>
      </c>
      <c r="D208" s="29">
        <f>IF(C208-Table_146345781129187[Burundi]&gt;0, C208-Table_146345781129187[Burundi], 0)</f>
        <v>1.5034148308072162</v>
      </c>
      <c r="E208" s="29">
        <f>IF(C208-Table_146345781129187[DRC]&gt;0, C208-Table_146345781129187[DRC], 0)</f>
        <v>0</v>
      </c>
      <c r="F208" s="29">
        <f>IF(C208-Table_146345781129187[Egypt]&gt;0, C208-Table_146345781129187[Egypt], 0)</f>
        <v>0</v>
      </c>
      <c r="G208" s="29">
        <f>IF(C208-Table_146345781129187[Eritrea]&gt;0, C208-Table_146345781129187[Eritrea], 0)</f>
        <v>0</v>
      </c>
      <c r="H208" s="29">
        <f>IF(C208-Table_146345781129187[Ethiopia]&gt;0, C208-Table_146345781129187[Ethiopia], 0)</f>
        <v>0</v>
      </c>
      <c r="I208" s="29">
        <f>IF(C208-Table_146345781129187[Kenya]&gt;0, C208-Table_146345781129187[Kenya], 0)</f>
        <v>6.2898589702356844E-2</v>
      </c>
      <c r="J208" s="29">
        <f>IF(C208-Table_146345781129187[Rwanda]&gt;0, C208-Table_146345781129187[Rwanda], 0)</f>
        <v>0.51309072582235871</v>
      </c>
      <c r="K208" s="29">
        <f>IF(C208-Table_146345781129187[Sudan]&gt;0, C208-Table_146345781129187[Sudan], 0)</f>
        <v>0</v>
      </c>
      <c r="L208" s="29">
        <f>IF(C208-Table_146345781129187[S. Sudan]&gt;0, C208-Table_146345781129187[S. Sudan], 0)</f>
        <v>0</v>
      </c>
      <c r="M208" s="29">
        <f>IF(C208-Table_146345781129187[Tanzania]&gt;0, C208-Table_146345781129187[Tanzania], 0)</f>
        <v>0</v>
      </c>
      <c r="N208" s="29">
        <f>IF(C208-Table_146345781129187[Uganda]&gt;0, C208-Table_146345781129187[Uganda], 0)</f>
        <v>0</v>
      </c>
      <c r="P208" s="21" t="s">
        <v>4</v>
      </c>
      <c r="Q208" s="97">
        <f t="shared" si="32"/>
        <v>2.8633240957652347E-2</v>
      </c>
      <c r="R208" s="97">
        <f t="shared" si="33"/>
        <v>1.5321820993998047E-2</v>
      </c>
      <c r="S208" s="97">
        <f t="shared" si="34"/>
        <v>8.0789686017300943E-4</v>
      </c>
      <c r="T208" s="97">
        <f t="shared" si="35"/>
        <v>2.4041552800140156E-2</v>
      </c>
      <c r="U208" s="97">
        <f t="shared" si="36"/>
        <v>8.0789686017300943E-4</v>
      </c>
      <c r="V208" s="97">
        <f t="shared" si="37"/>
        <v>2.4233655939967146E-2</v>
      </c>
      <c r="W208" s="97">
        <f t="shared" si="38"/>
        <v>2.560862035941313E-2</v>
      </c>
      <c r="X208" s="97">
        <f t="shared" si="39"/>
        <v>8.0789686017300943E-4</v>
      </c>
      <c r="Y208" s="97">
        <f t="shared" si="40"/>
        <v>8.0789686017300943E-4</v>
      </c>
      <c r="Z208" s="97">
        <f t="shared" si="41"/>
        <v>2.0321194023417942E-2</v>
      </c>
      <c r="AA208" s="97">
        <f t="shared" si="42"/>
        <v>8.0789686017300943E-4</v>
      </c>
    </row>
    <row r="209" spans="1:31" ht="12.75" customHeight="1" x14ac:dyDescent="0.25">
      <c r="B209" s="21" t="s">
        <v>4</v>
      </c>
      <c r="C209" s="95">
        <f>Annual_sorted!AD26</f>
        <v>-25.470336331834581</v>
      </c>
      <c r="D209" s="29">
        <f>IF(C209-Table_146345781129187[Burundi]&gt;0, C209-Table_146345781129187[Burundi], 0)</f>
        <v>9.1106001874330076</v>
      </c>
      <c r="E209" s="29">
        <f>IF(C209-Table_146345781129187[DRC]&gt;0, C209-Table_146345781129187[DRC], 0)</f>
        <v>4.7521626137228417</v>
      </c>
      <c r="F209" s="29">
        <f>IF(C209-Table_146345781129187[Egypt]&gt;0, C209-Table_146345781129187[Egypt], 0)</f>
        <v>0</v>
      </c>
      <c r="G209" s="29">
        <f>IF(C209-Table_146345781129187[Eritrea]&gt;0, C209-Table_146345781129187[Eritrea], 0)</f>
        <v>7.6071853566257914</v>
      </c>
      <c r="H209" s="29">
        <f>IF(C209-Table_146345781129187[Ethiopia]&gt;0, C209-Table_146345781129187[Ethiopia], 0)</f>
        <v>0</v>
      </c>
      <c r="I209" s="29">
        <f>IF(C209-Table_146345781129187[Kenya]&gt;0, C209-Table_146345781129187[Kenya], 0)</f>
        <v>7.6700839463281483</v>
      </c>
      <c r="J209" s="29">
        <f>IF(C209-Table_146345781129187[Rwanda]&gt;0, C209-Table_146345781129187[Rwanda], 0)</f>
        <v>8.1202760824481501</v>
      </c>
      <c r="K209" s="29">
        <f>IF(C209-Table_146345781129187[Sudan]&gt;0, C209-Table_146345781129187[Sudan], 0)</f>
        <v>0</v>
      </c>
      <c r="L209" s="29">
        <f>IF(C209-Table_146345781129187[S. Sudan]&gt;0, C209-Table_146345781129187[S. Sudan], 0)</f>
        <v>0</v>
      </c>
      <c r="M209" s="29">
        <f>IF(C209-Table_146345781129187[Tanzania]&gt;0, C209-Table_146345781129187[Tanzania], 0)</f>
        <v>6.3890620065683201</v>
      </c>
      <c r="N209" s="29">
        <f>IF(C209-Table_146345781129187[Uganda]&gt;0, C209-Table_146345781129187[Uganda], 0)</f>
        <v>0</v>
      </c>
      <c r="P209" s="21" t="s">
        <v>5</v>
      </c>
      <c r="Q209" s="97">
        <f t="shared" si="32"/>
        <v>5.207481877858207E-3</v>
      </c>
      <c r="R209" s="97">
        <f t="shared" si="33"/>
        <v>8.0789686017300943E-4</v>
      </c>
      <c r="S209" s="97">
        <f t="shared" si="34"/>
        <v>8.0789686017300943E-4</v>
      </c>
      <c r="T209" s="97">
        <f t="shared" si="35"/>
        <v>8.0789686017300943E-4</v>
      </c>
      <c r="U209" s="97">
        <f t="shared" si="36"/>
        <v>8.0789686017300943E-4</v>
      </c>
      <c r="V209" s="97">
        <f t="shared" si="37"/>
        <v>8.0789686017300943E-4</v>
      </c>
      <c r="W209" s="97">
        <f t="shared" si="38"/>
        <v>2.1828612796189941E-3</v>
      </c>
      <c r="X209" s="97">
        <f t="shared" si="39"/>
        <v>8.0789686017300943E-4</v>
      </c>
      <c r="Y209" s="97">
        <f t="shared" si="40"/>
        <v>8.0789686017300943E-4</v>
      </c>
      <c r="Z209" s="97">
        <f t="shared" si="41"/>
        <v>8.0789686017300943E-4</v>
      </c>
      <c r="AA209" s="97">
        <f t="shared" si="42"/>
        <v>8.0789686017300943E-4</v>
      </c>
    </row>
    <row r="210" spans="1:31" ht="12.75" customHeight="1" x14ac:dyDescent="0.25">
      <c r="B210" s="21" t="s">
        <v>5</v>
      </c>
      <c r="C210" s="95">
        <f>Annual_sorted!AD27</f>
        <v>-33.140420278162729</v>
      </c>
      <c r="D210" s="29">
        <f>IF(C210-Table_146345781129187[Burundi]&gt;0, C210-Table_146345781129187[Burundi], 0)</f>
        <v>1.4405162411048593</v>
      </c>
      <c r="E210" s="29">
        <f>IF(C210-Table_146345781129187[DRC]&gt;0, C210-Table_146345781129187[DRC], 0)</f>
        <v>0</v>
      </c>
      <c r="F210" s="29">
        <f>IF(C210-Table_146345781129187[Egypt]&gt;0, C210-Table_146345781129187[Egypt], 0)</f>
        <v>0</v>
      </c>
      <c r="G210" s="29">
        <f>IF(C210-Table_146345781129187[Eritrea]&gt;0, C210-Table_146345781129187[Eritrea], 0)</f>
        <v>0</v>
      </c>
      <c r="H210" s="29">
        <f>IF(C210-Table_146345781129187[Ethiopia]&gt;0, C210-Table_146345781129187[Ethiopia], 0)</f>
        <v>0</v>
      </c>
      <c r="I210" s="29">
        <f>IF(C210-Table_146345781129187[Kenya]&gt;0, C210-Table_146345781129187[Kenya], 0)</f>
        <v>0</v>
      </c>
      <c r="J210" s="29">
        <f>IF(C210-Table_146345781129187[Rwanda]&gt;0, C210-Table_146345781129187[Rwanda], 0)</f>
        <v>0.45019213612000186</v>
      </c>
      <c r="K210" s="29">
        <f>IF(C210-Table_146345781129187[Sudan]&gt;0, C210-Table_146345781129187[Sudan], 0)</f>
        <v>0</v>
      </c>
      <c r="L210" s="29">
        <f>IF(C210-Table_146345781129187[S. Sudan]&gt;0, C210-Table_146345781129187[S. Sudan], 0)</f>
        <v>0</v>
      </c>
      <c r="M210" s="29">
        <f>IF(C210-Table_146345781129187[Tanzania]&gt;0, C210-Table_146345781129187[Tanzania], 0)</f>
        <v>0</v>
      </c>
      <c r="N210" s="29">
        <f>IF(C210-Table_146345781129187[Uganda]&gt;0, C210-Table_146345781129187[Uganda], 0)</f>
        <v>0</v>
      </c>
      <c r="P210" s="21" t="s">
        <v>6</v>
      </c>
      <c r="Q210" s="97">
        <f t="shared" si="32"/>
        <v>3.8325174584122224E-3</v>
      </c>
      <c r="R210" s="97">
        <f t="shared" si="33"/>
        <v>8.0789686017300943E-4</v>
      </c>
      <c r="S210" s="97">
        <f t="shared" si="34"/>
        <v>8.0789686017300943E-4</v>
      </c>
      <c r="T210" s="97">
        <f t="shared" si="35"/>
        <v>8.0789686017300943E-4</v>
      </c>
      <c r="U210" s="97">
        <f t="shared" si="36"/>
        <v>8.0789686017300943E-4</v>
      </c>
      <c r="V210" s="97">
        <f t="shared" si="37"/>
        <v>8.0789686017300943E-4</v>
      </c>
      <c r="W210" s="97">
        <f t="shared" si="38"/>
        <v>8.0789686017300943E-4</v>
      </c>
      <c r="X210" s="97">
        <f t="shared" si="39"/>
        <v>8.0789686017300943E-4</v>
      </c>
      <c r="Y210" s="97">
        <f t="shared" si="40"/>
        <v>8.0789686017300943E-4</v>
      </c>
      <c r="Z210" s="97">
        <f t="shared" si="41"/>
        <v>8.0789686017300943E-4</v>
      </c>
      <c r="AA210" s="97">
        <f t="shared" si="42"/>
        <v>8.0789686017300943E-4</v>
      </c>
    </row>
    <row r="211" spans="1:31" ht="12.75" customHeight="1" x14ac:dyDescent="0.25">
      <c r="B211" s="21" t="s">
        <v>6</v>
      </c>
      <c r="C211" s="95">
        <f>Annual_sorted!AD28</f>
        <v>-33.590612414282731</v>
      </c>
      <c r="D211" s="29">
        <f>IF(C211-Table_146345781129187[Burundi]&gt;0, C211-Table_146345781129187[Burundi], 0)</f>
        <v>0.99032410498485746</v>
      </c>
      <c r="E211" s="29">
        <f>IF(C211-Table_146345781129187[DRC]&gt;0, C211-Table_146345781129187[DRC], 0)</f>
        <v>0</v>
      </c>
      <c r="F211" s="29">
        <f>IF(C211-Table_146345781129187[Egypt]&gt;0, C211-Table_146345781129187[Egypt], 0)</f>
        <v>0</v>
      </c>
      <c r="G211" s="29">
        <f>IF(C211-Table_146345781129187[Eritrea]&gt;0, C211-Table_146345781129187[Eritrea], 0)</f>
        <v>0</v>
      </c>
      <c r="H211" s="29">
        <f>IF(C211-Table_146345781129187[Ethiopia]&gt;0, C211-Table_146345781129187[Ethiopia], 0)</f>
        <v>0</v>
      </c>
      <c r="I211" s="29">
        <f>IF(C211-Table_146345781129187[Kenya]&gt;0, C211-Table_146345781129187[Kenya], 0)</f>
        <v>0</v>
      </c>
      <c r="J211" s="29">
        <f>IF(C211-Table_146345781129187[Rwanda]&gt;0, C211-Table_146345781129187[Rwanda], 0)</f>
        <v>0</v>
      </c>
      <c r="K211" s="29">
        <f>IF(C211-Table_146345781129187[Sudan]&gt;0, C211-Table_146345781129187[Sudan], 0)</f>
        <v>0</v>
      </c>
      <c r="L211" s="29">
        <f>IF(C211-Table_146345781129187[S. Sudan]&gt;0, C211-Table_146345781129187[S. Sudan], 0)</f>
        <v>0</v>
      </c>
      <c r="M211" s="29">
        <f>IF(C211-Table_146345781129187[Tanzania]&gt;0, C211-Table_146345781129187[Tanzania], 0)</f>
        <v>0</v>
      </c>
      <c r="N211" s="29">
        <f>IF(C211-Table_146345781129187[Uganda]&gt;0, C211-Table_146345781129187[Uganda], 0)</f>
        <v>0</v>
      </c>
      <c r="P211" s="21" t="s">
        <v>7</v>
      </c>
      <c r="Q211" s="97">
        <f t="shared" si="32"/>
        <v>0.91547934572895517</v>
      </c>
      <c r="R211" s="97">
        <f t="shared" si="33"/>
        <v>0.90216792576530092</v>
      </c>
      <c r="S211" s="97">
        <f t="shared" si="34"/>
        <v>8.0789686017300943E-4</v>
      </c>
      <c r="T211" s="97">
        <f t="shared" si="35"/>
        <v>0.91088765757144297</v>
      </c>
      <c r="U211" s="97">
        <f t="shared" si="36"/>
        <v>0.8876540016314759</v>
      </c>
      <c r="V211" s="97">
        <f t="shared" si="37"/>
        <v>0.91107976071126995</v>
      </c>
      <c r="W211" s="97">
        <f t="shared" si="38"/>
        <v>0.91245472513071579</v>
      </c>
      <c r="X211" s="97">
        <f t="shared" si="39"/>
        <v>8.0789686017300943E-4</v>
      </c>
      <c r="Y211" s="97">
        <f t="shared" si="40"/>
        <v>0.88403590772804097</v>
      </c>
      <c r="Z211" s="97">
        <f t="shared" si="41"/>
        <v>0.9071672987947208</v>
      </c>
      <c r="AA211" s="97">
        <f t="shared" si="42"/>
        <v>0.86244352288037474</v>
      </c>
    </row>
    <row r="212" spans="1:31" ht="12.75" customHeight="1" x14ac:dyDescent="0.25">
      <c r="B212" s="21" t="s">
        <v>7</v>
      </c>
      <c r="C212" s="95">
        <f>Annual_sorted!AD29</f>
        <v>264.9016446955481</v>
      </c>
      <c r="D212" s="29">
        <f>IF(C212-Table_146345781129187[Burundi]&gt;0, C212-Table_146345781129187[Burundi], 0)</f>
        <v>299.4825812148157</v>
      </c>
      <c r="E212" s="29">
        <f>IF(C212-Table_146345781129187[DRC]&gt;0, C212-Table_146345781129187[DRC], 0)</f>
        <v>295.12414364110555</v>
      </c>
      <c r="F212" s="29">
        <f>IF(C212-Table_146345781129187[Egypt]&gt;0, C212-Table_146345781129187[Egypt], 0)</f>
        <v>0</v>
      </c>
      <c r="G212" s="29">
        <f>IF(C212-Table_146345781129187[Eritrea]&gt;0, C212-Table_146345781129187[Eritrea], 0)</f>
        <v>297.97916638400847</v>
      </c>
      <c r="H212" s="29">
        <f>IF(C212-Table_146345781129187[Ethiopia]&gt;0, C212-Table_146345781129187[Ethiopia], 0)</f>
        <v>290.37198102738267</v>
      </c>
      <c r="I212" s="29">
        <f>IF(C212-Table_146345781129187[Kenya]&gt;0, C212-Table_146345781129187[Kenya], 0)</f>
        <v>298.04206497371081</v>
      </c>
      <c r="J212" s="29">
        <f>IF(C212-Table_146345781129187[Rwanda]&gt;0, C212-Table_146345781129187[Rwanda], 0)</f>
        <v>298.4922571098308</v>
      </c>
      <c r="K212" s="29">
        <f>IF(C212-Table_146345781129187[Sudan]&gt;0, C212-Table_146345781129187[Sudan], 0)</f>
        <v>0</v>
      </c>
      <c r="L212" s="29">
        <f>IF(C212-Table_146345781129187[S. Sudan]&gt;0, C212-Table_146345781129187[S. Sudan], 0)</f>
        <v>289.18734133777792</v>
      </c>
      <c r="M212" s="29">
        <f>IF(C212-Table_146345781129187[Tanzania]&gt;0, C212-Table_146345781129187[Tanzania], 0)</f>
        <v>296.76104303395101</v>
      </c>
      <c r="N212" s="29">
        <f>IF(C212-Table_146345781129187[Uganda]&gt;0, C212-Table_146345781129187[Uganda], 0)</f>
        <v>282.11754249715568</v>
      </c>
      <c r="P212" s="21" t="s">
        <v>8</v>
      </c>
      <c r="Q212" s="97">
        <f t="shared" si="32"/>
        <v>3.2251334861087201E-2</v>
      </c>
      <c r="R212" s="97">
        <f t="shared" si="33"/>
        <v>1.8939914897432901E-2</v>
      </c>
      <c r="S212" s="97">
        <f t="shared" si="34"/>
        <v>8.0789686017300943E-4</v>
      </c>
      <c r="T212" s="97">
        <f t="shared" si="35"/>
        <v>2.7659646703575007E-2</v>
      </c>
      <c r="U212" s="97">
        <f t="shared" si="36"/>
        <v>4.4259907636078621E-3</v>
      </c>
      <c r="V212" s="97">
        <f t="shared" si="37"/>
        <v>2.7851749843402E-2</v>
      </c>
      <c r="W212" s="97">
        <f t="shared" si="38"/>
        <v>2.9226714262847984E-2</v>
      </c>
      <c r="X212" s="97">
        <f t="shared" si="39"/>
        <v>8.0789686017300943E-4</v>
      </c>
      <c r="Y212" s="97">
        <f t="shared" si="40"/>
        <v>8.0789686017300943E-4</v>
      </c>
      <c r="Z212" s="97">
        <f t="shared" si="41"/>
        <v>2.3939287926852796E-2</v>
      </c>
      <c r="AA212" s="97">
        <f t="shared" si="42"/>
        <v>8.0789686017300943E-4</v>
      </c>
    </row>
    <row r="213" spans="1:31" ht="12.75" customHeight="1" x14ac:dyDescent="0.25">
      <c r="B213" s="21" t="s">
        <v>8</v>
      </c>
      <c r="C213" s="95">
        <f>Annual_sorted!AD30</f>
        <v>-24.285696642229812</v>
      </c>
      <c r="D213" s="29">
        <f>IF(C213-Table_146345781129187[Burundi]&gt;0, C213-Table_146345781129187[Burundi], 0)</f>
        <v>10.295239877037776</v>
      </c>
      <c r="E213" s="29">
        <f>IF(C213-Table_146345781129187[DRC]&gt;0, C213-Table_146345781129187[DRC], 0)</f>
        <v>5.9368023033276103</v>
      </c>
      <c r="F213" s="29">
        <f>IF(C213-Table_146345781129187[Egypt]&gt;0, C213-Table_146345781129187[Egypt], 0)</f>
        <v>0</v>
      </c>
      <c r="G213" s="29">
        <f>IF(C213-Table_146345781129187[Eritrea]&gt;0, C213-Table_146345781129187[Eritrea], 0)</f>
        <v>8.79182504623056</v>
      </c>
      <c r="H213" s="29">
        <f>IF(C213-Table_146345781129187[Ethiopia]&gt;0, C213-Table_146345781129187[Ethiopia], 0)</f>
        <v>1.1846396896047686</v>
      </c>
      <c r="I213" s="29">
        <f>IF(C213-Table_146345781129187[Kenya]&gt;0, C213-Table_146345781129187[Kenya], 0)</f>
        <v>8.8547236359329169</v>
      </c>
      <c r="J213" s="29">
        <f>IF(C213-Table_146345781129187[Rwanda]&gt;0, C213-Table_146345781129187[Rwanda], 0)</f>
        <v>9.3049157720529188</v>
      </c>
      <c r="K213" s="29">
        <f>IF(C213-Table_146345781129187[Sudan]&gt;0, C213-Table_146345781129187[Sudan], 0)</f>
        <v>0</v>
      </c>
      <c r="L213" s="29">
        <f>IF(C213-Table_146345781129187[S. Sudan]&gt;0, C213-Table_146345781129187[S. Sudan], 0)</f>
        <v>0</v>
      </c>
      <c r="M213" s="29">
        <f>IF(C213-Table_146345781129187[Tanzania]&gt;0, C213-Table_146345781129187[Tanzania], 0)</f>
        <v>7.5737016961730887</v>
      </c>
      <c r="N213" s="29">
        <f>IF(C213-Table_146345781129187[Uganda]&gt;0, C213-Table_146345781129187[Uganda], 0)</f>
        <v>0</v>
      </c>
      <c r="P213" s="21" t="s">
        <v>9</v>
      </c>
      <c r="Q213" s="97">
        <f t="shared" si="32"/>
        <v>9.1199437944074063E-3</v>
      </c>
      <c r="R213" s="97">
        <f t="shared" si="33"/>
        <v>8.0789686017300943E-4</v>
      </c>
      <c r="S213" s="97">
        <f t="shared" si="34"/>
        <v>8.0789686017300943E-4</v>
      </c>
      <c r="T213" s="97">
        <f t="shared" si="35"/>
        <v>4.5282556368952207E-3</v>
      </c>
      <c r="U213" s="97">
        <f t="shared" si="36"/>
        <v>8.0789686017300943E-4</v>
      </c>
      <c r="V213" s="97">
        <f t="shared" si="37"/>
        <v>4.7203587767222109E-3</v>
      </c>
      <c r="W213" s="97">
        <f t="shared" si="38"/>
        <v>6.095323196168196E-3</v>
      </c>
      <c r="X213" s="97">
        <f t="shared" si="39"/>
        <v>8.0789686017300943E-4</v>
      </c>
      <c r="Y213" s="97">
        <f t="shared" si="40"/>
        <v>8.0789686017300943E-4</v>
      </c>
      <c r="Z213" s="97">
        <f t="shared" si="41"/>
        <v>8.0789686017300943E-4</v>
      </c>
      <c r="AA213" s="97">
        <f t="shared" si="42"/>
        <v>8.0789686017300943E-4</v>
      </c>
    </row>
    <row r="214" spans="1:31" ht="12.75" customHeight="1" thickBot="1" x14ac:dyDescent="0.3">
      <c r="B214" s="21" t="s">
        <v>9</v>
      </c>
      <c r="C214" s="95">
        <f>Annual_sorted!AD31</f>
        <v>-31.859398338402901</v>
      </c>
      <c r="D214" s="29">
        <f>IF(C214-Table_146345781129187[Burundi]&gt;0, C214-Table_146345781129187[Burundi], 0)</f>
        <v>2.7215381808646875</v>
      </c>
      <c r="E214" s="29">
        <f>IF(C214-Table_146345781129187[DRC]&gt;0, C214-Table_146345781129187[DRC], 0)</f>
        <v>0</v>
      </c>
      <c r="F214" s="29">
        <f>IF(C214-Table_146345781129187[Egypt]&gt;0, C214-Table_146345781129187[Egypt], 0)</f>
        <v>0</v>
      </c>
      <c r="G214" s="29">
        <f>IF(C214-Table_146345781129187[Eritrea]&gt;0, C214-Table_146345781129187[Eritrea], 0)</f>
        <v>1.2181233500574713</v>
      </c>
      <c r="H214" s="29">
        <f>IF(C214-Table_146345781129187[Ethiopia]&gt;0, C214-Table_146345781129187[Ethiopia], 0)</f>
        <v>0</v>
      </c>
      <c r="I214" s="29">
        <f>IF(C214-Table_146345781129187[Kenya]&gt;0, C214-Table_146345781129187[Kenya], 0)</f>
        <v>1.2810219397598281</v>
      </c>
      <c r="J214" s="29">
        <f>IF(C214-Table_146345781129187[Rwanda]&gt;0, C214-Table_146345781129187[Rwanda], 0)</f>
        <v>1.73121407587983</v>
      </c>
      <c r="K214" s="29">
        <f>IF(C214-Table_146345781129187[Sudan]&gt;0, C214-Table_146345781129187[Sudan], 0)</f>
        <v>0</v>
      </c>
      <c r="L214" s="29">
        <f>IF(C214-Table_146345781129187[S. Sudan]&gt;0, C214-Table_146345781129187[S. Sudan], 0)</f>
        <v>0</v>
      </c>
      <c r="M214" s="29">
        <f>IF(C214-Table_146345781129187[Tanzania]&gt;0, C214-Table_146345781129187[Tanzania], 0)</f>
        <v>0</v>
      </c>
      <c r="N214" s="29">
        <f>IF(C214-Table_146345781129187[Uganda]&gt;0, C214-Table_146345781129187[Uganda], 0)</f>
        <v>0</v>
      </c>
      <c r="P214" s="22" t="s">
        <v>10</v>
      </c>
      <c r="Q214" s="98">
        <f t="shared" si="32"/>
        <v>5.3843719708753388E-2</v>
      </c>
      <c r="R214" s="98">
        <f t="shared" si="33"/>
        <v>4.0532299745099087E-2</v>
      </c>
      <c r="S214" s="98">
        <f t="shared" si="34"/>
        <v>8.0789686017300943E-4</v>
      </c>
      <c r="T214" s="98">
        <f t="shared" si="35"/>
        <v>4.9252031551241193E-2</v>
      </c>
      <c r="U214" s="98">
        <f t="shared" si="36"/>
        <v>2.6018375611274052E-2</v>
      </c>
      <c r="V214" s="98">
        <f t="shared" si="37"/>
        <v>4.9444134691068189E-2</v>
      </c>
      <c r="W214" s="98">
        <f t="shared" si="38"/>
        <v>5.0819099110514167E-2</v>
      </c>
      <c r="X214" s="98">
        <f t="shared" si="39"/>
        <v>8.0789686017300943E-4</v>
      </c>
      <c r="Y214" s="98">
        <f t="shared" si="40"/>
        <v>2.2400281707839198E-2</v>
      </c>
      <c r="Z214" s="98">
        <f t="shared" si="41"/>
        <v>4.5531672774518986E-2</v>
      </c>
      <c r="AA214" s="98">
        <f t="shared" si="42"/>
        <v>8.0789686017300943E-4</v>
      </c>
      <c r="AB214" s="186">
        <f>SUM(Q204:AA214)</f>
        <v>17.821102198329051</v>
      </c>
    </row>
    <row r="215" spans="1:31" ht="12.75" customHeight="1" thickBot="1" x14ac:dyDescent="0.3">
      <c r="B215" s="22" t="s">
        <v>10</v>
      </c>
      <c r="C215" s="96">
        <f>Annual_sorted!AD32</f>
        <v>-17.215897801607611</v>
      </c>
      <c r="D215" s="32">
        <f>IF(C215-Table_146345781129187[Burundi]&gt;0, C215-Table_146345781129187[Burundi], 0)</f>
        <v>17.365038717659978</v>
      </c>
      <c r="E215" s="32">
        <f>IF(C215-Table_146345781129187[DRC]&gt;0, C215-Table_146345781129187[DRC], 0)</f>
        <v>13.006601143949812</v>
      </c>
      <c r="F215" s="32">
        <f>IF(C215-Table_146345781129187[Egypt]&gt;0, C215-Table_146345781129187[Egypt], 0)</f>
        <v>0</v>
      </c>
      <c r="G215" s="32">
        <f>IF(C215-Table_146345781129187[Eritrea]&gt;0, C215-Table_146345781129187[Eritrea], 0)</f>
        <v>15.861623886852762</v>
      </c>
      <c r="H215" s="32">
        <f>IF(C215-Table_146345781129187[Ethiopia]&gt;0, C215-Table_146345781129187[Ethiopia], 0)</f>
        <v>8.2544385302269703</v>
      </c>
      <c r="I215" s="32">
        <f>IF(C215-Table_146345781129187[Kenya]&gt;0, C215-Table_146345781129187[Kenya], 0)</f>
        <v>15.924522476555119</v>
      </c>
      <c r="J215" s="32">
        <f>IF(C215-Table_146345781129187[Rwanda]&gt;0, C215-Table_146345781129187[Rwanda], 0)</f>
        <v>16.37471461267512</v>
      </c>
      <c r="K215" s="32">
        <f>IF(C215-Table_146345781129187[Sudan]&gt;0, C215-Table_146345781129187[Sudan], 0)</f>
        <v>0</v>
      </c>
      <c r="L215" s="32">
        <f>IF(C215-Table_146345781129187[S. Sudan]&gt;0, C215-Table_146345781129187[S. Sudan], 0)</f>
        <v>7.0697988406222017</v>
      </c>
      <c r="M215" s="32">
        <f>IF(C215-Table_146345781129187[Tanzania]&gt;0, C215-Table_146345781129187[Tanzania], 0)</f>
        <v>14.64350053679529</v>
      </c>
      <c r="N215" s="32">
        <f>IF(C215-Table_146345781129187[Uganda]&gt;0, C215-Table_146345781129187[Uganda], 0)</f>
        <v>0</v>
      </c>
    </row>
    <row r="216" spans="1:31" ht="12.75" customHeight="1" x14ac:dyDescent="0.25"/>
    <row r="217" spans="1:31" ht="12.75" customHeight="1" x14ac:dyDescent="0.25">
      <c r="A217" s="255" t="s">
        <v>218</v>
      </c>
      <c r="B217" s="255"/>
      <c r="C217" s="255"/>
      <c r="D217" s="255"/>
      <c r="E217" s="255"/>
      <c r="F217" s="255"/>
      <c r="G217" s="255"/>
      <c r="H217" s="255"/>
      <c r="I217" s="255"/>
      <c r="J217" s="255"/>
    </row>
    <row r="218" spans="1:31" ht="12.75" customHeight="1" x14ac:dyDescent="0.25"/>
    <row r="219" spans="1:31" ht="12.75" customHeight="1" thickBot="1" x14ac:dyDescent="0.3">
      <c r="B219" s="253" t="s">
        <v>79</v>
      </c>
      <c r="C219" s="253"/>
      <c r="D219" s="253"/>
      <c r="E219" s="253"/>
      <c r="F219" s="253"/>
      <c r="G219" s="253"/>
      <c r="H219" s="253"/>
      <c r="I219" s="253"/>
      <c r="J219" s="253"/>
      <c r="K219" s="253"/>
      <c r="L219" s="253"/>
      <c r="M219" s="253"/>
      <c r="N219" s="253"/>
      <c r="O219" s="5"/>
      <c r="P219" s="253" t="s">
        <v>80</v>
      </c>
      <c r="Q219" s="253"/>
      <c r="R219" s="253"/>
      <c r="S219" s="253"/>
      <c r="T219" s="253"/>
      <c r="U219" s="253"/>
      <c r="V219" s="253"/>
      <c r="W219" s="253"/>
      <c r="X219" s="253"/>
      <c r="Y219" s="253"/>
      <c r="Z219" s="253"/>
      <c r="AA219" s="253"/>
      <c r="AB219" s="10"/>
      <c r="AC219" s="3" t="s">
        <v>22</v>
      </c>
      <c r="AD219" s="13" t="s">
        <v>23</v>
      </c>
      <c r="AE219" s="74">
        <f t="array" ref="AE219">MIN(IF(D222:N232&gt;0,D222:N232))</f>
        <v>0.73543613863309076</v>
      </c>
    </row>
    <row r="220" spans="1:31" ht="12.75" customHeight="1" thickBot="1" x14ac:dyDescent="0.3">
      <c r="B220" s="75" t="s">
        <v>13</v>
      </c>
      <c r="C220" s="66" t="s">
        <v>14</v>
      </c>
      <c r="D220" s="67" t="s">
        <v>1</v>
      </c>
      <c r="E220" s="67" t="s">
        <v>195</v>
      </c>
      <c r="F220" s="67" t="s">
        <v>2</v>
      </c>
      <c r="G220" s="67" t="s">
        <v>3</v>
      </c>
      <c r="H220" s="67" t="s">
        <v>4</v>
      </c>
      <c r="I220" s="67" t="s">
        <v>5</v>
      </c>
      <c r="J220" s="67" t="s">
        <v>6</v>
      </c>
      <c r="K220" s="67" t="s">
        <v>7</v>
      </c>
      <c r="L220" s="67" t="s">
        <v>295</v>
      </c>
      <c r="M220" s="67" t="s">
        <v>9</v>
      </c>
      <c r="N220" s="67" t="s">
        <v>10</v>
      </c>
      <c r="P220" s="128" t="s">
        <v>19</v>
      </c>
      <c r="Q220" s="123" t="s">
        <v>1</v>
      </c>
      <c r="R220" s="123" t="s">
        <v>195</v>
      </c>
      <c r="S220" s="123" t="s">
        <v>2</v>
      </c>
      <c r="T220" s="123" t="s">
        <v>3</v>
      </c>
      <c r="U220" s="123" t="s">
        <v>4</v>
      </c>
      <c r="V220" s="123" t="s">
        <v>5</v>
      </c>
      <c r="W220" s="123" t="s">
        <v>6</v>
      </c>
      <c r="X220" s="123" t="s">
        <v>7</v>
      </c>
      <c r="Y220" s="123" t="s">
        <v>295</v>
      </c>
      <c r="Z220" s="123" t="s">
        <v>9</v>
      </c>
      <c r="AA220" s="123" t="s">
        <v>10</v>
      </c>
      <c r="AB220" s="254" t="s">
        <v>26</v>
      </c>
      <c r="AC220" s="254"/>
      <c r="AD220" s="13" t="s">
        <v>24</v>
      </c>
      <c r="AE220" s="20">
        <f>MAX(D222:N232)</f>
        <v>78.972734397185235</v>
      </c>
    </row>
    <row r="221" spans="1:31" ht="12.75" customHeight="1" x14ac:dyDescent="0.25">
      <c r="B221" s="93"/>
      <c r="C221" s="94" t="s">
        <v>260</v>
      </c>
      <c r="D221" s="95">
        <f>C222</f>
        <v>-6.8661742179982097</v>
      </c>
      <c r="E221" s="95">
        <f>C223</f>
        <v>-1.1385877984869373</v>
      </c>
      <c r="F221" s="95">
        <f>C224</f>
        <v>-53.736156466199375</v>
      </c>
      <c r="G221" s="95">
        <f>C225</f>
        <v>-1.874023937120028</v>
      </c>
      <c r="H221" s="95">
        <f>C226</f>
        <v>-75.675302926900159</v>
      </c>
      <c r="I221" s="95">
        <f>C227</f>
        <v>-26.960691543296896</v>
      </c>
      <c r="J221" s="95">
        <f>C228</f>
        <v>-11.518665794145301</v>
      </c>
      <c r="K221" s="95">
        <f>C229</f>
        <v>-32.398106713984347</v>
      </c>
      <c r="L221" s="95">
        <f>C230</f>
        <v>-23.212289175850756</v>
      </c>
      <c r="M221" s="95">
        <f>C231</f>
        <v>-58.432859170838199</v>
      </c>
      <c r="N221" s="95">
        <f>C232</f>
        <v>-80.111322195672173</v>
      </c>
      <c r="P221" s="21" t="s">
        <v>1</v>
      </c>
      <c r="Q221" s="97">
        <f>$AE$221+(D222-$AE$219)*($AE$222-$AE$221)/($AE$220-$AE$219)</f>
        <v>-8.3906706755961791E-3</v>
      </c>
      <c r="R221" s="97">
        <f t="shared" ref="R221:AA221" si="43">$AE$221+(E222-$AE$219)*($AE$222-$AE$221)/($AE$220-$AE$219)</f>
        <v>-8.3906706755961791E-3</v>
      </c>
      <c r="S221" s="97">
        <f t="shared" si="43"/>
        <v>0.59008490693466098</v>
      </c>
      <c r="T221" s="97">
        <f t="shared" si="43"/>
        <v>-8.3906706755961791E-3</v>
      </c>
      <c r="U221" s="97">
        <f t="shared" si="43"/>
        <v>0.87022248583992834</v>
      </c>
      <c r="V221" s="97">
        <f t="shared" si="43"/>
        <v>0.24819312317721681</v>
      </c>
      <c r="W221" s="97">
        <f t="shared" si="43"/>
        <v>5.1016277008245743E-2</v>
      </c>
      <c r="X221" s="97">
        <f t="shared" si="43"/>
        <v>0.3176226392318946</v>
      </c>
      <c r="Y221" s="97">
        <f t="shared" si="43"/>
        <v>0.20033035122024467</v>
      </c>
      <c r="Z221" s="97">
        <f t="shared" si="43"/>
        <v>0.65005637970239949</v>
      </c>
      <c r="AA221" s="97">
        <f t="shared" si="43"/>
        <v>0.92686533200337984</v>
      </c>
      <c r="AD221" s="3" t="s">
        <v>25</v>
      </c>
      <c r="AE221" s="2">
        <v>1E-3</v>
      </c>
    </row>
    <row r="222" spans="1:31" ht="12.75" customHeight="1" x14ac:dyDescent="0.25">
      <c r="B222" s="21" t="s">
        <v>1</v>
      </c>
      <c r="C222" s="95">
        <f>Annual_sorted!AK22</f>
        <v>-6.8661742179982097</v>
      </c>
      <c r="D222" s="29">
        <f>IF(C222-Table_14634571468[Burundi]&gt;0, C222-Table_14634571468[Burundi], 0)</f>
        <v>0</v>
      </c>
      <c r="E222" s="29">
        <f>IF(C222-Table_14634571468[DRC]&gt;0, C222-Table_14634571468[DRC], 0)</f>
        <v>0</v>
      </c>
      <c r="F222" s="29">
        <f>IF(C222-Table_14634571468[Egypt]&gt;0, C222-Table_14634571468[Egypt], 0)</f>
        <v>46.869982248201168</v>
      </c>
      <c r="G222" s="29">
        <f>IF(C222-Table_14634571468[Eritrea]&gt;0, C222-Table_14634571468[Eritrea], 0)</f>
        <v>0</v>
      </c>
      <c r="H222" s="29">
        <f>IF(C222-Table_14634571468[Ethiopia]&gt;0, C222-Table_14634571468[Ethiopia], 0)</f>
        <v>68.809128708901952</v>
      </c>
      <c r="I222" s="29">
        <f>IF(C222-Table_14634571468[Kenya]&gt;0, C222-Table_14634571468[Kenya], 0)</f>
        <v>20.094517325298686</v>
      </c>
      <c r="J222" s="29">
        <f>IF(C222-Table_14634571468[Rwanda]&gt;0, C222-Table_14634571468[Rwanda], 0)</f>
        <v>4.6524915761470913</v>
      </c>
      <c r="K222" s="29">
        <f>IF(C222-Table_14634571468[Sudan]&gt;0, C222-Table_14634571468[Sudan], 0)</f>
        <v>25.531932495986137</v>
      </c>
      <c r="L222" s="29">
        <f>IF(C222-Table_14634571468[S. Sudan]&gt;0, C222-Table_14634571468[S. Sudan], 0)</f>
        <v>16.346114957852546</v>
      </c>
      <c r="M222" s="29">
        <f>IF(C222-Table_14634571468[Tanzania]&gt;0, C222-Table_14634571468[Tanzania], 0)</f>
        <v>51.566684952839992</v>
      </c>
      <c r="N222" s="29">
        <f>IF(C222-Table_14634571468[Uganda]&gt;0, C222-Table_14634571468[Uganda], 0)</f>
        <v>73.245147977673966</v>
      </c>
      <c r="P222" s="21" t="s">
        <v>195</v>
      </c>
      <c r="Q222" s="97">
        <f t="shared" ref="Q222:Q231" si="44">$AE$221+(D223-$AE$219)*($AE$222-$AE$221)/($AE$220-$AE$219)</f>
        <v>6.4743997321023997E-2</v>
      </c>
      <c r="R222" s="97">
        <f t="shared" ref="R222:R231" si="45">$AE$221+(E223-$AE$219)*($AE$222-$AE$221)/($AE$220-$AE$219)</f>
        <v>-8.3906706755961791E-3</v>
      </c>
      <c r="S222" s="97">
        <f t="shared" ref="S222:S231" si="46">$AE$221+(F223-$AE$219)*($AE$222-$AE$221)/($AE$220-$AE$219)</f>
        <v>0.66321957493128114</v>
      </c>
      <c r="T222" s="97">
        <f t="shared" ref="T222:T231" si="47">$AE$221+(G223-$AE$219)*($AE$222-$AE$221)/($AE$220-$AE$219)</f>
        <v>1E-3</v>
      </c>
      <c r="U222" s="97">
        <f t="shared" ref="U222:U231" si="48">$AE$221+(H223-$AE$219)*($AE$222-$AE$221)/($AE$220-$AE$219)</f>
        <v>0.9433571538365485</v>
      </c>
      <c r="V222" s="97">
        <f t="shared" ref="V222:V231" si="49">$AE$221+(I223-$AE$219)*($AE$222-$AE$221)/($AE$220-$AE$219)</f>
        <v>0.32132779117383697</v>
      </c>
      <c r="W222" s="97">
        <f t="shared" ref="W222:W231" si="50">$AE$221+(J223-$AE$219)*($AE$222-$AE$221)/($AE$220-$AE$219)</f>
        <v>0.12415094500486593</v>
      </c>
      <c r="X222" s="97">
        <f t="shared" ref="X222:X231" si="51">$AE$221+(K223-$AE$219)*($AE$222-$AE$221)/($AE$220-$AE$219)</f>
        <v>0.39075730722851482</v>
      </c>
      <c r="Y222" s="97">
        <f t="shared" ref="Y222:Y231" si="52">$AE$221+(L223-$AE$219)*($AE$222-$AE$221)/($AE$220-$AE$219)</f>
        <v>0.27346501921686484</v>
      </c>
      <c r="Z222" s="97">
        <f t="shared" ref="Z222:Z231" si="53">$AE$221+(M223-$AE$219)*($AE$222-$AE$221)/($AE$220-$AE$219)</f>
        <v>0.72319104769901965</v>
      </c>
      <c r="AA222" s="97">
        <f t="shared" ref="AA222:AA231" si="54">$AE$221+(N223-$AE$219)*($AE$222-$AE$221)/($AE$220-$AE$219)</f>
        <v>0.99999999999999989</v>
      </c>
      <c r="AD222" s="3" t="s">
        <v>70</v>
      </c>
      <c r="AE222" s="2">
        <v>1</v>
      </c>
    </row>
    <row r="223" spans="1:31" ht="12.75" customHeight="1" x14ac:dyDescent="0.25">
      <c r="B223" s="21" t="s">
        <v>195</v>
      </c>
      <c r="C223" s="95">
        <f>Annual_sorted!AK23</f>
        <v>-1.1385877984869373</v>
      </c>
      <c r="D223" s="29">
        <f>IF(C223-Table_14634571468[Burundi]&gt;0, C223-Table_14634571468[Burundi], 0)</f>
        <v>5.7275864195112725</v>
      </c>
      <c r="E223" s="29">
        <f>IF(C223-Table_14634571468[DRC]&gt;0, C223-Table_14634571468[DRC], 0)</f>
        <v>0</v>
      </c>
      <c r="F223" s="29">
        <f>IF(C223-Table_14634571468[Egypt]&gt;0, C223-Table_14634571468[Egypt], 0)</f>
        <v>52.597568667712437</v>
      </c>
      <c r="G223" s="29">
        <f>IF(C223-Table_14634571468[Eritrea]&gt;0, C223-Table_14634571468[Eritrea], 0)</f>
        <v>0.73543613863309076</v>
      </c>
      <c r="H223" s="29">
        <f>IF(C223-Table_14634571468[Ethiopia]&gt;0, C223-Table_14634571468[Ethiopia], 0)</f>
        <v>74.536715128413221</v>
      </c>
      <c r="I223" s="29">
        <f>IF(C223-Table_14634571468[Kenya]&gt;0, C223-Table_14634571468[Kenya], 0)</f>
        <v>25.822103744809958</v>
      </c>
      <c r="J223" s="29">
        <f>IF(C223-Table_14634571468[Rwanda]&gt;0, C223-Table_14634571468[Rwanda], 0)</f>
        <v>10.380077995658365</v>
      </c>
      <c r="K223" s="29">
        <f>IF(C223-Table_14634571468[Sudan]&gt;0, C223-Table_14634571468[Sudan], 0)</f>
        <v>31.259518915497409</v>
      </c>
      <c r="L223" s="29">
        <f>IF(C223-Table_14634571468[S. Sudan]&gt;0, C223-Table_14634571468[S. Sudan], 0)</f>
        <v>22.073701377363818</v>
      </c>
      <c r="M223" s="29">
        <f>IF(C223-Table_14634571468[Tanzania]&gt;0, C223-Table_14634571468[Tanzania], 0)</f>
        <v>57.294271372351261</v>
      </c>
      <c r="N223" s="29">
        <f>IF(C223-Table_14634571468[Uganda]&gt;0, C223-Table_14634571468[Uganda], 0)</f>
        <v>78.972734397185235</v>
      </c>
      <c r="P223" s="21" t="s">
        <v>2</v>
      </c>
      <c r="Q223" s="97">
        <f t="shared" si="44"/>
        <v>-8.3906706755961791E-3</v>
      </c>
      <c r="R223" s="97">
        <f t="shared" si="45"/>
        <v>-8.3906706755961791E-3</v>
      </c>
      <c r="S223" s="97">
        <f t="shared" si="46"/>
        <v>-8.3906706755961791E-3</v>
      </c>
      <c r="T223" s="97">
        <f t="shared" si="47"/>
        <v>-8.3906706755961791E-3</v>
      </c>
      <c r="U223" s="97">
        <f t="shared" si="48"/>
        <v>0.27174690822967107</v>
      </c>
      <c r="V223" s="97">
        <f t="shared" si="49"/>
        <v>-8.3906706755961791E-3</v>
      </c>
      <c r="W223" s="97">
        <f t="shared" si="50"/>
        <v>-8.3906706755961791E-3</v>
      </c>
      <c r="X223" s="97">
        <f t="shared" si="51"/>
        <v>-8.3906706755961791E-3</v>
      </c>
      <c r="Y223" s="97">
        <f t="shared" si="52"/>
        <v>-8.3906706755961791E-3</v>
      </c>
      <c r="Z223" s="97">
        <f t="shared" si="53"/>
        <v>5.1580802092142199E-2</v>
      </c>
      <c r="AA223" s="97">
        <f t="shared" si="54"/>
        <v>0.32838975439312262</v>
      </c>
    </row>
    <row r="224" spans="1:31" ht="12.75" customHeight="1" x14ac:dyDescent="0.25">
      <c r="B224" s="21" t="s">
        <v>2</v>
      </c>
      <c r="C224" s="95">
        <f>Annual_sorted!AK24</f>
        <v>-53.736156466199375</v>
      </c>
      <c r="D224" s="29">
        <f>IF(C224-Table_14634571468[Burundi]&gt;0, C224-Table_14634571468[Burundi], 0)</f>
        <v>0</v>
      </c>
      <c r="E224" s="29">
        <f>IF(C224-Table_14634571468[DRC]&gt;0, C224-Table_14634571468[DRC], 0)</f>
        <v>0</v>
      </c>
      <c r="F224" s="29">
        <f>IF(C224-Table_14634571468[Egypt]&gt;0, C224-Table_14634571468[Egypt], 0)</f>
        <v>0</v>
      </c>
      <c r="G224" s="29">
        <f>IF(C224-Table_14634571468[Eritrea]&gt;0, C224-Table_14634571468[Eritrea], 0)</f>
        <v>0</v>
      </c>
      <c r="H224" s="29">
        <f>IF(C224-Table_14634571468[Ethiopia]&gt;0, C224-Table_14634571468[Ethiopia], 0)</f>
        <v>21.939146460700783</v>
      </c>
      <c r="I224" s="29">
        <f>IF(C224-Table_14634571468[Kenya]&gt;0, C224-Table_14634571468[Kenya], 0)</f>
        <v>0</v>
      </c>
      <c r="J224" s="29">
        <f>IF(C224-Table_14634571468[Rwanda]&gt;0, C224-Table_14634571468[Rwanda], 0)</f>
        <v>0</v>
      </c>
      <c r="K224" s="29">
        <f>IF(C224-Table_14634571468[Sudan]&gt;0, C224-Table_14634571468[Sudan], 0)</f>
        <v>0</v>
      </c>
      <c r="L224" s="29">
        <f>IF(C224-Table_14634571468[S. Sudan]&gt;0, C224-Table_14634571468[S. Sudan], 0)</f>
        <v>0</v>
      </c>
      <c r="M224" s="29">
        <f>IF(C224-Table_14634571468[Tanzania]&gt;0, C224-Table_14634571468[Tanzania], 0)</f>
        <v>4.6967027046388239</v>
      </c>
      <c r="N224" s="29">
        <f>IF(C224-Table_14634571468[Uganda]&gt;0, C224-Table_14634571468[Uganda], 0)</f>
        <v>26.375165729472798</v>
      </c>
      <c r="P224" s="21" t="s">
        <v>3</v>
      </c>
      <c r="Q224" s="97">
        <f t="shared" si="44"/>
        <v>5.5353326645427824E-2</v>
      </c>
      <c r="R224" s="97">
        <f t="shared" si="45"/>
        <v>-8.3906706755961791E-3</v>
      </c>
      <c r="S224" s="97">
        <f t="shared" si="46"/>
        <v>0.65382890425568496</v>
      </c>
      <c r="T224" s="97">
        <f t="shared" si="47"/>
        <v>-8.3906706755961791E-3</v>
      </c>
      <c r="U224" s="97">
        <f t="shared" si="48"/>
        <v>0.93396648316095221</v>
      </c>
      <c r="V224" s="97">
        <f t="shared" si="49"/>
        <v>0.31193712049824079</v>
      </c>
      <c r="W224" s="97">
        <f t="shared" si="50"/>
        <v>0.11476027432926975</v>
      </c>
      <c r="X224" s="97">
        <f t="shared" si="51"/>
        <v>0.38136663655291864</v>
      </c>
      <c r="Y224" s="97">
        <f t="shared" si="52"/>
        <v>0.26407434854126866</v>
      </c>
      <c r="Z224" s="97">
        <f t="shared" si="53"/>
        <v>0.71380037702342347</v>
      </c>
      <c r="AA224" s="97">
        <f t="shared" si="54"/>
        <v>0.99060932932440382</v>
      </c>
    </row>
    <row r="225" spans="2:28" ht="12.75" customHeight="1" x14ac:dyDescent="0.25">
      <c r="B225" s="21" t="s">
        <v>3</v>
      </c>
      <c r="C225" s="95">
        <f>Annual_sorted!AK25</f>
        <v>-1.874023937120028</v>
      </c>
      <c r="D225" s="29">
        <f>IF(C225-Table_14634571468[Burundi]&gt;0, C225-Table_14634571468[Burundi], 0)</f>
        <v>4.9921502808781817</v>
      </c>
      <c r="E225" s="29">
        <f>IF(C225-Table_14634571468[DRC]&gt;0, C225-Table_14634571468[DRC], 0)</f>
        <v>0</v>
      </c>
      <c r="F225" s="29">
        <f>IF(C225-Table_14634571468[Egypt]&gt;0, C225-Table_14634571468[Egypt], 0)</f>
        <v>51.862132529079346</v>
      </c>
      <c r="G225" s="29">
        <f>IF(C225-Table_14634571468[Eritrea]&gt;0, C225-Table_14634571468[Eritrea], 0)</f>
        <v>0</v>
      </c>
      <c r="H225" s="29">
        <f>IF(C225-Table_14634571468[Ethiopia]&gt;0, C225-Table_14634571468[Ethiopia], 0)</f>
        <v>73.80127898978013</v>
      </c>
      <c r="I225" s="29">
        <f>IF(C225-Table_14634571468[Kenya]&gt;0, C225-Table_14634571468[Kenya], 0)</f>
        <v>25.086667606176867</v>
      </c>
      <c r="J225" s="29">
        <f>IF(C225-Table_14634571468[Rwanda]&gt;0, C225-Table_14634571468[Rwanda], 0)</f>
        <v>9.6446418570252739</v>
      </c>
      <c r="K225" s="29">
        <f>IF(C225-Table_14634571468[Sudan]&gt;0, C225-Table_14634571468[Sudan], 0)</f>
        <v>30.524082776864319</v>
      </c>
      <c r="L225" s="29">
        <f>IF(C225-Table_14634571468[S. Sudan]&gt;0, C225-Table_14634571468[S. Sudan], 0)</f>
        <v>21.338265238730727</v>
      </c>
      <c r="M225" s="29">
        <f>IF(C225-Table_14634571468[Tanzania]&gt;0, C225-Table_14634571468[Tanzania], 0)</f>
        <v>56.55883523371817</v>
      </c>
      <c r="N225" s="29">
        <f>IF(C225-Table_14634571468[Uganda]&gt;0, C225-Table_14634571468[Uganda], 0)</f>
        <v>78.237298258552144</v>
      </c>
      <c r="P225" s="21" t="s">
        <v>4</v>
      </c>
      <c r="Q225" s="97">
        <f t="shared" si="44"/>
        <v>-8.3906706755961791E-3</v>
      </c>
      <c r="R225" s="97">
        <f t="shared" si="45"/>
        <v>-8.3906706755961791E-3</v>
      </c>
      <c r="S225" s="97">
        <f t="shared" si="46"/>
        <v>-8.3906706755961791E-3</v>
      </c>
      <c r="T225" s="97">
        <f t="shared" si="47"/>
        <v>-8.3906706755961791E-3</v>
      </c>
      <c r="U225" s="97">
        <f t="shared" si="48"/>
        <v>-8.3906706755961791E-3</v>
      </c>
      <c r="V225" s="97">
        <f t="shared" si="49"/>
        <v>-8.3906706755961791E-3</v>
      </c>
      <c r="W225" s="97">
        <f t="shared" si="50"/>
        <v>-8.3906706755961791E-3</v>
      </c>
      <c r="X225" s="97">
        <f t="shared" si="51"/>
        <v>-8.3906706755961791E-3</v>
      </c>
      <c r="Y225" s="97">
        <f t="shared" si="52"/>
        <v>-8.3906706755961791E-3</v>
      </c>
      <c r="Z225" s="97">
        <f t="shared" si="53"/>
        <v>-8.3906706755961791E-3</v>
      </c>
      <c r="AA225" s="97">
        <f t="shared" si="54"/>
        <v>4.8252175487855334E-2</v>
      </c>
    </row>
    <row r="226" spans="2:28" ht="12.75" customHeight="1" x14ac:dyDescent="0.25">
      <c r="B226" s="21" t="s">
        <v>4</v>
      </c>
      <c r="C226" s="95">
        <f>Annual_sorted!AK26</f>
        <v>-75.675302926900159</v>
      </c>
      <c r="D226" s="29">
        <f>IF(C226-Table_14634571468[Burundi]&gt;0, C226-Table_14634571468[Burundi], 0)</f>
        <v>0</v>
      </c>
      <c r="E226" s="29">
        <f>IF(C226-Table_14634571468[DRC]&gt;0, C226-Table_14634571468[DRC], 0)</f>
        <v>0</v>
      </c>
      <c r="F226" s="29">
        <f>IF(C226-Table_14634571468[Egypt]&gt;0, C226-Table_14634571468[Egypt], 0)</f>
        <v>0</v>
      </c>
      <c r="G226" s="29">
        <f>IF(C226-Table_14634571468[Eritrea]&gt;0, C226-Table_14634571468[Eritrea], 0)</f>
        <v>0</v>
      </c>
      <c r="H226" s="29">
        <f>IF(C226-Table_14634571468[Ethiopia]&gt;0, C226-Table_14634571468[Ethiopia], 0)</f>
        <v>0</v>
      </c>
      <c r="I226" s="29">
        <f>IF(C226-Table_14634571468[Kenya]&gt;0, C226-Table_14634571468[Kenya], 0)</f>
        <v>0</v>
      </c>
      <c r="J226" s="29">
        <f>IF(C226-Table_14634571468[Rwanda]&gt;0, C226-Table_14634571468[Rwanda], 0)</f>
        <v>0</v>
      </c>
      <c r="K226" s="29">
        <f>IF(C226-Table_14634571468[Sudan]&gt;0, C226-Table_14634571468[Sudan], 0)</f>
        <v>0</v>
      </c>
      <c r="L226" s="29">
        <f>IF(C226-Table_14634571468[S. Sudan]&gt;0, C226-Table_14634571468[S. Sudan], 0)</f>
        <v>0</v>
      </c>
      <c r="M226" s="29">
        <f>IF(C226-Table_14634571468[Tanzania]&gt;0, C226-Table_14634571468[Tanzania], 0)</f>
        <v>0</v>
      </c>
      <c r="N226" s="29">
        <f>IF(C226-Table_14634571468[Uganda]&gt;0, C226-Table_14634571468[Uganda], 0)</f>
        <v>4.4360192687720144</v>
      </c>
      <c r="P226" s="21" t="s">
        <v>5</v>
      </c>
      <c r="Q226" s="97">
        <f t="shared" si="44"/>
        <v>-8.3906706755961791E-3</v>
      </c>
      <c r="R226" s="97">
        <f t="shared" si="45"/>
        <v>-8.3906706755961791E-3</v>
      </c>
      <c r="S226" s="97">
        <f t="shared" si="46"/>
        <v>0.33350111308184804</v>
      </c>
      <c r="T226" s="97">
        <f t="shared" si="47"/>
        <v>-8.3906706755961791E-3</v>
      </c>
      <c r="U226" s="97">
        <f t="shared" si="48"/>
        <v>0.6136386919871154</v>
      </c>
      <c r="V226" s="97">
        <f t="shared" si="49"/>
        <v>-8.3906706755961791E-3</v>
      </c>
      <c r="W226" s="97">
        <f t="shared" si="50"/>
        <v>-8.3906706755961791E-3</v>
      </c>
      <c r="X226" s="97">
        <f t="shared" si="51"/>
        <v>6.1038845379081649E-2</v>
      </c>
      <c r="Y226" s="97">
        <f t="shared" si="52"/>
        <v>-8.3906706755961791E-3</v>
      </c>
      <c r="Z226" s="97">
        <f t="shared" si="53"/>
        <v>0.39347258584958644</v>
      </c>
      <c r="AA226" s="97">
        <f t="shared" si="54"/>
        <v>0.6702815381505669</v>
      </c>
    </row>
    <row r="227" spans="2:28" ht="12.75" customHeight="1" x14ac:dyDescent="0.25">
      <c r="B227" s="21" t="s">
        <v>5</v>
      </c>
      <c r="C227" s="95">
        <f>Annual_sorted!AK27</f>
        <v>-26.960691543296896</v>
      </c>
      <c r="D227" s="29">
        <f>IF(C227-Table_14634571468[Burundi]&gt;0, C227-Table_14634571468[Burundi], 0)</f>
        <v>0</v>
      </c>
      <c r="E227" s="29">
        <f>IF(C227-Table_14634571468[DRC]&gt;0, C227-Table_14634571468[DRC], 0)</f>
        <v>0</v>
      </c>
      <c r="F227" s="29">
        <f>IF(C227-Table_14634571468[Egypt]&gt;0, C227-Table_14634571468[Egypt], 0)</f>
        <v>26.775464922902479</v>
      </c>
      <c r="G227" s="29">
        <f>IF(C227-Table_14634571468[Eritrea]&gt;0, C227-Table_14634571468[Eritrea], 0)</f>
        <v>0</v>
      </c>
      <c r="H227" s="29">
        <f>IF(C227-Table_14634571468[Ethiopia]&gt;0, C227-Table_14634571468[Ethiopia], 0)</f>
        <v>48.714611383603263</v>
      </c>
      <c r="I227" s="29">
        <f>IF(C227-Table_14634571468[Kenya]&gt;0, C227-Table_14634571468[Kenya], 0)</f>
        <v>0</v>
      </c>
      <c r="J227" s="29">
        <f>IF(C227-Table_14634571468[Rwanda]&gt;0, C227-Table_14634571468[Rwanda], 0)</f>
        <v>0</v>
      </c>
      <c r="K227" s="29">
        <f>IF(C227-Table_14634571468[Sudan]&gt;0, C227-Table_14634571468[Sudan], 0)</f>
        <v>5.4374151706874514</v>
      </c>
      <c r="L227" s="29">
        <f>IF(C227-Table_14634571468[S. Sudan]&gt;0, C227-Table_14634571468[S. Sudan], 0)</f>
        <v>0</v>
      </c>
      <c r="M227" s="29">
        <f>IF(C227-Table_14634571468[Tanzania]&gt;0, C227-Table_14634571468[Tanzania], 0)</f>
        <v>31.472167627541303</v>
      </c>
      <c r="N227" s="29">
        <f>IF(C227-Table_14634571468[Uganda]&gt;0, C227-Table_14634571468[Uganda], 0)</f>
        <v>53.150630652375277</v>
      </c>
      <c r="P227" s="21" t="s">
        <v>6</v>
      </c>
      <c r="Q227" s="97">
        <f t="shared" si="44"/>
        <v>-8.3906706755961791E-3</v>
      </c>
      <c r="R227" s="97">
        <f t="shared" si="45"/>
        <v>-8.3906706755961791E-3</v>
      </c>
      <c r="S227" s="97">
        <f t="shared" si="46"/>
        <v>0.53067795925081918</v>
      </c>
      <c r="T227" s="97">
        <f t="shared" si="47"/>
        <v>-8.3906706755961791E-3</v>
      </c>
      <c r="U227" s="97">
        <f t="shared" si="48"/>
        <v>0.81081553815608631</v>
      </c>
      <c r="V227" s="97">
        <f t="shared" si="49"/>
        <v>0.18878617549337487</v>
      </c>
      <c r="W227" s="97">
        <f t="shared" si="50"/>
        <v>-8.3906706755961791E-3</v>
      </c>
      <c r="X227" s="97">
        <f t="shared" si="51"/>
        <v>0.25821569154805274</v>
      </c>
      <c r="Y227" s="97">
        <f t="shared" si="52"/>
        <v>0.14092340353640276</v>
      </c>
      <c r="Z227" s="97">
        <f t="shared" si="53"/>
        <v>0.59064943201855746</v>
      </c>
      <c r="AA227" s="97">
        <f t="shared" si="54"/>
        <v>0.86745838431953781</v>
      </c>
    </row>
    <row r="228" spans="2:28" ht="12.75" customHeight="1" x14ac:dyDescent="0.25">
      <c r="B228" s="21" t="s">
        <v>6</v>
      </c>
      <c r="C228" s="95">
        <f>Annual_sorted!AK28</f>
        <v>-11.518665794145301</v>
      </c>
      <c r="D228" s="29">
        <f>IF(C228-Table_14634571468[Burundi]&gt;0, C228-Table_14634571468[Burundi], 0)</f>
        <v>0</v>
      </c>
      <c r="E228" s="29">
        <f>IF(C228-Table_14634571468[DRC]&gt;0, C228-Table_14634571468[DRC], 0)</f>
        <v>0</v>
      </c>
      <c r="F228" s="29">
        <f>IF(C228-Table_14634571468[Egypt]&gt;0, C228-Table_14634571468[Egypt], 0)</f>
        <v>42.217490672054076</v>
      </c>
      <c r="G228" s="29">
        <f>IF(C228-Table_14634571468[Eritrea]&gt;0, C228-Table_14634571468[Eritrea], 0)</f>
        <v>0</v>
      </c>
      <c r="H228" s="29">
        <f>IF(C228-Table_14634571468[Ethiopia]&gt;0, C228-Table_14634571468[Ethiopia], 0)</f>
        <v>64.156637132754852</v>
      </c>
      <c r="I228" s="29">
        <f>IF(C228-Table_14634571468[Kenya]&gt;0, C228-Table_14634571468[Kenya], 0)</f>
        <v>15.442025749151595</v>
      </c>
      <c r="J228" s="29">
        <f>IF(C228-Table_14634571468[Rwanda]&gt;0, C228-Table_14634571468[Rwanda], 0)</f>
        <v>0</v>
      </c>
      <c r="K228" s="29">
        <f>IF(C228-Table_14634571468[Sudan]&gt;0, C228-Table_14634571468[Sudan], 0)</f>
        <v>20.879440919839048</v>
      </c>
      <c r="L228" s="29">
        <f>IF(C228-Table_14634571468[S. Sudan]&gt;0, C228-Table_14634571468[S. Sudan], 0)</f>
        <v>11.693623381705455</v>
      </c>
      <c r="M228" s="29">
        <f>IF(C228-Table_14634571468[Tanzania]&gt;0, C228-Table_14634571468[Tanzania], 0)</f>
        <v>46.9141933766929</v>
      </c>
      <c r="N228" s="29">
        <f>IF(C228-Table_14634571468[Uganda]&gt;0, C228-Table_14634571468[Uganda], 0)</f>
        <v>68.592656401526867</v>
      </c>
      <c r="P228" s="21" t="s">
        <v>7</v>
      </c>
      <c r="Q228" s="97">
        <f t="shared" si="44"/>
        <v>-8.3906706755961791E-3</v>
      </c>
      <c r="R228" s="97">
        <f t="shared" si="45"/>
        <v>-8.3906706755961791E-3</v>
      </c>
      <c r="S228" s="97">
        <f t="shared" si="46"/>
        <v>0.2640715970271702</v>
      </c>
      <c r="T228" s="97">
        <f t="shared" si="47"/>
        <v>-8.3906706755961791E-3</v>
      </c>
      <c r="U228" s="97">
        <f t="shared" si="48"/>
        <v>0.54420917593243745</v>
      </c>
      <c r="V228" s="97">
        <f t="shared" si="49"/>
        <v>-8.3906706755961791E-3</v>
      </c>
      <c r="W228" s="97">
        <f t="shared" si="50"/>
        <v>-8.3906706755961791E-3</v>
      </c>
      <c r="X228" s="97">
        <f t="shared" si="51"/>
        <v>-8.3906706755961791E-3</v>
      </c>
      <c r="Y228" s="97">
        <f t="shared" si="52"/>
        <v>-8.3906706755961791E-3</v>
      </c>
      <c r="Z228" s="97">
        <f t="shared" si="53"/>
        <v>0.3240430697949086</v>
      </c>
      <c r="AA228" s="97">
        <f t="shared" si="54"/>
        <v>0.60085202209588906</v>
      </c>
    </row>
    <row r="229" spans="2:28" ht="12.75" customHeight="1" x14ac:dyDescent="0.25">
      <c r="B229" s="21" t="s">
        <v>7</v>
      </c>
      <c r="C229" s="95">
        <f>Annual_sorted!AK29</f>
        <v>-32.398106713984347</v>
      </c>
      <c r="D229" s="29">
        <f>IF(C229-Table_14634571468[Burundi]&gt;0, C229-Table_14634571468[Burundi], 0)</f>
        <v>0</v>
      </c>
      <c r="E229" s="29">
        <f>IF(C229-Table_14634571468[DRC]&gt;0, C229-Table_14634571468[DRC], 0)</f>
        <v>0</v>
      </c>
      <c r="F229" s="29">
        <f>IF(C229-Table_14634571468[Egypt]&gt;0, C229-Table_14634571468[Egypt], 0)</f>
        <v>21.338049752215028</v>
      </c>
      <c r="G229" s="29">
        <f>IF(C229-Table_14634571468[Eritrea]&gt;0, C229-Table_14634571468[Eritrea], 0)</f>
        <v>0</v>
      </c>
      <c r="H229" s="29">
        <f>IF(C229-Table_14634571468[Ethiopia]&gt;0, C229-Table_14634571468[Ethiopia], 0)</f>
        <v>43.277196212915811</v>
      </c>
      <c r="I229" s="29">
        <f>IF(C229-Table_14634571468[Kenya]&gt;0, C229-Table_14634571468[Kenya], 0)</f>
        <v>0</v>
      </c>
      <c r="J229" s="29">
        <f>IF(C229-Table_14634571468[Rwanda]&gt;0, C229-Table_14634571468[Rwanda], 0)</f>
        <v>0</v>
      </c>
      <c r="K229" s="29">
        <f>IF(C229-Table_14634571468[Sudan]&gt;0, C229-Table_14634571468[Sudan], 0)</f>
        <v>0</v>
      </c>
      <c r="L229" s="29">
        <f>IF(C229-Table_14634571468[S. Sudan]&gt;0, C229-Table_14634571468[S. Sudan], 0)</f>
        <v>0</v>
      </c>
      <c r="M229" s="29">
        <f>IF(C229-Table_14634571468[Tanzania]&gt;0, C229-Table_14634571468[Tanzania], 0)</f>
        <v>26.034752456853852</v>
      </c>
      <c r="N229" s="29">
        <f>IF(C229-Table_14634571468[Uganda]&gt;0, C229-Table_14634571468[Uganda], 0)</f>
        <v>47.713215481687826</v>
      </c>
      <c r="P229" s="21" t="s">
        <v>8</v>
      </c>
      <c r="Q229" s="97">
        <f t="shared" si="44"/>
        <v>-8.3906706755961791E-3</v>
      </c>
      <c r="R229" s="97">
        <f t="shared" si="45"/>
        <v>-8.3906706755961791E-3</v>
      </c>
      <c r="S229" s="97">
        <f t="shared" si="46"/>
        <v>0.38136388503882018</v>
      </c>
      <c r="T229" s="97">
        <f t="shared" si="47"/>
        <v>-8.3906706755961791E-3</v>
      </c>
      <c r="U229" s="97">
        <f t="shared" si="48"/>
        <v>0.66150146394408749</v>
      </c>
      <c r="V229" s="97">
        <f t="shared" si="49"/>
        <v>3.9472101281375946E-2</v>
      </c>
      <c r="W229" s="97">
        <f t="shared" si="50"/>
        <v>-8.3906706755961791E-3</v>
      </c>
      <c r="X229" s="97">
        <f t="shared" si="51"/>
        <v>0.10890161733605377</v>
      </c>
      <c r="Y229" s="97">
        <f t="shared" si="52"/>
        <v>-8.3906706755961791E-3</v>
      </c>
      <c r="Z229" s="97">
        <f t="shared" si="53"/>
        <v>0.44133535780655853</v>
      </c>
      <c r="AA229" s="97">
        <f t="shared" si="54"/>
        <v>0.71814431010753899</v>
      </c>
    </row>
    <row r="230" spans="2:28" ht="12.75" customHeight="1" x14ac:dyDescent="0.25">
      <c r="B230" s="21" t="s">
        <v>8</v>
      </c>
      <c r="C230" s="95">
        <f>Annual_sorted!AK30</f>
        <v>-23.212289175850756</v>
      </c>
      <c r="D230" s="29">
        <f>IF(C230-Table_14634571468[Burundi]&gt;0, C230-Table_14634571468[Burundi], 0)</f>
        <v>0</v>
      </c>
      <c r="E230" s="29">
        <f>IF(C230-Table_14634571468[DRC]&gt;0, C230-Table_14634571468[DRC], 0)</f>
        <v>0</v>
      </c>
      <c r="F230" s="29">
        <f>IF(C230-Table_14634571468[Egypt]&gt;0, C230-Table_14634571468[Egypt], 0)</f>
        <v>30.523867290348619</v>
      </c>
      <c r="G230" s="29">
        <f>IF(C230-Table_14634571468[Eritrea]&gt;0, C230-Table_14634571468[Eritrea], 0)</f>
        <v>0</v>
      </c>
      <c r="H230" s="29">
        <f>IF(C230-Table_14634571468[Ethiopia]&gt;0, C230-Table_14634571468[Ethiopia], 0)</f>
        <v>52.463013751049402</v>
      </c>
      <c r="I230" s="29">
        <f>IF(C230-Table_14634571468[Kenya]&gt;0, C230-Table_14634571468[Kenya], 0)</f>
        <v>3.7484023674461397</v>
      </c>
      <c r="J230" s="29">
        <f>IF(C230-Table_14634571468[Rwanda]&gt;0, C230-Table_14634571468[Rwanda], 0)</f>
        <v>0</v>
      </c>
      <c r="K230" s="29">
        <f>IF(C230-Table_14634571468[Sudan]&gt;0, C230-Table_14634571468[Sudan], 0)</f>
        <v>9.1858175381335911</v>
      </c>
      <c r="L230" s="29">
        <f>IF(C230-Table_14634571468[S. Sudan]&gt;0, C230-Table_14634571468[S. Sudan], 0)</f>
        <v>0</v>
      </c>
      <c r="M230" s="29">
        <f>IF(C230-Table_14634571468[Tanzania]&gt;0, C230-Table_14634571468[Tanzania], 0)</f>
        <v>35.220569994987443</v>
      </c>
      <c r="N230" s="29">
        <f>IF(C230-Table_14634571468[Uganda]&gt;0, C230-Table_14634571468[Uganda], 0)</f>
        <v>56.899033019821417</v>
      </c>
      <c r="P230" s="21" t="s">
        <v>9</v>
      </c>
      <c r="Q230" s="97">
        <f t="shared" si="44"/>
        <v>-8.3906706755961791E-3</v>
      </c>
      <c r="R230" s="97">
        <f t="shared" si="45"/>
        <v>-8.3906706755961791E-3</v>
      </c>
      <c r="S230" s="97">
        <f t="shared" si="46"/>
        <v>-8.3906706755961791E-3</v>
      </c>
      <c r="T230" s="97">
        <f t="shared" si="47"/>
        <v>-8.3906706755961791E-3</v>
      </c>
      <c r="U230" s="97">
        <f t="shared" si="48"/>
        <v>0.21177543546193275</v>
      </c>
      <c r="V230" s="97">
        <f t="shared" si="49"/>
        <v>-8.3906706755961791E-3</v>
      </c>
      <c r="W230" s="97">
        <f t="shared" si="50"/>
        <v>-8.3906706755961791E-3</v>
      </c>
      <c r="X230" s="97">
        <f t="shared" si="51"/>
        <v>-8.3906706755961791E-3</v>
      </c>
      <c r="Y230" s="97">
        <f t="shared" si="52"/>
        <v>-8.3906706755961791E-3</v>
      </c>
      <c r="Z230" s="97">
        <f t="shared" si="53"/>
        <v>-8.3906706755961791E-3</v>
      </c>
      <c r="AA230" s="97">
        <f t="shared" si="54"/>
        <v>0.26841828162538428</v>
      </c>
    </row>
    <row r="231" spans="2:28" ht="12.75" customHeight="1" thickBot="1" x14ac:dyDescent="0.3">
      <c r="B231" s="21" t="s">
        <v>9</v>
      </c>
      <c r="C231" s="95">
        <f>Annual_sorted!AK31</f>
        <v>-58.432859170838199</v>
      </c>
      <c r="D231" s="29">
        <f>IF(C231-Table_14634571468[Burundi]&gt;0, C231-Table_14634571468[Burundi], 0)</f>
        <v>0</v>
      </c>
      <c r="E231" s="29">
        <f>IF(C231-Table_14634571468[DRC]&gt;0, C231-Table_14634571468[DRC], 0)</f>
        <v>0</v>
      </c>
      <c r="F231" s="29">
        <f>IF(C231-Table_14634571468[Egypt]&gt;0, C231-Table_14634571468[Egypt], 0)</f>
        <v>0</v>
      </c>
      <c r="G231" s="29">
        <f>IF(C231-Table_14634571468[Eritrea]&gt;0, C231-Table_14634571468[Eritrea], 0)</f>
        <v>0</v>
      </c>
      <c r="H231" s="29">
        <f>IF(C231-Table_14634571468[Ethiopia]&gt;0, C231-Table_14634571468[Ethiopia], 0)</f>
        <v>17.242443756061959</v>
      </c>
      <c r="I231" s="29">
        <f>IF(C231-Table_14634571468[Kenya]&gt;0, C231-Table_14634571468[Kenya], 0)</f>
        <v>0</v>
      </c>
      <c r="J231" s="29">
        <f>IF(C231-Table_14634571468[Rwanda]&gt;0, C231-Table_14634571468[Rwanda], 0)</f>
        <v>0</v>
      </c>
      <c r="K231" s="29">
        <f>IF(C231-Table_14634571468[Sudan]&gt;0, C231-Table_14634571468[Sudan], 0)</f>
        <v>0</v>
      </c>
      <c r="L231" s="29">
        <f>IF(C231-Table_14634571468[S. Sudan]&gt;0, C231-Table_14634571468[S. Sudan], 0)</f>
        <v>0</v>
      </c>
      <c r="M231" s="29">
        <f>IF(C231-Table_14634571468[Tanzania]&gt;0, C231-Table_14634571468[Tanzania], 0)</f>
        <v>0</v>
      </c>
      <c r="N231" s="29">
        <f>IF(C231-Table_14634571468[Uganda]&gt;0, C231-Table_14634571468[Uganda], 0)</f>
        <v>21.678463024833974</v>
      </c>
      <c r="P231" s="22" t="s">
        <v>10</v>
      </c>
      <c r="Q231" s="98">
        <f t="shared" si="44"/>
        <v>-8.3906706755961791E-3</v>
      </c>
      <c r="R231" s="98">
        <f t="shared" si="45"/>
        <v>-8.3906706755961791E-3</v>
      </c>
      <c r="S231" s="98">
        <f t="shared" si="46"/>
        <v>-8.3906706755961791E-3</v>
      </c>
      <c r="T231" s="98">
        <f t="shared" si="47"/>
        <v>-8.3906706755961791E-3</v>
      </c>
      <c r="U231" s="98">
        <f t="shared" si="48"/>
        <v>-8.3906706755961791E-3</v>
      </c>
      <c r="V231" s="98">
        <f t="shared" si="49"/>
        <v>-8.3906706755961791E-3</v>
      </c>
      <c r="W231" s="98">
        <f t="shared" si="50"/>
        <v>-8.3906706755961791E-3</v>
      </c>
      <c r="X231" s="98">
        <f t="shared" si="51"/>
        <v>-8.3906706755961791E-3</v>
      </c>
      <c r="Y231" s="98">
        <f t="shared" si="52"/>
        <v>-8.3906706755961791E-3</v>
      </c>
      <c r="Z231" s="98">
        <f t="shared" si="53"/>
        <v>-8.3906706755961791E-3</v>
      </c>
      <c r="AA231" s="98">
        <f t="shared" si="54"/>
        <v>-8.3906706755961791E-3</v>
      </c>
      <c r="AB231" s="186">
        <f>SUM(Q221:AA231)</f>
        <v>22.949034183698192</v>
      </c>
    </row>
    <row r="232" spans="2:28" ht="12.75" customHeight="1" thickBot="1" x14ac:dyDescent="0.3">
      <c r="B232" s="22" t="s">
        <v>10</v>
      </c>
      <c r="C232" s="96">
        <f>Annual_sorted!AK32</f>
        <v>-80.111322195672173</v>
      </c>
      <c r="D232" s="32">
        <f>IF(C232-Table_14634571468[Burundi]&gt;0, C232-Table_14634571468[Burundi], 0)</f>
        <v>0</v>
      </c>
      <c r="E232" s="32">
        <f>IF(C232-Table_14634571468[DRC]&gt;0, C232-Table_14634571468[DRC], 0)</f>
        <v>0</v>
      </c>
      <c r="F232" s="32">
        <f>IF(C232-Table_14634571468[Egypt]&gt;0, C232-Table_14634571468[Egypt], 0)</f>
        <v>0</v>
      </c>
      <c r="G232" s="32">
        <f>IF(C232-Table_14634571468[Eritrea]&gt;0, C232-Table_14634571468[Eritrea], 0)</f>
        <v>0</v>
      </c>
      <c r="H232" s="32">
        <f>IF(C232-Table_14634571468[Ethiopia]&gt;0, C232-Table_14634571468[Ethiopia], 0)</f>
        <v>0</v>
      </c>
      <c r="I232" s="32">
        <f>IF(C232-Table_14634571468[Kenya]&gt;0, C232-Table_14634571468[Kenya], 0)</f>
        <v>0</v>
      </c>
      <c r="J232" s="32">
        <f>IF(C232-Table_14634571468[Rwanda]&gt;0, C232-Table_14634571468[Rwanda], 0)</f>
        <v>0</v>
      </c>
      <c r="K232" s="32">
        <f>IF(C232-Table_14634571468[Sudan]&gt;0, C232-Table_14634571468[Sudan], 0)</f>
        <v>0</v>
      </c>
      <c r="L232" s="32">
        <f>IF(C232-Table_14634571468[S. Sudan]&gt;0, C232-Table_14634571468[S. Sudan], 0)</f>
        <v>0</v>
      </c>
      <c r="M232" s="32">
        <f>IF(C232-Table_14634571468[Tanzania]&gt;0, C232-Table_14634571468[Tanzania], 0)</f>
        <v>0</v>
      </c>
      <c r="N232" s="32">
        <f>IF(C232-Table_14634571468[Uganda]&gt;0, C232-Table_14634571468[Uganda], 0)</f>
        <v>0</v>
      </c>
    </row>
    <row r="233" spans="2:28" ht="12.75" customHeight="1" x14ac:dyDescent="0.25"/>
    <row r="234" spans="2:28" ht="12.75" customHeight="1" x14ac:dyDescent="0.25"/>
    <row r="235" spans="2:28" ht="12.75" customHeight="1" x14ac:dyDescent="0.25"/>
    <row r="236" spans="2:28" ht="12.75" customHeight="1" x14ac:dyDescent="0.25"/>
    <row r="237" spans="2:28" ht="12.75" customHeight="1" x14ac:dyDescent="0.25"/>
    <row r="238" spans="2:28" ht="12.75" customHeight="1" x14ac:dyDescent="0.25"/>
    <row r="239" spans="2:28" ht="12.75" customHeight="1" x14ac:dyDescent="0.25"/>
    <row r="240" spans="2:28" ht="12.75" customHeight="1" x14ac:dyDescent="0.25"/>
    <row r="241" ht="12.75" customHeight="1" x14ac:dyDescent="0.25"/>
    <row r="242" ht="12.75" customHeight="1" x14ac:dyDescent="0.25"/>
    <row r="243" ht="12.75" customHeight="1" x14ac:dyDescent="0.25"/>
    <row r="244" ht="12.75" customHeight="1" x14ac:dyDescent="0.25"/>
    <row r="245" ht="12.75" customHeight="1" x14ac:dyDescent="0.25"/>
    <row r="246" ht="12.75" customHeight="1" x14ac:dyDescent="0.25"/>
    <row r="247" ht="12.75" customHeight="1" x14ac:dyDescent="0.25"/>
    <row r="248" ht="12.75" customHeight="1" x14ac:dyDescent="0.25"/>
    <row r="249" ht="12.75" customHeight="1" x14ac:dyDescent="0.25"/>
    <row r="250" ht="12.75" customHeight="1" x14ac:dyDescent="0.25"/>
    <row r="251" ht="12.75" customHeight="1" x14ac:dyDescent="0.25"/>
    <row r="252" ht="12.75" customHeight="1" x14ac:dyDescent="0.25"/>
    <row r="253" ht="12.75" customHeight="1" x14ac:dyDescent="0.25"/>
    <row r="254" ht="12.75" customHeight="1" x14ac:dyDescent="0.25"/>
    <row r="255" ht="12.75" customHeight="1" x14ac:dyDescent="0.25"/>
    <row r="256" ht="12.75" customHeight="1" x14ac:dyDescent="0.25"/>
    <row r="257" ht="12.75" customHeight="1" x14ac:dyDescent="0.25"/>
    <row r="258" ht="12.75" customHeight="1" x14ac:dyDescent="0.25"/>
    <row r="259" ht="12.75" customHeight="1" x14ac:dyDescent="0.25"/>
    <row r="260" ht="12.75" customHeight="1" x14ac:dyDescent="0.25"/>
    <row r="261" ht="12.75" customHeight="1" x14ac:dyDescent="0.25"/>
    <row r="262" ht="12.75" customHeight="1" x14ac:dyDescent="0.25"/>
    <row r="263" ht="12.75" customHeight="1" x14ac:dyDescent="0.25"/>
    <row r="264" ht="12.75" customHeight="1" x14ac:dyDescent="0.25"/>
    <row r="265" ht="12.75" customHeight="1" x14ac:dyDescent="0.25"/>
    <row r="266" ht="12.75" customHeight="1" x14ac:dyDescent="0.25"/>
    <row r="267" ht="12.75" customHeight="1" x14ac:dyDescent="0.25"/>
    <row r="268" ht="12.75" customHeight="1" x14ac:dyDescent="0.25"/>
    <row r="269" ht="12.75" customHeight="1" x14ac:dyDescent="0.25"/>
    <row r="270" ht="12.75" customHeight="1" x14ac:dyDescent="0.25"/>
    <row r="271" ht="12.75" customHeight="1" x14ac:dyDescent="0.25"/>
    <row r="272" ht="12.75" customHeight="1" x14ac:dyDescent="0.25"/>
    <row r="273" ht="12.75" customHeight="1" x14ac:dyDescent="0.25"/>
    <row r="274" ht="12.75" customHeight="1" x14ac:dyDescent="0.25"/>
    <row r="275" ht="12.75" customHeight="1" x14ac:dyDescent="0.25"/>
    <row r="276" ht="12.75" customHeight="1" x14ac:dyDescent="0.25"/>
    <row r="277" ht="12.75" customHeight="1" x14ac:dyDescent="0.25"/>
    <row r="278" ht="12.75" customHeight="1" x14ac:dyDescent="0.25"/>
    <row r="279" ht="12.75" customHeight="1" x14ac:dyDescent="0.25"/>
    <row r="280" ht="12.75" customHeight="1" x14ac:dyDescent="0.25"/>
    <row r="281" ht="12.75" customHeight="1" x14ac:dyDescent="0.25"/>
    <row r="282" ht="12.75" customHeight="1" x14ac:dyDescent="0.25"/>
    <row r="283" ht="12.75" customHeight="1" x14ac:dyDescent="0.25"/>
    <row r="284" ht="12.75" customHeight="1" x14ac:dyDescent="0.25"/>
    <row r="285" ht="12.75" customHeight="1" x14ac:dyDescent="0.25"/>
    <row r="286" ht="12.75" customHeight="1" x14ac:dyDescent="0.25"/>
    <row r="287" ht="12.75" customHeight="1" x14ac:dyDescent="0.25"/>
    <row r="288" ht="12.75" customHeight="1" x14ac:dyDescent="0.25"/>
    <row r="289" ht="12.75" customHeight="1" x14ac:dyDescent="0.25"/>
    <row r="290" ht="12.75" customHeight="1" x14ac:dyDescent="0.25"/>
    <row r="291" ht="12.75" customHeight="1" x14ac:dyDescent="0.25"/>
    <row r="292" ht="12.75" customHeight="1" x14ac:dyDescent="0.25"/>
    <row r="293" ht="12.75" customHeight="1" x14ac:dyDescent="0.25"/>
    <row r="294" ht="12.75" customHeight="1" x14ac:dyDescent="0.25"/>
    <row r="295" ht="12.75" customHeight="1" x14ac:dyDescent="0.25"/>
    <row r="296" ht="12.75" customHeight="1" x14ac:dyDescent="0.25"/>
    <row r="297" ht="12.75" customHeight="1" x14ac:dyDescent="0.25"/>
    <row r="298" ht="12.75" customHeight="1" x14ac:dyDescent="0.25"/>
    <row r="299" ht="12.75" customHeight="1" x14ac:dyDescent="0.25"/>
    <row r="300" ht="12.75" customHeight="1" x14ac:dyDescent="0.25"/>
    <row r="301" ht="12.75" customHeight="1" x14ac:dyDescent="0.25"/>
    <row r="302" ht="12.75" customHeight="1" x14ac:dyDescent="0.25"/>
    <row r="303" ht="12.75" customHeight="1" x14ac:dyDescent="0.25"/>
    <row r="304" ht="12.75" customHeight="1" x14ac:dyDescent="0.25"/>
    <row r="305" ht="12.75" customHeight="1" x14ac:dyDescent="0.25"/>
    <row r="306" ht="12.75" customHeight="1" x14ac:dyDescent="0.25"/>
    <row r="307" ht="12.75" customHeight="1" x14ac:dyDescent="0.25"/>
    <row r="308" ht="12.75" customHeight="1" x14ac:dyDescent="0.25"/>
    <row r="309" ht="12.75" customHeight="1" x14ac:dyDescent="0.25"/>
    <row r="310" ht="12.75" customHeight="1" x14ac:dyDescent="0.25"/>
    <row r="311" ht="12.75" customHeight="1" x14ac:dyDescent="0.25"/>
    <row r="312" ht="12.75" customHeight="1" x14ac:dyDescent="0.25"/>
    <row r="313" ht="12.75" customHeight="1" x14ac:dyDescent="0.25"/>
    <row r="314" ht="12.75" customHeight="1" x14ac:dyDescent="0.25"/>
    <row r="315" ht="12.75" customHeight="1" x14ac:dyDescent="0.25"/>
    <row r="316" ht="12.75" customHeight="1" x14ac:dyDescent="0.25"/>
    <row r="317" ht="12.75" customHeight="1" x14ac:dyDescent="0.25"/>
    <row r="318" ht="12.75" customHeight="1" x14ac:dyDescent="0.25"/>
    <row r="319" ht="12.75" customHeight="1" x14ac:dyDescent="0.25"/>
    <row r="320" ht="12.75" customHeight="1" x14ac:dyDescent="0.25"/>
    <row r="321" ht="12.75" customHeight="1" x14ac:dyDescent="0.25"/>
    <row r="322" ht="12.75" customHeight="1" x14ac:dyDescent="0.25"/>
    <row r="323" ht="12.75" customHeight="1" x14ac:dyDescent="0.25"/>
    <row r="324" ht="12.75" customHeight="1" x14ac:dyDescent="0.25"/>
    <row r="325" ht="12.75" customHeight="1" x14ac:dyDescent="0.25"/>
    <row r="326" ht="12.75" customHeight="1" x14ac:dyDescent="0.25"/>
    <row r="327" ht="12.75" customHeight="1" x14ac:dyDescent="0.25"/>
    <row r="328" ht="12.75" customHeight="1" x14ac:dyDescent="0.25"/>
    <row r="329" ht="12.75" customHeight="1" x14ac:dyDescent="0.25"/>
    <row r="330" ht="12.75" customHeight="1" x14ac:dyDescent="0.25"/>
    <row r="331" ht="12.75" customHeight="1" x14ac:dyDescent="0.25"/>
    <row r="332" ht="12.75" customHeight="1" x14ac:dyDescent="0.25"/>
    <row r="333" ht="12.75" customHeight="1" x14ac:dyDescent="0.25"/>
    <row r="334" ht="12.75" customHeight="1" x14ac:dyDescent="0.25"/>
    <row r="335" ht="12.75" customHeight="1" x14ac:dyDescent="0.25"/>
    <row r="336" ht="12.75" customHeight="1" x14ac:dyDescent="0.25"/>
    <row r="337" ht="12.75" customHeight="1" x14ac:dyDescent="0.25"/>
    <row r="338" ht="12.75" customHeight="1" x14ac:dyDescent="0.25"/>
    <row r="339" ht="12.75" customHeight="1" x14ac:dyDescent="0.25"/>
    <row r="340" ht="12.75" customHeight="1" x14ac:dyDescent="0.25"/>
    <row r="341" ht="12.75" customHeight="1" x14ac:dyDescent="0.25"/>
    <row r="342" ht="12.75" customHeight="1" x14ac:dyDescent="0.25"/>
    <row r="343" ht="12.75" customHeight="1" x14ac:dyDescent="0.25"/>
    <row r="344" ht="12.75" customHeight="1" x14ac:dyDescent="0.25"/>
    <row r="345" ht="12.75" customHeight="1" x14ac:dyDescent="0.25"/>
    <row r="346" ht="12.75" customHeight="1" x14ac:dyDescent="0.25"/>
    <row r="347" ht="12.75" customHeight="1" x14ac:dyDescent="0.25"/>
    <row r="348" ht="12.75" customHeight="1" x14ac:dyDescent="0.25"/>
    <row r="349" ht="12.75" customHeight="1" x14ac:dyDescent="0.25"/>
    <row r="350" ht="12.75" customHeight="1" x14ac:dyDescent="0.25"/>
    <row r="351" ht="12.75" customHeight="1" x14ac:dyDescent="0.25"/>
    <row r="352" ht="12.75" customHeight="1" x14ac:dyDescent="0.25"/>
    <row r="353" ht="12.75" customHeight="1" x14ac:dyDescent="0.25"/>
    <row r="354" ht="12.75" customHeight="1" x14ac:dyDescent="0.25"/>
    <row r="355" ht="12.75" customHeight="1" x14ac:dyDescent="0.25"/>
    <row r="356" ht="12.75" customHeight="1" x14ac:dyDescent="0.25"/>
    <row r="357" ht="12.75" customHeight="1" x14ac:dyDescent="0.25"/>
    <row r="358" ht="12.75" customHeight="1" x14ac:dyDescent="0.25"/>
    <row r="359" ht="12.75" customHeight="1" x14ac:dyDescent="0.25"/>
    <row r="360" ht="12.75" customHeight="1" x14ac:dyDescent="0.25"/>
    <row r="361" ht="12.75" customHeight="1" x14ac:dyDescent="0.25"/>
    <row r="362" ht="12.75" customHeight="1" x14ac:dyDescent="0.25"/>
    <row r="363" ht="12.75" customHeight="1" x14ac:dyDescent="0.25"/>
    <row r="364" ht="12.75" customHeight="1" x14ac:dyDescent="0.25"/>
    <row r="365" ht="12.75" customHeight="1" x14ac:dyDescent="0.25"/>
    <row r="366" ht="12.75" customHeight="1" x14ac:dyDescent="0.25"/>
    <row r="367" ht="12.75" customHeight="1" x14ac:dyDescent="0.25"/>
    <row r="368" ht="12.75" customHeight="1" x14ac:dyDescent="0.25"/>
    <row r="369" ht="12.75" customHeight="1" x14ac:dyDescent="0.25"/>
    <row r="370" ht="12.75" customHeight="1" x14ac:dyDescent="0.25"/>
    <row r="371" ht="12.75" customHeight="1" x14ac:dyDescent="0.25"/>
    <row r="372" ht="12.75" customHeight="1" x14ac:dyDescent="0.25"/>
    <row r="373" ht="12.75" customHeight="1" x14ac:dyDescent="0.25"/>
    <row r="374" ht="12.75" customHeight="1" x14ac:dyDescent="0.25"/>
    <row r="375" ht="12.75" customHeight="1" x14ac:dyDescent="0.25"/>
    <row r="376" ht="12.75" customHeight="1" x14ac:dyDescent="0.25"/>
    <row r="377" ht="12.75" customHeight="1" x14ac:dyDescent="0.25"/>
    <row r="378" ht="12.75" customHeight="1" x14ac:dyDescent="0.25"/>
    <row r="379" ht="12.75" customHeight="1" x14ac:dyDescent="0.25"/>
    <row r="380" ht="12.75" customHeight="1" x14ac:dyDescent="0.25"/>
    <row r="381" ht="12.75" customHeight="1" x14ac:dyDescent="0.25"/>
    <row r="382" ht="12.75" customHeight="1" x14ac:dyDescent="0.25"/>
    <row r="383" ht="12.75" customHeight="1" x14ac:dyDescent="0.25"/>
    <row r="384" ht="12.75" customHeight="1" x14ac:dyDescent="0.25"/>
    <row r="385" ht="12.75" customHeight="1" x14ac:dyDescent="0.25"/>
    <row r="386" ht="12.75" customHeight="1" x14ac:dyDescent="0.25"/>
    <row r="387" ht="12.75" customHeight="1" x14ac:dyDescent="0.25"/>
    <row r="388" ht="12.75" customHeight="1" x14ac:dyDescent="0.25"/>
    <row r="389" ht="12.75" customHeight="1" x14ac:dyDescent="0.25"/>
    <row r="390" ht="12.75" customHeight="1" x14ac:dyDescent="0.25"/>
    <row r="391" ht="12.75" customHeight="1" x14ac:dyDescent="0.25"/>
    <row r="392" ht="12.75" customHeight="1" x14ac:dyDescent="0.25"/>
    <row r="393" ht="12.75" customHeight="1" x14ac:dyDescent="0.25"/>
    <row r="394" ht="12.75" customHeight="1" x14ac:dyDescent="0.25"/>
    <row r="395" ht="12.75" customHeight="1" x14ac:dyDescent="0.25"/>
    <row r="396" ht="12.75" customHeight="1" x14ac:dyDescent="0.25"/>
    <row r="397" ht="12.75" customHeight="1" x14ac:dyDescent="0.25"/>
    <row r="398" ht="12.75" customHeight="1" x14ac:dyDescent="0.25"/>
    <row r="399" ht="12.75" customHeight="1" x14ac:dyDescent="0.25"/>
    <row r="400" ht="12.75" customHeight="1" x14ac:dyDescent="0.25"/>
    <row r="401" ht="12.75" customHeight="1" x14ac:dyDescent="0.25"/>
    <row r="402" ht="12.75" customHeight="1" x14ac:dyDescent="0.25"/>
    <row r="403" ht="12.75" customHeight="1" x14ac:dyDescent="0.25"/>
    <row r="404" ht="12.75" customHeight="1" x14ac:dyDescent="0.25"/>
    <row r="405" ht="12.75" customHeight="1" x14ac:dyDescent="0.25"/>
    <row r="406" ht="12.75" customHeight="1" x14ac:dyDescent="0.25"/>
    <row r="407" ht="12.75" customHeight="1" x14ac:dyDescent="0.25"/>
    <row r="408" ht="12.75" customHeight="1" x14ac:dyDescent="0.25"/>
    <row r="409" ht="12.75" customHeight="1" x14ac:dyDescent="0.25"/>
    <row r="410" ht="12.75" customHeight="1" x14ac:dyDescent="0.25"/>
    <row r="411" ht="12.75" customHeight="1" x14ac:dyDescent="0.25"/>
    <row r="412" ht="12.75" customHeight="1" x14ac:dyDescent="0.25"/>
    <row r="413" ht="12.75" customHeight="1" x14ac:dyDescent="0.25"/>
    <row r="414" ht="12.75" customHeight="1" x14ac:dyDescent="0.25"/>
    <row r="415" ht="12.75" customHeight="1" x14ac:dyDescent="0.25"/>
    <row r="416" ht="12.75" customHeight="1" x14ac:dyDescent="0.25"/>
    <row r="417" ht="12.75" customHeight="1" x14ac:dyDescent="0.25"/>
    <row r="418" ht="12.75" customHeight="1" x14ac:dyDescent="0.25"/>
    <row r="419" ht="12.75" customHeight="1" x14ac:dyDescent="0.25"/>
    <row r="420" ht="12.75" customHeight="1" x14ac:dyDescent="0.25"/>
    <row r="421" ht="12.75" customHeight="1" x14ac:dyDescent="0.25"/>
    <row r="422" ht="12.75" customHeight="1" x14ac:dyDescent="0.25"/>
    <row r="423" ht="12.75" customHeight="1" x14ac:dyDescent="0.25"/>
    <row r="424" ht="12.75" customHeight="1" x14ac:dyDescent="0.25"/>
    <row r="425" ht="12.75" customHeight="1" x14ac:dyDescent="0.25"/>
    <row r="426" ht="12.75" customHeight="1" x14ac:dyDescent="0.25"/>
    <row r="427" ht="12.75" customHeight="1" x14ac:dyDescent="0.25"/>
    <row r="428" ht="12.75" customHeight="1" x14ac:dyDescent="0.25"/>
    <row r="429" ht="12.75" customHeight="1" x14ac:dyDescent="0.25"/>
    <row r="430" ht="12.75" customHeight="1" x14ac:dyDescent="0.25"/>
    <row r="431" ht="12.75" customHeight="1" x14ac:dyDescent="0.25"/>
    <row r="432" ht="12.75" customHeight="1" x14ac:dyDescent="0.25"/>
    <row r="433" ht="12.75" customHeight="1" x14ac:dyDescent="0.25"/>
    <row r="434" ht="12.75" customHeight="1" x14ac:dyDescent="0.25"/>
    <row r="435" ht="12.75" customHeight="1" x14ac:dyDescent="0.25"/>
    <row r="436" ht="12.75" customHeight="1" x14ac:dyDescent="0.25"/>
    <row r="437" ht="12.75" customHeight="1" x14ac:dyDescent="0.25"/>
    <row r="438" ht="12.75" customHeight="1" x14ac:dyDescent="0.25"/>
    <row r="439" ht="12.75" customHeight="1" x14ac:dyDescent="0.25"/>
    <row r="440" ht="12.75" customHeight="1" x14ac:dyDescent="0.25"/>
    <row r="441" ht="12.75" customHeight="1" x14ac:dyDescent="0.25"/>
    <row r="442" ht="12.75" customHeight="1" x14ac:dyDescent="0.25"/>
    <row r="443" ht="12.75" customHeight="1" x14ac:dyDescent="0.25"/>
    <row r="444" ht="12.75" customHeight="1" x14ac:dyDescent="0.25"/>
    <row r="445" ht="12.75" customHeight="1" x14ac:dyDescent="0.25"/>
    <row r="446" ht="12.75" customHeight="1" x14ac:dyDescent="0.25"/>
    <row r="447" ht="12.75" customHeight="1" x14ac:dyDescent="0.25"/>
    <row r="448" ht="12.75" customHeight="1" x14ac:dyDescent="0.25"/>
    <row r="449" ht="12.75" customHeight="1" x14ac:dyDescent="0.25"/>
    <row r="450" ht="12.75" customHeight="1" x14ac:dyDescent="0.25"/>
    <row r="451" ht="12.75" customHeight="1" x14ac:dyDescent="0.25"/>
    <row r="452" ht="12.75" customHeight="1" x14ac:dyDescent="0.25"/>
    <row r="453" ht="12.75" customHeight="1" x14ac:dyDescent="0.25"/>
    <row r="454" ht="12.75" customHeight="1" x14ac:dyDescent="0.25"/>
    <row r="455" ht="12.75" customHeight="1" x14ac:dyDescent="0.25"/>
    <row r="456" ht="12.75" customHeight="1" x14ac:dyDescent="0.25"/>
    <row r="457" ht="12.75" customHeight="1" x14ac:dyDescent="0.25"/>
    <row r="458" ht="12.75" customHeight="1" x14ac:dyDescent="0.25"/>
    <row r="459" ht="12.75" customHeight="1" x14ac:dyDescent="0.25"/>
    <row r="460" ht="12.75" customHeight="1" x14ac:dyDescent="0.25"/>
    <row r="461" ht="12.75" customHeight="1" x14ac:dyDescent="0.25"/>
    <row r="462" ht="12.75" customHeight="1" x14ac:dyDescent="0.25"/>
    <row r="463" ht="12.75" customHeight="1" x14ac:dyDescent="0.25"/>
    <row r="464" ht="12.75" customHeight="1" x14ac:dyDescent="0.25"/>
    <row r="465" ht="12.75" customHeight="1" x14ac:dyDescent="0.25"/>
    <row r="466" ht="12.75" customHeight="1" x14ac:dyDescent="0.25"/>
    <row r="467" ht="12.75" customHeight="1" x14ac:dyDescent="0.25"/>
    <row r="468" ht="12.75" customHeight="1" x14ac:dyDescent="0.25"/>
    <row r="469" ht="12.75" customHeight="1" x14ac:dyDescent="0.25"/>
    <row r="470" ht="12.75" customHeight="1" x14ac:dyDescent="0.25"/>
    <row r="471" ht="12.75" customHeight="1" x14ac:dyDescent="0.25"/>
    <row r="472" ht="12.75" customHeight="1" x14ac:dyDescent="0.25"/>
    <row r="473" ht="12.75" customHeight="1" x14ac:dyDescent="0.25"/>
    <row r="474" ht="12.75" customHeight="1" x14ac:dyDescent="0.25"/>
    <row r="475" ht="12.75" customHeight="1" x14ac:dyDescent="0.25"/>
    <row r="476" ht="12.75" customHeight="1" x14ac:dyDescent="0.25"/>
    <row r="477" ht="12.75" customHeight="1" x14ac:dyDescent="0.25"/>
    <row r="478" ht="12.75" customHeight="1" x14ac:dyDescent="0.25"/>
    <row r="479" ht="12.75" customHeight="1" x14ac:dyDescent="0.25"/>
    <row r="480" ht="12.75" customHeight="1" x14ac:dyDescent="0.25"/>
    <row r="481" ht="12.75" customHeight="1" x14ac:dyDescent="0.25"/>
    <row r="482" ht="12.75" customHeight="1" x14ac:dyDescent="0.25"/>
    <row r="483" ht="12.75" customHeight="1" x14ac:dyDescent="0.25"/>
    <row r="484" ht="12.75" customHeight="1" x14ac:dyDescent="0.25"/>
    <row r="485" ht="12.75" customHeight="1" x14ac:dyDescent="0.25"/>
    <row r="486" ht="12.75" customHeight="1" x14ac:dyDescent="0.25"/>
    <row r="487" ht="12.75" customHeight="1" x14ac:dyDescent="0.25"/>
    <row r="488" ht="12.75" customHeight="1" x14ac:dyDescent="0.25"/>
    <row r="489" ht="12.75" customHeight="1" x14ac:dyDescent="0.25"/>
    <row r="490" ht="12.75" customHeight="1" x14ac:dyDescent="0.25"/>
    <row r="491" ht="12.75" customHeight="1" x14ac:dyDescent="0.25"/>
    <row r="492" ht="12.75" customHeight="1" x14ac:dyDescent="0.25"/>
    <row r="493" ht="12.75" customHeight="1" x14ac:dyDescent="0.25"/>
    <row r="494" ht="12.75" customHeight="1" x14ac:dyDescent="0.25"/>
    <row r="495" ht="12.75" customHeight="1" x14ac:dyDescent="0.25"/>
    <row r="496" ht="12.75" customHeight="1" x14ac:dyDescent="0.25"/>
    <row r="497" ht="12.75" customHeight="1" x14ac:dyDescent="0.25"/>
    <row r="498" ht="12.75" customHeight="1" x14ac:dyDescent="0.25"/>
    <row r="499" ht="12.75" customHeight="1" x14ac:dyDescent="0.25"/>
    <row r="500" ht="12.75" customHeight="1" x14ac:dyDescent="0.25"/>
    <row r="501" ht="12.75" customHeight="1" x14ac:dyDescent="0.25"/>
    <row r="502" ht="12.75" customHeight="1" x14ac:dyDescent="0.25"/>
    <row r="503" ht="12.75" customHeight="1" x14ac:dyDescent="0.25"/>
    <row r="504" ht="12.75" customHeight="1" x14ac:dyDescent="0.25"/>
    <row r="505" ht="12.75" customHeight="1" x14ac:dyDescent="0.25"/>
    <row r="506" ht="12.75" customHeight="1" x14ac:dyDescent="0.25"/>
    <row r="507" ht="12.75" customHeight="1" x14ac:dyDescent="0.25"/>
    <row r="508" ht="12.75" customHeight="1" x14ac:dyDescent="0.25"/>
    <row r="509" ht="12.75" customHeight="1" x14ac:dyDescent="0.25"/>
    <row r="510" ht="12.75" customHeight="1" x14ac:dyDescent="0.25"/>
    <row r="511" ht="12.75" customHeight="1" x14ac:dyDescent="0.25"/>
    <row r="512" ht="12.75" customHeight="1" x14ac:dyDescent="0.25"/>
    <row r="513" ht="12.75" customHeight="1" x14ac:dyDescent="0.25"/>
    <row r="514" ht="12.75" customHeight="1" x14ac:dyDescent="0.25"/>
    <row r="515" ht="12.75" customHeight="1" x14ac:dyDescent="0.25"/>
    <row r="516" ht="12.75" customHeight="1" x14ac:dyDescent="0.25"/>
    <row r="517" ht="12.75" customHeight="1" x14ac:dyDescent="0.25"/>
    <row r="518" ht="12.75" customHeight="1" x14ac:dyDescent="0.25"/>
    <row r="519" ht="12.75" customHeight="1" x14ac:dyDescent="0.25"/>
    <row r="520" ht="12.75" customHeight="1" x14ac:dyDescent="0.25"/>
    <row r="521" ht="12.75" customHeight="1" x14ac:dyDescent="0.25"/>
    <row r="522" ht="12.75" customHeight="1" x14ac:dyDescent="0.25"/>
    <row r="523" ht="12.75" customHeight="1" x14ac:dyDescent="0.25"/>
    <row r="524" ht="12.75" customHeight="1" x14ac:dyDescent="0.25"/>
    <row r="525" ht="12.75" customHeight="1" x14ac:dyDescent="0.25"/>
    <row r="526" ht="12.75" customHeight="1" x14ac:dyDescent="0.25"/>
    <row r="527" ht="12.75" customHeight="1" x14ac:dyDescent="0.25"/>
    <row r="528" ht="12.75" customHeight="1" x14ac:dyDescent="0.25"/>
    <row r="529" ht="12.75" customHeight="1" x14ac:dyDescent="0.25"/>
    <row r="530" ht="12.75" customHeight="1" x14ac:dyDescent="0.25"/>
    <row r="531" ht="12.75" customHeight="1" x14ac:dyDescent="0.25"/>
    <row r="532" ht="12.75" customHeight="1" x14ac:dyDescent="0.25"/>
    <row r="533" ht="12.75" customHeight="1" x14ac:dyDescent="0.25"/>
    <row r="534" ht="12.75" customHeight="1" x14ac:dyDescent="0.25"/>
    <row r="535" ht="12.75" customHeight="1" x14ac:dyDescent="0.25"/>
    <row r="536" ht="12.75" customHeight="1" x14ac:dyDescent="0.25"/>
    <row r="537" ht="12.75" customHeight="1" x14ac:dyDescent="0.25"/>
    <row r="538" ht="12.75" customHeight="1" x14ac:dyDescent="0.25"/>
    <row r="539" ht="12.75" customHeight="1" x14ac:dyDescent="0.25"/>
    <row r="540" ht="12.75" customHeight="1" x14ac:dyDescent="0.25"/>
    <row r="541" ht="12.75" customHeight="1" x14ac:dyDescent="0.25"/>
    <row r="542" ht="12.75" customHeight="1" x14ac:dyDescent="0.25"/>
    <row r="543" ht="12.75" customHeight="1" x14ac:dyDescent="0.25"/>
    <row r="544" ht="12.75" customHeight="1" x14ac:dyDescent="0.25"/>
    <row r="545" ht="12.75" customHeight="1" x14ac:dyDescent="0.25"/>
    <row r="546" ht="12.75" customHeight="1" x14ac:dyDescent="0.25"/>
    <row r="547" ht="12.75" customHeight="1" x14ac:dyDescent="0.25"/>
    <row r="548" ht="12.75" customHeight="1" x14ac:dyDescent="0.25"/>
    <row r="549" ht="12.75" customHeight="1" x14ac:dyDescent="0.25"/>
    <row r="550" ht="12.75" customHeight="1" x14ac:dyDescent="0.25"/>
    <row r="551" ht="12.75" customHeight="1" x14ac:dyDescent="0.25"/>
    <row r="552" ht="12.75" customHeight="1" x14ac:dyDescent="0.25"/>
    <row r="553" ht="12.75" customHeight="1" x14ac:dyDescent="0.25"/>
    <row r="554" ht="12.75" customHeight="1" x14ac:dyDescent="0.25"/>
    <row r="555" ht="12.75" customHeight="1" x14ac:dyDescent="0.25"/>
    <row r="556" ht="12.75" customHeight="1" x14ac:dyDescent="0.25"/>
    <row r="557" ht="12.75" customHeight="1" x14ac:dyDescent="0.25"/>
    <row r="558" ht="12.75" customHeight="1" x14ac:dyDescent="0.25"/>
    <row r="559" ht="12.75" customHeight="1" x14ac:dyDescent="0.25"/>
    <row r="560" ht="12.75" customHeight="1" x14ac:dyDescent="0.25"/>
    <row r="561" ht="12.75" customHeight="1" x14ac:dyDescent="0.25"/>
    <row r="562" ht="12.75" customHeight="1" x14ac:dyDescent="0.25"/>
    <row r="563" ht="12.75" customHeight="1" x14ac:dyDescent="0.25"/>
    <row r="564" ht="12.75" customHeight="1" x14ac:dyDescent="0.25"/>
    <row r="565" ht="12.75" customHeight="1" x14ac:dyDescent="0.25"/>
    <row r="566" ht="12.75" customHeight="1" x14ac:dyDescent="0.25"/>
    <row r="567" ht="12.75" customHeight="1" x14ac:dyDescent="0.25"/>
    <row r="568" ht="12.75" customHeight="1" x14ac:dyDescent="0.25"/>
    <row r="569" ht="12.75" customHeight="1" x14ac:dyDescent="0.25"/>
    <row r="570" ht="12.75" customHeight="1" x14ac:dyDescent="0.25"/>
    <row r="571" ht="12.75" customHeight="1" x14ac:dyDescent="0.25"/>
    <row r="572" ht="12.75" customHeight="1" x14ac:dyDescent="0.25"/>
    <row r="573" ht="12.75" customHeight="1" x14ac:dyDescent="0.25"/>
    <row r="574" ht="12.75" customHeight="1" x14ac:dyDescent="0.25"/>
    <row r="575" ht="12.75" customHeight="1" x14ac:dyDescent="0.25"/>
    <row r="576" ht="12.75" customHeight="1" x14ac:dyDescent="0.25"/>
    <row r="577" ht="12.75" customHeight="1" x14ac:dyDescent="0.25"/>
    <row r="578" ht="12.75" customHeight="1" x14ac:dyDescent="0.25"/>
    <row r="579" ht="12.75" customHeight="1" x14ac:dyDescent="0.25"/>
    <row r="580" ht="12.75" customHeight="1" x14ac:dyDescent="0.25"/>
    <row r="581" ht="12.75" customHeight="1" x14ac:dyDescent="0.25"/>
    <row r="582" ht="12.75" customHeight="1" x14ac:dyDescent="0.25"/>
    <row r="583" ht="12.75" customHeight="1" x14ac:dyDescent="0.25"/>
    <row r="584" ht="12.75" customHeight="1" x14ac:dyDescent="0.25"/>
    <row r="585" ht="12.75" customHeight="1" x14ac:dyDescent="0.25"/>
    <row r="586" ht="12.75" customHeight="1" x14ac:dyDescent="0.25"/>
    <row r="587" ht="12.75" customHeight="1" x14ac:dyDescent="0.25"/>
    <row r="588" ht="12.75" customHeight="1" x14ac:dyDescent="0.25"/>
    <row r="589" ht="12.75" customHeight="1" x14ac:dyDescent="0.25"/>
    <row r="590" ht="12.75" customHeight="1" x14ac:dyDescent="0.25"/>
    <row r="591" ht="12.75" customHeight="1" x14ac:dyDescent="0.25"/>
    <row r="592" ht="12.75" customHeight="1" x14ac:dyDescent="0.25"/>
    <row r="593" ht="12.75" customHeight="1" x14ac:dyDescent="0.25"/>
    <row r="594" ht="12.75" customHeight="1" x14ac:dyDescent="0.25"/>
    <row r="595" ht="12.75" customHeight="1" x14ac:dyDescent="0.25"/>
    <row r="596" ht="12.75" customHeight="1" x14ac:dyDescent="0.25"/>
    <row r="597" ht="12.75" customHeight="1" x14ac:dyDescent="0.25"/>
    <row r="598" ht="12.75" customHeight="1" x14ac:dyDescent="0.25"/>
    <row r="599" ht="12.75" customHeight="1" x14ac:dyDescent="0.25"/>
    <row r="600" ht="12.75" customHeight="1" x14ac:dyDescent="0.25"/>
    <row r="601" ht="12.75" customHeight="1" x14ac:dyDescent="0.25"/>
    <row r="602" ht="12.75" customHeight="1" x14ac:dyDescent="0.25"/>
    <row r="603" ht="12.75" customHeight="1" x14ac:dyDescent="0.25"/>
    <row r="604" ht="12.75" customHeight="1" x14ac:dyDescent="0.25"/>
    <row r="605" ht="12.75" customHeight="1" x14ac:dyDescent="0.25"/>
    <row r="606" ht="12.75" customHeight="1" x14ac:dyDescent="0.25"/>
    <row r="607" ht="12.75" customHeight="1" x14ac:dyDescent="0.25"/>
    <row r="608" ht="12.75" customHeight="1" x14ac:dyDescent="0.25"/>
    <row r="609" ht="12.75" customHeight="1" x14ac:dyDescent="0.25"/>
    <row r="610" ht="12.75" customHeight="1" x14ac:dyDescent="0.25"/>
    <row r="611" ht="12.75" customHeight="1" x14ac:dyDescent="0.25"/>
    <row r="612" ht="12.75" customHeight="1" x14ac:dyDescent="0.25"/>
    <row r="613" ht="12.75" customHeight="1" x14ac:dyDescent="0.25"/>
    <row r="614" ht="12.75" customHeight="1" x14ac:dyDescent="0.25"/>
    <row r="615" ht="12.75" customHeight="1" x14ac:dyDescent="0.25"/>
    <row r="616" ht="12.75" customHeight="1" x14ac:dyDescent="0.25"/>
    <row r="617" ht="12.75" customHeight="1" x14ac:dyDescent="0.25"/>
    <row r="618" ht="12.75" customHeight="1" x14ac:dyDescent="0.25"/>
    <row r="619" ht="12.75" customHeight="1" x14ac:dyDescent="0.25"/>
    <row r="620" ht="12.75" customHeight="1" x14ac:dyDescent="0.25"/>
    <row r="621" ht="12.75" customHeight="1" x14ac:dyDescent="0.25"/>
    <row r="622" ht="12.75" customHeight="1" x14ac:dyDescent="0.25"/>
    <row r="623" ht="12.75" customHeight="1" x14ac:dyDescent="0.25"/>
    <row r="624" ht="12.75" customHeight="1" x14ac:dyDescent="0.25"/>
    <row r="625" ht="12.75" customHeight="1" x14ac:dyDescent="0.25"/>
    <row r="626" ht="12.75" customHeight="1" x14ac:dyDescent="0.25"/>
    <row r="627" ht="12.75" customHeight="1" x14ac:dyDescent="0.25"/>
    <row r="628" ht="12.75" customHeight="1" x14ac:dyDescent="0.25"/>
    <row r="629" ht="12.75" customHeight="1" x14ac:dyDescent="0.25"/>
    <row r="630" ht="12.75" customHeight="1" x14ac:dyDescent="0.25"/>
    <row r="631" ht="12.75" customHeight="1" x14ac:dyDescent="0.25"/>
    <row r="632" ht="12.75" customHeight="1" x14ac:dyDescent="0.25"/>
    <row r="633" ht="12.75" customHeight="1" x14ac:dyDescent="0.25"/>
    <row r="634" ht="12.75" customHeight="1" x14ac:dyDescent="0.25"/>
    <row r="635" ht="12.75" customHeight="1" x14ac:dyDescent="0.25"/>
    <row r="636" ht="12.75" customHeight="1" x14ac:dyDescent="0.25"/>
    <row r="637" ht="12.75" customHeight="1" x14ac:dyDescent="0.25"/>
    <row r="638" ht="12.75" customHeight="1" x14ac:dyDescent="0.25"/>
    <row r="639" ht="12.75" customHeight="1" x14ac:dyDescent="0.25"/>
    <row r="640" ht="12.75" customHeight="1" x14ac:dyDescent="0.25"/>
    <row r="641" ht="12.75" customHeight="1" x14ac:dyDescent="0.25"/>
    <row r="642" ht="12.75" customHeight="1" x14ac:dyDescent="0.25"/>
    <row r="643" ht="12.75" customHeight="1" x14ac:dyDescent="0.25"/>
    <row r="644" ht="12.75" customHeight="1" x14ac:dyDescent="0.25"/>
    <row r="645" ht="12.75" customHeight="1" x14ac:dyDescent="0.25"/>
    <row r="646" ht="12.75" customHeight="1" x14ac:dyDescent="0.25"/>
    <row r="647" ht="12.75" customHeight="1" x14ac:dyDescent="0.25"/>
    <row r="648" ht="12.75" customHeight="1" x14ac:dyDescent="0.25"/>
    <row r="649" ht="12.75" customHeight="1" x14ac:dyDescent="0.25"/>
    <row r="650" ht="12.75" customHeight="1" x14ac:dyDescent="0.25"/>
    <row r="651" ht="12.75" customHeight="1" x14ac:dyDescent="0.25"/>
    <row r="652" ht="12.75" customHeight="1" x14ac:dyDescent="0.25"/>
    <row r="653" ht="12.75" customHeight="1" x14ac:dyDescent="0.25"/>
    <row r="654" ht="12.75" customHeight="1" x14ac:dyDescent="0.25"/>
    <row r="655" ht="12.75" customHeight="1" x14ac:dyDescent="0.25"/>
    <row r="656" ht="12.75" customHeight="1" x14ac:dyDescent="0.25"/>
    <row r="657" ht="12.75" customHeight="1" x14ac:dyDescent="0.25"/>
    <row r="658" ht="12.75" customHeight="1" x14ac:dyDescent="0.25"/>
    <row r="659" ht="12.75" customHeight="1" x14ac:dyDescent="0.25"/>
    <row r="660" ht="12.75" customHeight="1" x14ac:dyDescent="0.25"/>
    <row r="661" ht="12.75" customHeight="1" x14ac:dyDescent="0.25"/>
    <row r="662" ht="12.75" customHeight="1" x14ac:dyDescent="0.25"/>
    <row r="663" ht="12.75" customHeight="1" x14ac:dyDescent="0.25"/>
    <row r="664" ht="12.75" customHeight="1" x14ac:dyDescent="0.25"/>
    <row r="665" ht="12.75" customHeight="1" x14ac:dyDescent="0.25"/>
    <row r="666" ht="12.75" customHeight="1" x14ac:dyDescent="0.25"/>
    <row r="667" ht="12.75" customHeight="1" x14ac:dyDescent="0.25"/>
    <row r="668" ht="12.75" customHeight="1" x14ac:dyDescent="0.25"/>
    <row r="669" ht="12.75" customHeight="1" x14ac:dyDescent="0.25"/>
    <row r="670" ht="12.75" customHeight="1" x14ac:dyDescent="0.25"/>
    <row r="671" ht="12.75" customHeight="1" x14ac:dyDescent="0.25"/>
    <row r="672" ht="12.75" customHeight="1" x14ac:dyDescent="0.25"/>
    <row r="673" ht="12.75" customHeight="1" x14ac:dyDescent="0.25"/>
    <row r="674" ht="12.75" customHeight="1" x14ac:dyDescent="0.25"/>
    <row r="675" ht="12.75" customHeight="1" x14ac:dyDescent="0.25"/>
    <row r="676" ht="12.75" customHeight="1" x14ac:dyDescent="0.25"/>
    <row r="677" ht="12.75" customHeight="1" x14ac:dyDescent="0.25"/>
    <row r="678" ht="12.75" customHeight="1" x14ac:dyDescent="0.25"/>
    <row r="679" ht="12.75" customHeight="1" x14ac:dyDescent="0.25"/>
    <row r="680" ht="12.75" customHeight="1" x14ac:dyDescent="0.25"/>
    <row r="681" ht="12.75" customHeight="1" x14ac:dyDescent="0.25"/>
    <row r="682" ht="12.75" customHeight="1" x14ac:dyDescent="0.25"/>
    <row r="683" ht="12.75" customHeight="1" x14ac:dyDescent="0.25"/>
    <row r="684" ht="12.75" customHeight="1" x14ac:dyDescent="0.25"/>
    <row r="685" ht="12.75" customHeight="1" x14ac:dyDescent="0.25"/>
    <row r="686" ht="12.75" customHeight="1" x14ac:dyDescent="0.25"/>
    <row r="687" ht="12.75" customHeight="1" x14ac:dyDescent="0.25"/>
    <row r="688" ht="12.75" customHeight="1" x14ac:dyDescent="0.25"/>
    <row r="689" ht="12.75" customHeight="1" x14ac:dyDescent="0.25"/>
    <row r="690" ht="12.75" customHeight="1" x14ac:dyDescent="0.25"/>
    <row r="691" ht="12.75" customHeight="1" x14ac:dyDescent="0.25"/>
    <row r="692" ht="12.75" customHeight="1" x14ac:dyDescent="0.25"/>
    <row r="693" ht="12.75" customHeight="1" x14ac:dyDescent="0.25"/>
    <row r="694" ht="12.75" customHeight="1" x14ac:dyDescent="0.25"/>
    <row r="695" ht="12.75" customHeight="1" x14ac:dyDescent="0.25"/>
    <row r="696" ht="12.75" customHeight="1" x14ac:dyDescent="0.25"/>
    <row r="697" ht="12.75" customHeight="1" x14ac:dyDescent="0.25"/>
    <row r="698" ht="12.75" customHeight="1" x14ac:dyDescent="0.25"/>
    <row r="699" ht="12.75" customHeight="1" x14ac:dyDescent="0.25"/>
    <row r="700" ht="12.75" customHeight="1" x14ac:dyDescent="0.25"/>
    <row r="701" ht="12.75" customHeight="1" x14ac:dyDescent="0.25"/>
    <row r="702" ht="12.75" customHeight="1" x14ac:dyDescent="0.25"/>
    <row r="703" ht="12.75" customHeight="1" x14ac:dyDescent="0.25"/>
    <row r="704" ht="12.75" customHeight="1" x14ac:dyDescent="0.25"/>
    <row r="705" ht="12.75" customHeight="1" x14ac:dyDescent="0.25"/>
    <row r="706" ht="12.75" customHeight="1" x14ac:dyDescent="0.25"/>
    <row r="707" ht="12.75" customHeight="1" x14ac:dyDescent="0.25"/>
    <row r="708" ht="12.75" customHeight="1" x14ac:dyDescent="0.25"/>
    <row r="709" ht="12.75" customHeight="1" x14ac:dyDescent="0.25"/>
    <row r="710" ht="12.75" customHeight="1" x14ac:dyDescent="0.25"/>
    <row r="711" ht="12.75" customHeight="1" x14ac:dyDescent="0.25"/>
    <row r="712" ht="12.75" customHeight="1" x14ac:dyDescent="0.25"/>
    <row r="713" ht="12.75" customHeight="1" x14ac:dyDescent="0.25"/>
    <row r="714" ht="12.75" customHeight="1" x14ac:dyDescent="0.25"/>
    <row r="715" ht="12.75" customHeight="1" x14ac:dyDescent="0.25"/>
    <row r="716" ht="12.75" customHeight="1" x14ac:dyDescent="0.25"/>
    <row r="717" ht="12.75" customHeight="1" x14ac:dyDescent="0.25"/>
    <row r="718" ht="12.75" customHeight="1" x14ac:dyDescent="0.25"/>
    <row r="719" ht="12.75" customHeight="1" x14ac:dyDescent="0.25"/>
    <row r="720" ht="12.75" customHeight="1" x14ac:dyDescent="0.25"/>
    <row r="721" ht="12.75" customHeight="1" x14ac:dyDescent="0.25"/>
    <row r="722" ht="12.75" customHeight="1" x14ac:dyDescent="0.25"/>
    <row r="723" ht="12.75" customHeight="1" x14ac:dyDescent="0.25"/>
    <row r="724" ht="12.75" customHeight="1" x14ac:dyDescent="0.25"/>
    <row r="725" ht="12.75" customHeight="1" x14ac:dyDescent="0.25"/>
    <row r="726" ht="12.75" customHeight="1" x14ac:dyDescent="0.25"/>
    <row r="727" ht="12.75" customHeight="1" x14ac:dyDescent="0.25"/>
    <row r="728" ht="12.75" customHeight="1" x14ac:dyDescent="0.25"/>
    <row r="729" ht="12.75" customHeight="1" x14ac:dyDescent="0.25"/>
    <row r="730" ht="12.75" customHeight="1" x14ac:dyDescent="0.25"/>
    <row r="731" ht="12.75" customHeight="1" x14ac:dyDescent="0.25"/>
    <row r="732" ht="12.75" customHeight="1" x14ac:dyDescent="0.25"/>
    <row r="733" ht="12.75" customHeight="1" x14ac:dyDescent="0.25"/>
    <row r="734" ht="12.75" customHeight="1" x14ac:dyDescent="0.25"/>
    <row r="735" ht="12.75" customHeight="1" x14ac:dyDescent="0.25"/>
    <row r="736" ht="12.75" customHeight="1" x14ac:dyDescent="0.25"/>
    <row r="737" ht="12.75" customHeight="1" x14ac:dyDescent="0.25"/>
    <row r="738" ht="12.75" customHeight="1" x14ac:dyDescent="0.25"/>
    <row r="739" ht="12.75" customHeight="1" x14ac:dyDescent="0.25"/>
    <row r="740" ht="12.75" customHeight="1" x14ac:dyDescent="0.25"/>
    <row r="741" ht="12.75" customHeight="1" x14ac:dyDescent="0.25"/>
    <row r="742" ht="12.75" customHeight="1" x14ac:dyDescent="0.25"/>
    <row r="743" ht="12.75" customHeight="1" x14ac:dyDescent="0.25"/>
    <row r="744" ht="12.75" customHeight="1" x14ac:dyDescent="0.25"/>
    <row r="745" ht="12.75" customHeight="1" x14ac:dyDescent="0.25"/>
    <row r="746" ht="12.75" customHeight="1" x14ac:dyDescent="0.25"/>
    <row r="747" ht="12.75" customHeight="1" x14ac:dyDescent="0.25"/>
    <row r="748" ht="12.75" customHeight="1" x14ac:dyDescent="0.25"/>
    <row r="749" ht="12.75" customHeight="1" x14ac:dyDescent="0.25"/>
    <row r="750" ht="12.75" customHeight="1" x14ac:dyDescent="0.25"/>
    <row r="751" ht="12.75" customHeight="1" x14ac:dyDescent="0.25"/>
    <row r="752" ht="12.75" customHeight="1" x14ac:dyDescent="0.25"/>
    <row r="753" ht="12.75" customHeight="1" x14ac:dyDescent="0.25"/>
    <row r="754" ht="12.75" customHeight="1" x14ac:dyDescent="0.25"/>
    <row r="755" ht="12.75" customHeight="1" x14ac:dyDescent="0.25"/>
    <row r="756" ht="12.75" customHeight="1" x14ac:dyDescent="0.25"/>
    <row r="757" ht="12.75" customHeight="1" x14ac:dyDescent="0.25"/>
    <row r="758" ht="12.75" customHeight="1" x14ac:dyDescent="0.25"/>
    <row r="759" ht="12.75" customHeight="1" x14ac:dyDescent="0.25"/>
    <row r="760" ht="12.75" customHeight="1" x14ac:dyDescent="0.25"/>
    <row r="761" ht="12.75" customHeight="1" x14ac:dyDescent="0.25"/>
    <row r="762" ht="12.75" customHeight="1" x14ac:dyDescent="0.25"/>
    <row r="763" ht="12.75" customHeight="1" x14ac:dyDescent="0.25"/>
    <row r="764" ht="12.75" customHeight="1" x14ac:dyDescent="0.25"/>
    <row r="765" ht="12.75" customHeight="1" x14ac:dyDescent="0.25"/>
    <row r="766" ht="12.75" customHeight="1" x14ac:dyDescent="0.25"/>
    <row r="767" ht="12.75" customHeight="1" x14ac:dyDescent="0.25"/>
    <row r="768" ht="12.75" customHeight="1" x14ac:dyDescent="0.25"/>
    <row r="769" ht="12.75" customHeight="1" x14ac:dyDescent="0.25"/>
    <row r="770" ht="12.75" customHeight="1" x14ac:dyDescent="0.25"/>
    <row r="771" ht="12.75" customHeight="1" x14ac:dyDescent="0.25"/>
    <row r="772" ht="12.75" customHeight="1" x14ac:dyDescent="0.25"/>
    <row r="773" ht="12.75" customHeight="1" x14ac:dyDescent="0.25"/>
    <row r="774" ht="12.75" customHeight="1" x14ac:dyDescent="0.25"/>
    <row r="775" ht="12.75" customHeight="1" x14ac:dyDescent="0.25"/>
    <row r="776" ht="12.75" customHeight="1" x14ac:dyDescent="0.25"/>
    <row r="777" ht="12.75" customHeight="1" x14ac:dyDescent="0.25"/>
    <row r="778" ht="12.75" customHeight="1" x14ac:dyDescent="0.25"/>
    <row r="779" ht="12.75" customHeight="1" x14ac:dyDescent="0.25"/>
    <row r="780" ht="12.75" customHeight="1" x14ac:dyDescent="0.25"/>
    <row r="781" ht="12.75" customHeight="1" x14ac:dyDescent="0.25"/>
    <row r="782" ht="12.75" customHeight="1" x14ac:dyDescent="0.25"/>
    <row r="783" ht="12.75" customHeight="1" x14ac:dyDescent="0.25"/>
    <row r="784" ht="12.75" customHeight="1" x14ac:dyDescent="0.25"/>
    <row r="785" ht="12.75" customHeight="1" x14ac:dyDescent="0.25"/>
    <row r="786" ht="12.75" customHeight="1" x14ac:dyDescent="0.25"/>
    <row r="787" ht="12.75" customHeight="1" x14ac:dyDescent="0.25"/>
    <row r="788" ht="12.75" customHeight="1" x14ac:dyDescent="0.25"/>
    <row r="789" ht="12.75" customHeight="1" x14ac:dyDescent="0.25"/>
    <row r="790" ht="12.75" customHeight="1" x14ac:dyDescent="0.25"/>
    <row r="791" ht="12.75" customHeight="1" x14ac:dyDescent="0.25"/>
    <row r="792" ht="12.75" customHeight="1" x14ac:dyDescent="0.25"/>
    <row r="793" ht="12.75" customHeight="1" x14ac:dyDescent="0.25"/>
    <row r="794" ht="12.75" customHeight="1" x14ac:dyDescent="0.25"/>
    <row r="795" ht="12.75" customHeight="1" x14ac:dyDescent="0.25"/>
    <row r="796" ht="12.75" customHeight="1" x14ac:dyDescent="0.25"/>
    <row r="797" ht="12.75" customHeight="1" x14ac:dyDescent="0.25"/>
    <row r="798" ht="12.75" customHeight="1" x14ac:dyDescent="0.25"/>
    <row r="799" ht="12.75" customHeight="1" x14ac:dyDescent="0.25"/>
    <row r="800" ht="12.75" customHeight="1" x14ac:dyDescent="0.25"/>
    <row r="801" ht="12.75" customHeight="1" x14ac:dyDescent="0.25"/>
    <row r="802" ht="12.75" customHeight="1" x14ac:dyDescent="0.25"/>
    <row r="803" ht="12.75" customHeight="1" x14ac:dyDescent="0.25"/>
    <row r="804" ht="12.75" customHeight="1" x14ac:dyDescent="0.25"/>
    <row r="805" ht="12.75" customHeight="1" x14ac:dyDescent="0.25"/>
    <row r="806" ht="12.75" customHeight="1" x14ac:dyDescent="0.25"/>
    <row r="807" ht="12.75" customHeight="1" x14ac:dyDescent="0.25"/>
    <row r="808" ht="12.75" customHeight="1" x14ac:dyDescent="0.25"/>
    <row r="809" ht="12.75" customHeight="1" x14ac:dyDescent="0.25"/>
    <row r="810" ht="12.75" customHeight="1" x14ac:dyDescent="0.25"/>
    <row r="811" ht="12.75" customHeight="1" x14ac:dyDescent="0.25"/>
    <row r="812" ht="12.75" customHeight="1" x14ac:dyDescent="0.25"/>
    <row r="813" ht="12.75" customHeight="1" x14ac:dyDescent="0.25"/>
    <row r="814" ht="12.75" customHeight="1" x14ac:dyDescent="0.25"/>
    <row r="815" ht="12.75" customHeight="1" x14ac:dyDescent="0.25"/>
    <row r="816" ht="12.75" customHeight="1" x14ac:dyDescent="0.25"/>
    <row r="817" ht="12.75" customHeight="1" x14ac:dyDescent="0.25"/>
    <row r="818" ht="12.75" customHeight="1" x14ac:dyDescent="0.25"/>
    <row r="819" ht="12.75" customHeight="1" x14ac:dyDescent="0.25"/>
    <row r="820" ht="12.75" customHeight="1" x14ac:dyDescent="0.25"/>
    <row r="821" ht="12.75" customHeight="1" x14ac:dyDescent="0.25"/>
    <row r="822" ht="12.75" customHeight="1" x14ac:dyDescent="0.25"/>
    <row r="823" ht="12.75" customHeight="1" x14ac:dyDescent="0.25"/>
    <row r="824" ht="12.75" customHeight="1" x14ac:dyDescent="0.25"/>
    <row r="825" ht="12.75" customHeight="1" x14ac:dyDescent="0.25"/>
    <row r="826" ht="12.75" customHeight="1" x14ac:dyDescent="0.25"/>
    <row r="827" ht="12.75" customHeight="1" x14ac:dyDescent="0.25"/>
    <row r="828" ht="12.75" customHeight="1" x14ac:dyDescent="0.25"/>
    <row r="829" ht="12.75" customHeight="1" x14ac:dyDescent="0.25"/>
    <row r="830" ht="12.75" customHeight="1" x14ac:dyDescent="0.25"/>
    <row r="831" ht="12.75" customHeight="1" x14ac:dyDescent="0.25"/>
    <row r="832" ht="12.75" customHeight="1" x14ac:dyDescent="0.25"/>
    <row r="833" ht="12.75" customHeight="1" x14ac:dyDescent="0.25"/>
    <row r="834" ht="12.75" customHeight="1" x14ac:dyDescent="0.25"/>
    <row r="835" ht="12.75" customHeight="1" x14ac:dyDescent="0.25"/>
    <row r="836" ht="12.75" customHeight="1" x14ac:dyDescent="0.25"/>
    <row r="837" ht="12.75" customHeight="1" x14ac:dyDescent="0.25"/>
    <row r="838" ht="12.75" customHeight="1" x14ac:dyDescent="0.25"/>
    <row r="839" ht="12.75" customHeight="1" x14ac:dyDescent="0.25"/>
    <row r="840" ht="12.75" customHeight="1" x14ac:dyDescent="0.25"/>
    <row r="841" ht="12.75" customHeight="1" x14ac:dyDescent="0.25"/>
    <row r="842" ht="12.75" customHeight="1" x14ac:dyDescent="0.25"/>
    <row r="843" ht="12.75" customHeight="1" x14ac:dyDescent="0.25"/>
    <row r="844" ht="12.75" customHeight="1" x14ac:dyDescent="0.25"/>
    <row r="845" ht="12.75" customHeight="1" x14ac:dyDescent="0.25"/>
    <row r="846" ht="12.75" customHeight="1" x14ac:dyDescent="0.25"/>
    <row r="847" ht="12.75" customHeight="1" x14ac:dyDescent="0.25"/>
    <row r="848" ht="12.75" customHeight="1" x14ac:dyDescent="0.25"/>
    <row r="849" ht="12.75" customHeight="1" x14ac:dyDescent="0.25"/>
    <row r="850" ht="12.75" customHeight="1" x14ac:dyDescent="0.25"/>
    <row r="851" ht="12.75" customHeight="1" x14ac:dyDescent="0.25"/>
    <row r="852" ht="12.75" customHeight="1" x14ac:dyDescent="0.25"/>
    <row r="853" ht="12.75" customHeight="1" x14ac:dyDescent="0.25"/>
    <row r="854" ht="12.75" customHeight="1" x14ac:dyDescent="0.25"/>
    <row r="855" ht="12.75" customHeight="1" x14ac:dyDescent="0.25"/>
    <row r="856" ht="12.75" customHeight="1" x14ac:dyDescent="0.25"/>
    <row r="857" ht="12.75" customHeight="1" x14ac:dyDescent="0.25"/>
    <row r="858" ht="12.75" customHeight="1" x14ac:dyDescent="0.25"/>
    <row r="859" ht="12.75" customHeight="1" x14ac:dyDescent="0.25"/>
    <row r="860" ht="12.75" customHeight="1" x14ac:dyDescent="0.25"/>
    <row r="861" ht="12.75" customHeight="1" x14ac:dyDescent="0.25"/>
    <row r="862" ht="12.75" customHeight="1" x14ac:dyDescent="0.25"/>
    <row r="863" ht="12.75" customHeight="1" x14ac:dyDescent="0.25"/>
    <row r="864" ht="12.75" customHeight="1" x14ac:dyDescent="0.25"/>
    <row r="865" ht="12.75" customHeight="1" x14ac:dyDescent="0.25"/>
    <row r="866" ht="12.75" customHeight="1" x14ac:dyDescent="0.25"/>
    <row r="867" ht="12.75" customHeight="1" x14ac:dyDescent="0.25"/>
    <row r="868" ht="12.75" customHeight="1" x14ac:dyDescent="0.25"/>
    <row r="869" ht="12.75" customHeight="1" x14ac:dyDescent="0.25"/>
    <row r="870" ht="12.75" customHeight="1" x14ac:dyDescent="0.25"/>
    <row r="871" ht="12.75" customHeight="1" x14ac:dyDescent="0.25"/>
    <row r="872" ht="12.75" customHeight="1" x14ac:dyDescent="0.25"/>
    <row r="873" ht="12.75" customHeight="1" x14ac:dyDescent="0.25"/>
    <row r="874" ht="12.75" customHeight="1" x14ac:dyDescent="0.25"/>
    <row r="875" ht="12.75" customHeight="1" x14ac:dyDescent="0.25"/>
    <row r="876" ht="12.75" customHeight="1" x14ac:dyDescent="0.25"/>
    <row r="877" ht="12.75" customHeight="1" x14ac:dyDescent="0.25"/>
    <row r="878" ht="12.75" customHeight="1" x14ac:dyDescent="0.25"/>
    <row r="879" ht="12.75" customHeight="1" x14ac:dyDescent="0.25"/>
    <row r="880" ht="12.75" customHeight="1" x14ac:dyDescent="0.25"/>
    <row r="881" ht="12.75" customHeight="1" x14ac:dyDescent="0.25"/>
    <row r="882" ht="12.75" customHeight="1" x14ac:dyDescent="0.25"/>
    <row r="883" ht="12.75" customHeight="1" x14ac:dyDescent="0.25"/>
    <row r="884" ht="12.75" customHeight="1" x14ac:dyDescent="0.25"/>
    <row r="885" ht="12.75" customHeight="1" x14ac:dyDescent="0.25"/>
    <row r="886" ht="12.75" customHeight="1" x14ac:dyDescent="0.25"/>
    <row r="887" ht="12.75" customHeight="1" x14ac:dyDescent="0.25"/>
    <row r="888" ht="12.75" customHeight="1" x14ac:dyDescent="0.25"/>
    <row r="889" ht="12.75" customHeight="1" x14ac:dyDescent="0.25"/>
    <row r="890" ht="12.75" customHeight="1" x14ac:dyDescent="0.25"/>
    <row r="891" ht="12.75" customHeight="1" x14ac:dyDescent="0.25"/>
    <row r="892" ht="12.75" customHeight="1" x14ac:dyDescent="0.25"/>
    <row r="893" ht="12.75" customHeight="1" x14ac:dyDescent="0.25"/>
    <row r="894" ht="12.75" customHeight="1" x14ac:dyDescent="0.25"/>
    <row r="895" ht="12.75" customHeight="1" x14ac:dyDescent="0.25"/>
    <row r="896" ht="12.75" customHeight="1" x14ac:dyDescent="0.25"/>
    <row r="897" ht="12.75" customHeight="1" x14ac:dyDescent="0.25"/>
    <row r="898" ht="12.75" customHeight="1" x14ac:dyDescent="0.25"/>
    <row r="899" ht="12.75" customHeight="1" x14ac:dyDescent="0.25"/>
    <row r="900" ht="12.75" customHeight="1" x14ac:dyDescent="0.25"/>
    <row r="901" ht="12.75" customHeight="1" x14ac:dyDescent="0.25"/>
    <row r="902" ht="12.75" customHeight="1" x14ac:dyDescent="0.25"/>
    <row r="903" ht="12.75" customHeight="1" x14ac:dyDescent="0.25"/>
    <row r="904" ht="12.75" customHeight="1" x14ac:dyDescent="0.25"/>
    <row r="905" ht="12.75" customHeight="1" x14ac:dyDescent="0.25"/>
    <row r="906" ht="12.75" customHeight="1" x14ac:dyDescent="0.25"/>
    <row r="907" ht="12.75" customHeight="1" x14ac:dyDescent="0.25"/>
    <row r="908" ht="12.75" customHeight="1" x14ac:dyDescent="0.25"/>
    <row r="909" ht="12.75" customHeight="1" x14ac:dyDescent="0.25"/>
    <row r="910" ht="12.75" customHeight="1" x14ac:dyDescent="0.25"/>
    <row r="911" ht="12.75" customHeight="1" x14ac:dyDescent="0.25"/>
    <row r="912" ht="12.75" customHeight="1" x14ac:dyDescent="0.25"/>
    <row r="913" ht="12.75" customHeight="1" x14ac:dyDescent="0.25"/>
    <row r="914" ht="12.75" customHeight="1" x14ac:dyDescent="0.25"/>
    <row r="915" ht="12.75" customHeight="1" x14ac:dyDescent="0.25"/>
    <row r="916" ht="12.75" customHeight="1" x14ac:dyDescent="0.25"/>
    <row r="917" ht="12.75" customHeight="1" x14ac:dyDescent="0.25"/>
    <row r="918" ht="12.75" customHeight="1" x14ac:dyDescent="0.25"/>
    <row r="919" ht="12.75" customHeight="1" x14ac:dyDescent="0.25"/>
    <row r="920" ht="12.75" customHeight="1" x14ac:dyDescent="0.25"/>
    <row r="921" ht="12.75" customHeight="1" x14ac:dyDescent="0.25"/>
    <row r="922" ht="12.75" customHeight="1" x14ac:dyDescent="0.25"/>
    <row r="923" ht="12.75" customHeight="1" x14ac:dyDescent="0.25"/>
    <row r="924" ht="12.75" customHeight="1" x14ac:dyDescent="0.25"/>
    <row r="925" ht="12.75" customHeight="1" x14ac:dyDescent="0.25"/>
    <row r="926" ht="12.75" customHeight="1" x14ac:dyDescent="0.25"/>
    <row r="927" ht="12.75" customHeight="1" x14ac:dyDescent="0.25"/>
    <row r="928" ht="12.75" customHeight="1" x14ac:dyDescent="0.25"/>
    <row r="929" ht="12.75" customHeight="1" x14ac:dyDescent="0.25"/>
    <row r="930" ht="12.75" customHeight="1" x14ac:dyDescent="0.25"/>
    <row r="931" ht="12.75" customHeight="1" x14ac:dyDescent="0.25"/>
    <row r="932" ht="12.75" customHeight="1" x14ac:dyDescent="0.25"/>
    <row r="933" ht="12.75" customHeight="1" x14ac:dyDescent="0.25"/>
    <row r="934" ht="12.75" customHeight="1" x14ac:dyDescent="0.25"/>
    <row r="935" ht="12.75" customHeight="1" x14ac:dyDescent="0.25"/>
    <row r="936" ht="12.75" customHeight="1" x14ac:dyDescent="0.25"/>
    <row r="937" ht="12.75" customHeight="1" x14ac:dyDescent="0.25"/>
    <row r="938" ht="12.75" customHeight="1" x14ac:dyDescent="0.25"/>
    <row r="939" ht="12.75" customHeight="1" x14ac:dyDescent="0.25"/>
    <row r="940" ht="12.75" customHeight="1" x14ac:dyDescent="0.25"/>
    <row r="941" ht="12.75" customHeight="1" x14ac:dyDescent="0.25"/>
    <row r="942" ht="12.75" customHeight="1" x14ac:dyDescent="0.25"/>
    <row r="943" ht="12.75" customHeight="1" x14ac:dyDescent="0.25"/>
    <row r="944" ht="12.75" customHeight="1" x14ac:dyDescent="0.25"/>
    <row r="945" ht="12.75" customHeight="1" x14ac:dyDescent="0.25"/>
    <row r="946" ht="12.75" customHeight="1" x14ac:dyDescent="0.25"/>
    <row r="947" ht="12.75" customHeight="1" x14ac:dyDescent="0.25"/>
    <row r="948" ht="12.75" customHeight="1" x14ac:dyDescent="0.25"/>
    <row r="949" ht="12.75" customHeight="1" x14ac:dyDescent="0.25"/>
    <row r="950" ht="12.75" customHeight="1" x14ac:dyDescent="0.25"/>
    <row r="951" ht="12.75" customHeight="1" x14ac:dyDescent="0.25"/>
    <row r="952" ht="12.75" customHeight="1" x14ac:dyDescent="0.25"/>
    <row r="953" ht="12.75" customHeight="1" x14ac:dyDescent="0.25"/>
    <row r="954" ht="12.75" customHeight="1" x14ac:dyDescent="0.25"/>
    <row r="955" ht="12.75" customHeight="1" x14ac:dyDescent="0.25"/>
    <row r="956" ht="12.75" customHeight="1" x14ac:dyDescent="0.25"/>
    <row r="957" ht="12.75" customHeight="1" x14ac:dyDescent="0.25"/>
    <row r="958" ht="12.75" customHeight="1" x14ac:dyDescent="0.25"/>
    <row r="959" ht="12.75" customHeight="1" x14ac:dyDescent="0.25"/>
    <row r="960" ht="12.75" customHeight="1" x14ac:dyDescent="0.25"/>
    <row r="961" ht="12.75" customHeight="1" x14ac:dyDescent="0.25"/>
    <row r="962" ht="12.75" customHeight="1" x14ac:dyDescent="0.25"/>
    <row r="963" ht="12.75" customHeight="1" x14ac:dyDescent="0.25"/>
    <row r="964" ht="12.75" customHeight="1" x14ac:dyDescent="0.25"/>
    <row r="965" ht="12.75" customHeight="1" x14ac:dyDescent="0.25"/>
    <row r="966" ht="12.75" customHeight="1" x14ac:dyDescent="0.25"/>
    <row r="967" ht="12.75" customHeight="1" x14ac:dyDescent="0.25"/>
    <row r="968" ht="12.75" customHeight="1" x14ac:dyDescent="0.25"/>
    <row r="969" ht="12.75" customHeight="1" x14ac:dyDescent="0.25"/>
    <row r="970" ht="12.75" customHeight="1" x14ac:dyDescent="0.25"/>
    <row r="971" ht="12.75" customHeight="1" x14ac:dyDescent="0.25"/>
    <row r="972" ht="12.75" customHeight="1" x14ac:dyDescent="0.25"/>
    <row r="973" ht="12.75" customHeight="1" x14ac:dyDescent="0.25"/>
    <row r="974" ht="12.75" customHeight="1" x14ac:dyDescent="0.25"/>
    <row r="975" ht="12.75" customHeight="1" x14ac:dyDescent="0.25"/>
    <row r="976" ht="12.75" customHeight="1" x14ac:dyDescent="0.25"/>
    <row r="977" ht="12.75" customHeight="1" x14ac:dyDescent="0.25"/>
    <row r="978" ht="12.75" customHeight="1" x14ac:dyDescent="0.25"/>
    <row r="979" ht="12.75" customHeight="1" x14ac:dyDescent="0.25"/>
    <row r="980" ht="12.75" customHeight="1" x14ac:dyDescent="0.25"/>
    <row r="981" ht="12.75" customHeight="1" x14ac:dyDescent="0.25"/>
    <row r="982" ht="12.75" customHeight="1" x14ac:dyDescent="0.25"/>
    <row r="983" ht="12.75" customHeight="1" x14ac:dyDescent="0.25"/>
    <row r="984" ht="12.75" customHeight="1" x14ac:dyDescent="0.25"/>
    <row r="985" ht="12.75" customHeight="1" x14ac:dyDescent="0.25"/>
    <row r="986" ht="12.75" customHeight="1" x14ac:dyDescent="0.25"/>
    <row r="987" ht="12.75" customHeight="1" x14ac:dyDescent="0.25"/>
    <row r="988" ht="12.75" customHeight="1" x14ac:dyDescent="0.25"/>
    <row r="989" ht="12.75" customHeight="1" x14ac:dyDescent="0.25"/>
    <row r="990" ht="12.75" customHeight="1" x14ac:dyDescent="0.25"/>
    <row r="991" ht="12.75" customHeight="1" x14ac:dyDescent="0.25"/>
    <row r="992" ht="12.75" customHeight="1" x14ac:dyDescent="0.25"/>
    <row r="993" ht="12.75" customHeight="1" x14ac:dyDescent="0.25"/>
    <row r="994" ht="12.75" customHeight="1" x14ac:dyDescent="0.25"/>
    <row r="995" ht="12.75" customHeight="1" x14ac:dyDescent="0.25"/>
    <row r="996" ht="12.75" customHeight="1" x14ac:dyDescent="0.25"/>
    <row r="997" ht="12.75" customHeight="1" x14ac:dyDescent="0.25"/>
    <row r="998" ht="12.75" customHeight="1" x14ac:dyDescent="0.25"/>
    <row r="999" ht="12.75" customHeight="1" x14ac:dyDescent="0.25"/>
    <row r="1000" ht="12.75" customHeight="1" x14ac:dyDescent="0.25"/>
    <row r="1001" ht="12.75" customHeight="1" x14ac:dyDescent="0.25"/>
    <row r="1002" ht="12.75" customHeight="1" x14ac:dyDescent="0.25"/>
    <row r="1003" ht="12.75" customHeight="1" x14ac:dyDescent="0.25"/>
    <row r="1004" ht="12.75" customHeight="1" x14ac:dyDescent="0.25"/>
    <row r="1005" ht="12.75" customHeight="1" x14ac:dyDescent="0.25"/>
    <row r="1006" ht="12.75" customHeight="1" x14ac:dyDescent="0.25"/>
    <row r="1007" ht="12.75" customHeight="1" x14ac:dyDescent="0.25"/>
    <row r="1008" ht="12.75" customHeight="1" x14ac:dyDescent="0.25"/>
    <row r="1009" ht="12.75" customHeight="1" x14ac:dyDescent="0.25"/>
  </sheetData>
  <mergeCells count="44">
    <mergeCell ref="AB203:AC203"/>
    <mergeCell ref="A217:J217"/>
    <mergeCell ref="B219:N219"/>
    <mergeCell ref="P219:AA219"/>
    <mergeCell ref="AB220:AC220"/>
    <mergeCell ref="B186:N186"/>
    <mergeCell ref="P186:AA186"/>
    <mergeCell ref="AB187:AC187"/>
    <mergeCell ref="B202:N202"/>
    <mergeCell ref="P202:AA202"/>
    <mergeCell ref="A74:F74"/>
    <mergeCell ref="AB132:AC132"/>
    <mergeCell ref="P95:AA95"/>
    <mergeCell ref="B95:N95"/>
    <mergeCell ref="AB78:AC78"/>
    <mergeCell ref="P77:AA77"/>
    <mergeCell ref="B77:N77"/>
    <mergeCell ref="AB96:AC96"/>
    <mergeCell ref="B113:N113"/>
    <mergeCell ref="P113:AA113"/>
    <mergeCell ref="AB114:AC114"/>
    <mergeCell ref="B131:N131"/>
    <mergeCell ref="P131:AA131"/>
    <mergeCell ref="AB58:AC58"/>
    <mergeCell ref="AB22:AC22"/>
    <mergeCell ref="B39:N39"/>
    <mergeCell ref="P39:AA39"/>
    <mergeCell ref="AB40:AC40"/>
    <mergeCell ref="B57:N57"/>
    <mergeCell ref="P57:AA57"/>
    <mergeCell ref="A1:F1"/>
    <mergeCell ref="B3:N3"/>
    <mergeCell ref="P3:AA3"/>
    <mergeCell ref="AB4:AC4"/>
    <mergeCell ref="B21:N21"/>
    <mergeCell ref="P21:AA21"/>
    <mergeCell ref="AB169:AC169"/>
    <mergeCell ref="A183:J183"/>
    <mergeCell ref="A147:J147"/>
    <mergeCell ref="B150:N150"/>
    <mergeCell ref="P150:AA150"/>
    <mergeCell ref="AB151:AC151"/>
    <mergeCell ref="B168:N168"/>
    <mergeCell ref="P168:AA168"/>
  </mergeCells>
  <conditionalFormatting sqref="Q5:AA15">
    <cfRule type="dataBar" priority="35">
      <dataBar>
        <cfvo type="min"/>
        <cfvo type="max"/>
        <color rgb="FFFFB628"/>
      </dataBar>
      <extLst>
        <ext xmlns:x14="http://schemas.microsoft.com/office/spreadsheetml/2009/9/main" uri="{B025F937-C7B1-47D3-B67F-A62EFF666E3E}">
          <x14:id>{7B29B97B-96AB-4F30-8DB5-D1CA3F2D5478}</x14:id>
        </ext>
      </extLst>
    </cfRule>
    <cfRule type="dataBar" priority="36">
      <dataBar>
        <cfvo type="min"/>
        <cfvo type="max"/>
        <color rgb="FFFF555A"/>
      </dataBar>
      <extLst>
        <ext xmlns:x14="http://schemas.microsoft.com/office/spreadsheetml/2009/9/main" uri="{B025F937-C7B1-47D3-B67F-A62EFF666E3E}">
          <x14:id>{F290F74E-5AA9-48C3-86D5-052A9786E5A7}</x14:id>
        </ext>
      </extLst>
    </cfRule>
  </conditionalFormatting>
  <conditionalFormatting sqref="Q23:AA33">
    <cfRule type="dataBar" priority="33">
      <dataBar>
        <cfvo type="min"/>
        <cfvo type="max"/>
        <color rgb="FFFFB628"/>
      </dataBar>
      <extLst>
        <ext xmlns:x14="http://schemas.microsoft.com/office/spreadsheetml/2009/9/main" uri="{B025F937-C7B1-47D3-B67F-A62EFF666E3E}">
          <x14:id>{BB5D72A7-428E-440F-A3E7-68CDE168F84E}</x14:id>
        </ext>
      </extLst>
    </cfRule>
    <cfRule type="dataBar" priority="34">
      <dataBar>
        <cfvo type="min"/>
        <cfvo type="max"/>
        <color rgb="FFFF555A"/>
      </dataBar>
      <extLst>
        <ext xmlns:x14="http://schemas.microsoft.com/office/spreadsheetml/2009/9/main" uri="{B025F937-C7B1-47D3-B67F-A62EFF666E3E}">
          <x14:id>{90205C74-013B-441A-AE4A-D4FAA3882DB5}</x14:id>
        </ext>
      </extLst>
    </cfRule>
  </conditionalFormatting>
  <conditionalFormatting sqref="Q41:AA51">
    <cfRule type="dataBar" priority="31">
      <dataBar>
        <cfvo type="min"/>
        <cfvo type="max"/>
        <color rgb="FFFFB628"/>
      </dataBar>
      <extLst>
        <ext xmlns:x14="http://schemas.microsoft.com/office/spreadsheetml/2009/9/main" uri="{B025F937-C7B1-47D3-B67F-A62EFF666E3E}">
          <x14:id>{D3383477-9971-4E30-AD9D-9425B8B89F57}</x14:id>
        </ext>
      </extLst>
    </cfRule>
    <cfRule type="dataBar" priority="32">
      <dataBar>
        <cfvo type="min"/>
        <cfvo type="max"/>
        <color rgb="FFFF555A"/>
      </dataBar>
      <extLst>
        <ext xmlns:x14="http://schemas.microsoft.com/office/spreadsheetml/2009/9/main" uri="{B025F937-C7B1-47D3-B67F-A62EFF666E3E}">
          <x14:id>{FBD7C167-33CC-428F-B0F3-22BDD965D490}</x14:id>
        </ext>
      </extLst>
    </cfRule>
  </conditionalFormatting>
  <conditionalFormatting sqref="Q59:AA69">
    <cfRule type="dataBar" priority="29">
      <dataBar>
        <cfvo type="min"/>
        <cfvo type="max"/>
        <color rgb="FFFFB628"/>
      </dataBar>
      <extLst>
        <ext xmlns:x14="http://schemas.microsoft.com/office/spreadsheetml/2009/9/main" uri="{B025F937-C7B1-47D3-B67F-A62EFF666E3E}">
          <x14:id>{7198FA66-1DC8-46CE-89D2-ECB75C067D9F}</x14:id>
        </ext>
      </extLst>
    </cfRule>
    <cfRule type="dataBar" priority="30">
      <dataBar>
        <cfvo type="min"/>
        <cfvo type="max"/>
        <color rgb="FFFF555A"/>
      </dataBar>
      <extLst>
        <ext xmlns:x14="http://schemas.microsoft.com/office/spreadsheetml/2009/9/main" uri="{B025F937-C7B1-47D3-B67F-A62EFF666E3E}">
          <x14:id>{C21B967C-5E49-4AF1-9BC5-4F646C11414B}</x14:id>
        </ext>
      </extLst>
    </cfRule>
  </conditionalFormatting>
  <conditionalFormatting sqref="Q79:AA89">
    <cfRule type="dataBar" priority="27">
      <dataBar>
        <cfvo type="min"/>
        <cfvo type="max"/>
        <color rgb="FFFFB628"/>
      </dataBar>
      <extLst>
        <ext xmlns:x14="http://schemas.microsoft.com/office/spreadsheetml/2009/9/main" uri="{B025F937-C7B1-47D3-B67F-A62EFF666E3E}">
          <x14:id>{9B2804A0-A15F-4EFE-8934-EDFDD955C66B}</x14:id>
        </ext>
      </extLst>
    </cfRule>
    <cfRule type="dataBar" priority="28">
      <dataBar>
        <cfvo type="min"/>
        <cfvo type="max"/>
        <color rgb="FFFF555A"/>
      </dataBar>
      <extLst>
        <ext xmlns:x14="http://schemas.microsoft.com/office/spreadsheetml/2009/9/main" uri="{B025F937-C7B1-47D3-B67F-A62EFF666E3E}">
          <x14:id>{94C9B90E-8FFA-42F9-93B5-52D014E21E6B}</x14:id>
        </ext>
      </extLst>
    </cfRule>
  </conditionalFormatting>
  <conditionalFormatting sqref="Q97:AA107">
    <cfRule type="dataBar" priority="25">
      <dataBar>
        <cfvo type="min"/>
        <cfvo type="max"/>
        <color rgb="FFFFB628"/>
      </dataBar>
      <extLst>
        <ext xmlns:x14="http://schemas.microsoft.com/office/spreadsheetml/2009/9/main" uri="{B025F937-C7B1-47D3-B67F-A62EFF666E3E}">
          <x14:id>{A7643B88-D7F2-48E5-9475-8FFA56471C0D}</x14:id>
        </ext>
      </extLst>
    </cfRule>
    <cfRule type="dataBar" priority="26">
      <dataBar>
        <cfvo type="min"/>
        <cfvo type="max"/>
        <color rgb="FFFF555A"/>
      </dataBar>
      <extLst>
        <ext xmlns:x14="http://schemas.microsoft.com/office/spreadsheetml/2009/9/main" uri="{B025F937-C7B1-47D3-B67F-A62EFF666E3E}">
          <x14:id>{D46E0ABB-4D6F-4F2D-A724-2858392D2375}</x14:id>
        </ext>
      </extLst>
    </cfRule>
  </conditionalFormatting>
  <conditionalFormatting sqref="Q115:AA125">
    <cfRule type="dataBar" priority="23">
      <dataBar>
        <cfvo type="min"/>
        <cfvo type="max"/>
        <color rgb="FFFFB628"/>
      </dataBar>
      <extLst>
        <ext xmlns:x14="http://schemas.microsoft.com/office/spreadsheetml/2009/9/main" uri="{B025F937-C7B1-47D3-B67F-A62EFF666E3E}">
          <x14:id>{1053930E-0FFA-4131-A80C-73F8C2EBED52}</x14:id>
        </ext>
      </extLst>
    </cfRule>
    <cfRule type="dataBar" priority="24">
      <dataBar>
        <cfvo type="min"/>
        <cfvo type="max"/>
        <color rgb="FFFF555A"/>
      </dataBar>
      <extLst>
        <ext xmlns:x14="http://schemas.microsoft.com/office/spreadsheetml/2009/9/main" uri="{B025F937-C7B1-47D3-B67F-A62EFF666E3E}">
          <x14:id>{A88D415B-7CE0-4694-9EEC-704713E35472}</x14:id>
        </ext>
      </extLst>
    </cfRule>
  </conditionalFormatting>
  <conditionalFormatting sqref="Q133:AA143">
    <cfRule type="dataBar" priority="21">
      <dataBar>
        <cfvo type="min"/>
        <cfvo type="max"/>
        <color rgb="FFFFB628"/>
      </dataBar>
      <extLst>
        <ext xmlns:x14="http://schemas.microsoft.com/office/spreadsheetml/2009/9/main" uri="{B025F937-C7B1-47D3-B67F-A62EFF666E3E}">
          <x14:id>{22887078-E9F9-49FB-B522-48E0894A2D50}</x14:id>
        </ext>
      </extLst>
    </cfRule>
    <cfRule type="dataBar" priority="22">
      <dataBar>
        <cfvo type="min"/>
        <cfvo type="max"/>
        <color rgb="FFFF555A"/>
      </dataBar>
      <extLst>
        <ext xmlns:x14="http://schemas.microsoft.com/office/spreadsheetml/2009/9/main" uri="{B025F937-C7B1-47D3-B67F-A62EFF666E3E}">
          <x14:id>{A8EA15CB-4C19-4C68-8B8F-6525A4662313}</x14:id>
        </ext>
      </extLst>
    </cfRule>
  </conditionalFormatting>
  <conditionalFormatting sqref="Q152:AA162">
    <cfRule type="dataBar" priority="17">
      <dataBar>
        <cfvo type="min"/>
        <cfvo type="max"/>
        <color rgb="FFFFB628"/>
      </dataBar>
      <extLst>
        <ext xmlns:x14="http://schemas.microsoft.com/office/spreadsheetml/2009/9/main" uri="{B025F937-C7B1-47D3-B67F-A62EFF666E3E}">
          <x14:id>{0959B9E2-A46D-4BBB-9205-1433FC77CE26}</x14:id>
        </ext>
      </extLst>
    </cfRule>
    <cfRule type="dataBar" priority="18">
      <dataBar>
        <cfvo type="min"/>
        <cfvo type="max"/>
        <color rgb="FFFF555A"/>
      </dataBar>
      <extLst>
        <ext xmlns:x14="http://schemas.microsoft.com/office/spreadsheetml/2009/9/main" uri="{B025F937-C7B1-47D3-B67F-A62EFF666E3E}">
          <x14:id>{3D042CEA-5F69-44CE-B6DB-B0179C9C29E6}</x14:id>
        </ext>
      </extLst>
    </cfRule>
  </conditionalFormatting>
  <conditionalFormatting sqref="Q170:AA180">
    <cfRule type="dataBar" priority="13">
      <dataBar>
        <cfvo type="min"/>
        <cfvo type="max"/>
        <color rgb="FFFFB628"/>
      </dataBar>
      <extLst>
        <ext xmlns:x14="http://schemas.microsoft.com/office/spreadsheetml/2009/9/main" uri="{B025F937-C7B1-47D3-B67F-A62EFF666E3E}">
          <x14:id>{CD18B52F-2448-472F-BE52-35CDB05B2D9B}</x14:id>
        </ext>
      </extLst>
    </cfRule>
    <cfRule type="dataBar" priority="14">
      <dataBar>
        <cfvo type="min"/>
        <cfvo type="max"/>
        <color rgb="FFFF555A"/>
      </dataBar>
      <extLst>
        <ext xmlns:x14="http://schemas.microsoft.com/office/spreadsheetml/2009/9/main" uri="{B025F937-C7B1-47D3-B67F-A62EFF666E3E}">
          <x14:id>{7AB08F2A-E718-4BBB-8686-CC452C82C791}</x14:id>
        </ext>
      </extLst>
    </cfRule>
  </conditionalFormatting>
  <conditionalFormatting sqref="Q188:AA198">
    <cfRule type="dataBar" priority="5">
      <dataBar>
        <cfvo type="min"/>
        <cfvo type="max"/>
        <color rgb="FFFFB628"/>
      </dataBar>
      <extLst>
        <ext xmlns:x14="http://schemas.microsoft.com/office/spreadsheetml/2009/9/main" uri="{B025F937-C7B1-47D3-B67F-A62EFF666E3E}">
          <x14:id>{9E584950-F312-4C58-AC81-B7A52A285081}</x14:id>
        </ext>
      </extLst>
    </cfRule>
    <cfRule type="dataBar" priority="6">
      <dataBar>
        <cfvo type="min"/>
        <cfvo type="max"/>
        <color rgb="FFFF555A"/>
      </dataBar>
      <extLst>
        <ext xmlns:x14="http://schemas.microsoft.com/office/spreadsheetml/2009/9/main" uri="{B025F937-C7B1-47D3-B67F-A62EFF666E3E}">
          <x14:id>{BD1765C7-87E4-4571-A5CC-62033632AEEC}</x14:id>
        </ext>
      </extLst>
    </cfRule>
  </conditionalFormatting>
  <conditionalFormatting sqref="Q204:AA214">
    <cfRule type="dataBar" priority="3">
      <dataBar>
        <cfvo type="min"/>
        <cfvo type="max"/>
        <color rgb="FFFFB628"/>
      </dataBar>
      <extLst>
        <ext xmlns:x14="http://schemas.microsoft.com/office/spreadsheetml/2009/9/main" uri="{B025F937-C7B1-47D3-B67F-A62EFF666E3E}">
          <x14:id>{071E5312-213D-4452-AE0E-D22A1A5E58A2}</x14:id>
        </ext>
      </extLst>
    </cfRule>
    <cfRule type="dataBar" priority="4">
      <dataBar>
        <cfvo type="min"/>
        <cfvo type="max"/>
        <color rgb="FFFF555A"/>
      </dataBar>
      <extLst>
        <ext xmlns:x14="http://schemas.microsoft.com/office/spreadsheetml/2009/9/main" uri="{B025F937-C7B1-47D3-B67F-A62EFF666E3E}">
          <x14:id>{82F63683-5306-4CFA-BFE3-035EC2CC8D1B}</x14:id>
        </ext>
      </extLst>
    </cfRule>
  </conditionalFormatting>
  <conditionalFormatting sqref="Q221:AA231">
    <cfRule type="dataBar" priority="1">
      <dataBar>
        <cfvo type="min"/>
        <cfvo type="max"/>
        <color rgb="FFFFB628"/>
      </dataBar>
      <extLst>
        <ext xmlns:x14="http://schemas.microsoft.com/office/spreadsheetml/2009/9/main" uri="{B025F937-C7B1-47D3-B67F-A62EFF666E3E}">
          <x14:id>{C656D6B7-6587-4826-BB1D-EDBFFBF349E9}</x14:id>
        </ext>
      </extLst>
    </cfRule>
    <cfRule type="dataBar" priority="2">
      <dataBar>
        <cfvo type="min"/>
        <cfvo type="max"/>
        <color rgb="FFFF555A"/>
      </dataBar>
      <extLst>
        <ext xmlns:x14="http://schemas.microsoft.com/office/spreadsheetml/2009/9/main" uri="{B025F937-C7B1-47D3-B67F-A62EFF666E3E}">
          <x14:id>{504A0F4F-B505-497F-B91D-7147CBD9F538}</x14:id>
        </ext>
      </extLst>
    </cfRule>
  </conditionalFormatting>
  <pageMargins left="0.7" right="0.7" top="0.75" bottom="0.75" header="0" footer="0"/>
  <pageSetup paperSize="9" orientation="portrait" r:id="rId1"/>
  <tableParts count="13">
    <tablePart r:id="rId2"/>
    <tablePart r:id="rId3"/>
    <tablePart r:id="rId4"/>
    <tablePart r:id="rId5"/>
    <tablePart r:id="rId6"/>
    <tablePart r:id="rId7"/>
    <tablePart r:id="rId8"/>
    <tablePart r:id="rId9"/>
    <tablePart r:id="rId10"/>
    <tablePart r:id="rId11"/>
    <tablePart r:id="rId12"/>
    <tablePart r:id="rId13"/>
    <tablePart r:id="rId14"/>
  </tableParts>
  <extLst>
    <ext xmlns:x14="http://schemas.microsoft.com/office/spreadsheetml/2009/9/main" uri="{78C0D931-6437-407d-A8EE-F0AAD7539E65}">
      <x14:conditionalFormattings>
        <x14:conditionalFormatting xmlns:xm="http://schemas.microsoft.com/office/excel/2006/main">
          <x14:cfRule type="dataBar" id="{7B29B97B-96AB-4F30-8DB5-D1CA3F2D5478}">
            <x14:dataBar minLength="0" maxLength="100" gradient="0">
              <x14:cfvo type="autoMin"/>
              <x14:cfvo type="autoMax"/>
              <x14:negativeFillColor rgb="FFFF0000"/>
              <x14:axisColor rgb="FF000000"/>
            </x14:dataBar>
          </x14:cfRule>
          <x14:cfRule type="dataBar" id="{F290F74E-5AA9-48C3-86D5-052A9786E5A7}">
            <x14:dataBar minLength="0" maxLength="100" border="1" negativeBarBorderColorSameAsPositive="0">
              <x14:cfvo type="autoMin"/>
              <x14:cfvo type="autoMax"/>
              <x14:borderColor rgb="FFFF555A"/>
              <x14:negativeFillColor rgb="FFFF0000"/>
              <x14:negativeBorderColor rgb="FFFF0000"/>
              <x14:axisColor rgb="FF000000"/>
            </x14:dataBar>
          </x14:cfRule>
          <xm:sqref>Q5:AA15</xm:sqref>
        </x14:conditionalFormatting>
        <x14:conditionalFormatting xmlns:xm="http://schemas.microsoft.com/office/excel/2006/main">
          <x14:cfRule type="dataBar" id="{BB5D72A7-428E-440F-A3E7-68CDE168F84E}">
            <x14:dataBar minLength="0" maxLength="100" gradient="0">
              <x14:cfvo type="autoMin"/>
              <x14:cfvo type="autoMax"/>
              <x14:negativeFillColor rgb="FFFF0000"/>
              <x14:axisColor rgb="FF000000"/>
            </x14:dataBar>
          </x14:cfRule>
          <x14:cfRule type="dataBar" id="{90205C74-013B-441A-AE4A-D4FAA3882DB5}">
            <x14:dataBar minLength="0" maxLength="100" border="1" negativeBarBorderColorSameAsPositive="0">
              <x14:cfvo type="autoMin"/>
              <x14:cfvo type="autoMax"/>
              <x14:borderColor rgb="FFFF555A"/>
              <x14:negativeFillColor rgb="FFFF0000"/>
              <x14:negativeBorderColor rgb="FFFF0000"/>
              <x14:axisColor rgb="FF000000"/>
            </x14:dataBar>
          </x14:cfRule>
          <xm:sqref>Q23:AA33</xm:sqref>
        </x14:conditionalFormatting>
        <x14:conditionalFormatting xmlns:xm="http://schemas.microsoft.com/office/excel/2006/main">
          <x14:cfRule type="dataBar" id="{D3383477-9971-4E30-AD9D-9425B8B89F57}">
            <x14:dataBar minLength="0" maxLength="100" gradient="0">
              <x14:cfvo type="autoMin"/>
              <x14:cfvo type="autoMax"/>
              <x14:negativeFillColor rgb="FFFF0000"/>
              <x14:axisColor rgb="FF000000"/>
            </x14:dataBar>
          </x14:cfRule>
          <x14:cfRule type="dataBar" id="{FBD7C167-33CC-428F-B0F3-22BDD965D490}">
            <x14:dataBar minLength="0" maxLength="100" border="1" negativeBarBorderColorSameAsPositive="0">
              <x14:cfvo type="autoMin"/>
              <x14:cfvo type="autoMax"/>
              <x14:borderColor rgb="FFFF555A"/>
              <x14:negativeFillColor rgb="FFFF0000"/>
              <x14:negativeBorderColor rgb="FFFF0000"/>
              <x14:axisColor rgb="FF000000"/>
            </x14:dataBar>
          </x14:cfRule>
          <xm:sqref>Q41:AA51</xm:sqref>
        </x14:conditionalFormatting>
        <x14:conditionalFormatting xmlns:xm="http://schemas.microsoft.com/office/excel/2006/main">
          <x14:cfRule type="dataBar" id="{7198FA66-1DC8-46CE-89D2-ECB75C067D9F}">
            <x14:dataBar minLength="0" maxLength="100" gradient="0">
              <x14:cfvo type="autoMin"/>
              <x14:cfvo type="autoMax"/>
              <x14:negativeFillColor rgb="FFFF0000"/>
              <x14:axisColor rgb="FF000000"/>
            </x14:dataBar>
          </x14:cfRule>
          <x14:cfRule type="dataBar" id="{C21B967C-5E49-4AF1-9BC5-4F646C11414B}">
            <x14:dataBar minLength="0" maxLength="100" border="1" negativeBarBorderColorSameAsPositive="0">
              <x14:cfvo type="autoMin"/>
              <x14:cfvo type="autoMax"/>
              <x14:borderColor rgb="FFFF555A"/>
              <x14:negativeFillColor rgb="FFFF0000"/>
              <x14:negativeBorderColor rgb="FFFF0000"/>
              <x14:axisColor rgb="FF000000"/>
            </x14:dataBar>
          </x14:cfRule>
          <xm:sqref>Q59:AA69</xm:sqref>
        </x14:conditionalFormatting>
        <x14:conditionalFormatting xmlns:xm="http://schemas.microsoft.com/office/excel/2006/main">
          <x14:cfRule type="dataBar" id="{9B2804A0-A15F-4EFE-8934-EDFDD955C66B}">
            <x14:dataBar minLength="0" maxLength="100" gradient="0">
              <x14:cfvo type="autoMin"/>
              <x14:cfvo type="autoMax"/>
              <x14:negativeFillColor rgb="FFFF0000"/>
              <x14:axisColor rgb="FF000000"/>
            </x14:dataBar>
          </x14:cfRule>
          <x14:cfRule type="dataBar" id="{94C9B90E-8FFA-42F9-93B5-52D014E21E6B}">
            <x14:dataBar minLength="0" maxLength="100" border="1" negativeBarBorderColorSameAsPositive="0">
              <x14:cfvo type="autoMin"/>
              <x14:cfvo type="autoMax"/>
              <x14:borderColor rgb="FFFF555A"/>
              <x14:negativeFillColor rgb="FFFF0000"/>
              <x14:negativeBorderColor rgb="FFFF0000"/>
              <x14:axisColor rgb="FF000000"/>
            </x14:dataBar>
          </x14:cfRule>
          <xm:sqref>Q79:AA89</xm:sqref>
        </x14:conditionalFormatting>
        <x14:conditionalFormatting xmlns:xm="http://schemas.microsoft.com/office/excel/2006/main">
          <x14:cfRule type="dataBar" id="{A7643B88-D7F2-48E5-9475-8FFA56471C0D}">
            <x14:dataBar minLength="0" maxLength="100" gradient="0">
              <x14:cfvo type="autoMin"/>
              <x14:cfvo type="autoMax"/>
              <x14:negativeFillColor rgb="FFFF0000"/>
              <x14:axisColor rgb="FF000000"/>
            </x14:dataBar>
          </x14:cfRule>
          <x14:cfRule type="dataBar" id="{D46E0ABB-4D6F-4F2D-A724-2858392D2375}">
            <x14:dataBar minLength="0" maxLength="100" border="1" negativeBarBorderColorSameAsPositive="0">
              <x14:cfvo type="autoMin"/>
              <x14:cfvo type="autoMax"/>
              <x14:borderColor rgb="FFFF555A"/>
              <x14:negativeFillColor rgb="FFFF0000"/>
              <x14:negativeBorderColor rgb="FFFF0000"/>
              <x14:axisColor rgb="FF000000"/>
            </x14:dataBar>
          </x14:cfRule>
          <xm:sqref>Q97:AA107</xm:sqref>
        </x14:conditionalFormatting>
        <x14:conditionalFormatting xmlns:xm="http://schemas.microsoft.com/office/excel/2006/main">
          <x14:cfRule type="dataBar" id="{1053930E-0FFA-4131-A80C-73F8C2EBED52}">
            <x14:dataBar minLength="0" maxLength="100" gradient="0">
              <x14:cfvo type="autoMin"/>
              <x14:cfvo type="autoMax"/>
              <x14:negativeFillColor rgb="FFFF0000"/>
              <x14:axisColor rgb="FF000000"/>
            </x14:dataBar>
          </x14:cfRule>
          <x14:cfRule type="dataBar" id="{A88D415B-7CE0-4694-9EEC-704713E35472}">
            <x14:dataBar minLength="0" maxLength="100" border="1" negativeBarBorderColorSameAsPositive="0">
              <x14:cfvo type="autoMin"/>
              <x14:cfvo type="autoMax"/>
              <x14:borderColor rgb="FFFF555A"/>
              <x14:negativeFillColor rgb="FFFF0000"/>
              <x14:negativeBorderColor rgb="FFFF0000"/>
              <x14:axisColor rgb="FF000000"/>
            </x14:dataBar>
          </x14:cfRule>
          <xm:sqref>Q115:AA125</xm:sqref>
        </x14:conditionalFormatting>
        <x14:conditionalFormatting xmlns:xm="http://schemas.microsoft.com/office/excel/2006/main">
          <x14:cfRule type="dataBar" id="{22887078-E9F9-49FB-B522-48E0894A2D50}">
            <x14:dataBar minLength="0" maxLength="100" gradient="0">
              <x14:cfvo type="autoMin"/>
              <x14:cfvo type="autoMax"/>
              <x14:negativeFillColor rgb="FFFF0000"/>
              <x14:axisColor rgb="FF000000"/>
            </x14:dataBar>
          </x14:cfRule>
          <x14:cfRule type="dataBar" id="{A8EA15CB-4C19-4C68-8B8F-6525A4662313}">
            <x14:dataBar minLength="0" maxLength="100" border="1" negativeBarBorderColorSameAsPositive="0">
              <x14:cfvo type="autoMin"/>
              <x14:cfvo type="autoMax"/>
              <x14:borderColor rgb="FFFF555A"/>
              <x14:negativeFillColor rgb="FFFF0000"/>
              <x14:negativeBorderColor rgb="FFFF0000"/>
              <x14:axisColor rgb="FF000000"/>
            </x14:dataBar>
          </x14:cfRule>
          <xm:sqref>Q133:AA143</xm:sqref>
        </x14:conditionalFormatting>
        <x14:conditionalFormatting xmlns:xm="http://schemas.microsoft.com/office/excel/2006/main">
          <x14:cfRule type="dataBar" id="{0959B9E2-A46D-4BBB-9205-1433FC77CE26}">
            <x14:dataBar minLength="0" maxLength="100" gradient="0">
              <x14:cfvo type="autoMin"/>
              <x14:cfvo type="autoMax"/>
              <x14:negativeFillColor rgb="FFFF0000"/>
              <x14:axisColor rgb="FF000000"/>
            </x14:dataBar>
          </x14:cfRule>
          <x14:cfRule type="dataBar" id="{3D042CEA-5F69-44CE-B6DB-B0179C9C29E6}">
            <x14:dataBar minLength="0" maxLength="100" border="1" negativeBarBorderColorSameAsPositive="0">
              <x14:cfvo type="autoMin"/>
              <x14:cfvo type="autoMax"/>
              <x14:borderColor rgb="FFFF555A"/>
              <x14:negativeFillColor rgb="FFFF0000"/>
              <x14:negativeBorderColor rgb="FFFF0000"/>
              <x14:axisColor rgb="FF000000"/>
            </x14:dataBar>
          </x14:cfRule>
          <xm:sqref>Q152:AA162</xm:sqref>
        </x14:conditionalFormatting>
        <x14:conditionalFormatting xmlns:xm="http://schemas.microsoft.com/office/excel/2006/main">
          <x14:cfRule type="dataBar" id="{CD18B52F-2448-472F-BE52-35CDB05B2D9B}">
            <x14:dataBar minLength="0" maxLength="100" gradient="0">
              <x14:cfvo type="autoMin"/>
              <x14:cfvo type="autoMax"/>
              <x14:negativeFillColor rgb="FFFF0000"/>
              <x14:axisColor rgb="FF000000"/>
            </x14:dataBar>
          </x14:cfRule>
          <x14:cfRule type="dataBar" id="{7AB08F2A-E718-4BBB-8686-CC452C82C791}">
            <x14:dataBar minLength="0" maxLength="100" border="1" negativeBarBorderColorSameAsPositive="0">
              <x14:cfvo type="autoMin"/>
              <x14:cfvo type="autoMax"/>
              <x14:borderColor rgb="FFFF555A"/>
              <x14:negativeFillColor rgb="FFFF0000"/>
              <x14:negativeBorderColor rgb="FFFF0000"/>
              <x14:axisColor rgb="FF000000"/>
            </x14:dataBar>
          </x14:cfRule>
          <xm:sqref>Q170:AA180</xm:sqref>
        </x14:conditionalFormatting>
        <x14:conditionalFormatting xmlns:xm="http://schemas.microsoft.com/office/excel/2006/main">
          <x14:cfRule type="dataBar" id="{9E584950-F312-4C58-AC81-B7A52A285081}">
            <x14:dataBar minLength="0" maxLength="100" gradient="0">
              <x14:cfvo type="autoMin"/>
              <x14:cfvo type="autoMax"/>
              <x14:negativeFillColor rgb="FFFF0000"/>
              <x14:axisColor rgb="FF000000"/>
            </x14:dataBar>
          </x14:cfRule>
          <x14:cfRule type="dataBar" id="{BD1765C7-87E4-4571-A5CC-62033632AEEC}">
            <x14:dataBar minLength="0" maxLength="100" border="1" negativeBarBorderColorSameAsPositive="0">
              <x14:cfvo type="autoMin"/>
              <x14:cfvo type="autoMax"/>
              <x14:borderColor rgb="FFFF555A"/>
              <x14:negativeFillColor rgb="FFFF0000"/>
              <x14:negativeBorderColor rgb="FFFF0000"/>
              <x14:axisColor rgb="FF000000"/>
            </x14:dataBar>
          </x14:cfRule>
          <xm:sqref>Q188:AA198</xm:sqref>
        </x14:conditionalFormatting>
        <x14:conditionalFormatting xmlns:xm="http://schemas.microsoft.com/office/excel/2006/main">
          <x14:cfRule type="dataBar" id="{071E5312-213D-4452-AE0E-D22A1A5E58A2}">
            <x14:dataBar minLength="0" maxLength="100" gradient="0">
              <x14:cfvo type="autoMin"/>
              <x14:cfvo type="autoMax"/>
              <x14:negativeFillColor rgb="FFFF0000"/>
              <x14:axisColor rgb="FF000000"/>
            </x14:dataBar>
          </x14:cfRule>
          <x14:cfRule type="dataBar" id="{82F63683-5306-4CFA-BFE3-035EC2CC8D1B}">
            <x14:dataBar minLength="0" maxLength="100" border="1" negativeBarBorderColorSameAsPositive="0">
              <x14:cfvo type="autoMin"/>
              <x14:cfvo type="autoMax"/>
              <x14:borderColor rgb="FFFF555A"/>
              <x14:negativeFillColor rgb="FFFF0000"/>
              <x14:negativeBorderColor rgb="FFFF0000"/>
              <x14:axisColor rgb="FF000000"/>
            </x14:dataBar>
          </x14:cfRule>
          <xm:sqref>Q204:AA214</xm:sqref>
        </x14:conditionalFormatting>
        <x14:conditionalFormatting xmlns:xm="http://schemas.microsoft.com/office/excel/2006/main">
          <x14:cfRule type="dataBar" id="{C656D6B7-6587-4826-BB1D-EDBFFBF349E9}">
            <x14:dataBar minLength="0" maxLength="100" gradient="0">
              <x14:cfvo type="autoMin"/>
              <x14:cfvo type="autoMax"/>
              <x14:negativeFillColor rgb="FFFF0000"/>
              <x14:axisColor rgb="FF000000"/>
            </x14:dataBar>
          </x14:cfRule>
          <x14:cfRule type="dataBar" id="{504A0F4F-B505-497F-B91D-7147CBD9F538}">
            <x14:dataBar minLength="0" maxLength="100" border="1" negativeBarBorderColorSameAsPositive="0">
              <x14:cfvo type="autoMin"/>
              <x14:cfvo type="autoMax"/>
              <x14:borderColor rgb="FFFF555A"/>
              <x14:negativeFillColor rgb="FFFF0000"/>
              <x14:negativeBorderColor rgb="FFFF0000"/>
              <x14:axisColor rgb="FF000000"/>
            </x14:dataBar>
          </x14:cfRule>
          <xm:sqref>Q221:AA231</xm:sqref>
        </x14:conditionalFormatting>
      </x14:conditionalFormatting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3FBA6D-3843-4C8A-B22B-5865232C5760}">
  <dimension ref="A1:Y520"/>
  <sheetViews>
    <sheetView showGridLines="0" zoomScale="54" zoomScaleNormal="55" workbookViewId="0">
      <selection activeCell="W16" sqref="W16"/>
    </sheetView>
  </sheetViews>
  <sheetFormatPr defaultColWidth="12.6640625" defaultRowHeight="15" customHeight="1" x14ac:dyDescent="0.25"/>
  <cols>
    <col min="1" max="1" width="8.6640625" style="2" customWidth="1"/>
    <col min="2" max="2" width="15.109375" style="2" bestFit="1" customWidth="1"/>
    <col min="3" max="3" width="16.33203125" style="2" bestFit="1" customWidth="1"/>
    <col min="4" max="4" width="13.21875" style="2" customWidth="1"/>
    <col min="5" max="5" width="9.6640625" style="2" customWidth="1"/>
    <col min="6" max="6" width="13.33203125" style="2" customWidth="1"/>
    <col min="7" max="7" width="14" style="2" bestFit="1" customWidth="1"/>
    <col min="8" max="8" width="14.21875" style="2" bestFit="1" customWidth="1"/>
    <col min="9" max="9" width="20.21875" style="2" bestFit="1" customWidth="1"/>
    <col min="10" max="13" width="16.109375" style="2" customWidth="1"/>
    <col min="14" max="14" width="20" style="2" customWidth="1"/>
    <col min="15" max="15" width="12.6640625" style="2"/>
    <col min="16" max="16" width="27.77734375" style="2" customWidth="1"/>
    <col min="17" max="17" width="17.21875" style="2" bestFit="1" customWidth="1"/>
    <col min="18" max="18" width="12" style="2" bestFit="1" customWidth="1"/>
    <col min="19" max="20" width="12.44140625" style="2" bestFit="1" customWidth="1"/>
    <col min="21" max="21" width="17.21875" style="2" bestFit="1" customWidth="1"/>
    <col min="22" max="22" width="15.5546875" style="2" bestFit="1" customWidth="1"/>
    <col min="23" max="23" width="7.88671875" style="2" customWidth="1"/>
    <col min="24" max="24" width="13" style="2" customWidth="1"/>
    <col min="25" max="25" width="9" style="2" bestFit="1" customWidth="1"/>
    <col min="26" max="16384" width="12.6640625" style="2"/>
  </cols>
  <sheetData>
    <row r="1" spans="1:25" ht="25.05" customHeight="1" x14ac:dyDescent="0.25">
      <c r="A1" s="252" t="s">
        <v>81</v>
      </c>
      <c r="B1" s="252"/>
      <c r="C1" s="252"/>
      <c r="D1" s="252"/>
      <c r="E1" s="252"/>
      <c r="F1" s="252"/>
    </row>
    <row r="2" spans="1:25" ht="12.75" customHeight="1" x14ac:dyDescent="0.25">
      <c r="D2" s="1"/>
    </row>
    <row r="3" spans="1:25" ht="12.75" customHeight="1" x14ac:dyDescent="0.25"/>
    <row r="4" spans="1:25" ht="21" customHeight="1" thickBot="1" x14ac:dyDescent="0.35">
      <c r="B4" s="256" t="s">
        <v>95</v>
      </c>
      <c r="C4" s="256"/>
      <c r="D4" s="256"/>
      <c r="E4" s="256"/>
      <c r="F4" s="256"/>
      <c r="G4" s="256"/>
      <c r="H4" s="256"/>
      <c r="I4" s="256"/>
    </row>
    <row r="5" spans="1:25" s="8" customFormat="1" ht="40.200000000000003" customHeight="1" thickBot="1" x14ac:dyDescent="0.3">
      <c r="B5" s="36" t="s">
        <v>19</v>
      </c>
      <c r="C5" s="37" t="s">
        <v>42</v>
      </c>
      <c r="D5" s="37" t="s">
        <v>41</v>
      </c>
      <c r="E5" s="37" t="s">
        <v>27</v>
      </c>
      <c r="F5" s="37" t="s">
        <v>16</v>
      </c>
      <c r="G5" s="37" t="s">
        <v>28</v>
      </c>
      <c r="H5" s="37" t="s">
        <v>116</v>
      </c>
      <c r="I5" s="37" t="s">
        <v>20</v>
      </c>
      <c r="U5" s="23"/>
      <c r="V5" s="121" t="s">
        <v>131</v>
      </c>
      <c r="W5" s="127" t="s">
        <v>134</v>
      </c>
      <c r="X5" s="127" t="s">
        <v>132</v>
      </c>
      <c r="Y5" s="127" t="s">
        <v>133</v>
      </c>
    </row>
    <row r="6" spans="1:25" ht="12.75" customHeight="1" x14ac:dyDescent="0.25">
      <c r="B6" s="4"/>
      <c r="C6" s="26">
        <v>0</v>
      </c>
      <c r="D6" s="26">
        <v>0</v>
      </c>
      <c r="E6" s="49">
        <v>0</v>
      </c>
      <c r="F6" s="49">
        <v>0</v>
      </c>
      <c r="G6" s="49">
        <v>0</v>
      </c>
      <c r="H6" s="50">
        <f>F6</f>
        <v>0</v>
      </c>
      <c r="I6" s="49">
        <v>0</v>
      </c>
      <c r="P6" s="18"/>
      <c r="Q6" s="14"/>
      <c r="R6" s="15"/>
      <c r="U6" s="18" t="s">
        <v>0</v>
      </c>
      <c r="V6" s="60">
        <f>I20</f>
        <v>0.56254930438941098</v>
      </c>
      <c r="W6" s="60">
        <f>I41</f>
        <v>0.52419201840589547</v>
      </c>
      <c r="X6" s="60">
        <f>I63</f>
        <v>0.76396745014629419</v>
      </c>
      <c r="Y6" s="60">
        <f>I84</f>
        <v>0.18941853237185746</v>
      </c>
    </row>
    <row r="7" spans="1:25" ht="12.75" customHeight="1" x14ac:dyDescent="0.25">
      <c r="B7" s="82" t="s">
        <v>2</v>
      </c>
      <c r="C7" s="29">
        <v>2.0694062512288069</v>
      </c>
      <c r="D7" s="29">
        <v>69.271813069261029</v>
      </c>
      <c r="E7" s="49">
        <f t="shared" ref="E7:E17" si="0">C7/$C$18</f>
        <v>1.0017090868103106E-3</v>
      </c>
      <c r="F7" s="49">
        <f t="shared" ref="F7:F17" si="1">D7/$D$18</f>
        <v>0.32943230119860767</v>
      </c>
      <c r="G7" s="49">
        <f t="shared" ref="G7:G17" si="2">G6+E7</f>
        <v>1.0017090868103106E-3</v>
      </c>
      <c r="H7" s="50">
        <f t="shared" ref="H7:H17" si="3">F7+H6</f>
        <v>0.32943230119860767</v>
      </c>
      <c r="I7" s="49">
        <f t="shared" ref="I7:I17" si="4">(G6+G7)*0.5*(H7-H6)</f>
        <v>1.6499766479973824E-4</v>
      </c>
      <c r="P7" s="18"/>
      <c r="Q7" s="14"/>
      <c r="R7" s="15"/>
      <c r="U7" s="18" t="s">
        <v>130</v>
      </c>
      <c r="V7" s="60">
        <f>I108</f>
        <v>0.3178015766845963</v>
      </c>
      <c r="W7" s="60">
        <f>I129</f>
        <v>0.30733694978148851</v>
      </c>
      <c r="X7" s="60">
        <f>I150</f>
        <v>0.57555905975815758</v>
      </c>
      <c r="Y7" s="60">
        <f>I171</f>
        <v>0.11839083284506979</v>
      </c>
    </row>
    <row r="8" spans="1:25" ht="12.75" customHeight="1" thickBot="1" x14ac:dyDescent="0.3">
      <c r="B8" s="82" t="s">
        <v>3</v>
      </c>
      <c r="C8" s="29">
        <v>14.968035031675058</v>
      </c>
      <c r="D8" s="29">
        <v>1.1215507094546049</v>
      </c>
      <c r="E8" s="49">
        <f t="shared" si="0"/>
        <v>7.2453713204069037E-3</v>
      </c>
      <c r="F8" s="49">
        <f t="shared" si="1"/>
        <v>5.3336994479579163E-3</v>
      </c>
      <c r="G8" s="49">
        <f t="shared" si="2"/>
        <v>8.2470804072172152E-3</v>
      </c>
      <c r="H8" s="50">
        <f t="shared" si="3"/>
        <v>0.33476600064656559</v>
      </c>
      <c r="I8" s="49">
        <f t="shared" si="4"/>
        <v>2.4665131709286803E-5</v>
      </c>
      <c r="P8" s="18"/>
      <c r="Q8" s="14"/>
      <c r="R8" s="15"/>
      <c r="U8" s="125" t="s">
        <v>135</v>
      </c>
      <c r="V8" s="126">
        <f>I192</f>
        <v>0.13449606321865437</v>
      </c>
      <c r="W8" s="126">
        <f>I213</f>
        <v>2.4685183775492892E-2</v>
      </c>
      <c r="X8" s="126">
        <f>I234</f>
        <v>0.81576275339152038</v>
      </c>
      <c r="Y8" s="126">
        <f>I255</f>
        <v>0.2263306560465258</v>
      </c>
    </row>
    <row r="9" spans="1:25" ht="12.75" customHeight="1" x14ac:dyDescent="0.25">
      <c r="B9" s="82" t="s">
        <v>1</v>
      </c>
      <c r="C9" s="29">
        <v>15.520950911310514</v>
      </c>
      <c r="D9" s="29">
        <v>4.5376418747929925</v>
      </c>
      <c r="E9" s="49">
        <f t="shared" si="0"/>
        <v>7.5130137229287245E-3</v>
      </c>
      <c r="F9" s="49">
        <f t="shared" si="1"/>
        <v>2.157942370201292E-2</v>
      </c>
      <c r="G9" s="49">
        <f t="shared" si="2"/>
        <v>1.5760094130145938E-2</v>
      </c>
      <c r="H9" s="50">
        <f t="shared" si="3"/>
        <v>0.35634542434857852</v>
      </c>
      <c r="I9" s="49">
        <f t="shared" si="4"/>
        <v>2.5903049561496789E-4</v>
      </c>
      <c r="P9" s="18"/>
      <c r="Q9" s="14"/>
      <c r="R9" s="15"/>
    </row>
    <row r="10" spans="1:25" ht="12.75" customHeight="1" x14ac:dyDescent="0.25">
      <c r="B10" s="111" t="s">
        <v>6</v>
      </c>
      <c r="C10" s="29">
        <v>24.882879792724239</v>
      </c>
      <c r="D10" s="29">
        <v>8.8569452121066199</v>
      </c>
      <c r="E10" s="49">
        <f t="shared" si="0"/>
        <v>1.2044714168414201E-2</v>
      </c>
      <c r="F10" s="49">
        <f t="shared" si="1"/>
        <v>4.2120506358004003E-2</v>
      </c>
      <c r="G10" s="49">
        <f t="shared" si="2"/>
        <v>2.7804808298560139E-2</v>
      </c>
      <c r="H10" s="50">
        <f t="shared" si="3"/>
        <v>0.39846593070658254</v>
      </c>
      <c r="I10" s="49">
        <f t="shared" si="4"/>
        <v>9.1748787486706945E-4</v>
      </c>
      <c r="P10" s="18"/>
      <c r="Q10" s="14"/>
      <c r="R10" s="15"/>
    </row>
    <row r="11" spans="1:25" ht="12.75" customHeight="1" x14ac:dyDescent="0.25">
      <c r="B11" s="82" t="s">
        <v>195</v>
      </c>
      <c r="C11" s="29">
        <v>29.013266537802092</v>
      </c>
      <c r="D11" s="29">
        <v>2.8309348591687482</v>
      </c>
      <c r="E11" s="49">
        <f t="shared" si="0"/>
        <v>1.4044053801281622E-2</v>
      </c>
      <c r="F11" s="49">
        <f t="shared" si="1"/>
        <v>1.3462927327553283E-2</v>
      </c>
      <c r="G11" s="49">
        <f t="shared" si="2"/>
        <v>4.184886209984176E-2</v>
      </c>
      <c r="H11" s="50">
        <f t="shared" si="3"/>
        <v>0.41192885803413581</v>
      </c>
      <c r="I11" s="49">
        <f t="shared" si="4"/>
        <v>4.6887115133551675E-4</v>
      </c>
      <c r="P11" s="18"/>
      <c r="Q11" s="14"/>
      <c r="R11" s="15"/>
    </row>
    <row r="12" spans="1:25" ht="12.75" customHeight="1" x14ac:dyDescent="0.25">
      <c r="B12" s="82" t="s">
        <v>5</v>
      </c>
      <c r="C12" s="29">
        <v>78.591924466995167</v>
      </c>
      <c r="D12" s="29">
        <v>15.757944722787245</v>
      </c>
      <c r="E12" s="49">
        <f t="shared" si="0"/>
        <v>3.8042914406850391E-2</v>
      </c>
      <c r="F12" s="49">
        <f t="shared" si="1"/>
        <v>7.4939225092865547E-2</v>
      </c>
      <c r="G12" s="49">
        <f t="shared" si="2"/>
        <v>7.9891776506692158E-2</v>
      </c>
      <c r="H12" s="50">
        <f t="shared" si="3"/>
        <v>0.48686808312700136</v>
      </c>
      <c r="I12" s="49">
        <f t="shared" si="4"/>
        <v>4.5615745597421212E-3</v>
      </c>
      <c r="P12" s="18"/>
      <c r="Q12" s="14"/>
      <c r="R12" s="15"/>
    </row>
    <row r="13" spans="1:25" ht="12.75" customHeight="1" x14ac:dyDescent="0.25">
      <c r="B13" s="82" t="s">
        <v>9</v>
      </c>
      <c r="C13" s="29">
        <v>139.00252479965184</v>
      </c>
      <c r="D13" s="29">
        <v>8.9436766609828364</v>
      </c>
      <c r="E13" s="49">
        <f t="shared" si="0"/>
        <v>6.7285044731408575E-2</v>
      </c>
      <c r="F13" s="49">
        <f t="shared" si="1"/>
        <v>4.2532970526669746E-2</v>
      </c>
      <c r="G13" s="49">
        <f t="shared" si="2"/>
        <v>0.14717682123810072</v>
      </c>
      <c r="H13" s="50">
        <f t="shared" si="3"/>
        <v>0.52940105365367107</v>
      </c>
      <c r="I13" s="49">
        <f t="shared" si="4"/>
        <v>4.8289509877057482E-3</v>
      </c>
      <c r="P13" s="18"/>
      <c r="Q13" s="14"/>
      <c r="R13" s="15"/>
    </row>
    <row r="14" spans="1:25" ht="12.75" customHeight="1" x14ac:dyDescent="0.25">
      <c r="B14" s="111" t="s">
        <v>10</v>
      </c>
      <c r="C14" s="29">
        <v>307.55202051543557</v>
      </c>
      <c r="D14" s="29">
        <v>30.238653792381729</v>
      </c>
      <c r="E14" s="49">
        <f t="shared" si="0"/>
        <v>0.1488724862188115</v>
      </c>
      <c r="F14" s="49">
        <f t="shared" si="1"/>
        <v>0.14380436807698796</v>
      </c>
      <c r="G14" s="49">
        <f t="shared" si="2"/>
        <v>0.29604930745691221</v>
      </c>
      <c r="H14" s="50">
        <f t="shared" si="3"/>
        <v>0.673205421730659</v>
      </c>
      <c r="I14" s="49">
        <f t="shared" si="4"/>
        <v>3.1868926676098031E-2</v>
      </c>
      <c r="P14" s="18"/>
      <c r="Q14" s="14"/>
      <c r="R14" s="15"/>
    </row>
    <row r="15" spans="1:25" ht="12.75" customHeight="1" x14ac:dyDescent="0.25">
      <c r="B15" s="82" t="s">
        <v>7</v>
      </c>
      <c r="C15" s="29">
        <v>373.05433487641909</v>
      </c>
      <c r="D15" s="29">
        <v>29.117384905391187</v>
      </c>
      <c r="E15" s="49">
        <f t="shared" si="0"/>
        <v>0.18057929268252113</v>
      </c>
      <c r="F15" s="49">
        <f t="shared" si="1"/>
        <v>0.13847200887723132</v>
      </c>
      <c r="G15" s="49">
        <f t="shared" si="2"/>
        <v>0.47662860013943331</v>
      </c>
      <c r="H15" s="50">
        <f t="shared" si="3"/>
        <v>0.81167743060789033</v>
      </c>
      <c r="I15" s="49">
        <f t="shared" si="4"/>
        <v>5.3497131039960837E-2</v>
      </c>
      <c r="P15" s="18"/>
      <c r="Q15" s="14"/>
      <c r="R15" s="15"/>
    </row>
    <row r="16" spans="1:25" ht="12.75" customHeight="1" x14ac:dyDescent="0.25">
      <c r="B16" s="82" t="s">
        <v>4</v>
      </c>
      <c r="C16" s="29">
        <v>445.72650305262221</v>
      </c>
      <c r="D16" s="29">
        <v>29.910739995094342</v>
      </c>
      <c r="E16" s="49">
        <f t="shared" si="0"/>
        <v>0.21575671189495635</v>
      </c>
      <c r="F16" s="49">
        <f t="shared" si="1"/>
        <v>0.14224492575768344</v>
      </c>
      <c r="G16" s="49">
        <f t="shared" si="2"/>
        <v>0.69238531203438969</v>
      </c>
      <c r="H16" s="50">
        <f t="shared" si="3"/>
        <v>0.95392235636557376</v>
      </c>
      <c r="I16" s="49">
        <f t="shared" si="4"/>
        <v>8.314314857343226E-2</v>
      </c>
      <c r="P16" s="18"/>
      <c r="Q16" s="14"/>
      <c r="R16" s="15"/>
    </row>
    <row r="17" spans="1:14" ht="12.75" customHeight="1" thickBot="1" x14ac:dyDescent="0.3">
      <c r="B17" s="86" t="s">
        <v>8</v>
      </c>
      <c r="C17" s="32">
        <v>635.49364444008404</v>
      </c>
      <c r="D17" s="32">
        <v>9.6890374893495448</v>
      </c>
      <c r="E17" s="51">
        <f t="shared" si="0"/>
        <v>0.30761468796561031</v>
      </c>
      <c r="F17" s="51">
        <f t="shared" si="1"/>
        <v>4.6077643634426249E-2</v>
      </c>
      <c r="G17" s="49">
        <f t="shared" si="2"/>
        <v>1</v>
      </c>
      <c r="H17" s="52">
        <f t="shared" si="3"/>
        <v>1</v>
      </c>
      <c r="I17" s="51">
        <f t="shared" si="4"/>
        <v>3.8990563650028925E-2</v>
      </c>
    </row>
    <row r="18" spans="1:14" ht="12.75" customHeight="1" thickBot="1" x14ac:dyDescent="0.3">
      <c r="B18" s="35" t="s">
        <v>12</v>
      </c>
      <c r="C18" s="6">
        <f>SUM(C6:C17)</f>
        <v>2065.8754906759486</v>
      </c>
      <c r="D18" s="6">
        <f>SUM(D6:D17)</f>
        <v>210.27632329077088</v>
      </c>
      <c r="E18" s="59">
        <f>SUM(E7:E17)</f>
        <v>1</v>
      </c>
      <c r="F18" s="59">
        <f>SUM(F7:F17)</f>
        <v>1</v>
      </c>
      <c r="G18" s="53"/>
      <c r="H18" s="53"/>
      <c r="I18" s="59">
        <f>SUM(I6:I17)</f>
        <v>0.21872534780529448</v>
      </c>
    </row>
    <row r="19" spans="1:14" ht="12.75" customHeight="1" thickBot="1" x14ac:dyDescent="0.3">
      <c r="B19" s="4"/>
      <c r="C19" s="4"/>
      <c r="D19" s="4"/>
      <c r="E19" s="50"/>
      <c r="F19" s="50"/>
      <c r="G19" s="50"/>
      <c r="H19" s="53"/>
      <c r="I19" s="53"/>
    </row>
    <row r="20" spans="1:14" ht="12.75" customHeight="1" thickBot="1" x14ac:dyDescent="0.3">
      <c r="B20" s="4"/>
      <c r="C20" s="4"/>
      <c r="D20" s="4"/>
      <c r="E20" s="50"/>
      <c r="F20" s="50"/>
      <c r="G20" s="55"/>
      <c r="H20" s="56" t="s">
        <v>30</v>
      </c>
      <c r="I20" s="52">
        <f>1-(2*I18)</f>
        <v>0.56254930438941098</v>
      </c>
    </row>
    <row r="21" spans="1:14" ht="12.75" customHeight="1" x14ac:dyDescent="0.25"/>
    <row r="22" spans="1:14" ht="12.75" customHeight="1" x14ac:dyDescent="0.25"/>
    <row r="23" spans="1:14" ht="12.75" customHeight="1" x14ac:dyDescent="0.25"/>
    <row r="24" spans="1:14" ht="13.2" customHeight="1" x14ac:dyDescent="0.25"/>
    <row r="25" spans="1:14" ht="14.4" customHeight="1" thickBot="1" x14ac:dyDescent="0.35">
      <c r="B25" s="256" t="s">
        <v>96</v>
      </c>
      <c r="C25" s="256"/>
      <c r="D25" s="256"/>
      <c r="E25" s="256"/>
      <c r="F25" s="256"/>
      <c r="G25" s="256"/>
      <c r="H25" s="256"/>
      <c r="I25" s="256"/>
    </row>
    <row r="26" spans="1:14" ht="12.6" customHeight="1" thickBot="1" x14ac:dyDescent="0.3">
      <c r="B26" s="36" t="s">
        <v>19</v>
      </c>
      <c r="C26" s="37" t="s">
        <v>97</v>
      </c>
      <c r="D26" s="37" t="s">
        <v>41</v>
      </c>
      <c r="E26" s="37" t="s">
        <v>31</v>
      </c>
      <c r="F26" s="37" t="s">
        <v>16</v>
      </c>
      <c r="G26" s="37" t="s">
        <v>32</v>
      </c>
      <c r="H26" s="37" t="s">
        <v>116</v>
      </c>
      <c r="I26" s="37" t="s">
        <v>20</v>
      </c>
      <c r="J26" s="8"/>
      <c r="K26" s="8"/>
      <c r="L26" s="8"/>
      <c r="M26" s="8"/>
      <c r="N26" s="8"/>
    </row>
    <row r="27" spans="1:14" ht="12.75" customHeight="1" x14ac:dyDescent="0.25">
      <c r="B27" s="4"/>
      <c r="C27" s="26">
        <v>0</v>
      </c>
      <c r="D27" s="26">
        <v>0</v>
      </c>
      <c r="E27" s="49">
        <f t="shared" ref="E27:E38" si="5">C27/$C$39</f>
        <v>0</v>
      </c>
      <c r="F27" s="49">
        <f t="shared" ref="F27:F38" si="6">D27/$D$39</f>
        <v>0</v>
      </c>
      <c r="G27" s="49">
        <v>0</v>
      </c>
      <c r="H27" s="50">
        <f>F27</f>
        <v>0</v>
      </c>
      <c r="I27" s="49">
        <v>0</v>
      </c>
    </row>
    <row r="28" spans="1:14" ht="13.2" x14ac:dyDescent="0.25">
      <c r="A28" s="8"/>
      <c r="B28" s="82" t="s">
        <v>3</v>
      </c>
      <c r="C28" s="29">
        <v>11.508286871268448</v>
      </c>
      <c r="D28" s="29">
        <v>1.1215507094546049</v>
      </c>
      <c r="E28" s="49">
        <f t="shared" si="5"/>
        <v>5.365070841658535E-3</v>
      </c>
      <c r="F28" s="49">
        <f t="shared" si="6"/>
        <v>5.3336994479579163E-3</v>
      </c>
      <c r="G28" s="49">
        <f t="shared" ref="G28:G38" si="7">G27+E28</f>
        <v>5.365070841658535E-3</v>
      </c>
      <c r="H28" s="50">
        <f t="shared" ref="H28:H38" si="8">F28+H27</f>
        <v>5.3336994479579163E-3</v>
      </c>
      <c r="I28" s="49">
        <f t="shared" ref="I28:I38" si="9">(G27+G28)*0.5*(H28-H27)</f>
        <v>1.430783769320462E-5</v>
      </c>
    </row>
    <row r="29" spans="1:14" ht="12.75" customHeight="1" x14ac:dyDescent="0.25">
      <c r="B29" s="82" t="s">
        <v>1</v>
      </c>
      <c r="C29" s="29">
        <v>14.311543976463907</v>
      </c>
      <c r="D29" s="29">
        <v>4.5376418747929925</v>
      </c>
      <c r="E29" s="49">
        <f t="shared" si="5"/>
        <v>6.6719267729530764E-3</v>
      </c>
      <c r="F29" s="49">
        <f t="shared" si="6"/>
        <v>2.157942370201292E-2</v>
      </c>
      <c r="G29" s="49">
        <f t="shared" si="7"/>
        <v>1.2036997614611612E-2</v>
      </c>
      <c r="H29" s="50">
        <f t="shared" si="8"/>
        <v>2.6913123149970838E-2</v>
      </c>
      <c r="I29" s="49">
        <f t="shared" si="9"/>
        <v>1.8776330425464369E-4</v>
      </c>
    </row>
    <row r="30" spans="1:14" ht="12.75" customHeight="1" x14ac:dyDescent="0.25">
      <c r="B30" s="111" t="s">
        <v>6</v>
      </c>
      <c r="C30" s="29">
        <v>21.369975555093788</v>
      </c>
      <c r="D30" s="29">
        <v>8.8569452121066199</v>
      </c>
      <c r="E30" s="49">
        <f t="shared" si="5"/>
        <v>9.9625108428455806E-3</v>
      </c>
      <c r="F30" s="49">
        <f t="shared" si="6"/>
        <v>4.2120506358004003E-2</v>
      </c>
      <c r="G30" s="49">
        <f t="shared" si="7"/>
        <v>2.1999508457457191E-2</v>
      </c>
      <c r="H30" s="50">
        <f t="shared" si="8"/>
        <v>6.9033629507974842E-2</v>
      </c>
      <c r="I30" s="49">
        <f t="shared" si="9"/>
        <v>7.1681743520640793E-4</v>
      </c>
    </row>
    <row r="31" spans="1:14" ht="12.75" customHeight="1" x14ac:dyDescent="0.25">
      <c r="B31" s="82" t="s">
        <v>195</v>
      </c>
      <c r="C31" s="29">
        <v>26.829847298910604</v>
      </c>
      <c r="D31" s="29">
        <v>2.8309348591687482</v>
      </c>
      <c r="E31" s="49">
        <f t="shared" si="5"/>
        <v>1.2507859166154999E-2</v>
      </c>
      <c r="F31" s="49">
        <f t="shared" si="6"/>
        <v>1.3462927327553283E-2</v>
      </c>
      <c r="G31" s="49">
        <f t="shared" si="7"/>
        <v>3.4507367623612187E-2</v>
      </c>
      <c r="H31" s="50">
        <f t="shared" si="8"/>
        <v>8.2496556835528118E-2</v>
      </c>
      <c r="I31" s="49">
        <f t="shared" si="9"/>
        <v>3.8037398309324774E-4</v>
      </c>
    </row>
    <row r="32" spans="1:14" ht="12.75" customHeight="1" x14ac:dyDescent="0.25">
      <c r="B32" s="82" t="s">
        <v>5</v>
      </c>
      <c r="C32" s="29">
        <v>61.971112889067193</v>
      </c>
      <c r="D32" s="29">
        <v>15.757944722787245</v>
      </c>
      <c r="E32" s="49">
        <f t="shared" si="5"/>
        <v>2.8890434736757464E-2</v>
      </c>
      <c r="F32" s="49">
        <f t="shared" si="6"/>
        <v>7.4939225092865547E-2</v>
      </c>
      <c r="G32" s="49">
        <f t="shared" si="7"/>
        <v>6.3397802360369654E-2</v>
      </c>
      <c r="H32" s="50">
        <f t="shared" si="8"/>
        <v>0.15743578192839366</v>
      </c>
      <c r="I32" s="49">
        <f t="shared" si="9"/>
        <v>3.6684687855924394E-3</v>
      </c>
    </row>
    <row r="33" spans="2:14" ht="12.75" customHeight="1" x14ac:dyDescent="0.25">
      <c r="B33" s="82" t="s">
        <v>2</v>
      </c>
      <c r="C33" s="29">
        <v>62.298247354744262</v>
      </c>
      <c r="D33" s="29">
        <v>69.271813069261029</v>
      </c>
      <c r="E33" s="49">
        <f t="shared" si="5"/>
        <v>2.9042942195316508E-2</v>
      </c>
      <c r="F33" s="49">
        <f t="shared" si="6"/>
        <v>0.32943230119860767</v>
      </c>
      <c r="G33" s="49">
        <f t="shared" si="7"/>
        <v>9.2440744555686155E-2</v>
      </c>
      <c r="H33" s="50">
        <f t="shared" si="8"/>
        <v>0.48686808312700136</v>
      </c>
      <c r="I33" s="49">
        <f t="shared" si="9"/>
        <v>2.5669125563001726E-2</v>
      </c>
    </row>
    <row r="34" spans="2:14" ht="12.75" customHeight="1" x14ac:dyDescent="0.25">
      <c r="B34" s="82" t="s">
        <v>9</v>
      </c>
      <c r="C34" s="29">
        <v>126.36290461320199</v>
      </c>
      <c r="D34" s="29">
        <v>8.9436766609828364</v>
      </c>
      <c r="E34" s="49">
        <f t="shared" si="5"/>
        <v>5.8909370490244424E-2</v>
      </c>
      <c r="F34" s="49">
        <f t="shared" si="6"/>
        <v>4.2532970526669746E-2</v>
      </c>
      <c r="G34" s="49">
        <f t="shared" si="7"/>
        <v>0.15135011504593057</v>
      </c>
      <c r="H34" s="50">
        <f t="shared" si="8"/>
        <v>0.52940105365367107</v>
      </c>
      <c r="I34" s="49">
        <f t="shared" si="9"/>
        <v>5.1845747230535189E-3</v>
      </c>
    </row>
    <row r="35" spans="2:14" ht="12.75" customHeight="1" x14ac:dyDescent="0.25">
      <c r="B35" s="111" t="s">
        <v>10</v>
      </c>
      <c r="C35" s="29">
        <v>317.78499103639581</v>
      </c>
      <c r="D35" s="29">
        <v>30.238653792381729</v>
      </c>
      <c r="E35" s="49">
        <f t="shared" si="5"/>
        <v>0.14814880862786201</v>
      </c>
      <c r="F35" s="49">
        <f t="shared" si="6"/>
        <v>0.14380436807698796</v>
      </c>
      <c r="G35" s="49">
        <f t="shared" si="7"/>
        <v>0.29949892367379261</v>
      </c>
      <c r="H35" s="50">
        <f t="shared" si="8"/>
        <v>0.673205421730659</v>
      </c>
      <c r="I35" s="49">
        <f t="shared" si="9"/>
        <v>3.2417030555603625E-2</v>
      </c>
    </row>
    <row r="36" spans="2:14" ht="12.75" customHeight="1" x14ac:dyDescent="0.25">
      <c r="B36" s="82" t="s">
        <v>4</v>
      </c>
      <c r="C36" s="29">
        <v>342.27085552911922</v>
      </c>
      <c r="D36" s="29">
        <v>29.910739995094342</v>
      </c>
      <c r="E36" s="49">
        <f t="shared" si="5"/>
        <v>0.1595639218495081</v>
      </c>
      <c r="F36" s="49">
        <f t="shared" si="6"/>
        <v>0.14224492575768344</v>
      </c>
      <c r="G36" s="49">
        <f t="shared" si="7"/>
        <v>0.45906284552330068</v>
      </c>
      <c r="H36" s="50">
        <f t="shared" si="8"/>
        <v>0.81545034748834244</v>
      </c>
      <c r="I36" s="49">
        <f t="shared" si="9"/>
        <v>5.3950781271028765E-2</v>
      </c>
    </row>
    <row r="37" spans="2:14" ht="12.75" customHeight="1" x14ac:dyDescent="0.25">
      <c r="B37" s="82" t="s">
        <v>7</v>
      </c>
      <c r="C37" s="29">
        <v>430.80565735119228</v>
      </c>
      <c r="D37" s="29">
        <v>29.117384905391187</v>
      </c>
      <c r="E37" s="49">
        <f t="shared" si="5"/>
        <v>0.20083813486148064</v>
      </c>
      <c r="F37" s="49">
        <f t="shared" si="6"/>
        <v>0.13847200887723132</v>
      </c>
      <c r="G37" s="49">
        <f t="shared" si="7"/>
        <v>0.65990098038478129</v>
      </c>
      <c r="H37" s="50">
        <f t="shared" si="8"/>
        <v>0.95392235636557376</v>
      </c>
      <c r="I37" s="49">
        <f t="shared" si="9"/>
        <v>7.7472584417222323E-2</v>
      </c>
    </row>
    <row r="38" spans="2:14" ht="12.75" customHeight="1" thickBot="1" x14ac:dyDescent="0.3">
      <c r="B38" s="86" t="s">
        <v>8</v>
      </c>
      <c r="C38" s="32">
        <v>729.52570392512223</v>
      </c>
      <c r="D38" s="32">
        <v>9.6890374893495448</v>
      </c>
      <c r="E38" s="51">
        <f t="shared" si="5"/>
        <v>0.34009901961521866</v>
      </c>
      <c r="F38" s="49">
        <f t="shared" si="6"/>
        <v>4.6077643634426249E-2</v>
      </c>
      <c r="G38" s="51">
        <f t="shared" si="7"/>
        <v>1</v>
      </c>
      <c r="H38" s="52">
        <f t="shared" si="8"/>
        <v>1</v>
      </c>
      <c r="I38" s="51">
        <f t="shared" si="9"/>
        <v>3.8242162921302343E-2</v>
      </c>
    </row>
    <row r="39" spans="2:14" ht="12.75" customHeight="1" thickBot="1" x14ac:dyDescent="0.3">
      <c r="B39" s="35" t="s">
        <v>12</v>
      </c>
      <c r="C39" s="6">
        <f>SUM(C27:C38)</f>
        <v>2145.0391264005798</v>
      </c>
      <c r="D39" s="6">
        <f>SUM(D27:D38)</f>
        <v>210.27632329077088</v>
      </c>
      <c r="E39" s="51">
        <f>SUM(E28:E38)</f>
        <v>1</v>
      </c>
      <c r="F39" s="59">
        <f>SUM(F28:F38)</f>
        <v>1</v>
      </c>
      <c r="G39" s="53"/>
      <c r="H39" s="53"/>
      <c r="I39" s="59">
        <f>SUM(I27:I38)</f>
        <v>0.23790399079705224</v>
      </c>
    </row>
    <row r="40" spans="2:14" ht="12.75" customHeight="1" thickBot="1" x14ac:dyDescent="0.3">
      <c r="B40" s="4"/>
      <c r="C40" s="4"/>
      <c r="D40" s="4"/>
      <c r="E40" s="50"/>
      <c r="F40" s="50"/>
      <c r="G40" s="50"/>
      <c r="H40" s="53"/>
      <c r="I40" s="53"/>
    </row>
    <row r="41" spans="2:14" ht="12.75" customHeight="1" thickBot="1" x14ac:dyDescent="0.3">
      <c r="B41" s="4"/>
      <c r="C41" s="4"/>
      <c r="D41" s="4"/>
      <c r="E41" s="50"/>
      <c r="F41" s="50"/>
      <c r="G41" s="55"/>
      <c r="H41" s="56" t="s">
        <v>29</v>
      </c>
      <c r="I41" s="52">
        <f>1-(2*I39)</f>
        <v>0.52419201840589547</v>
      </c>
    </row>
    <row r="42" spans="2:14" ht="12.75" customHeight="1" x14ac:dyDescent="0.25">
      <c r="E42" s="60"/>
      <c r="F42" s="60"/>
      <c r="G42" s="60"/>
      <c r="H42" s="60"/>
      <c r="I42" s="60"/>
    </row>
    <row r="43" spans="2:14" ht="12.75" customHeight="1" x14ac:dyDescent="0.25"/>
    <row r="44" spans="2:14" ht="12.75" customHeight="1" x14ac:dyDescent="0.25"/>
    <row r="45" spans="2:14" ht="12.75" customHeight="1" x14ac:dyDescent="0.25"/>
    <row r="46" spans="2:14" ht="12.75" customHeight="1" x14ac:dyDescent="0.25"/>
    <row r="47" spans="2:14" ht="16.2" thickBot="1" x14ac:dyDescent="0.35">
      <c r="B47" s="257" t="s">
        <v>104</v>
      </c>
      <c r="C47" s="257"/>
      <c r="D47" s="257"/>
      <c r="E47" s="257"/>
      <c r="F47" s="257"/>
      <c r="G47" s="257"/>
      <c r="H47" s="257"/>
      <c r="I47" s="257"/>
      <c r="J47" s="122"/>
    </row>
    <row r="48" spans="2:14" ht="27" thickBot="1" x14ac:dyDescent="0.3">
      <c r="B48" s="30" t="s">
        <v>19</v>
      </c>
      <c r="C48" s="31" t="s">
        <v>38</v>
      </c>
      <c r="D48" s="31" t="s">
        <v>41</v>
      </c>
      <c r="E48" s="31" t="s">
        <v>15</v>
      </c>
      <c r="F48" s="31" t="s">
        <v>16</v>
      </c>
      <c r="G48" s="31" t="s">
        <v>17</v>
      </c>
      <c r="H48" s="31" t="s">
        <v>116</v>
      </c>
      <c r="I48" s="31" t="s">
        <v>20</v>
      </c>
      <c r="J48" s="25"/>
      <c r="K48" s="8"/>
      <c r="L48" s="8"/>
      <c r="M48" s="8"/>
      <c r="N48" s="8"/>
    </row>
    <row r="49" spans="1:10" ht="12.75" customHeight="1" x14ac:dyDescent="0.25">
      <c r="B49" s="4"/>
      <c r="C49" s="26">
        <v>0</v>
      </c>
      <c r="D49" s="26">
        <v>0</v>
      </c>
      <c r="E49" s="49">
        <f t="shared" ref="E49:E60" si="10">C49/$C$61</f>
        <v>0</v>
      </c>
      <c r="F49" s="49">
        <f t="shared" ref="F49:F60" si="11">D49/$D$61</f>
        <v>0</v>
      </c>
      <c r="G49" s="49">
        <v>0</v>
      </c>
      <c r="H49" s="50">
        <f>F49</f>
        <v>0</v>
      </c>
      <c r="I49" s="49">
        <v>0</v>
      </c>
      <c r="J49" s="28"/>
    </row>
    <row r="50" spans="1:10" ht="12.75" customHeight="1" x14ac:dyDescent="0.25">
      <c r="B50" s="82" t="s">
        <v>2</v>
      </c>
      <c r="C50" s="29">
        <v>0</v>
      </c>
      <c r="D50" s="29">
        <v>69.271813069261029</v>
      </c>
      <c r="E50" s="49">
        <f t="shared" si="10"/>
        <v>0</v>
      </c>
      <c r="F50" s="49">
        <f t="shared" si="11"/>
        <v>0.32943230119860772</v>
      </c>
      <c r="G50" s="49">
        <f t="shared" ref="G50:G60" si="12">G49+E50</f>
        <v>0</v>
      </c>
      <c r="H50" s="50">
        <f t="shared" ref="H50:H60" si="13">F50+H49</f>
        <v>0.32943230119860772</v>
      </c>
      <c r="I50" s="49">
        <f t="shared" ref="I50:I60" si="14">(G49+G50)*0.5*(H50-H49)</f>
        <v>0</v>
      </c>
      <c r="J50" s="28"/>
    </row>
    <row r="51" spans="1:10" ht="12.75" customHeight="1" x14ac:dyDescent="0.25">
      <c r="A51" s="8"/>
      <c r="B51" s="82" t="s">
        <v>7</v>
      </c>
      <c r="C51" s="29">
        <v>0</v>
      </c>
      <c r="D51" s="29">
        <v>29.117384905391187</v>
      </c>
      <c r="E51" s="49">
        <f t="shared" si="10"/>
        <v>0</v>
      </c>
      <c r="F51" s="49">
        <f t="shared" si="11"/>
        <v>0.13847200887723135</v>
      </c>
      <c r="G51" s="49">
        <f t="shared" si="12"/>
        <v>0</v>
      </c>
      <c r="H51" s="50">
        <f t="shared" si="13"/>
        <v>0.4679043100758391</v>
      </c>
      <c r="I51" s="49">
        <f t="shared" si="14"/>
        <v>0</v>
      </c>
      <c r="J51" s="28"/>
    </row>
    <row r="52" spans="1:10" ht="12.75" customHeight="1" x14ac:dyDescent="0.25">
      <c r="B52" s="82" t="s">
        <v>8</v>
      </c>
      <c r="C52" s="29">
        <v>0</v>
      </c>
      <c r="D52" s="29">
        <v>9.6890374893495448</v>
      </c>
      <c r="E52" s="49">
        <f t="shared" si="10"/>
        <v>0</v>
      </c>
      <c r="F52" s="49">
        <f t="shared" si="11"/>
        <v>4.6077643634426256E-2</v>
      </c>
      <c r="G52" s="49">
        <f t="shared" si="12"/>
        <v>0</v>
      </c>
      <c r="H52" s="50">
        <f t="shared" si="13"/>
        <v>0.51398195371026534</v>
      </c>
      <c r="I52" s="49">
        <f t="shared" si="14"/>
        <v>0</v>
      </c>
      <c r="J52" s="28"/>
    </row>
    <row r="53" spans="1:10" ht="12.75" customHeight="1" x14ac:dyDescent="0.25">
      <c r="B53" s="111" t="s">
        <v>10</v>
      </c>
      <c r="C53" s="29">
        <v>0</v>
      </c>
      <c r="D53" s="29">
        <v>30.238653792381729</v>
      </c>
      <c r="E53" s="49">
        <f t="shared" si="10"/>
        <v>0</v>
      </c>
      <c r="F53" s="49">
        <f t="shared" si="11"/>
        <v>0.14380436807698796</v>
      </c>
      <c r="G53" s="49">
        <f t="shared" si="12"/>
        <v>0</v>
      </c>
      <c r="H53" s="50">
        <f t="shared" si="13"/>
        <v>0.65778632178725327</v>
      </c>
      <c r="I53" s="49">
        <f t="shared" si="14"/>
        <v>0</v>
      </c>
      <c r="J53" s="28"/>
    </row>
    <row r="54" spans="1:10" ht="12.75" customHeight="1" x14ac:dyDescent="0.25">
      <c r="B54" s="82" t="s">
        <v>1</v>
      </c>
      <c r="C54" s="29">
        <v>1.2332552620142447</v>
      </c>
      <c r="D54" s="29">
        <v>4.5376418747929925</v>
      </c>
      <c r="E54" s="49">
        <f t="shared" si="10"/>
        <v>7.9080986475198595E-3</v>
      </c>
      <c r="F54" s="49">
        <f t="shared" si="11"/>
        <v>2.1579423702012924E-2</v>
      </c>
      <c r="G54" s="49">
        <f t="shared" si="12"/>
        <v>7.9080986475198595E-3</v>
      </c>
      <c r="H54" s="50">
        <f t="shared" si="13"/>
        <v>0.6793657454892662</v>
      </c>
      <c r="I54" s="49">
        <f t="shared" si="14"/>
        <v>8.5326105696073248E-5</v>
      </c>
      <c r="J54" s="28"/>
    </row>
    <row r="55" spans="1:10" ht="12.75" customHeight="1" x14ac:dyDescent="0.25">
      <c r="B55" s="82" t="s">
        <v>195</v>
      </c>
      <c r="C55" s="29">
        <v>2.4187231998381997</v>
      </c>
      <c r="D55" s="29">
        <v>2.8309348591687482</v>
      </c>
      <c r="E55" s="49">
        <f t="shared" si="10"/>
        <v>1.5509766918914182E-2</v>
      </c>
      <c r="F55" s="49">
        <f t="shared" si="11"/>
        <v>1.3462927327553286E-2</v>
      </c>
      <c r="G55" s="49">
        <f t="shared" si="12"/>
        <v>2.3417865566434042E-2</v>
      </c>
      <c r="H55" s="50">
        <f t="shared" si="13"/>
        <v>0.69282867281681948</v>
      </c>
      <c r="I55" s="49">
        <f t="shared" si="14"/>
        <v>2.1086958983899796E-4</v>
      </c>
      <c r="J55" s="28"/>
    </row>
    <row r="56" spans="1:10" ht="12.75" customHeight="1" x14ac:dyDescent="0.25">
      <c r="B56" s="82" t="s">
        <v>3</v>
      </c>
      <c r="C56" s="29">
        <v>3.502514612375089</v>
      </c>
      <c r="D56" s="29">
        <v>1.1215507094546049</v>
      </c>
      <c r="E56" s="49">
        <f t="shared" si="10"/>
        <v>2.2459446898124857E-2</v>
      </c>
      <c r="F56" s="49">
        <f t="shared" si="11"/>
        <v>5.3336994479579163E-3</v>
      </c>
      <c r="G56" s="49">
        <f t="shared" si="12"/>
        <v>4.5877312464558895E-2</v>
      </c>
      <c r="H56" s="50">
        <f t="shared" si="13"/>
        <v>0.6981623722647774</v>
      </c>
      <c r="I56" s="49">
        <f t="shared" si="14"/>
        <v>1.8479982640502636E-4</v>
      </c>
      <c r="J56" s="28"/>
    </row>
    <row r="57" spans="1:10" ht="12.75" customHeight="1" x14ac:dyDescent="0.25">
      <c r="B57" s="111" t="s">
        <v>6</v>
      </c>
      <c r="C57" s="29">
        <v>3.5584735717562475</v>
      </c>
      <c r="D57" s="29">
        <v>8.8569452121066199</v>
      </c>
      <c r="E57" s="49">
        <f t="shared" si="10"/>
        <v>2.2818276886229661E-2</v>
      </c>
      <c r="F57" s="49">
        <f t="shared" si="11"/>
        <v>4.212050635800401E-2</v>
      </c>
      <c r="G57" s="49">
        <f t="shared" si="12"/>
        <v>6.8695589350788552E-2</v>
      </c>
      <c r="H57" s="50">
        <f t="shared" si="13"/>
        <v>0.74028287862278142</v>
      </c>
      <c r="I57" s="49">
        <f t="shared" si="14"/>
        <v>2.4129343196841561E-3</v>
      </c>
      <c r="J57" s="28"/>
    </row>
    <row r="58" spans="1:10" ht="12.75" customHeight="1" x14ac:dyDescent="0.25">
      <c r="B58" s="82" t="s">
        <v>5</v>
      </c>
      <c r="C58" s="29">
        <v>17.520230893648204</v>
      </c>
      <c r="D58" s="29">
        <v>15.757944722787245</v>
      </c>
      <c r="E58" s="49">
        <f t="shared" si="10"/>
        <v>0.11234633940097852</v>
      </c>
      <c r="F58" s="49">
        <f t="shared" si="11"/>
        <v>7.4939225092865561E-2</v>
      </c>
      <c r="G58" s="49">
        <f t="shared" si="12"/>
        <v>0.18104192875176706</v>
      </c>
      <c r="H58" s="50">
        <f t="shared" si="13"/>
        <v>0.81522210371564696</v>
      </c>
      <c r="I58" s="49">
        <f t="shared" si="14"/>
        <v>9.3575680416104999E-3</v>
      </c>
      <c r="J58" s="28"/>
    </row>
    <row r="59" spans="1:10" ht="12.75" customHeight="1" x14ac:dyDescent="0.25">
      <c r="B59" s="82" t="s">
        <v>9</v>
      </c>
      <c r="C59" s="29">
        <v>23.742632694444477</v>
      </c>
      <c r="D59" s="29">
        <v>8.9436766609828364</v>
      </c>
      <c r="E59" s="49">
        <f t="shared" si="10"/>
        <v>0.15224673048857298</v>
      </c>
      <c r="F59" s="49">
        <f t="shared" si="11"/>
        <v>4.2532970526669753E-2</v>
      </c>
      <c r="G59" s="49">
        <f t="shared" si="12"/>
        <v>0.33328865924034001</v>
      </c>
      <c r="H59" s="50">
        <f t="shared" si="13"/>
        <v>0.85775507424231667</v>
      </c>
      <c r="I59" s="49">
        <f t="shared" si="14"/>
        <v>1.0938003870016496E-2</v>
      </c>
      <c r="J59" s="28"/>
    </row>
    <row r="60" spans="1:10" ht="12.75" customHeight="1" thickBot="1" x14ac:dyDescent="0.3">
      <c r="B60" s="86" t="s">
        <v>4</v>
      </c>
      <c r="C60" s="32">
        <v>103.97256102695296</v>
      </c>
      <c r="D60" s="32">
        <v>29.910739995094342</v>
      </c>
      <c r="E60" s="49">
        <f t="shared" si="10"/>
        <v>0.66671134075965988</v>
      </c>
      <c r="F60" s="49">
        <f t="shared" si="11"/>
        <v>0.14224492575768344</v>
      </c>
      <c r="G60" s="51">
        <f t="shared" si="12"/>
        <v>0.99999999999999989</v>
      </c>
      <c r="H60" s="52">
        <f t="shared" si="13"/>
        <v>1</v>
      </c>
      <c r="I60" s="51">
        <f t="shared" si="14"/>
        <v>9.482677317360165E-2</v>
      </c>
      <c r="J60" s="28"/>
    </row>
    <row r="61" spans="1:10" ht="12.75" customHeight="1" thickBot="1" x14ac:dyDescent="0.3">
      <c r="B61" s="35" t="s">
        <v>12</v>
      </c>
      <c r="C61" s="6">
        <f t="shared" ref="C61:I61" si="15">SUM(C49:C60)</f>
        <v>155.94839126102943</v>
      </c>
      <c r="D61" s="6">
        <f t="shared" si="15"/>
        <v>210.27632329077085</v>
      </c>
      <c r="E61" s="6">
        <f t="shared" si="15"/>
        <v>0.99999999999999989</v>
      </c>
      <c r="F61" s="6">
        <f t="shared" si="15"/>
        <v>1</v>
      </c>
      <c r="G61" s="6">
        <f t="shared" si="15"/>
        <v>1.6602294540214082</v>
      </c>
      <c r="H61" s="6">
        <f t="shared" si="15"/>
        <v>7.4527217339235738</v>
      </c>
      <c r="I61" s="106">
        <f t="shared" si="15"/>
        <v>0.1180162749268529</v>
      </c>
      <c r="J61" s="28"/>
    </row>
    <row r="62" spans="1:10" ht="12.75" customHeight="1" thickBot="1" x14ac:dyDescent="0.3">
      <c r="B62" s="4"/>
      <c r="C62" s="4"/>
      <c r="D62" s="4"/>
      <c r="E62" s="50"/>
      <c r="F62" s="50"/>
      <c r="G62" s="50"/>
      <c r="H62" s="53"/>
      <c r="I62" s="53"/>
      <c r="J62" s="9"/>
    </row>
    <row r="63" spans="1:10" ht="12.75" customHeight="1" thickBot="1" x14ac:dyDescent="0.3">
      <c r="B63" s="4"/>
      <c r="C63" s="4"/>
      <c r="D63" s="4"/>
      <c r="E63" s="50"/>
      <c r="F63" s="50"/>
      <c r="G63" s="55"/>
      <c r="H63" s="56" t="s">
        <v>29</v>
      </c>
      <c r="I63" s="52">
        <f>1-(2*I61)</f>
        <v>0.76396745014629419</v>
      </c>
      <c r="J63" s="9"/>
    </row>
    <row r="64" spans="1:10" ht="12.75" customHeight="1" x14ac:dyDescent="0.25"/>
    <row r="65" spans="2:14" ht="12.75" customHeight="1" x14ac:dyDescent="0.25"/>
    <row r="66" spans="2:14" ht="12.75" customHeight="1" x14ac:dyDescent="0.25"/>
    <row r="67" spans="2:14" ht="12.75" customHeight="1" x14ac:dyDescent="0.25"/>
    <row r="68" spans="2:14" ht="16.2" thickBot="1" x14ac:dyDescent="0.35">
      <c r="B68" s="256" t="s">
        <v>98</v>
      </c>
      <c r="C68" s="256"/>
      <c r="D68" s="256"/>
      <c r="E68" s="256"/>
      <c r="F68" s="256"/>
      <c r="G68" s="256"/>
      <c r="H68" s="256"/>
      <c r="I68" s="256"/>
    </row>
    <row r="69" spans="2:14" ht="37.200000000000003" customHeight="1" thickBot="1" x14ac:dyDescent="0.3">
      <c r="B69" s="36" t="s">
        <v>19</v>
      </c>
      <c r="C69" s="37" t="s">
        <v>93</v>
      </c>
      <c r="D69" s="37" t="s">
        <v>41</v>
      </c>
      <c r="E69" s="37" t="s">
        <v>91</v>
      </c>
      <c r="F69" s="37" t="s">
        <v>16</v>
      </c>
      <c r="G69" s="37" t="s">
        <v>92</v>
      </c>
      <c r="H69" s="37" t="s">
        <v>116</v>
      </c>
      <c r="I69" s="37" t="s">
        <v>20</v>
      </c>
      <c r="J69" s="8"/>
      <c r="K69" s="8"/>
      <c r="L69" s="8"/>
      <c r="M69" s="8"/>
      <c r="N69" s="8"/>
    </row>
    <row r="70" spans="2:14" ht="12.75" customHeight="1" x14ac:dyDescent="0.25">
      <c r="B70" s="4"/>
      <c r="C70" s="26">
        <v>0</v>
      </c>
      <c r="D70" s="26">
        <v>0</v>
      </c>
      <c r="E70" s="49">
        <f t="shared" ref="E70:E81" si="16">C70/$C$82</f>
        <v>0</v>
      </c>
      <c r="F70" s="49">
        <v>0</v>
      </c>
      <c r="G70" s="49">
        <v>0</v>
      </c>
      <c r="H70" s="50">
        <f>F70</f>
        <v>0</v>
      </c>
      <c r="I70" s="49">
        <v>0</v>
      </c>
    </row>
    <row r="71" spans="2:14" ht="12.75" customHeight="1" x14ac:dyDescent="0.25">
      <c r="B71" s="82" t="s">
        <v>1</v>
      </c>
      <c r="C71" s="29">
        <v>1.2332552620142447</v>
      </c>
      <c r="D71" s="29">
        <v>4.5376418747929925</v>
      </c>
      <c r="E71" s="49">
        <f t="shared" si="16"/>
        <v>4.1855150022580721E-3</v>
      </c>
      <c r="F71" s="49">
        <f t="shared" ref="F71:F81" si="17">D71/$D$82</f>
        <v>2.1579423702012924E-2</v>
      </c>
      <c r="G71" s="49">
        <f t="shared" ref="G71:G81" si="18">G70+E71</f>
        <v>4.1855150022580721E-3</v>
      </c>
      <c r="H71" s="50">
        <f t="shared" ref="H71:H81" si="19">F71+H70</f>
        <v>2.1579423702012924E-2</v>
      </c>
      <c r="I71" s="49">
        <f t="shared" ref="I71:I81" si="20">(G70+G71)*0.5*(H71-H70)</f>
        <v>4.5160500822429258E-5</v>
      </c>
    </row>
    <row r="72" spans="2:14" ht="12.75" customHeight="1" x14ac:dyDescent="0.25">
      <c r="B72" s="82" t="s">
        <v>195</v>
      </c>
      <c r="C72" s="29">
        <v>2.4187231998381997</v>
      </c>
      <c r="D72" s="29">
        <v>2.8309348591687482</v>
      </c>
      <c r="E72" s="49">
        <f t="shared" si="16"/>
        <v>8.2088457686349606E-3</v>
      </c>
      <c r="F72" s="49">
        <f t="shared" si="17"/>
        <v>1.3462927327553286E-2</v>
      </c>
      <c r="G72" s="49">
        <f t="shared" si="18"/>
        <v>1.2394360770893034E-2</v>
      </c>
      <c r="H72" s="50">
        <f t="shared" si="19"/>
        <v>3.504235102956621E-2</v>
      </c>
      <c r="I72" s="49">
        <f t="shared" si="20"/>
        <v>1.1160683131689735E-4</v>
      </c>
    </row>
    <row r="73" spans="2:14" ht="12.75" customHeight="1" x14ac:dyDescent="0.25">
      <c r="B73" s="82" t="s">
        <v>3</v>
      </c>
      <c r="C73" s="29">
        <v>3.502514612375089</v>
      </c>
      <c r="D73" s="29">
        <v>1.1215507094546049</v>
      </c>
      <c r="E73" s="49">
        <f t="shared" si="16"/>
        <v>1.1887099051805806E-2</v>
      </c>
      <c r="F73" s="49">
        <f t="shared" si="17"/>
        <v>5.3336994479579163E-3</v>
      </c>
      <c r="G73" s="49">
        <f t="shared" si="18"/>
        <v>2.4281459822698838E-2</v>
      </c>
      <c r="H73" s="50">
        <f t="shared" si="19"/>
        <v>4.0376050477524128E-2</v>
      </c>
      <c r="I73" s="49">
        <f t="shared" si="20"/>
        <v>9.7808902026722301E-5</v>
      </c>
    </row>
    <row r="74" spans="2:14" ht="12.75" customHeight="1" x14ac:dyDescent="0.25">
      <c r="B74" s="111" t="s">
        <v>6</v>
      </c>
      <c r="C74" s="29">
        <v>7.3584735717562477</v>
      </c>
      <c r="D74" s="29">
        <v>8.8569452121066199</v>
      </c>
      <c r="E74" s="49">
        <f t="shared" si="16"/>
        <v>2.4973744266050875E-2</v>
      </c>
      <c r="F74" s="49">
        <f t="shared" si="17"/>
        <v>4.212050635800401E-2</v>
      </c>
      <c r="G74" s="49">
        <f t="shared" si="18"/>
        <v>4.9255204088749713E-2</v>
      </c>
      <c r="H74" s="50">
        <f t="shared" si="19"/>
        <v>8.2496556835528145E-2</v>
      </c>
      <c r="I74" s="49">
        <f t="shared" si="20"/>
        <v>1.5487007599142867E-3</v>
      </c>
    </row>
    <row r="75" spans="2:14" ht="12.75" customHeight="1" x14ac:dyDescent="0.25">
      <c r="B75" s="82" t="s">
        <v>5</v>
      </c>
      <c r="C75" s="29">
        <v>17.520230893648204</v>
      </c>
      <c r="D75" s="29">
        <v>15.757944722787245</v>
      </c>
      <c r="E75" s="49">
        <f t="shared" si="16"/>
        <v>5.9461484987803674E-2</v>
      </c>
      <c r="F75" s="49">
        <f t="shared" si="17"/>
        <v>7.4939225092865561E-2</v>
      </c>
      <c r="G75" s="49">
        <f t="shared" si="18"/>
        <v>0.10871668907655338</v>
      </c>
      <c r="H75" s="50">
        <f t="shared" si="19"/>
        <v>0.15743578192839369</v>
      </c>
      <c r="I75" s="49">
        <f t="shared" si="20"/>
        <v>5.9191456301303782E-3</v>
      </c>
    </row>
    <row r="76" spans="2:14" ht="12.75" customHeight="1" x14ac:dyDescent="0.25">
      <c r="B76" s="111" t="s">
        <v>10</v>
      </c>
      <c r="C76" s="29">
        <v>21.1</v>
      </c>
      <c r="D76" s="29">
        <v>30.238653792381729</v>
      </c>
      <c r="E76" s="49">
        <f t="shared" si="16"/>
        <v>7.1610776185461952E-2</v>
      </c>
      <c r="F76" s="49">
        <f t="shared" si="17"/>
        <v>0.14380436807698796</v>
      </c>
      <c r="G76" s="49">
        <f t="shared" si="18"/>
        <v>0.18032746526201532</v>
      </c>
      <c r="H76" s="50">
        <f t="shared" si="19"/>
        <v>0.30124015000538162</v>
      </c>
      <c r="I76" s="49">
        <f t="shared" si="20"/>
        <v>2.0782905980502617E-2</v>
      </c>
    </row>
    <row r="77" spans="2:14" ht="12.75" customHeight="1" x14ac:dyDescent="0.25">
      <c r="B77" s="82" t="s">
        <v>8</v>
      </c>
      <c r="C77" s="29">
        <v>23.5</v>
      </c>
      <c r="D77" s="29">
        <v>9.6890374893495448</v>
      </c>
      <c r="E77" s="49">
        <f t="shared" si="16"/>
        <v>7.9756077742102166E-2</v>
      </c>
      <c r="F77" s="49">
        <f t="shared" si="17"/>
        <v>4.6077643634426256E-2</v>
      </c>
      <c r="G77" s="49">
        <f t="shared" si="18"/>
        <v>0.26008354300411751</v>
      </c>
      <c r="H77" s="50">
        <f t="shared" si="19"/>
        <v>0.34731779363980786</v>
      </c>
      <c r="I77" s="49">
        <f t="shared" si="20"/>
        <v>1.0146550745782608E-2</v>
      </c>
    </row>
    <row r="78" spans="2:14" ht="12.75" customHeight="1" x14ac:dyDescent="0.25">
      <c r="B78" s="82" t="s">
        <v>9</v>
      </c>
      <c r="C78" s="29">
        <v>23.742632694444477</v>
      </c>
      <c r="D78" s="29">
        <v>8.9436766609828364</v>
      </c>
      <c r="E78" s="49">
        <f t="shared" si="16"/>
        <v>8.0579542935331511E-2</v>
      </c>
      <c r="F78" s="49">
        <f t="shared" si="17"/>
        <v>4.2532970526669753E-2</v>
      </c>
      <c r="G78" s="49">
        <f t="shared" si="18"/>
        <v>0.34066308593944905</v>
      </c>
      <c r="H78" s="50">
        <f t="shared" si="19"/>
        <v>0.38985076416647763</v>
      </c>
      <c r="I78" s="49">
        <f t="shared" si="20"/>
        <v>1.2775769331426467E-2</v>
      </c>
    </row>
    <row r="79" spans="2:14" ht="12.75" customHeight="1" x14ac:dyDescent="0.25">
      <c r="B79" s="82" t="s">
        <v>7</v>
      </c>
      <c r="C79" s="29">
        <v>33.799999999999997</v>
      </c>
      <c r="D79" s="29">
        <v>29.117384905391187</v>
      </c>
      <c r="E79" s="49">
        <f t="shared" si="16"/>
        <v>0.11471299692268311</v>
      </c>
      <c r="F79" s="49">
        <f t="shared" si="17"/>
        <v>0.13847200887723135</v>
      </c>
      <c r="G79" s="49">
        <f t="shared" si="18"/>
        <v>0.45537608286213216</v>
      </c>
      <c r="H79" s="50">
        <f t="shared" si="19"/>
        <v>0.528322773043709</v>
      </c>
      <c r="I79" s="49">
        <f t="shared" si="20"/>
        <v>5.511457142445822E-2</v>
      </c>
    </row>
    <row r="80" spans="2:14" ht="12.75" customHeight="1" x14ac:dyDescent="0.25">
      <c r="B80" s="82" t="s">
        <v>2</v>
      </c>
      <c r="C80" s="29">
        <v>56.5</v>
      </c>
      <c r="D80" s="29">
        <v>69.271813069261029</v>
      </c>
      <c r="E80" s="49">
        <f t="shared" si="16"/>
        <v>0.19175397414590523</v>
      </c>
      <c r="F80" s="49">
        <f t="shared" si="17"/>
        <v>0.32943230119860772</v>
      </c>
      <c r="G80" s="49">
        <f t="shared" si="18"/>
        <v>0.64713005700803738</v>
      </c>
      <c r="H80" s="50">
        <f t="shared" si="19"/>
        <v>0.85775507424231678</v>
      </c>
      <c r="I80" s="49">
        <f t="shared" si="20"/>
        <v>0.18160056737151206</v>
      </c>
    </row>
    <row r="81" spans="1:14" ht="12.75" customHeight="1" thickBot="1" x14ac:dyDescent="0.3">
      <c r="B81" s="86" t="s">
        <v>4</v>
      </c>
      <c r="C81" s="32">
        <v>103.97256102695296</v>
      </c>
      <c r="D81" s="32">
        <v>29.910739995094342</v>
      </c>
      <c r="E81" s="51">
        <f t="shared" si="16"/>
        <v>0.35286994299196267</v>
      </c>
      <c r="F81" s="51">
        <f t="shared" si="17"/>
        <v>0.14224492575768344</v>
      </c>
      <c r="G81" s="51">
        <f t="shared" si="18"/>
        <v>1</v>
      </c>
      <c r="H81" s="52">
        <f t="shared" si="19"/>
        <v>1.0000000000000002</v>
      </c>
      <c r="I81" s="51">
        <f t="shared" si="20"/>
        <v>0.11714794633617859</v>
      </c>
    </row>
    <row r="82" spans="1:14" ht="12.75" customHeight="1" thickBot="1" x14ac:dyDescent="0.3">
      <c r="B82" s="38" t="s">
        <v>12</v>
      </c>
      <c r="C82" s="32">
        <f>SUM(C70:C81)</f>
        <v>294.64839126102942</v>
      </c>
      <c r="D82" s="32">
        <f>SUM(D70:D81)</f>
        <v>210.27632329077085</v>
      </c>
      <c r="E82" s="51">
        <f>SUM(E71:E81)</f>
        <v>1</v>
      </c>
      <c r="F82" s="51">
        <f>SUM(F71:F81)</f>
        <v>1.0000000000000002</v>
      </c>
      <c r="G82" s="52"/>
      <c r="H82" s="52"/>
      <c r="I82" s="51">
        <f>SUM(I70:I81)</f>
        <v>0.40529073381407127</v>
      </c>
    </row>
    <row r="83" spans="1:14" ht="12.75" customHeight="1" thickBot="1" x14ac:dyDescent="0.3">
      <c r="B83" s="47"/>
      <c r="C83" s="29"/>
      <c r="D83" s="29"/>
      <c r="E83" s="26"/>
      <c r="F83" s="27"/>
      <c r="G83" s="4"/>
      <c r="H83" s="40"/>
      <c r="I83" s="34"/>
    </row>
    <row r="84" spans="1:14" ht="12.75" customHeight="1" thickBot="1" x14ac:dyDescent="0.3">
      <c r="B84" s="4"/>
      <c r="C84" s="4"/>
      <c r="D84" s="4"/>
      <c r="E84" s="4"/>
      <c r="F84" s="4"/>
      <c r="G84" s="5"/>
      <c r="H84" s="48" t="s">
        <v>37</v>
      </c>
      <c r="I84" s="61">
        <f>1-(2*I82)</f>
        <v>0.18941853237185746</v>
      </c>
    </row>
    <row r="85" spans="1:14" ht="12.75" customHeight="1" x14ac:dyDescent="0.25">
      <c r="B85" s="4"/>
      <c r="C85" s="4"/>
      <c r="D85" s="4"/>
      <c r="E85" s="4"/>
      <c r="F85" s="4"/>
      <c r="G85" s="5"/>
      <c r="H85" s="107"/>
      <c r="I85" s="108"/>
    </row>
    <row r="86" spans="1:14" ht="12.75" customHeight="1" x14ac:dyDescent="0.25">
      <c r="B86" s="4"/>
      <c r="C86" s="4"/>
      <c r="D86" s="4"/>
      <c r="E86" s="4"/>
      <c r="F86" s="4"/>
      <c r="G86" s="5"/>
      <c r="H86" s="107"/>
      <c r="I86" s="108"/>
    </row>
    <row r="87" spans="1:14" ht="12.75" customHeight="1" x14ac:dyDescent="0.25"/>
    <row r="88" spans="1:14" ht="12.75" customHeight="1" x14ac:dyDescent="0.25"/>
    <row r="89" spans="1:14" ht="23.55" customHeight="1" x14ac:dyDescent="0.25">
      <c r="A89" s="252" t="s">
        <v>113</v>
      </c>
      <c r="B89" s="252"/>
      <c r="C89" s="252"/>
      <c r="D89" s="252"/>
      <c r="E89" s="252"/>
      <c r="F89" s="252"/>
    </row>
    <row r="90" spans="1:14" ht="12.75" customHeight="1" x14ac:dyDescent="0.25">
      <c r="D90" s="1"/>
    </row>
    <row r="91" spans="1:14" ht="12.75" customHeight="1" x14ac:dyDescent="0.25"/>
    <row r="92" spans="1:14" ht="16.2" thickBot="1" x14ac:dyDescent="0.35">
      <c r="B92" s="256" t="s">
        <v>99</v>
      </c>
      <c r="C92" s="256"/>
      <c r="D92" s="256"/>
      <c r="E92" s="256"/>
      <c r="F92" s="256"/>
      <c r="G92" s="256"/>
      <c r="H92" s="256"/>
      <c r="I92" s="256"/>
    </row>
    <row r="93" spans="1:14" ht="27" thickBot="1" x14ac:dyDescent="0.3">
      <c r="A93" s="8"/>
      <c r="B93" s="36" t="s">
        <v>19</v>
      </c>
      <c r="C93" s="37" t="s">
        <v>42</v>
      </c>
      <c r="D93" s="37" t="s">
        <v>44</v>
      </c>
      <c r="E93" s="37" t="s">
        <v>27</v>
      </c>
      <c r="F93" s="37" t="s">
        <v>21</v>
      </c>
      <c r="G93" s="37" t="s">
        <v>28</v>
      </c>
      <c r="H93" s="37" t="s">
        <v>117</v>
      </c>
      <c r="I93" s="37" t="s">
        <v>20</v>
      </c>
      <c r="J93" s="8"/>
      <c r="K93" s="8"/>
      <c r="L93" s="8"/>
      <c r="M93" s="8"/>
      <c r="N93" s="8"/>
    </row>
    <row r="94" spans="1:14" ht="12.75" customHeight="1" x14ac:dyDescent="0.25">
      <c r="B94" s="4"/>
      <c r="C94" s="26">
        <v>0</v>
      </c>
      <c r="D94" s="26">
        <v>0</v>
      </c>
      <c r="E94" s="49">
        <v>0</v>
      </c>
      <c r="F94" s="49">
        <v>0</v>
      </c>
      <c r="G94" s="49">
        <v>0</v>
      </c>
      <c r="H94" s="50">
        <f>F94</f>
        <v>0</v>
      </c>
      <c r="I94" s="49">
        <v>0</v>
      </c>
    </row>
    <row r="95" spans="1:14" ht="12.75" customHeight="1" x14ac:dyDescent="0.25">
      <c r="B95" s="82" t="s">
        <v>2</v>
      </c>
      <c r="C95" s="29">
        <v>2.0694062512288069</v>
      </c>
      <c r="D95" s="29">
        <v>33738.127951375733</v>
      </c>
      <c r="E95" s="49">
        <f t="shared" ref="E95:E105" si="21">C95/$C$106</f>
        <v>1.0017090868103106E-3</v>
      </c>
      <c r="F95" s="49">
        <f t="shared" ref="F95:F105" si="22">D95/$D$106</f>
        <v>6.1580410728501248E-2</v>
      </c>
      <c r="G95" s="49">
        <f t="shared" ref="G95:G105" si="23">G94+E95</f>
        <v>1.0017090868103106E-3</v>
      </c>
      <c r="H95" s="50">
        <f t="shared" ref="H95:H105" si="24">F95+H94</f>
        <v>6.1580410728501248E-2</v>
      </c>
      <c r="I95" s="49">
        <f t="shared" ref="I95:I105" si="25">(G94+G95)*0.5*(H95-H94)</f>
        <v>3.0842828498125418E-5</v>
      </c>
    </row>
    <row r="96" spans="1:14" ht="12.75" customHeight="1" x14ac:dyDescent="0.25">
      <c r="B96" s="82" t="s">
        <v>3</v>
      </c>
      <c r="C96" s="29">
        <v>14.968035031675058</v>
      </c>
      <c r="D96" s="29">
        <v>4739.5256339269945</v>
      </c>
      <c r="E96" s="49">
        <f t="shared" si="21"/>
        <v>7.2453713204069037E-3</v>
      </c>
      <c r="F96" s="49">
        <f t="shared" si="22"/>
        <v>8.6508040877704764E-3</v>
      </c>
      <c r="G96" s="49">
        <f t="shared" si="23"/>
        <v>8.2470804072172152E-3</v>
      </c>
      <c r="H96" s="50">
        <f t="shared" si="24"/>
        <v>7.0231214816271731E-2</v>
      </c>
      <c r="I96" s="49">
        <f t="shared" si="25"/>
        <v>4.0004732980931008E-5</v>
      </c>
    </row>
    <row r="97" spans="2:9" ht="12.75" customHeight="1" x14ac:dyDescent="0.25">
      <c r="B97" s="82" t="s">
        <v>1</v>
      </c>
      <c r="C97" s="29">
        <v>15.520950911310514</v>
      </c>
      <c r="D97" s="29">
        <v>7498.2226388555227</v>
      </c>
      <c r="E97" s="49">
        <f t="shared" si="21"/>
        <v>7.5130137229287245E-3</v>
      </c>
      <c r="F97" s="49">
        <f t="shared" si="22"/>
        <v>1.3686107021111144E-2</v>
      </c>
      <c r="G97" s="49">
        <f t="shared" si="23"/>
        <v>1.5760094130145938E-2</v>
      </c>
      <c r="H97" s="50">
        <f t="shared" si="24"/>
        <v>8.3917321837382874E-2</v>
      </c>
      <c r="I97" s="49">
        <f t="shared" si="25"/>
        <v>1.6428237999642327E-4</v>
      </c>
    </row>
    <row r="98" spans="2:9" ht="12.75" customHeight="1" x14ac:dyDescent="0.25">
      <c r="B98" s="111" t="s">
        <v>6</v>
      </c>
      <c r="C98" s="29">
        <v>24.882879792724239</v>
      </c>
      <c r="D98" s="29">
        <v>12709.055149886017</v>
      </c>
      <c r="E98" s="49">
        <f t="shared" si="21"/>
        <v>1.2044714168414201E-2</v>
      </c>
      <c r="F98" s="49">
        <f t="shared" si="22"/>
        <v>2.3197162487174745E-2</v>
      </c>
      <c r="G98" s="49">
        <f t="shared" si="23"/>
        <v>2.7804808298560139E-2</v>
      </c>
      <c r="H98" s="50">
        <f t="shared" si="24"/>
        <v>0.10711448432455761</v>
      </c>
      <c r="I98" s="49">
        <f t="shared" si="25"/>
        <v>5.0529106018830405E-4</v>
      </c>
    </row>
    <row r="99" spans="2:9" ht="12.75" customHeight="1" x14ac:dyDescent="0.25">
      <c r="B99" s="82" t="s">
        <v>195</v>
      </c>
      <c r="C99" s="29">
        <v>29.013266537802092</v>
      </c>
      <c r="D99" s="29">
        <v>4549.0211045835586</v>
      </c>
      <c r="E99" s="49">
        <f t="shared" si="21"/>
        <v>1.4044053801281622E-2</v>
      </c>
      <c r="F99" s="49">
        <f t="shared" si="22"/>
        <v>8.3030863015460567E-3</v>
      </c>
      <c r="G99" s="49">
        <f t="shared" si="23"/>
        <v>4.184886209984176E-2</v>
      </c>
      <c r="H99" s="50">
        <f t="shared" si="24"/>
        <v>0.11541757062610367</v>
      </c>
      <c r="I99" s="49">
        <f t="shared" si="25"/>
        <v>2.891702182686873E-4</v>
      </c>
    </row>
    <row r="100" spans="2:9" ht="12.75" customHeight="1" x14ac:dyDescent="0.25">
      <c r="B100" s="82" t="s">
        <v>5</v>
      </c>
      <c r="C100" s="29">
        <v>78.591924466995167</v>
      </c>
      <c r="D100" s="29">
        <v>34543.134541376516</v>
      </c>
      <c r="E100" s="49">
        <f t="shared" si="21"/>
        <v>3.8042914406850391E-2</v>
      </c>
      <c r="F100" s="49">
        <f t="shared" si="22"/>
        <v>6.3049746446323052E-2</v>
      </c>
      <c r="G100" s="49">
        <f t="shared" si="23"/>
        <v>7.9891776506692158E-2</v>
      </c>
      <c r="H100" s="50">
        <f t="shared" si="24"/>
        <v>0.17846731707242672</v>
      </c>
      <c r="I100" s="49">
        <f t="shared" si="25"/>
        <v>3.8378581981777056E-3</v>
      </c>
    </row>
    <row r="101" spans="2:9" ht="12.75" customHeight="1" x14ac:dyDescent="0.25">
      <c r="B101" s="82" t="s">
        <v>9</v>
      </c>
      <c r="C101" s="29">
        <v>139.00252479965184</v>
      </c>
      <c r="D101" s="29">
        <v>43226.930239887697</v>
      </c>
      <c r="E101" s="49">
        <f t="shared" si="21"/>
        <v>6.7285044731408575E-2</v>
      </c>
      <c r="F101" s="49">
        <f t="shared" si="22"/>
        <v>7.8899816923481969E-2</v>
      </c>
      <c r="G101" s="49">
        <f t="shared" si="23"/>
        <v>0.14717682123810072</v>
      </c>
      <c r="H101" s="50">
        <f t="shared" si="24"/>
        <v>0.25736713399590871</v>
      </c>
      <c r="I101" s="49">
        <f t="shared" si="25"/>
        <v>8.9578353955679681E-3</v>
      </c>
    </row>
    <row r="102" spans="2:9" ht="12.75" customHeight="1" x14ac:dyDescent="0.25">
      <c r="B102" s="111" t="s">
        <v>10</v>
      </c>
      <c r="C102" s="29">
        <v>307.55202051543557</v>
      </c>
      <c r="D102" s="29">
        <v>69411.089457609574</v>
      </c>
      <c r="E102" s="49">
        <f t="shared" si="21"/>
        <v>0.1488724862188115</v>
      </c>
      <c r="F102" s="49">
        <f t="shared" si="22"/>
        <v>0.12669237024865945</v>
      </c>
      <c r="G102" s="49">
        <f t="shared" si="23"/>
        <v>0.29604930745691221</v>
      </c>
      <c r="H102" s="50">
        <f t="shared" si="24"/>
        <v>0.38405950424456814</v>
      </c>
      <c r="I102" s="49">
        <f t="shared" si="25"/>
        <v>2.8076684400254275E-2</v>
      </c>
    </row>
    <row r="103" spans="2:9" ht="12.75" customHeight="1" x14ac:dyDescent="0.25">
      <c r="B103" s="82" t="s">
        <v>7</v>
      </c>
      <c r="C103" s="29">
        <v>373.05433487641909</v>
      </c>
      <c r="D103" s="29">
        <v>179268.67227891536</v>
      </c>
      <c r="E103" s="49">
        <f t="shared" si="21"/>
        <v>0.18057929268252113</v>
      </c>
      <c r="F103" s="49">
        <f t="shared" si="22"/>
        <v>0.327209573856588</v>
      </c>
      <c r="G103" s="49">
        <f t="shared" si="23"/>
        <v>0.47662860013943331</v>
      </c>
      <c r="H103" s="50">
        <f t="shared" si="24"/>
        <v>0.71126907810115614</v>
      </c>
      <c r="I103" s="49">
        <f t="shared" si="25"/>
        <v>0.12641380443650013</v>
      </c>
    </row>
    <row r="104" spans="2:9" ht="12.75" customHeight="1" x14ac:dyDescent="0.25">
      <c r="B104" s="82" t="s">
        <v>4</v>
      </c>
      <c r="C104" s="29">
        <v>445.72650305262221</v>
      </c>
      <c r="D104" s="29">
        <v>149774.72401466093</v>
      </c>
      <c r="E104" s="49">
        <f t="shared" si="21"/>
        <v>0.21575671189495635</v>
      </c>
      <c r="F104" s="49">
        <f t="shared" si="22"/>
        <v>0.273375838602054</v>
      </c>
      <c r="G104" s="49">
        <f t="shared" si="23"/>
        <v>0.69238531203438969</v>
      </c>
      <c r="H104" s="50">
        <f t="shared" si="24"/>
        <v>0.98464491670321008</v>
      </c>
      <c r="I104" s="49">
        <f t="shared" si="25"/>
        <v>0.15979007928899336</v>
      </c>
    </row>
    <row r="105" spans="2:9" ht="12.75" customHeight="1" thickBot="1" x14ac:dyDescent="0.3">
      <c r="B105" s="86" t="s">
        <v>8</v>
      </c>
      <c r="C105" s="32">
        <v>635.49364444008404</v>
      </c>
      <c r="D105" s="32">
        <v>8412.6065227973904</v>
      </c>
      <c r="E105" s="51">
        <f t="shared" si="21"/>
        <v>0.30761468796561031</v>
      </c>
      <c r="F105" s="51">
        <f t="shared" si="22"/>
        <v>1.5355083296789959E-2</v>
      </c>
      <c r="G105" s="51">
        <f t="shared" si="23"/>
        <v>1</v>
      </c>
      <c r="H105" s="52">
        <f t="shared" si="24"/>
        <v>1</v>
      </c>
      <c r="I105" s="51">
        <f t="shared" si="25"/>
        <v>1.2993358718275925E-2</v>
      </c>
    </row>
    <row r="106" spans="2:9" ht="12.75" customHeight="1" thickBot="1" x14ac:dyDescent="0.3">
      <c r="B106" s="38" t="s">
        <v>12</v>
      </c>
      <c r="C106" s="32">
        <f>SUM(C95:C105)</f>
        <v>2065.8754906759486</v>
      </c>
      <c r="D106" s="32">
        <f>SUM(D95:D105)</f>
        <v>547871.10953387525</v>
      </c>
      <c r="E106" s="39">
        <f>SUM(E95:E105)</f>
        <v>1</v>
      </c>
      <c r="F106" s="33">
        <f>SUM(F95:F105)</f>
        <v>1</v>
      </c>
      <c r="G106" s="40"/>
      <c r="H106" s="40"/>
      <c r="I106" s="51">
        <f>SUM(I94:I105)</f>
        <v>0.34109921165770185</v>
      </c>
    </row>
    <row r="107" spans="2:9" ht="12.75" customHeight="1" thickBot="1" x14ac:dyDescent="0.3">
      <c r="B107" s="4"/>
      <c r="C107" s="4"/>
      <c r="D107" s="4"/>
      <c r="E107" s="4"/>
      <c r="F107" s="4"/>
      <c r="G107" s="4"/>
      <c r="H107" s="7"/>
      <c r="I107" s="53"/>
    </row>
    <row r="108" spans="2:9" ht="12.75" customHeight="1" thickBot="1" x14ac:dyDescent="0.3">
      <c r="B108" s="4"/>
      <c r="C108" s="4"/>
      <c r="D108" s="4"/>
      <c r="E108" s="4"/>
      <c r="F108" s="4"/>
      <c r="G108" s="5"/>
      <c r="H108" s="24" t="s">
        <v>29</v>
      </c>
      <c r="I108" s="52">
        <f>1-(2*I106)</f>
        <v>0.3178015766845963</v>
      </c>
    </row>
    <row r="109" spans="2:9" ht="12.75" customHeight="1" x14ac:dyDescent="0.25"/>
    <row r="110" spans="2:9" ht="12.75" customHeight="1" x14ac:dyDescent="0.25"/>
    <row r="111" spans="2:9" ht="12.75" customHeight="1" x14ac:dyDescent="0.25"/>
    <row r="112" spans="2:9" ht="12.75" customHeight="1" x14ac:dyDescent="0.25"/>
    <row r="113" spans="1:14" ht="16.2" thickBot="1" x14ac:dyDescent="0.35">
      <c r="B113" s="256" t="s">
        <v>100</v>
      </c>
      <c r="C113" s="256"/>
      <c r="D113" s="256"/>
      <c r="E113" s="256"/>
      <c r="F113" s="256"/>
      <c r="G113" s="256"/>
      <c r="H113" s="256"/>
      <c r="I113" s="256"/>
    </row>
    <row r="114" spans="1:14" ht="27" thickBot="1" x14ac:dyDescent="0.3">
      <c r="A114" s="8"/>
      <c r="B114" s="30" t="s">
        <v>19</v>
      </c>
      <c r="C114" s="31" t="s">
        <v>43</v>
      </c>
      <c r="D114" s="31" t="s">
        <v>44</v>
      </c>
      <c r="E114" s="31" t="s">
        <v>31</v>
      </c>
      <c r="F114" s="31" t="s">
        <v>21</v>
      </c>
      <c r="G114" s="31" t="s">
        <v>32</v>
      </c>
      <c r="H114" s="31" t="s">
        <v>117</v>
      </c>
      <c r="I114" s="31" t="s">
        <v>20</v>
      </c>
      <c r="J114" s="8"/>
      <c r="K114" s="8"/>
      <c r="L114" s="8"/>
      <c r="M114" s="8"/>
      <c r="N114" s="8"/>
    </row>
    <row r="115" spans="1:14" ht="12.75" customHeight="1" x14ac:dyDescent="0.25">
      <c r="B115" s="4"/>
      <c r="C115" s="26">
        <v>0</v>
      </c>
      <c r="D115" s="26">
        <v>0</v>
      </c>
      <c r="E115" s="49">
        <f t="shared" ref="E115:E126" si="26">C115/$C$127</f>
        <v>0</v>
      </c>
      <c r="F115" s="49">
        <v>0</v>
      </c>
      <c r="G115" s="49">
        <v>0</v>
      </c>
      <c r="H115" s="50">
        <f>F115</f>
        <v>0</v>
      </c>
      <c r="I115" s="49">
        <v>0</v>
      </c>
    </row>
    <row r="116" spans="1:14" ht="12.75" customHeight="1" x14ac:dyDescent="0.25">
      <c r="B116" s="82" t="s">
        <v>3</v>
      </c>
      <c r="C116" s="29">
        <v>11.508286871268448</v>
      </c>
      <c r="D116" s="29">
        <v>4739.5256339269945</v>
      </c>
      <c r="E116" s="49">
        <f t="shared" si="26"/>
        <v>5.365070841658535E-3</v>
      </c>
      <c r="F116" s="49">
        <f t="shared" ref="F116:F126" si="27">D116/$D$127</f>
        <v>8.6508040877704764E-3</v>
      </c>
      <c r="G116" s="49">
        <f t="shared" ref="G116:G126" si="28">G115+E116</f>
        <v>5.365070841658535E-3</v>
      </c>
      <c r="H116" s="50">
        <f t="shared" ref="H116:H126" si="29">F116+H115</f>
        <v>8.6508040877704764E-3</v>
      </c>
      <c r="I116" s="49">
        <f t="shared" ref="I116:I126" si="30">(G115+G116)*0.5*(H116-H115)</f>
        <v>2.3206088384098923E-5</v>
      </c>
    </row>
    <row r="117" spans="1:14" ht="12.75" customHeight="1" x14ac:dyDescent="0.25">
      <c r="B117" s="82" t="s">
        <v>1</v>
      </c>
      <c r="C117" s="29">
        <v>14.311543976463907</v>
      </c>
      <c r="D117" s="29">
        <v>7498.2226388555227</v>
      </c>
      <c r="E117" s="49">
        <f t="shared" si="26"/>
        <v>6.6719267729530764E-3</v>
      </c>
      <c r="F117" s="49">
        <f t="shared" si="27"/>
        <v>1.3686107021111144E-2</v>
      </c>
      <c r="G117" s="49">
        <f t="shared" si="28"/>
        <v>1.2036997614611612E-2</v>
      </c>
      <c r="H117" s="50">
        <f t="shared" si="29"/>
        <v>2.233691110888162E-2</v>
      </c>
      <c r="I117" s="49">
        <f t="shared" si="30"/>
        <v>1.190832856406078E-4</v>
      </c>
    </row>
    <row r="118" spans="1:14" ht="12.75" customHeight="1" x14ac:dyDescent="0.25">
      <c r="B118" s="111" t="s">
        <v>6</v>
      </c>
      <c r="C118" s="29">
        <v>21.369975555093788</v>
      </c>
      <c r="D118" s="29">
        <v>12709.055149886017</v>
      </c>
      <c r="E118" s="49">
        <f t="shared" si="26"/>
        <v>9.9625108428455806E-3</v>
      </c>
      <c r="F118" s="49">
        <f t="shared" si="27"/>
        <v>2.3197162487174745E-2</v>
      </c>
      <c r="G118" s="49">
        <f t="shared" si="28"/>
        <v>2.1999508457457191E-2</v>
      </c>
      <c r="H118" s="50">
        <f t="shared" si="29"/>
        <v>4.5534073596056365E-2</v>
      </c>
      <c r="I118" s="49">
        <f t="shared" si="30"/>
        <v>3.9477518092474495E-4</v>
      </c>
    </row>
    <row r="119" spans="1:14" ht="12.75" customHeight="1" x14ac:dyDescent="0.25">
      <c r="B119" s="82" t="s">
        <v>195</v>
      </c>
      <c r="C119" s="29">
        <v>26.829847298910604</v>
      </c>
      <c r="D119" s="29">
        <v>4549.0211045835586</v>
      </c>
      <c r="E119" s="49">
        <f t="shared" si="26"/>
        <v>1.2507859166154999E-2</v>
      </c>
      <c r="F119" s="49">
        <f t="shared" si="27"/>
        <v>8.3030863015460567E-3</v>
      </c>
      <c r="G119" s="49">
        <f t="shared" si="28"/>
        <v>3.4507367623612187E-2</v>
      </c>
      <c r="H119" s="50">
        <f t="shared" si="29"/>
        <v>5.3837159897602418E-2</v>
      </c>
      <c r="I119" s="49">
        <f t="shared" si="30"/>
        <v>2.3459073436594375E-4</v>
      </c>
    </row>
    <row r="120" spans="1:14" ht="12.75" customHeight="1" x14ac:dyDescent="0.25">
      <c r="B120" s="82" t="s">
        <v>5</v>
      </c>
      <c r="C120" s="29">
        <v>61.971112889067193</v>
      </c>
      <c r="D120" s="29">
        <v>34543.134541376516</v>
      </c>
      <c r="E120" s="49">
        <f t="shared" si="26"/>
        <v>2.8890434736757464E-2</v>
      </c>
      <c r="F120" s="49">
        <f t="shared" si="27"/>
        <v>6.3049746446323052E-2</v>
      </c>
      <c r="G120" s="49">
        <f t="shared" si="28"/>
        <v>6.3397802360369654E-2</v>
      </c>
      <c r="H120" s="50">
        <f t="shared" si="29"/>
        <v>0.11688690634392547</v>
      </c>
      <c r="I120" s="49">
        <f t="shared" si="30"/>
        <v>3.0864480716371067E-3</v>
      </c>
    </row>
    <row r="121" spans="1:14" ht="12.75" customHeight="1" x14ac:dyDescent="0.25">
      <c r="B121" s="82" t="s">
        <v>2</v>
      </c>
      <c r="C121" s="29">
        <v>62.298247354744262</v>
      </c>
      <c r="D121" s="29">
        <v>33738.127951375733</v>
      </c>
      <c r="E121" s="49">
        <f t="shared" si="26"/>
        <v>2.9042942195316508E-2</v>
      </c>
      <c r="F121" s="49">
        <f t="shared" si="27"/>
        <v>6.1580410728501248E-2</v>
      </c>
      <c r="G121" s="49">
        <f t="shared" si="28"/>
        <v>9.2440744555686155E-2</v>
      </c>
      <c r="H121" s="50">
        <f t="shared" si="29"/>
        <v>0.17846731707242672</v>
      </c>
      <c r="I121" s="49">
        <f t="shared" si="30"/>
        <v>4.7983008632117644E-3</v>
      </c>
    </row>
    <row r="122" spans="1:14" ht="12.75" customHeight="1" x14ac:dyDescent="0.25">
      <c r="B122" s="82" t="s">
        <v>9</v>
      </c>
      <c r="C122" s="29">
        <v>126.36290461320199</v>
      </c>
      <c r="D122" s="29">
        <v>43226.930239887697</v>
      </c>
      <c r="E122" s="49">
        <f t="shared" si="26"/>
        <v>5.8909370490244424E-2</v>
      </c>
      <c r="F122" s="49">
        <f t="shared" si="27"/>
        <v>7.8899816923481969E-2</v>
      </c>
      <c r="G122" s="49">
        <f t="shared" si="28"/>
        <v>0.15135011504593057</v>
      </c>
      <c r="H122" s="50">
        <f t="shared" si="29"/>
        <v>0.25736713399590871</v>
      </c>
      <c r="I122" s="49">
        <f t="shared" si="30"/>
        <v>9.6175270950929308E-3</v>
      </c>
    </row>
    <row r="123" spans="1:14" ht="12.75" customHeight="1" x14ac:dyDescent="0.25">
      <c r="B123" s="111" t="s">
        <v>10</v>
      </c>
      <c r="C123" s="29">
        <v>317.78499103639581</v>
      </c>
      <c r="D123" s="29">
        <v>69411.089457609574</v>
      </c>
      <c r="E123" s="49">
        <f t="shared" si="26"/>
        <v>0.14814880862786201</v>
      </c>
      <c r="F123" s="49">
        <f t="shared" si="27"/>
        <v>0.12669237024865945</v>
      </c>
      <c r="G123" s="49">
        <f t="shared" si="28"/>
        <v>0.29949892367379261</v>
      </c>
      <c r="H123" s="50">
        <f t="shared" si="29"/>
        <v>0.38405950424456814</v>
      </c>
      <c r="I123" s="49">
        <f t="shared" si="30"/>
        <v>2.8559566669865678E-2</v>
      </c>
    </row>
    <row r="124" spans="1:14" ht="12.75" customHeight="1" x14ac:dyDescent="0.25">
      <c r="B124" s="82" t="s">
        <v>4</v>
      </c>
      <c r="C124" s="29">
        <v>342.27085552911922</v>
      </c>
      <c r="D124" s="29">
        <v>149774.72401466093</v>
      </c>
      <c r="E124" s="49">
        <f t="shared" si="26"/>
        <v>0.1595639218495081</v>
      </c>
      <c r="F124" s="49">
        <f t="shared" si="27"/>
        <v>0.273375838602054</v>
      </c>
      <c r="G124" s="49">
        <f t="shared" si="28"/>
        <v>0.45906284552330068</v>
      </c>
      <c r="H124" s="50">
        <f t="shared" si="29"/>
        <v>0.65743534284662219</v>
      </c>
      <c r="I124" s="49">
        <f t="shared" si="30"/>
        <v>0.10368622989285657</v>
      </c>
    </row>
    <row r="125" spans="1:14" ht="12.75" customHeight="1" x14ac:dyDescent="0.25">
      <c r="B125" s="82" t="s">
        <v>7</v>
      </c>
      <c r="C125" s="29">
        <v>430.80565735119228</v>
      </c>
      <c r="D125" s="29">
        <v>179268.67227891536</v>
      </c>
      <c r="E125" s="49">
        <f t="shared" si="26"/>
        <v>0.20083813486148064</v>
      </c>
      <c r="F125" s="49">
        <f t="shared" si="27"/>
        <v>0.327209573856588</v>
      </c>
      <c r="G125" s="49">
        <f t="shared" si="28"/>
        <v>0.65990098038478129</v>
      </c>
      <c r="H125" s="50">
        <f t="shared" si="29"/>
        <v>0.98464491670321019</v>
      </c>
      <c r="I125" s="49">
        <f t="shared" si="30"/>
        <v>0.1830678383181604</v>
      </c>
    </row>
    <row r="126" spans="1:14" ht="12.75" customHeight="1" thickBot="1" x14ac:dyDescent="0.3">
      <c r="B126" s="86" t="s">
        <v>8</v>
      </c>
      <c r="C126" s="32">
        <v>729.52570392512223</v>
      </c>
      <c r="D126" s="32">
        <v>8412.6065227973904</v>
      </c>
      <c r="E126" s="51">
        <f t="shared" si="26"/>
        <v>0.34009901961521866</v>
      </c>
      <c r="F126" s="51">
        <f t="shared" si="27"/>
        <v>1.5355083296789959E-2</v>
      </c>
      <c r="G126" s="51">
        <f t="shared" si="28"/>
        <v>1</v>
      </c>
      <c r="H126" s="52">
        <f t="shared" si="29"/>
        <v>1.0000000000000002</v>
      </c>
      <c r="I126" s="51">
        <f t="shared" si="30"/>
        <v>1.2743958909115874E-2</v>
      </c>
    </row>
    <row r="127" spans="1:14" ht="12.75" customHeight="1" thickBot="1" x14ac:dyDescent="0.3">
      <c r="B127" s="38" t="s">
        <v>12</v>
      </c>
      <c r="C127" s="32">
        <f>SUM(C115:C126)</f>
        <v>2145.0391264005798</v>
      </c>
      <c r="D127" s="32">
        <f>SUM(D115:D126)</f>
        <v>547871.10953387525</v>
      </c>
      <c r="E127" s="51">
        <f>SUM(E116:E126)</f>
        <v>1</v>
      </c>
      <c r="F127" s="51">
        <f>SUM(F116:F126)</f>
        <v>1.0000000000000002</v>
      </c>
      <c r="G127" s="52"/>
      <c r="H127" s="52"/>
      <c r="I127" s="51">
        <f>SUM(I115:I126)</f>
        <v>0.34633152510925574</v>
      </c>
    </row>
    <row r="128" spans="1:14" ht="12.75" customHeight="1" thickBot="1" x14ac:dyDescent="0.3">
      <c r="B128" s="4"/>
      <c r="C128" s="4"/>
      <c r="D128" s="4"/>
      <c r="E128" s="50"/>
      <c r="F128" s="50"/>
      <c r="G128" s="50"/>
      <c r="H128" s="53"/>
      <c r="I128" s="53"/>
    </row>
    <row r="129" spans="1:14" ht="12.75" customHeight="1" thickBot="1" x14ac:dyDescent="0.3">
      <c r="B129" s="4"/>
      <c r="C129" s="4"/>
      <c r="D129" s="4"/>
      <c r="E129" s="50"/>
      <c r="F129" s="50"/>
      <c r="G129" s="55"/>
      <c r="H129" s="56" t="s">
        <v>29</v>
      </c>
      <c r="I129" s="52">
        <f>1-(2*I127)</f>
        <v>0.30733694978148851</v>
      </c>
    </row>
    <row r="130" spans="1:14" ht="12.75" customHeight="1" x14ac:dyDescent="0.25"/>
    <row r="131" spans="1:14" ht="12.75" customHeight="1" x14ac:dyDescent="0.25"/>
    <row r="132" spans="1:14" ht="12.75" customHeight="1" x14ac:dyDescent="0.25"/>
    <row r="133" spans="1:14" ht="12.75" customHeight="1" x14ac:dyDescent="0.25"/>
    <row r="134" spans="1:14" ht="16.2" thickBot="1" x14ac:dyDescent="0.35">
      <c r="B134" s="256" t="s">
        <v>105</v>
      </c>
      <c r="C134" s="256"/>
      <c r="D134" s="256"/>
      <c r="E134" s="256"/>
      <c r="F134" s="256"/>
      <c r="G134" s="256"/>
      <c r="H134" s="256"/>
      <c r="I134" s="256"/>
    </row>
    <row r="135" spans="1:14" ht="27" thickBot="1" x14ac:dyDescent="0.3">
      <c r="A135" s="8"/>
      <c r="B135" s="30" t="s">
        <v>19</v>
      </c>
      <c r="C135" s="31" t="s">
        <v>38</v>
      </c>
      <c r="D135" s="31" t="s">
        <v>34</v>
      </c>
      <c r="E135" s="31" t="s">
        <v>15</v>
      </c>
      <c r="F135" s="31" t="s">
        <v>21</v>
      </c>
      <c r="G135" s="31" t="s">
        <v>17</v>
      </c>
      <c r="H135" s="31" t="s">
        <v>117</v>
      </c>
      <c r="I135" s="31" t="s">
        <v>20</v>
      </c>
      <c r="J135" s="8"/>
      <c r="K135" s="8"/>
      <c r="L135" s="8"/>
      <c r="M135" s="8"/>
      <c r="N135" s="8"/>
    </row>
    <row r="136" spans="1:14" ht="12.75" customHeight="1" x14ac:dyDescent="0.25">
      <c r="B136" s="4"/>
      <c r="C136" s="26">
        <v>0</v>
      </c>
      <c r="D136" s="26">
        <v>0</v>
      </c>
      <c r="E136" s="49">
        <v>0</v>
      </c>
      <c r="F136" s="49">
        <v>0</v>
      </c>
      <c r="G136" s="49">
        <v>0</v>
      </c>
      <c r="H136" s="50">
        <f>F136</f>
        <v>0</v>
      </c>
      <c r="I136" s="49">
        <v>0</v>
      </c>
    </row>
    <row r="137" spans="1:14" ht="12.75" customHeight="1" x14ac:dyDescent="0.25">
      <c r="B137" s="82" t="s">
        <v>2</v>
      </c>
      <c r="C137" s="29">
        <v>0</v>
      </c>
      <c r="D137" s="29">
        <v>33738.127951375733</v>
      </c>
      <c r="E137" s="49">
        <f t="shared" ref="E137:E147" si="31">C137/$C$148</f>
        <v>0</v>
      </c>
      <c r="F137" s="49">
        <f t="shared" ref="F137:F147" si="32">D137/$D$148</f>
        <v>6.1580410728501248E-2</v>
      </c>
      <c r="G137" s="49">
        <f t="shared" ref="G137:G147" si="33">G136+E137</f>
        <v>0</v>
      </c>
      <c r="H137" s="50">
        <f t="shared" ref="H137:H147" si="34">F137+H136</f>
        <v>6.1580410728501248E-2</v>
      </c>
      <c r="I137" s="49">
        <f t="shared" ref="I137:I147" si="35">(G136+G137)*0.5*(H137-H136)</f>
        <v>0</v>
      </c>
    </row>
    <row r="138" spans="1:14" ht="12.75" customHeight="1" x14ac:dyDescent="0.25">
      <c r="B138" s="82" t="s">
        <v>7</v>
      </c>
      <c r="C138" s="29">
        <v>0</v>
      </c>
      <c r="D138" s="29">
        <v>179268.67227891536</v>
      </c>
      <c r="E138" s="49">
        <f t="shared" si="31"/>
        <v>0</v>
      </c>
      <c r="F138" s="49">
        <f t="shared" si="32"/>
        <v>0.327209573856588</v>
      </c>
      <c r="G138" s="49">
        <f t="shared" si="33"/>
        <v>0</v>
      </c>
      <c r="H138" s="50">
        <f t="shared" si="34"/>
        <v>0.38878998458508923</v>
      </c>
      <c r="I138" s="49">
        <f t="shared" si="35"/>
        <v>0</v>
      </c>
    </row>
    <row r="139" spans="1:14" ht="12.75" customHeight="1" x14ac:dyDescent="0.25">
      <c r="B139" s="82" t="s">
        <v>8</v>
      </c>
      <c r="C139" s="29">
        <v>0</v>
      </c>
      <c r="D139" s="29">
        <v>8412.6065227973904</v>
      </c>
      <c r="E139" s="49">
        <f t="shared" si="31"/>
        <v>0</v>
      </c>
      <c r="F139" s="49">
        <f t="shared" si="32"/>
        <v>1.5355083296789959E-2</v>
      </c>
      <c r="G139" s="49">
        <f t="shared" si="33"/>
        <v>0</v>
      </c>
      <c r="H139" s="50">
        <f t="shared" si="34"/>
        <v>0.40414506788187921</v>
      </c>
      <c r="I139" s="49">
        <f t="shared" si="35"/>
        <v>0</v>
      </c>
    </row>
    <row r="140" spans="1:14" ht="12.75" customHeight="1" x14ac:dyDescent="0.25">
      <c r="B140" s="111" t="s">
        <v>10</v>
      </c>
      <c r="C140" s="29">
        <v>0</v>
      </c>
      <c r="D140" s="29">
        <v>69411.089457609574</v>
      </c>
      <c r="E140" s="49">
        <f t="shared" si="31"/>
        <v>0</v>
      </c>
      <c r="F140" s="49">
        <f t="shared" si="32"/>
        <v>0.12669237024865945</v>
      </c>
      <c r="G140" s="49">
        <f t="shared" si="33"/>
        <v>0</v>
      </c>
      <c r="H140" s="50">
        <f t="shared" si="34"/>
        <v>0.53083743813053863</v>
      </c>
      <c r="I140" s="49">
        <f t="shared" si="35"/>
        <v>0</v>
      </c>
    </row>
    <row r="141" spans="1:14" ht="12.75" customHeight="1" x14ac:dyDescent="0.25">
      <c r="B141" s="82" t="s">
        <v>1</v>
      </c>
      <c r="C141" s="29">
        <v>1.2332552620142447</v>
      </c>
      <c r="D141" s="29">
        <v>7498.2226388555227</v>
      </c>
      <c r="E141" s="49">
        <f t="shared" si="31"/>
        <v>7.9080986475198595E-3</v>
      </c>
      <c r="F141" s="49">
        <f t="shared" si="32"/>
        <v>1.3686107021111144E-2</v>
      </c>
      <c r="G141" s="49">
        <f t="shared" si="33"/>
        <v>7.9080986475198595E-3</v>
      </c>
      <c r="H141" s="50">
        <f t="shared" si="34"/>
        <v>0.5445235451516498</v>
      </c>
      <c r="I141" s="49">
        <f t="shared" si="35"/>
        <v>5.4115542211730653E-5</v>
      </c>
    </row>
    <row r="142" spans="1:14" ht="12.75" customHeight="1" x14ac:dyDescent="0.25">
      <c r="B142" s="82" t="s">
        <v>195</v>
      </c>
      <c r="C142" s="29">
        <v>2.4187231998381997</v>
      </c>
      <c r="D142" s="29">
        <v>4549.0211045835586</v>
      </c>
      <c r="E142" s="49">
        <f t="shared" si="31"/>
        <v>1.5509766918914182E-2</v>
      </c>
      <c r="F142" s="49">
        <f t="shared" si="32"/>
        <v>8.3030863015460567E-3</v>
      </c>
      <c r="G142" s="49">
        <f t="shared" si="33"/>
        <v>2.3417865566434042E-2</v>
      </c>
      <c r="H142" s="50">
        <f t="shared" si="34"/>
        <v>0.55282663145319588</v>
      </c>
      <c r="I142" s="49">
        <f t="shared" si="35"/>
        <v>1.3005109217380169E-4</v>
      </c>
    </row>
    <row r="143" spans="1:14" ht="12.75" customHeight="1" x14ac:dyDescent="0.25">
      <c r="B143" s="82" t="s">
        <v>3</v>
      </c>
      <c r="C143" s="29">
        <v>3.502514612375089</v>
      </c>
      <c r="D143" s="29">
        <v>4739.5256339269945</v>
      </c>
      <c r="E143" s="49">
        <f t="shared" si="31"/>
        <v>2.2459446898124857E-2</v>
      </c>
      <c r="F143" s="49">
        <f t="shared" si="32"/>
        <v>8.6508040877704764E-3</v>
      </c>
      <c r="G143" s="49">
        <f t="shared" si="33"/>
        <v>4.5877312464558895E-2</v>
      </c>
      <c r="H143" s="50">
        <f t="shared" si="34"/>
        <v>0.56147743554096641</v>
      </c>
      <c r="I143" s="49">
        <f t="shared" si="35"/>
        <v>2.9972950468664999E-4</v>
      </c>
    </row>
    <row r="144" spans="1:14" ht="12.75" customHeight="1" x14ac:dyDescent="0.25">
      <c r="B144" s="111" t="s">
        <v>6</v>
      </c>
      <c r="C144" s="29">
        <v>3.5584735717562475</v>
      </c>
      <c r="D144" s="29">
        <v>12709.055149886017</v>
      </c>
      <c r="E144" s="49">
        <f t="shared" si="31"/>
        <v>2.2818276886229661E-2</v>
      </c>
      <c r="F144" s="49">
        <f t="shared" si="32"/>
        <v>2.3197162487174745E-2</v>
      </c>
      <c r="G144" s="49">
        <f t="shared" si="33"/>
        <v>6.8695589350788552E-2</v>
      </c>
      <c r="H144" s="50">
        <f t="shared" si="34"/>
        <v>0.58467459802814115</v>
      </c>
      <c r="I144" s="49">
        <f t="shared" si="35"/>
        <v>1.3288831100188661E-3</v>
      </c>
    </row>
    <row r="145" spans="1:14" ht="12.75" customHeight="1" x14ac:dyDescent="0.25">
      <c r="B145" s="82" t="s">
        <v>5</v>
      </c>
      <c r="C145" s="29">
        <v>17.520230893648204</v>
      </c>
      <c r="D145" s="29">
        <v>34543.134541376516</v>
      </c>
      <c r="E145" s="49">
        <f t="shared" si="31"/>
        <v>0.11234633940097852</v>
      </c>
      <c r="F145" s="49">
        <f t="shared" si="32"/>
        <v>6.3049746446323052E-2</v>
      </c>
      <c r="G145" s="49">
        <f t="shared" si="33"/>
        <v>0.18104192875176706</v>
      </c>
      <c r="H145" s="50">
        <f t="shared" si="34"/>
        <v>0.64772434447446425</v>
      </c>
      <c r="I145" s="49">
        <f t="shared" si="35"/>
        <v>7.8729435972500796E-3</v>
      </c>
    </row>
    <row r="146" spans="1:14" ht="12.75" customHeight="1" x14ac:dyDescent="0.25">
      <c r="B146" s="82" t="s">
        <v>9</v>
      </c>
      <c r="C146" s="29">
        <v>23.742632694444477</v>
      </c>
      <c r="D146" s="29">
        <v>43226.930239887697</v>
      </c>
      <c r="E146" s="49">
        <f t="shared" si="31"/>
        <v>0.15224673048857298</v>
      </c>
      <c r="F146" s="49">
        <f t="shared" si="32"/>
        <v>7.8899816923481969E-2</v>
      </c>
      <c r="G146" s="49">
        <f t="shared" si="33"/>
        <v>0.33328865924034001</v>
      </c>
      <c r="H146" s="50">
        <f t="shared" si="34"/>
        <v>0.72662416139794628</v>
      </c>
      <c r="I146" s="49">
        <f t="shared" si="35"/>
        <v>2.0290294615362053E-2</v>
      </c>
    </row>
    <row r="147" spans="1:14" ht="12.75" customHeight="1" thickBot="1" x14ac:dyDescent="0.3">
      <c r="B147" s="86" t="s">
        <v>4</v>
      </c>
      <c r="C147" s="32">
        <v>103.97256102695296</v>
      </c>
      <c r="D147" s="32">
        <v>149774.72401466093</v>
      </c>
      <c r="E147" s="51">
        <f t="shared" si="31"/>
        <v>0.66671134075965988</v>
      </c>
      <c r="F147" s="51">
        <f t="shared" si="32"/>
        <v>0.273375838602054</v>
      </c>
      <c r="G147" s="51">
        <f t="shared" si="33"/>
        <v>0.99999999999999989</v>
      </c>
      <c r="H147" s="52">
        <f t="shared" si="34"/>
        <v>1.0000000000000002</v>
      </c>
      <c r="I147" s="51">
        <f t="shared" si="35"/>
        <v>0.18224445265921804</v>
      </c>
    </row>
    <row r="148" spans="1:14" ht="12.75" customHeight="1" thickBot="1" x14ac:dyDescent="0.3">
      <c r="B148" s="38" t="s">
        <v>12</v>
      </c>
      <c r="C148" s="32">
        <f>SUM(C136:C147)</f>
        <v>155.94839126102943</v>
      </c>
      <c r="D148" s="32">
        <f>SUM(D136:D147)</f>
        <v>547871.10953387525</v>
      </c>
      <c r="E148" s="51">
        <f>SUM(E137:E147)</f>
        <v>0.99999999999999989</v>
      </c>
      <c r="F148" s="51">
        <f>SUM(F137:F147)</f>
        <v>1.0000000000000002</v>
      </c>
      <c r="G148" s="52"/>
      <c r="H148" s="52"/>
      <c r="I148" s="51">
        <f>SUM(I136:I147)</f>
        <v>0.21222047012092121</v>
      </c>
    </row>
    <row r="149" spans="1:14" ht="12.75" customHeight="1" thickBot="1" x14ac:dyDescent="0.3">
      <c r="B149" s="4"/>
      <c r="C149" s="4"/>
      <c r="D149" s="4"/>
      <c r="E149" s="50"/>
      <c r="F149" s="50"/>
      <c r="G149" s="50"/>
      <c r="H149" s="53"/>
      <c r="I149" s="53"/>
    </row>
    <row r="150" spans="1:14" ht="12.75" customHeight="1" thickBot="1" x14ac:dyDescent="0.3">
      <c r="B150" s="4"/>
      <c r="C150" s="4"/>
      <c r="D150" s="4"/>
      <c r="E150" s="50"/>
      <c r="F150" s="50"/>
      <c r="G150" s="55"/>
      <c r="H150" s="56" t="s">
        <v>33</v>
      </c>
      <c r="I150" s="52">
        <f>1-(2*I148)</f>
        <v>0.57555905975815758</v>
      </c>
    </row>
    <row r="151" spans="1:14" ht="12.75" customHeight="1" x14ac:dyDescent="0.25"/>
    <row r="152" spans="1:14" ht="12.75" customHeight="1" x14ac:dyDescent="0.25"/>
    <row r="153" spans="1:14" ht="12.75" customHeight="1" x14ac:dyDescent="0.25"/>
    <row r="154" spans="1:14" ht="12.75" customHeight="1" x14ac:dyDescent="0.25"/>
    <row r="155" spans="1:14" ht="16.2" thickBot="1" x14ac:dyDescent="0.35">
      <c r="B155" s="256" t="s">
        <v>101</v>
      </c>
      <c r="C155" s="256"/>
      <c r="D155" s="256"/>
      <c r="E155" s="256"/>
      <c r="F155" s="256"/>
      <c r="G155" s="256"/>
      <c r="H155" s="256"/>
      <c r="I155" s="256"/>
    </row>
    <row r="156" spans="1:14" ht="27" thickBot="1" x14ac:dyDescent="0.3">
      <c r="A156" s="8"/>
      <c r="B156" s="30" t="s">
        <v>19</v>
      </c>
      <c r="C156" s="31" t="s">
        <v>39</v>
      </c>
      <c r="D156" s="31" t="s">
        <v>40</v>
      </c>
      <c r="E156" s="31" t="s">
        <v>15</v>
      </c>
      <c r="F156" s="31" t="s">
        <v>21</v>
      </c>
      <c r="G156" s="31" t="s">
        <v>17</v>
      </c>
      <c r="H156" s="31" t="s">
        <v>117</v>
      </c>
      <c r="I156" s="31" t="s">
        <v>20</v>
      </c>
      <c r="J156" s="8"/>
      <c r="K156" s="8"/>
      <c r="L156" s="8"/>
      <c r="M156" s="8"/>
      <c r="N156" s="8"/>
    </row>
    <row r="157" spans="1:14" ht="12.75" customHeight="1" x14ac:dyDescent="0.25">
      <c r="B157" s="4"/>
      <c r="C157" s="26">
        <v>0</v>
      </c>
      <c r="D157" s="26">
        <v>0</v>
      </c>
      <c r="E157" s="49">
        <v>0</v>
      </c>
      <c r="F157" s="49">
        <v>0</v>
      </c>
      <c r="G157" s="49">
        <v>0</v>
      </c>
      <c r="H157" s="50">
        <f>F157</f>
        <v>0</v>
      </c>
      <c r="I157" s="49">
        <v>0</v>
      </c>
    </row>
    <row r="158" spans="1:14" ht="12.75" customHeight="1" x14ac:dyDescent="0.25">
      <c r="B158" s="82" t="s">
        <v>1</v>
      </c>
      <c r="C158" s="29">
        <v>1.2332552620142447</v>
      </c>
      <c r="D158" s="29">
        <v>7498.2226388555227</v>
      </c>
      <c r="E158" s="49">
        <f t="shared" ref="E158:E168" si="36">C158/$C$169</f>
        <v>4.1855150022580721E-3</v>
      </c>
      <c r="F158" s="49">
        <f t="shared" ref="F158:F168" si="37">D158/$D$169</f>
        <v>1.3686107021111144E-2</v>
      </c>
      <c r="G158" s="49">
        <f t="shared" ref="G158:G168" si="38">G157+E158</f>
        <v>4.1855150022580721E-3</v>
      </c>
      <c r="H158" s="50">
        <f t="shared" ref="H158:H168" si="39">F158+H157</f>
        <v>1.3686107021111144E-2</v>
      </c>
      <c r="I158" s="49">
        <f t="shared" ref="I158:I168" si="40">(G157+G158)*0.5*(H158-H157)</f>
        <v>2.8641703129685114E-5</v>
      </c>
    </row>
    <row r="159" spans="1:14" ht="12.75" customHeight="1" x14ac:dyDescent="0.25">
      <c r="B159" s="82" t="s">
        <v>195</v>
      </c>
      <c r="C159" s="29">
        <v>2.4187231998381997</v>
      </c>
      <c r="D159" s="29">
        <v>4549.0211045835586</v>
      </c>
      <c r="E159" s="49">
        <f t="shared" si="36"/>
        <v>8.2088457686349606E-3</v>
      </c>
      <c r="F159" s="49">
        <f t="shared" si="37"/>
        <v>8.3030863015460567E-3</v>
      </c>
      <c r="G159" s="49">
        <f t="shared" si="38"/>
        <v>1.2394360770893034E-2</v>
      </c>
      <c r="H159" s="50">
        <f t="shared" si="39"/>
        <v>2.19891933226572E-2</v>
      </c>
      <c r="I159" s="49">
        <f t="shared" si="40"/>
        <v>6.8832069706693144E-5</v>
      </c>
    </row>
    <row r="160" spans="1:14" ht="12.75" customHeight="1" x14ac:dyDescent="0.25">
      <c r="B160" s="82" t="s">
        <v>3</v>
      </c>
      <c r="C160" s="29">
        <v>3.502514612375089</v>
      </c>
      <c r="D160" s="29">
        <v>4739.5256339269945</v>
      </c>
      <c r="E160" s="49">
        <f t="shared" si="36"/>
        <v>1.1887099051805806E-2</v>
      </c>
      <c r="F160" s="49">
        <f t="shared" si="37"/>
        <v>8.6508040877704764E-3</v>
      </c>
      <c r="G160" s="49">
        <f t="shared" si="38"/>
        <v>2.4281459822698838E-2</v>
      </c>
      <c r="H160" s="50">
        <f t="shared" si="39"/>
        <v>3.0639997410427677E-2</v>
      </c>
      <c r="I160" s="49">
        <f t="shared" si="40"/>
        <v>1.5863766935669056E-4</v>
      </c>
    </row>
    <row r="161" spans="1:9" ht="12.75" customHeight="1" x14ac:dyDescent="0.25">
      <c r="B161" s="111" t="s">
        <v>6</v>
      </c>
      <c r="C161" s="29">
        <v>7.3584735717562477</v>
      </c>
      <c r="D161" s="29">
        <v>12709.055149886017</v>
      </c>
      <c r="E161" s="49">
        <f t="shared" si="36"/>
        <v>2.4973744266050875E-2</v>
      </c>
      <c r="F161" s="49">
        <f t="shared" si="37"/>
        <v>2.3197162487174745E-2</v>
      </c>
      <c r="G161" s="49">
        <f t="shared" si="38"/>
        <v>4.9255204088749713E-2</v>
      </c>
      <c r="H161" s="50">
        <f t="shared" si="39"/>
        <v>5.3837159897602418E-2</v>
      </c>
      <c r="I161" s="49">
        <f t="shared" si="40"/>
        <v>8.5292097075931556E-4</v>
      </c>
    </row>
    <row r="162" spans="1:9" ht="12.75" customHeight="1" x14ac:dyDescent="0.25">
      <c r="B162" s="82" t="s">
        <v>5</v>
      </c>
      <c r="C162" s="29">
        <v>17.520230893648204</v>
      </c>
      <c r="D162" s="29">
        <v>34543.134541376516</v>
      </c>
      <c r="E162" s="49">
        <f t="shared" si="36"/>
        <v>5.9461484987803674E-2</v>
      </c>
      <c r="F162" s="49">
        <f t="shared" si="37"/>
        <v>6.3049746446323052E-2</v>
      </c>
      <c r="G162" s="49">
        <f t="shared" si="38"/>
        <v>0.10871668907655338</v>
      </c>
      <c r="H162" s="50">
        <f t="shared" si="39"/>
        <v>0.11688690634392547</v>
      </c>
      <c r="I162" s="49">
        <f t="shared" si="40"/>
        <v>4.9800439048589959E-3</v>
      </c>
    </row>
    <row r="163" spans="1:9" ht="12.75" customHeight="1" x14ac:dyDescent="0.25">
      <c r="B163" s="111" t="s">
        <v>10</v>
      </c>
      <c r="C163" s="29">
        <v>21.1</v>
      </c>
      <c r="D163" s="29">
        <v>69411.089457609574</v>
      </c>
      <c r="E163" s="49">
        <f t="shared" si="36"/>
        <v>7.1610776185461952E-2</v>
      </c>
      <c r="F163" s="49">
        <f t="shared" si="37"/>
        <v>0.12669237024865945</v>
      </c>
      <c r="G163" s="49">
        <f t="shared" si="38"/>
        <v>0.18032746526201532</v>
      </c>
      <c r="H163" s="50">
        <f t="shared" si="39"/>
        <v>0.24357927659258494</v>
      </c>
      <c r="I163" s="49">
        <f t="shared" si="40"/>
        <v>1.8309844509836307E-2</v>
      </c>
    </row>
    <row r="164" spans="1:9" ht="12.75" customHeight="1" x14ac:dyDescent="0.25">
      <c r="B164" s="82" t="s">
        <v>8</v>
      </c>
      <c r="C164" s="29">
        <v>23.5</v>
      </c>
      <c r="D164" s="29">
        <v>8412.6065227973904</v>
      </c>
      <c r="E164" s="49">
        <f t="shared" si="36"/>
        <v>7.9756077742102166E-2</v>
      </c>
      <c r="F164" s="49">
        <f t="shared" si="37"/>
        <v>1.5355083296789959E-2</v>
      </c>
      <c r="G164" s="49">
        <f t="shared" si="38"/>
        <v>0.26008354300411751</v>
      </c>
      <c r="H164" s="50">
        <f t="shared" si="39"/>
        <v>0.25893435988937491</v>
      </c>
      <c r="I164" s="49">
        <f t="shared" si="40"/>
        <v>3.3812738583748636E-3</v>
      </c>
    </row>
    <row r="165" spans="1:9" ht="12.75" customHeight="1" x14ac:dyDescent="0.25">
      <c r="B165" s="82" t="s">
        <v>9</v>
      </c>
      <c r="C165" s="29">
        <v>23.742632694444477</v>
      </c>
      <c r="D165" s="29">
        <v>43226.930239887697</v>
      </c>
      <c r="E165" s="49">
        <f t="shared" si="36"/>
        <v>8.0579542935331511E-2</v>
      </c>
      <c r="F165" s="49">
        <f t="shared" si="37"/>
        <v>7.8899816923481969E-2</v>
      </c>
      <c r="G165" s="49">
        <f t="shared" si="38"/>
        <v>0.34066308593944905</v>
      </c>
      <c r="H165" s="50">
        <f t="shared" si="39"/>
        <v>0.33783417681285688</v>
      </c>
      <c r="I165" s="49">
        <f t="shared" si="40"/>
        <v>2.369939952052318E-2</v>
      </c>
    </row>
    <row r="166" spans="1:9" ht="12.75" customHeight="1" x14ac:dyDescent="0.25">
      <c r="B166" s="82" t="s">
        <v>7</v>
      </c>
      <c r="C166" s="29">
        <v>33.799999999999997</v>
      </c>
      <c r="D166" s="29">
        <v>179268.67227891536</v>
      </c>
      <c r="E166" s="49">
        <f t="shared" si="36"/>
        <v>0.11471299692268311</v>
      </c>
      <c r="F166" s="49">
        <f t="shared" si="37"/>
        <v>0.327209573856588</v>
      </c>
      <c r="G166" s="49">
        <f t="shared" si="38"/>
        <v>0.45537608286213216</v>
      </c>
      <c r="H166" s="50">
        <f t="shared" si="39"/>
        <v>0.66504375066944488</v>
      </c>
      <c r="I166" s="49">
        <f t="shared" si="40"/>
        <v>0.13023581859835895</v>
      </c>
    </row>
    <row r="167" spans="1:9" ht="12.75" customHeight="1" x14ac:dyDescent="0.25">
      <c r="B167" s="82" t="s">
        <v>2</v>
      </c>
      <c r="C167" s="29">
        <v>56.5</v>
      </c>
      <c r="D167" s="29">
        <v>33738.127951375733</v>
      </c>
      <c r="E167" s="49">
        <f t="shared" si="36"/>
        <v>0.19175397414590523</v>
      </c>
      <c r="F167" s="49">
        <f t="shared" si="37"/>
        <v>6.1580410728501248E-2</v>
      </c>
      <c r="G167" s="49">
        <f t="shared" si="38"/>
        <v>0.64713005700803738</v>
      </c>
      <c r="H167" s="50">
        <f t="shared" si="39"/>
        <v>0.72662416139794617</v>
      </c>
      <c r="I167" s="49">
        <f t="shared" si="40"/>
        <v>3.394639046194977E-2</v>
      </c>
    </row>
    <row r="168" spans="1:9" ht="12.75" customHeight="1" thickBot="1" x14ac:dyDescent="0.3">
      <c r="B168" s="86" t="s">
        <v>4</v>
      </c>
      <c r="C168" s="32">
        <v>103.97256102695296</v>
      </c>
      <c r="D168" s="32">
        <v>149774.72401466093</v>
      </c>
      <c r="E168" s="51">
        <f t="shared" si="36"/>
        <v>0.35286994299196267</v>
      </c>
      <c r="F168" s="51">
        <f t="shared" si="37"/>
        <v>0.273375838602054</v>
      </c>
      <c r="G168" s="51">
        <f t="shared" si="38"/>
        <v>1</v>
      </c>
      <c r="H168" s="52">
        <f t="shared" si="39"/>
        <v>1.0000000000000002</v>
      </c>
      <c r="I168" s="51">
        <f t="shared" si="40"/>
        <v>0.22514278031061066</v>
      </c>
    </row>
    <row r="169" spans="1:9" ht="12.75" customHeight="1" thickBot="1" x14ac:dyDescent="0.3">
      <c r="B169" s="38" t="s">
        <v>12</v>
      </c>
      <c r="C169" s="32">
        <f>SUM(C157:C168)</f>
        <v>294.64839126102942</v>
      </c>
      <c r="D169" s="32">
        <f>SUM(D157:D168)</f>
        <v>547871.10953387525</v>
      </c>
      <c r="E169" s="51">
        <f>SUM(E158:E168)</f>
        <v>1</v>
      </c>
      <c r="F169" s="51">
        <f>SUM(F158:F168)</f>
        <v>1.0000000000000002</v>
      </c>
      <c r="G169" s="52"/>
      <c r="H169" s="52"/>
      <c r="I169" s="51">
        <f>SUM(I157:I168)</f>
        <v>0.4408045835774651</v>
      </c>
    </row>
    <row r="170" spans="1:9" ht="12.75" customHeight="1" thickBot="1" x14ac:dyDescent="0.3">
      <c r="B170" s="4"/>
      <c r="C170" s="4"/>
      <c r="D170" s="4"/>
      <c r="E170" s="50"/>
      <c r="F170" s="50"/>
      <c r="G170" s="50"/>
      <c r="H170" s="53"/>
      <c r="I170" s="53"/>
    </row>
    <row r="171" spans="1:9" ht="12.75" customHeight="1" thickBot="1" x14ac:dyDescent="0.3">
      <c r="B171" s="4"/>
      <c r="C171" s="4"/>
      <c r="D171" s="4"/>
      <c r="E171" s="50"/>
      <c r="F171" s="50"/>
      <c r="G171" s="55"/>
      <c r="H171" s="57" t="s">
        <v>29</v>
      </c>
      <c r="I171" s="58">
        <f>1-(2*I169)</f>
        <v>0.11839083284506979</v>
      </c>
    </row>
    <row r="172" spans="1:9" ht="12.75" customHeight="1" x14ac:dyDescent="0.25">
      <c r="B172" s="4"/>
      <c r="C172" s="4"/>
      <c r="D172" s="4"/>
      <c r="E172" s="50"/>
      <c r="F172" s="50"/>
      <c r="G172" s="55"/>
      <c r="H172" s="116"/>
      <c r="I172" s="108"/>
    </row>
    <row r="173" spans="1:9" ht="12.75" customHeight="1" x14ac:dyDescent="0.25">
      <c r="B173" s="4"/>
      <c r="C173" s="4"/>
      <c r="D173" s="4"/>
      <c r="E173" s="50"/>
      <c r="F173" s="50"/>
      <c r="G173" s="55"/>
      <c r="H173" s="116"/>
      <c r="I173" s="108"/>
    </row>
    <row r="174" spans="1:9" ht="28.2" customHeight="1" x14ac:dyDescent="0.25">
      <c r="A174" s="252" t="s">
        <v>94</v>
      </c>
      <c r="B174" s="252"/>
      <c r="C174" s="252"/>
      <c r="D174" s="252"/>
      <c r="E174" s="252"/>
      <c r="F174" s="252"/>
      <c r="G174" s="55"/>
      <c r="H174" s="116"/>
      <c r="I174" s="108"/>
    </row>
    <row r="175" spans="1:9" ht="12.75" customHeight="1" x14ac:dyDescent="0.25"/>
    <row r="176" spans="1:9" ht="16.2" thickBot="1" x14ac:dyDescent="0.35">
      <c r="B176" s="256" t="s">
        <v>114</v>
      </c>
      <c r="C176" s="256"/>
      <c r="D176" s="256"/>
      <c r="E176" s="256"/>
      <c r="F176" s="256"/>
      <c r="G176" s="256"/>
      <c r="H176" s="256"/>
      <c r="I176" s="256"/>
    </row>
    <row r="177" spans="1:14" ht="42.6" customHeight="1" thickBot="1" x14ac:dyDescent="0.3">
      <c r="A177" s="8"/>
      <c r="B177" s="36" t="s">
        <v>19</v>
      </c>
      <c r="C177" s="37" t="s">
        <v>42</v>
      </c>
      <c r="D177" s="37" t="s">
        <v>115</v>
      </c>
      <c r="E177" s="37" t="s">
        <v>27</v>
      </c>
      <c r="F177" s="37" t="s">
        <v>21</v>
      </c>
      <c r="G177" s="37" t="s">
        <v>28</v>
      </c>
      <c r="H177" s="37" t="s">
        <v>117</v>
      </c>
      <c r="I177" s="37" t="s">
        <v>20</v>
      </c>
      <c r="J177" s="8"/>
      <c r="K177" s="8"/>
      <c r="L177" s="8"/>
      <c r="M177" s="8"/>
      <c r="N177" s="8"/>
    </row>
    <row r="178" spans="1:14" ht="12.75" customHeight="1" x14ac:dyDescent="0.25">
      <c r="B178" s="4"/>
      <c r="C178" s="26">
        <v>0</v>
      </c>
      <c r="D178" s="26">
        <v>0</v>
      </c>
      <c r="E178" s="49">
        <v>0</v>
      </c>
      <c r="F178" s="49">
        <v>0</v>
      </c>
      <c r="G178" s="49">
        <v>0</v>
      </c>
      <c r="H178" s="50">
        <f>F178</f>
        <v>0</v>
      </c>
      <c r="I178" s="49">
        <v>0</v>
      </c>
    </row>
    <row r="179" spans="1:14" ht="12.75" customHeight="1" x14ac:dyDescent="0.25">
      <c r="B179" s="82" t="s">
        <v>2</v>
      </c>
      <c r="C179" s="84">
        <v>2.0694062512288069</v>
      </c>
      <c r="D179" s="29">
        <v>251430.37783690859</v>
      </c>
      <c r="E179" s="49">
        <f t="shared" ref="E179:E189" si="41">C179/$C$190</f>
        <v>1.0017090868103106E-3</v>
      </c>
      <c r="F179" s="49">
        <f t="shared" ref="F179:F189" si="42">D179/$D$190</f>
        <v>8.2249727275718124E-2</v>
      </c>
      <c r="G179" s="49">
        <f t="shared" ref="G179:G189" si="43">G178+E179</f>
        <v>1.0017090868103106E-3</v>
      </c>
      <c r="H179" s="50">
        <f t="shared" ref="H179:H189" si="44">F179+H178</f>
        <v>8.2249727275718124E-2</v>
      </c>
      <c r="I179" s="49">
        <f t="shared" ref="I179:I189" si="45">(G178+G179)*0.5*(H179-H178)</f>
        <v>4.1195149599878351E-5</v>
      </c>
    </row>
    <row r="180" spans="1:14" ht="12.75" customHeight="1" x14ac:dyDescent="0.25">
      <c r="B180" s="82" t="s">
        <v>3</v>
      </c>
      <c r="C180" s="84">
        <v>14.968035031675058</v>
      </c>
      <c r="D180" s="29">
        <v>24496.645034227455</v>
      </c>
      <c r="E180" s="49">
        <f t="shared" si="41"/>
        <v>7.2453713204069037E-3</v>
      </c>
      <c r="F180" s="49">
        <f t="shared" si="42"/>
        <v>8.0135200470573958E-3</v>
      </c>
      <c r="G180" s="49">
        <f t="shared" si="43"/>
        <v>8.2470804072172152E-3</v>
      </c>
      <c r="H180" s="50">
        <f t="shared" si="44"/>
        <v>9.0263247322775519E-2</v>
      </c>
      <c r="I180" s="49">
        <f t="shared" si="45"/>
        <v>3.70576800107017E-5</v>
      </c>
    </row>
    <row r="181" spans="1:14" ht="12.75" customHeight="1" x14ac:dyDescent="0.25">
      <c r="B181" s="82" t="s">
        <v>1</v>
      </c>
      <c r="C181" s="84">
        <v>15.520950911310514</v>
      </c>
      <c r="D181" s="29">
        <v>13199.085501550475</v>
      </c>
      <c r="E181" s="49">
        <f t="shared" si="41"/>
        <v>7.5130137229287245E-3</v>
      </c>
      <c r="F181" s="49">
        <f t="shared" si="42"/>
        <v>4.3177805010323955E-3</v>
      </c>
      <c r="G181" s="49">
        <f t="shared" si="43"/>
        <v>1.5760094130145938E-2</v>
      </c>
      <c r="H181" s="50">
        <f t="shared" si="44"/>
        <v>9.4581027823807909E-2</v>
      </c>
      <c r="I181" s="49">
        <f t="shared" si="45"/>
        <v>5.1828855051153951E-5</v>
      </c>
    </row>
    <row r="182" spans="1:14" ht="12.75" customHeight="1" x14ac:dyDescent="0.25">
      <c r="B182" s="111" t="s">
        <v>6</v>
      </c>
      <c r="C182" s="84">
        <v>24.882879792724239</v>
      </c>
      <c r="D182" s="29">
        <v>20836.189535136225</v>
      </c>
      <c r="E182" s="49">
        <f t="shared" si="41"/>
        <v>1.2044714168414201E-2</v>
      </c>
      <c r="F182" s="49">
        <f t="shared" si="42"/>
        <v>6.8160853174303836E-3</v>
      </c>
      <c r="G182" s="49">
        <f t="shared" si="43"/>
        <v>2.7804808298560139E-2</v>
      </c>
      <c r="H182" s="50">
        <f t="shared" si="44"/>
        <v>0.1013971131412383</v>
      </c>
      <c r="I182" s="49">
        <f t="shared" si="45"/>
        <v>1.4847104589979545E-4</v>
      </c>
    </row>
    <row r="183" spans="1:14" ht="12.75" customHeight="1" x14ac:dyDescent="0.25">
      <c r="B183" s="82" t="s">
        <v>195</v>
      </c>
      <c r="C183" s="84">
        <v>29.013266537802092</v>
      </c>
      <c r="D183" s="29">
        <v>20450.034940117202</v>
      </c>
      <c r="E183" s="49">
        <f t="shared" si="41"/>
        <v>1.4044053801281622E-2</v>
      </c>
      <c r="F183" s="49">
        <f t="shared" si="42"/>
        <v>6.6897636279041406E-3</v>
      </c>
      <c r="G183" s="49">
        <f t="shared" si="43"/>
        <v>4.184886209984176E-2</v>
      </c>
      <c r="H183" s="50">
        <f t="shared" si="44"/>
        <v>0.10808687676914244</v>
      </c>
      <c r="I183" s="49">
        <f t="shared" si="45"/>
        <v>2.3298329539062638E-4</v>
      </c>
    </row>
    <row r="184" spans="1:14" ht="12.75" customHeight="1" x14ac:dyDescent="0.25">
      <c r="B184" s="82" t="s">
        <v>5</v>
      </c>
      <c r="C184" s="84">
        <v>78.591924466995167</v>
      </c>
      <c r="D184" s="29">
        <v>49475.746319971244</v>
      </c>
      <c r="E184" s="49">
        <f t="shared" si="41"/>
        <v>3.8042914406850391E-2</v>
      </c>
      <c r="F184" s="49">
        <f t="shared" si="42"/>
        <v>1.6184864679397896E-2</v>
      </c>
      <c r="G184" s="49">
        <f t="shared" si="43"/>
        <v>7.9891776506692158E-2</v>
      </c>
      <c r="H184" s="50">
        <f t="shared" si="44"/>
        <v>0.12427174144854033</v>
      </c>
      <c r="I184" s="49">
        <f t="shared" si="45"/>
        <v>9.8517788091511717E-4</v>
      </c>
    </row>
    <row r="185" spans="1:14" ht="12.75" customHeight="1" x14ac:dyDescent="0.25">
      <c r="B185" s="82" t="s">
        <v>9</v>
      </c>
      <c r="C185" s="84">
        <v>139.00252479965184</v>
      </c>
      <c r="D185" s="29">
        <v>119784.51078433092</v>
      </c>
      <c r="E185" s="49">
        <f t="shared" si="41"/>
        <v>6.7285044731408575E-2</v>
      </c>
      <c r="F185" s="49">
        <f t="shared" si="42"/>
        <v>3.9184777227902166E-2</v>
      </c>
      <c r="G185" s="49">
        <f t="shared" si="43"/>
        <v>0.14717682123810072</v>
      </c>
      <c r="H185" s="50">
        <f t="shared" si="44"/>
        <v>0.16345651867644251</v>
      </c>
      <c r="I185" s="49">
        <f t="shared" si="45"/>
        <v>4.4488162090409195E-3</v>
      </c>
    </row>
    <row r="186" spans="1:14" ht="12.75" customHeight="1" x14ac:dyDescent="0.25">
      <c r="B186" s="111" t="s">
        <v>10</v>
      </c>
      <c r="C186" s="84">
        <v>307.55202051543557</v>
      </c>
      <c r="D186" s="29">
        <v>237021.44592026682</v>
      </c>
      <c r="E186" s="49">
        <f t="shared" si="41"/>
        <v>0.1488724862188115</v>
      </c>
      <c r="F186" s="49">
        <f t="shared" si="42"/>
        <v>7.7536173047808091E-2</v>
      </c>
      <c r="G186" s="49">
        <f t="shared" si="43"/>
        <v>0.29604930745691221</v>
      </c>
      <c r="H186" s="50">
        <f t="shared" si="44"/>
        <v>0.24099269172425059</v>
      </c>
      <c r="I186" s="49">
        <f t="shared" si="45"/>
        <v>1.7183028906903288E-2</v>
      </c>
    </row>
    <row r="187" spans="1:14" ht="12.75" customHeight="1" x14ac:dyDescent="0.25">
      <c r="B187" s="82" t="s">
        <v>7</v>
      </c>
      <c r="C187" s="84">
        <v>373.05433487641909</v>
      </c>
      <c r="D187" s="29">
        <v>1339764.2833351614</v>
      </c>
      <c r="E187" s="49">
        <f t="shared" si="41"/>
        <v>0.18057929268252113</v>
      </c>
      <c r="F187" s="49">
        <f t="shared" si="42"/>
        <v>0.43827340143259691</v>
      </c>
      <c r="G187" s="49">
        <f t="shared" si="43"/>
        <v>0.47662860013943331</v>
      </c>
      <c r="H187" s="50">
        <f t="shared" si="44"/>
        <v>0.67926609315684749</v>
      </c>
      <c r="I187" s="49">
        <f t="shared" si="45"/>
        <v>0.16932208738703608</v>
      </c>
    </row>
    <row r="188" spans="1:14" ht="12.75" customHeight="1" x14ac:dyDescent="0.25">
      <c r="B188" s="82" t="s">
        <v>4</v>
      </c>
      <c r="C188" s="84">
        <v>445.72650305262221</v>
      </c>
      <c r="D188" s="29">
        <v>363314.38569269452</v>
      </c>
      <c r="E188" s="49">
        <f t="shared" si="41"/>
        <v>0.21575671189495635</v>
      </c>
      <c r="F188" s="49">
        <f t="shared" si="42"/>
        <v>0.1188500347318915</v>
      </c>
      <c r="G188" s="49">
        <f t="shared" si="43"/>
        <v>0.69238531203438969</v>
      </c>
      <c r="H188" s="50">
        <f t="shared" si="44"/>
        <v>0.79811612788873898</v>
      </c>
      <c r="I188" s="49">
        <f t="shared" si="45"/>
        <v>6.9468672031961609E-2</v>
      </c>
    </row>
    <row r="189" spans="1:14" ht="12.75" customHeight="1" thickBot="1" x14ac:dyDescent="0.3">
      <c r="B189" s="86" t="s">
        <v>8</v>
      </c>
      <c r="C189" s="87">
        <v>635.49364444008404</v>
      </c>
      <c r="D189" s="32">
        <v>617141.72101696266</v>
      </c>
      <c r="E189" s="51">
        <f t="shared" si="41"/>
        <v>0.30761468796561031</v>
      </c>
      <c r="F189" s="51">
        <f t="shared" si="42"/>
        <v>0.20188387211126102</v>
      </c>
      <c r="G189" s="51">
        <f t="shared" si="43"/>
        <v>1</v>
      </c>
      <c r="H189" s="52">
        <f t="shared" si="44"/>
        <v>1</v>
      </c>
      <c r="I189" s="51">
        <f t="shared" si="45"/>
        <v>0.17083264994886366</v>
      </c>
    </row>
    <row r="190" spans="1:14" ht="12.75" customHeight="1" thickBot="1" x14ac:dyDescent="0.3">
      <c r="B190" s="38" t="s">
        <v>12</v>
      </c>
      <c r="C190" s="32">
        <f>SUM(C178:C189)</f>
        <v>2065.8754906759486</v>
      </c>
      <c r="D190" s="32">
        <f>SUM(D178:D189)</f>
        <v>3056914.4259173274</v>
      </c>
      <c r="E190" s="39">
        <f>SUM(E179:E189)</f>
        <v>1</v>
      </c>
      <c r="F190" s="33">
        <f>SUM(F179:F189)</f>
        <v>1</v>
      </c>
      <c r="G190" s="40"/>
      <c r="H190" s="40"/>
      <c r="I190" s="51">
        <f>SUM(I178:I189)</f>
        <v>0.43275196839067281</v>
      </c>
    </row>
    <row r="191" spans="1:14" ht="12.75" customHeight="1" thickBot="1" x14ac:dyDescent="0.3">
      <c r="B191" s="4"/>
      <c r="C191" s="4"/>
      <c r="D191" s="4"/>
      <c r="E191" s="4"/>
      <c r="F191" s="4"/>
      <c r="G191" s="4"/>
      <c r="H191" s="7"/>
      <c r="I191" s="53"/>
    </row>
    <row r="192" spans="1:14" ht="12.75" customHeight="1" thickBot="1" x14ac:dyDescent="0.3">
      <c r="B192" s="4"/>
      <c r="C192" s="4"/>
      <c r="D192" s="4"/>
      <c r="E192" s="4"/>
      <c r="F192" s="4"/>
      <c r="G192" s="5"/>
      <c r="H192" s="24" t="s">
        <v>29</v>
      </c>
      <c r="I192" s="52">
        <f>1-(2*I190)</f>
        <v>0.13449606321865437</v>
      </c>
    </row>
    <row r="193" spans="1:14" ht="12.75" customHeight="1" x14ac:dyDescent="0.25"/>
    <row r="194" spans="1:14" ht="12.75" customHeight="1" x14ac:dyDescent="0.25"/>
    <row r="195" spans="1:14" ht="12.75" customHeight="1" x14ac:dyDescent="0.25"/>
    <row r="196" spans="1:14" ht="12.75" customHeight="1" x14ac:dyDescent="0.25"/>
    <row r="197" spans="1:14" ht="16.2" thickBot="1" x14ac:dyDescent="0.35">
      <c r="B197" s="256" t="s">
        <v>120</v>
      </c>
      <c r="C197" s="256"/>
      <c r="D197" s="256"/>
      <c r="E197" s="256"/>
      <c r="F197" s="256"/>
      <c r="G197" s="256"/>
      <c r="H197" s="256"/>
      <c r="I197" s="256"/>
    </row>
    <row r="198" spans="1:14" ht="27" thickBot="1" x14ac:dyDescent="0.3">
      <c r="A198" s="8"/>
      <c r="B198" s="30" t="s">
        <v>19</v>
      </c>
      <c r="C198" s="31" t="s">
        <v>43</v>
      </c>
      <c r="D198" s="37" t="s">
        <v>115</v>
      </c>
      <c r="E198" s="31" t="s">
        <v>31</v>
      </c>
      <c r="F198" s="31" t="s">
        <v>21</v>
      </c>
      <c r="G198" s="31" t="s">
        <v>32</v>
      </c>
      <c r="H198" s="31" t="s">
        <v>117</v>
      </c>
      <c r="I198" s="31" t="s">
        <v>20</v>
      </c>
      <c r="J198" s="8"/>
      <c r="K198" s="8"/>
      <c r="L198" s="8"/>
      <c r="M198" s="8"/>
      <c r="N198" s="8"/>
    </row>
    <row r="199" spans="1:14" ht="12.75" customHeight="1" x14ac:dyDescent="0.25">
      <c r="B199" s="4"/>
      <c r="C199" s="26">
        <v>0</v>
      </c>
      <c r="D199" s="26">
        <v>0</v>
      </c>
      <c r="E199" s="49">
        <f>C199/$C$127</f>
        <v>0</v>
      </c>
      <c r="F199" s="49">
        <v>0</v>
      </c>
      <c r="G199" s="49">
        <v>0</v>
      </c>
      <c r="H199" s="50">
        <f>F199</f>
        <v>0</v>
      </c>
      <c r="I199" s="49">
        <v>0</v>
      </c>
    </row>
    <row r="200" spans="1:14" ht="12.75" customHeight="1" x14ac:dyDescent="0.25">
      <c r="B200" s="82" t="s">
        <v>3</v>
      </c>
      <c r="C200" s="84">
        <v>11.508286871268448</v>
      </c>
      <c r="D200" s="29">
        <v>24496.645034227455</v>
      </c>
      <c r="E200" s="49">
        <f t="shared" ref="E200:E210" si="46">C200/$C$211</f>
        <v>5.365070841658535E-3</v>
      </c>
      <c r="F200" s="49">
        <f t="shared" ref="F200:F210" si="47">D200/$D$211</f>
        <v>8.0135200470573958E-3</v>
      </c>
      <c r="G200" s="49">
        <f t="shared" ref="G200:G210" si="48">G199+E200</f>
        <v>5.365070841658535E-3</v>
      </c>
      <c r="H200" s="50">
        <f t="shared" ref="H200:H210" si="49">F200+H199</f>
        <v>8.0135200470573958E-3</v>
      </c>
      <c r="I200" s="49">
        <f t="shared" ref="I200:I210" si="50">(G199+G200)*0.5*(H200-H199)</f>
        <v>2.1496551371756882E-5</v>
      </c>
    </row>
    <row r="201" spans="1:14" ht="12.75" customHeight="1" x14ac:dyDescent="0.25">
      <c r="B201" s="82" t="s">
        <v>1</v>
      </c>
      <c r="C201" s="84">
        <v>14.311543976463907</v>
      </c>
      <c r="D201" s="29">
        <v>13199.085501550475</v>
      </c>
      <c r="E201" s="49">
        <f t="shared" si="46"/>
        <v>6.6719267729530764E-3</v>
      </c>
      <c r="F201" s="49">
        <f t="shared" si="47"/>
        <v>4.3177805010323955E-3</v>
      </c>
      <c r="G201" s="49">
        <f t="shared" si="48"/>
        <v>1.2036997614611612E-2</v>
      </c>
      <c r="H201" s="50">
        <f t="shared" si="49"/>
        <v>1.2331300548089792E-2</v>
      </c>
      <c r="I201" s="49">
        <f t="shared" si="50"/>
        <v>3.7569155929057087E-5</v>
      </c>
    </row>
    <row r="202" spans="1:14" ht="12.75" customHeight="1" x14ac:dyDescent="0.25">
      <c r="B202" s="111" t="s">
        <v>6</v>
      </c>
      <c r="C202" s="84">
        <v>21.369975555093788</v>
      </c>
      <c r="D202" s="29">
        <v>20836.189535136225</v>
      </c>
      <c r="E202" s="49">
        <f t="shared" si="46"/>
        <v>9.9625108428455806E-3</v>
      </c>
      <c r="F202" s="49">
        <f t="shared" si="47"/>
        <v>6.8160853174303836E-3</v>
      </c>
      <c r="G202" s="49">
        <f t="shared" si="48"/>
        <v>2.1999508457457191E-2</v>
      </c>
      <c r="H202" s="50">
        <f t="shared" si="49"/>
        <v>1.9147385865520176E-2</v>
      </c>
      <c r="I202" s="49">
        <f t="shared" si="50"/>
        <v>1.1599786464722913E-4</v>
      </c>
    </row>
    <row r="203" spans="1:14" ht="12.75" customHeight="1" x14ac:dyDescent="0.25">
      <c r="B203" s="82" t="s">
        <v>195</v>
      </c>
      <c r="C203" s="84">
        <v>26.829847298910604</v>
      </c>
      <c r="D203" s="29">
        <v>20450.034940117202</v>
      </c>
      <c r="E203" s="49">
        <f t="shared" si="46"/>
        <v>1.2507859166154999E-2</v>
      </c>
      <c r="F203" s="49">
        <f t="shared" si="47"/>
        <v>6.6897636279041406E-3</v>
      </c>
      <c r="G203" s="49">
        <f t="shared" si="48"/>
        <v>3.4507367623612187E-2</v>
      </c>
      <c r="H203" s="50">
        <f t="shared" si="49"/>
        <v>2.5837149493424316E-2</v>
      </c>
      <c r="I203" s="49">
        <f t="shared" si="50"/>
        <v>1.8900882216681217E-4</v>
      </c>
    </row>
    <row r="204" spans="1:14" ht="12.75" customHeight="1" x14ac:dyDescent="0.25">
      <c r="B204" s="82" t="s">
        <v>5</v>
      </c>
      <c r="C204" s="84">
        <v>61.971112889067193</v>
      </c>
      <c r="D204" s="29">
        <v>49475.746319971244</v>
      </c>
      <c r="E204" s="49">
        <f t="shared" si="46"/>
        <v>2.8890434736757464E-2</v>
      </c>
      <c r="F204" s="49">
        <f t="shared" si="47"/>
        <v>1.6184864679397896E-2</v>
      </c>
      <c r="G204" s="49">
        <f t="shared" si="48"/>
        <v>6.3397802360369654E-2</v>
      </c>
      <c r="H204" s="50">
        <f t="shared" si="49"/>
        <v>4.2022014172822211E-2</v>
      </c>
      <c r="I204" s="49">
        <f t="shared" si="50"/>
        <v>7.9229096380209734E-4</v>
      </c>
    </row>
    <row r="205" spans="1:14" ht="12.75" customHeight="1" x14ac:dyDescent="0.25">
      <c r="B205" s="82" t="s">
        <v>2</v>
      </c>
      <c r="C205" s="84">
        <v>62.298247354744262</v>
      </c>
      <c r="D205" s="29">
        <v>251430.37783690859</v>
      </c>
      <c r="E205" s="49">
        <f t="shared" si="46"/>
        <v>2.9042942195316508E-2</v>
      </c>
      <c r="F205" s="49">
        <f t="shared" si="47"/>
        <v>8.2249727275718124E-2</v>
      </c>
      <c r="G205" s="49">
        <f t="shared" si="48"/>
        <v>9.2440744555686155E-2</v>
      </c>
      <c r="H205" s="50">
        <f t="shared" si="49"/>
        <v>0.12427174144854033</v>
      </c>
      <c r="I205" s="49">
        <f t="shared" si="50"/>
        <v>6.4088389914448967E-3</v>
      </c>
    </row>
    <row r="206" spans="1:14" ht="12.75" customHeight="1" x14ac:dyDescent="0.25">
      <c r="B206" s="82" t="s">
        <v>9</v>
      </c>
      <c r="C206" s="84">
        <v>126.36290461320199</v>
      </c>
      <c r="D206" s="29">
        <v>119784.51078433092</v>
      </c>
      <c r="E206" s="49">
        <f t="shared" si="46"/>
        <v>5.8909370490244424E-2</v>
      </c>
      <c r="F206" s="49">
        <f t="shared" si="47"/>
        <v>3.9184777227902166E-2</v>
      </c>
      <c r="G206" s="49">
        <f t="shared" si="48"/>
        <v>0.15135011504593057</v>
      </c>
      <c r="H206" s="50">
        <f t="shared" si="49"/>
        <v>0.16345651867644251</v>
      </c>
      <c r="I206" s="49">
        <f t="shared" si="50"/>
        <v>4.7764452618440636E-3</v>
      </c>
    </row>
    <row r="207" spans="1:14" ht="12.75" customHeight="1" x14ac:dyDescent="0.25">
      <c r="B207" s="111" t="s">
        <v>10</v>
      </c>
      <c r="C207" s="84">
        <v>317.78499103639581</v>
      </c>
      <c r="D207" s="29">
        <v>237021.44592026682</v>
      </c>
      <c r="E207" s="49">
        <f t="shared" si="46"/>
        <v>0.14814880862786201</v>
      </c>
      <c r="F207" s="49">
        <f t="shared" si="47"/>
        <v>7.7536173047808091E-2</v>
      </c>
      <c r="G207" s="49">
        <f t="shared" si="48"/>
        <v>0.29949892367379261</v>
      </c>
      <c r="H207" s="50">
        <f t="shared" si="49"/>
        <v>0.24099269172425059</v>
      </c>
      <c r="I207" s="49">
        <f t="shared" si="50"/>
        <v>1.7478554542305191E-2</v>
      </c>
    </row>
    <row r="208" spans="1:14" ht="12.75" customHeight="1" x14ac:dyDescent="0.25">
      <c r="B208" s="82" t="s">
        <v>4</v>
      </c>
      <c r="C208" s="84">
        <v>342.27085552911922</v>
      </c>
      <c r="D208" s="29">
        <v>363314.38569269452</v>
      </c>
      <c r="E208" s="49">
        <f t="shared" si="46"/>
        <v>0.1595639218495081</v>
      </c>
      <c r="F208" s="49">
        <f t="shared" si="47"/>
        <v>0.1188500347318915</v>
      </c>
      <c r="G208" s="49">
        <f t="shared" si="48"/>
        <v>0.45906284552330068</v>
      </c>
      <c r="H208" s="50">
        <f t="shared" si="49"/>
        <v>0.35984272645614207</v>
      </c>
      <c r="I208" s="49">
        <f t="shared" si="50"/>
        <v>4.5077546307679794E-2</v>
      </c>
    </row>
    <row r="209" spans="1:14" ht="12.75" customHeight="1" x14ac:dyDescent="0.25">
      <c r="B209" s="82" t="s">
        <v>7</v>
      </c>
      <c r="C209" s="84">
        <v>430.80565735119228</v>
      </c>
      <c r="D209" s="29">
        <v>1339764.2833351614</v>
      </c>
      <c r="E209" s="49">
        <f t="shared" si="46"/>
        <v>0.20083813486148064</v>
      </c>
      <c r="F209" s="49">
        <f t="shared" si="47"/>
        <v>0.43827340143259691</v>
      </c>
      <c r="G209" s="49">
        <f t="shared" si="48"/>
        <v>0.65990098038478129</v>
      </c>
      <c r="H209" s="50">
        <f t="shared" si="49"/>
        <v>0.79811612788873898</v>
      </c>
      <c r="I209" s="49">
        <f t="shared" si="50"/>
        <v>0.24520604103038363</v>
      </c>
    </row>
    <row r="210" spans="1:14" ht="12.75" customHeight="1" thickBot="1" x14ac:dyDescent="0.3">
      <c r="B210" s="86" t="s">
        <v>8</v>
      </c>
      <c r="C210" s="87">
        <v>729.52570392512223</v>
      </c>
      <c r="D210" s="32">
        <v>617141.72101696266</v>
      </c>
      <c r="E210" s="51">
        <f t="shared" si="46"/>
        <v>0.34009901961521866</v>
      </c>
      <c r="F210" s="51">
        <f t="shared" si="47"/>
        <v>0.20188387211126102</v>
      </c>
      <c r="G210" s="51">
        <f t="shared" si="48"/>
        <v>1</v>
      </c>
      <c r="H210" s="52">
        <f t="shared" si="49"/>
        <v>1</v>
      </c>
      <c r="I210" s="51">
        <f t="shared" si="50"/>
        <v>0.167553618620679</v>
      </c>
    </row>
    <row r="211" spans="1:14" ht="12.75" customHeight="1" thickBot="1" x14ac:dyDescent="0.3">
      <c r="B211" s="38" t="s">
        <v>12</v>
      </c>
      <c r="C211" s="32">
        <f>SUM(C199:C210)</f>
        <v>2145.0391264005798</v>
      </c>
      <c r="D211" s="32">
        <f>SUM(D199:D210)</f>
        <v>3056914.4259173274</v>
      </c>
      <c r="E211" s="51">
        <f>SUM(E200:E210)</f>
        <v>1</v>
      </c>
      <c r="F211" s="51">
        <f>SUM(F200:F210)</f>
        <v>1</v>
      </c>
      <c r="G211" s="52"/>
      <c r="H211" s="52"/>
      <c r="I211" s="51">
        <f>SUM(I199:I210)</f>
        <v>0.48765740811225355</v>
      </c>
    </row>
    <row r="212" spans="1:14" ht="12.75" customHeight="1" thickBot="1" x14ac:dyDescent="0.3">
      <c r="B212" s="4"/>
      <c r="C212" s="4"/>
      <c r="D212" s="4"/>
      <c r="E212" s="50"/>
      <c r="F212" s="50"/>
      <c r="G212" s="50"/>
      <c r="H212" s="53"/>
      <c r="I212" s="53"/>
    </row>
    <row r="213" spans="1:14" ht="12.75" customHeight="1" thickBot="1" x14ac:dyDescent="0.3">
      <c r="B213" s="4"/>
      <c r="C213" s="4"/>
      <c r="D213" s="4"/>
      <c r="E213" s="50"/>
      <c r="F213" s="50"/>
      <c r="G213" s="55"/>
      <c r="H213" s="56" t="s">
        <v>29</v>
      </c>
      <c r="I213" s="52">
        <f>1-(2*I211)</f>
        <v>2.4685183775492892E-2</v>
      </c>
    </row>
    <row r="214" spans="1:14" ht="12.75" customHeight="1" x14ac:dyDescent="0.25"/>
    <row r="215" spans="1:14" ht="12.75" customHeight="1" x14ac:dyDescent="0.25"/>
    <row r="216" spans="1:14" ht="12.75" customHeight="1" x14ac:dyDescent="0.25"/>
    <row r="217" spans="1:14" ht="12.75" customHeight="1" x14ac:dyDescent="0.25"/>
    <row r="218" spans="1:14" ht="16.2" thickBot="1" x14ac:dyDescent="0.35">
      <c r="B218" s="256" t="s">
        <v>119</v>
      </c>
      <c r="C218" s="256"/>
      <c r="D218" s="256"/>
      <c r="E218" s="256"/>
      <c r="F218" s="256"/>
      <c r="G218" s="256"/>
      <c r="H218" s="256"/>
      <c r="I218" s="256"/>
    </row>
    <row r="219" spans="1:14" ht="27" thickBot="1" x14ac:dyDescent="0.3">
      <c r="A219" s="8"/>
      <c r="B219" s="30" t="s">
        <v>19</v>
      </c>
      <c r="C219" s="31" t="s">
        <v>38</v>
      </c>
      <c r="D219" s="37" t="s">
        <v>115</v>
      </c>
      <c r="E219" s="31" t="s">
        <v>15</v>
      </c>
      <c r="F219" s="31" t="s">
        <v>21</v>
      </c>
      <c r="G219" s="31" t="s">
        <v>17</v>
      </c>
      <c r="H219" s="31" t="s">
        <v>117</v>
      </c>
      <c r="I219" s="31" t="s">
        <v>20</v>
      </c>
      <c r="J219" s="8"/>
      <c r="K219" s="8"/>
      <c r="L219" s="8"/>
      <c r="M219" s="8"/>
      <c r="N219" s="8"/>
    </row>
    <row r="220" spans="1:14" ht="12.75" customHeight="1" x14ac:dyDescent="0.25">
      <c r="B220" s="4"/>
      <c r="C220" s="26">
        <v>0</v>
      </c>
      <c r="D220" s="26">
        <v>0</v>
      </c>
      <c r="E220" s="49">
        <v>0</v>
      </c>
      <c r="F220" s="49">
        <v>0</v>
      </c>
      <c r="G220" s="49">
        <v>0</v>
      </c>
      <c r="H220" s="50">
        <f>F220</f>
        <v>0</v>
      </c>
      <c r="I220" s="49">
        <v>0</v>
      </c>
    </row>
    <row r="221" spans="1:14" ht="12.75" customHeight="1" x14ac:dyDescent="0.25">
      <c r="B221" s="82" t="s">
        <v>2</v>
      </c>
      <c r="C221" s="84">
        <v>0</v>
      </c>
      <c r="D221" s="29">
        <v>251430.37783690859</v>
      </c>
      <c r="E221" s="49">
        <f t="shared" ref="E221:E231" si="51">C221/$C$232</f>
        <v>0</v>
      </c>
      <c r="F221" s="49">
        <f t="shared" ref="F221:F231" si="52">D221/$D$232</f>
        <v>8.2249727275718124E-2</v>
      </c>
      <c r="G221" s="49">
        <f t="shared" ref="G221:G231" si="53">G220+E221</f>
        <v>0</v>
      </c>
      <c r="H221" s="50">
        <f t="shared" ref="H221:H231" si="54">F221+H220</f>
        <v>8.2249727275718124E-2</v>
      </c>
      <c r="I221" s="49">
        <f t="shared" ref="I221:I231" si="55">(G220+G221)*0.5*(H221-H220)</f>
        <v>0</v>
      </c>
    </row>
    <row r="222" spans="1:14" ht="12.75" customHeight="1" x14ac:dyDescent="0.25">
      <c r="B222" s="82" t="s">
        <v>7</v>
      </c>
      <c r="C222" s="84">
        <v>0</v>
      </c>
      <c r="D222" s="29">
        <v>1339764.2833351614</v>
      </c>
      <c r="E222" s="49">
        <f t="shared" si="51"/>
        <v>0</v>
      </c>
      <c r="F222" s="49">
        <f t="shared" si="52"/>
        <v>0.43827340143259691</v>
      </c>
      <c r="G222" s="49">
        <f t="shared" si="53"/>
        <v>0</v>
      </c>
      <c r="H222" s="50">
        <f t="shared" si="54"/>
        <v>0.52052312870831507</v>
      </c>
      <c r="I222" s="49">
        <f t="shared" si="55"/>
        <v>0</v>
      </c>
    </row>
    <row r="223" spans="1:14" ht="12.75" customHeight="1" x14ac:dyDescent="0.25">
      <c r="B223" s="82" t="s">
        <v>8</v>
      </c>
      <c r="C223" s="84">
        <v>0</v>
      </c>
      <c r="D223" s="29">
        <v>617141.72101696266</v>
      </c>
      <c r="E223" s="49">
        <f t="shared" si="51"/>
        <v>0</v>
      </c>
      <c r="F223" s="49">
        <f t="shared" si="52"/>
        <v>0.20188387211126102</v>
      </c>
      <c r="G223" s="49">
        <f t="shared" si="53"/>
        <v>0</v>
      </c>
      <c r="H223" s="50">
        <f t="shared" si="54"/>
        <v>0.7224070008195761</v>
      </c>
      <c r="I223" s="49">
        <f t="shared" si="55"/>
        <v>0</v>
      </c>
    </row>
    <row r="224" spans="1:14" ht="12.75" customHeight="1" x14ac:dyDescent="0.25">
      <c r="B224" s="111" t="s">
        <v>10</v>
      </c>
      <c r="C224" s="84">
        <v>0</v>
      </c>
      <c r="D224" s="29">
        <v>237021.44592026682</v>
      </c>
      <c r="E224" s="49">
        <f t="shared" si="51"/>
        <v>0</v>
      </c>
      <c r="F224" s="49">
        <f t="shared" si="52"/>
        <v>7.7536173047808091E-2</v>
      </c>
      <c r="G224" s="49">
        <f t="shared" si="53"/>
        <v>0</v>
      </c>
      <c r="H224" s="50">
        <f t="shared" si="54"/>
        <v>0.79994317386738423</v>
      </c>
      <c r="I224" s="49">
        <f t="shared" si="55"/>
        <v>0</v>
      </c>
    </row>
    <row r="225" spans="1:14" ht="12.75" customHeight="1" x14ac:dyDescent="0.25">
      <c r="B225" s="82" t="s">
        <v>1</v>
      </c>
      <c r="C225" s="84">
        <v>1.2332552620142447</v>
      </c>
      <c r="D225" s="29">
        <v>13199.085501550475</v>
      </c>
      <c r="E225" s="49">
        <f t="shared" si="51"/>
        <v>7.9080986475198595E-3</v>
      </c>
      <c r="F225" s="49">
        <f t="shared" si="52"/>
        <v>4.3177805010323955E-3</v>
      </c>
      <c r="G225" s="49">
        <f t="shared" si="53"/>
        <v>7.9080986475198595E-3</v>
      </c>
      <c r="H225" s="50">
        <f t="shared" si="54"/>
        <v>0.8042609543684166</v>
      </c>
      <c r="I225" s="49">
        <f t="shared" si="55"/>
        <v>1.7072717070250876E-5</v>
      </c>
    </row>
    <row r="226" spans="1:14" ht="12.75" customHeight="1" x14ac:dyDescent="0.25">
      <c r="B226" s="82" t="s">
        <v>195</v>
      </c>
      <c r="C226" s="84">
        <v>2.4187231998381997</v>
      </c>
      <c r="D226" s="29">
        <v>20450.034940117202</v>
      </c>
      <c r="E226" s="49">
        <f t="shared" si="51"/>
        <v>1.5509766918914182E-2</v>
      </c>
      <c r="F226" s="49">
        <f t="shared" si="52"/>
        <v>6.6897636279041406E-3</v>
      </c>
      <c r="G226" s="49">
        <f t="shared" si="53"/>
        <v>2.3417865566434042E-2</v>
      </c>
      <c r="H226" s="50">
        <f t="shared" si="54"/>
        <v>0.81095071799632079</v>
      </c>
      <c r="I226" s="49">
        <f t="shared" si="55"/>
        <v>1.0478164800376851E-4</v>
      </c>
    </row>
    <row r="227" spans="1:14" ht="12.75" customHeight="1" x14ac:dyDescent="0.25">
      <c r="B227" s="82" t="s">
        <v>3</v>
      </c>
      <c r="C227" s="84">
        <v>3.502514612375089</v>
      </c>
      <c r="D227" s="29">
        <v>24496.645034227455</v>
      </c>
      <c r="E227" s="49">
        <f t="shared" si="51"/>
        <v>2.2459446898124857E-2</v>
      </c>
      <c r="F227" s="49">
        <f t="shared" si="52"/>
        <v>8.0135200470573958E-3</v>
      </c>
      <c r="G227" s="49">
        <f t="shared" si="53"/>
        <v>4.5877312464558895E-2</v>
      </c>
      <c r="H227" s="50">
        <f t="shared" si="54"/>
        <v>0.81896423804337815</v>
      </c>
      <c r="I227" s="49">
        <f t="shared" si="55"/>
        <v>2.7764914915788514E-4</v>
      </c>
    </row>
    <row r="228" spans="1:14" ht="12.75" customHeight="1" x14ac:dyDescent="0.25">
      <c r="B228" s="111" t="s">
        <v>6</v>
      </c>
      <c r="C228" s="84">
        <v>3.5584735717562475</v>
      </c>
      <c r="D228" s="29">
        <v>20836.189535136225</v>
      </c>
      <c r="E228" s="49">
        <f t="shared" si="51"/>
        <v>2.2818276886229661E-2</v>
      </c>
      <c r="F228" s="49">
        <f t="shared" si="52"/>
        <v>6.8160853174303836E-3</v>
      </c>
      <c r="G228" s="49">
        <f t="shared" si="53"/>
        <v>6.8695589350788552E-2</v>
      </c>
      <c r="H228" s="50">
        <f t="shared" si="54"/>
        <v>0.82578032336080853</v>
      </c>
      <c r="I228" s="49">
        <f t="shared" si="55"/>
        <v>3.9046933691949155E-4</v>
      </c>
    </row>
    <row r="229" spans="1:14" ht="12.75" customHeight="1" x14ac:dyDescent="0.25">
      <c r="B229" s="82" t="s">
        <v>5</v>
      </c>
      <c r="C229" s="84">
        <v>17.520230893648204</v>
      </c>
      <c r="D229" s="29">
        <v>49475.746319971244</v>
      </c>
      <c r="E229" s="49">
        <f t="shared" si="51"/>
        <v>0.11234633940097852</v>
      </c>
      <c r="F229" s="49">
        <f t="shared" si="52"/>
        <v>1.6184864679397896E-2</v>
      </c>
      <c r="G229" s="49">
        <f t="shared" si="53"/>
        <v>0.18104192875176706</v>
      </c>
      <c r="H229" s="50">
        <f t="shared" si="54"/>
        <v>0.84196518804020648</v>
      </c>
      <c r="I229" s="49">
        <f t="shared" si="55"/>
        <v>2.0209839679292789E-3</v>
      </c>
    </row>
    <row r="230" spans="1:14" ht="12.75" customHeight="1" x14ac:dyDescent="0.25">
      <c r="B230" s="82" t="s">
        <v>9</v>
      </c>
      <c r="C230" s="84">
        <v>23.742632694444477</v>
      </c>
      <c r="D230" s="29">
        <v>119784.51078433092</v>
      </c>
      <c r="E230" s="49">
        <f t="shared" si="51"/>
        <v>0.15224673048857298</v>
      </c>
      <c r="F230" s="49">
        <f t="shared" si="52"/>
        <v>3.9184777227902166E-2</v>
      </c>
      <c r="G230" s="49">
        <f t="shared" si="53"/>
        <v>0.33328865924034001</v>
      </c>
      <c r="H230" s="50">
        <f t="shared" si="54"/>
        <v>0.88114996526810863</v>
      </c>
      <c r="I230" s="49">
        <f t="shared" si="55"/>
        <v>1.0076964755983318E-2</v>
      </c>
    </row>
    <row r="231" spans="1:14" ht="12.75" customHeight="1" thickBot="1" x14ac:dyDescent="0.3">
      <c r="B231" s="86" t="s">
        <v>4</v>
      </c>
      <c r="C231" s="87">
        <v>103.97256102695296</v>
      </c>
      <c r="D231" s="32">
        <v>363314.38569269452</v>
      </c>
      <c r="E231" s="51">
        <f t="shared" si="51"/>
        <v>0.66671134075965988</v>
      </c>
      <c r="F231" s="51">
        <f t="shared" si="52"/>
        <v>0.1188500347318915</v>
      </c>
      <c r="G231" s="51">
        <f t="shared" si="53"/>
        <v>0.99999999999999989</v>
      </c>
      <c r="H231" s="52">
        <f t="shared" si="54"/>
        <v>1.0000000000000002</v>
      </c>
      <c r="I231" s="51">
        <f t="shared" si="55"/>
        <v>7.923070172917579E-2</v>
      </c>
    </row>
    <row r="232" spans="1:14" ht="12.75" customHeight="1" thickBot="1" x14ac:dyDescent="0.3">
      <c r="B232" s="38" t="s">
        <v>12</v>
      </c>
      <c r="C232" s="32">
        <f>SUM(C220:C231)</f>
        <v>155.94839126102943</v>
      </c>
      <c r="D232" s="32">
        <f>SUM(D220:D231)</f>
        <v>3056914.4259173274</v>
      </c>
      <c r="E232" s="51">
        <f>SUM(E221:E231)</f>
        <v>0.99999999999999989</v>
      </c>
      <c r="F232" s="51">
        <f>SUM(F221:F231)</f>
        <v>1.0000000000000002</v>
      </c>
      <c r="G232" s="52"/>
      <c r="H232" s="52"/>
      <c r="I232" s="51">
        <f>SUM(I220:I231)</f>
        <v>9.2118623304239783E-2</v>
      </c>
    </row>
    <row r="233" spans="1:14" ht="12.75" customHeight="1" thickBot="1" x14ac:dyDescent="0.3">
      <c r="B233" s="4"/>
      <c r="C233" s="4"/>
      <c r="D233" s="4"/>
      <c r="E233" s="50"/>
      <c r="F233" s="50"/>
      <c r="G233" s="50"/>
      <c r="H233" s="53"/>
      <c r="I233" s="53"/>
    </row>
    <row r="234" spans="1:14" ht="12.75" customHeight="1" thickBot="1" x14ac:dyDescent="0.3">
      <c r="B234" s="4"/>
      <c r="C234" s="4"/>
      <c r="D234" s="4"/>
      <c r="E234" s="50"/>
      <c r="F234" s="50"/>
      <c r="G234" s="55"/>
      <c r="H234" s="56" t="s">
        <v>33</v>
      </c>
      <c r="I234" s="52">
        <f>1-(2*I232)</f>
        <v>0.81576275339152038</v>
      </c>
    </row>
    <row r="235" spans="1:14" ht="12.75" customHeight="1" x14ac:dyDescent="0.25"/>
    <row r="236" spans="1:14" ht="12.75" customHeight="1" x14ac:dyDescent="0.25"/>
    <row r="237" spans="1:14" ht="12.75" customHeight="1" x14ac:dyDescent="0.25"/>
    <row r="238" spans="1:14" ht="12.75" customHeight="1" x14ac:dyDescent="0.25"/>
    <row r="239" spans="1:14" ht="16.2" thickBot="1" x14ac:dyDescent="0.35">
      <c r="B239" s="256" t="s">
        <v>118</v>
      </c>
      <c r="C239" s="256"/>
      <c r="D239" s="256"/>
      <c r="E239" s="256"/>
      <c r="F239" s="256"/>
      <c r="G239" s="256"/>
      <c r="H239" s="256"/>
      <c r="I239" s="256"/>
    </row>
    <row r="240" spans="1:14" ht="27" thickBot="1" x14ac:dyDescent="0.3">
      <c r="A240" s="8"/>
      <c r="B240" s="30" t="s">
        <v>19</v>
      </c>
      <c r="C240" s="31" t="s">
        <v>39</v>
      </c>
      <c r="D240" s="37" t="s">
        <v>115</v>
      </c>
      <c r="E240" s="31" t="s">
        <v>15</v>
      </c>
      <c r="F240" s="31" t="s">
        <v>21</v>
      </c>
      <c r="G240" s="31" t="s">
        <v>17</v>
      </c>
      <c r="H240" s="31" t="s">
        <v>117</v>
      </c>
      <c r="I240" s="31" t="s">
        <v>20</v>
      </c>
      <c r="J240" s="8"/>
      <c r="K240" s="8"/>
      <c r="L240" s="8"/>
      <c r="M240" s="8"/>
      <c r="N240" s="8"/>
    </row>
    <row r="241" spans="2:9" ht="12.75" customHeight="1" x14ac:dyDescent="0.25">
      <c r="B241" s="4"/>
      <c r="C241" s="26">
        <v>0</v>
      </c>
      <c r="D241" s="26">
        <v>0</v>
      </c>
      <c r="E241" s="49">
        <v>0</v>
      </c>
      <c r="F241" s="49">
        <v>0</v>
      </c>
      <c r="G241" s="49">
        <v>0</v>
      </c>
      <c r="H241" s="50">
        <f>F241</f>
        <v>0</v>
      </c>
      <c r="I241" s="49">
        <v>0</v>
      </c>
    </row>
    <row r="242" spans="2:9" ht="12.75" customHeight="1" x14ac:dyDescent="0.25">
      <c r="B242" s="82" t="s">
        <v>1</v>
      </c>
      <c r="C242" s="29">
        <v>1.2332552620142447</v>
      </c>
      <c r="D242" s="29">
        <v>13199.085501550475</v>
      </c>
      <c r="E242" s="49">
        <f t="shared" ref="E242:E252" si="56">C242/$C$253</f>
        <v>4.1855150022580721E-3</v>
      </c>
      <c r="F242" s="49">
        <f t="shared" ref="F242:F252" si="57">D242/$D$253</f>
        <v>4.3177805010323946E-3</v>
      </c>
      <c r="G242" s="49">
        <f t="shared" ref="G242:G252" si="58">G241+E242</f>
        <v>4.1855150022580721E-3</v>
      </c>
      <c r="H242" s="50">
        <f t="shared" ref="H242:H252" si="59">F242+H241</f>
        <v>4.3177805010323946E-3</v>
      </c>
      <c r="I242" s="49">
        <f t="shared" ref="I242:I252" si="60">(G241+G242)*0.5*(H242-H241)</f>
        <v>9.0360675317642311E-6</v>
      </c>
    </row>
    <row r="243" spans="2:9" ht="12.75" customHeight="1" x14ac:dyDescent="0.25">
      <c r="B243" s="82" t="s">
        <v>195</v>
      </c>
      <c r="C243" s="29">
        <v>2.4187231998381997</v>
      </c>
      <c r="D243" s="29">
        <v>20450.034940117202</v>
      </c>
      <c r="E243" s="49">
        <f t="shared" si="56"/>
        <v>8.2088457686349606E-3</v>
      </c>
      <c r="F243" s="49">
        <f t="shared" si="57"/>
        <v>6.6897636279041389E-3</v>
      </c>
      <c r="G243" s="49">
        <f t="shared" si="58"/>
        <v>1.2394360770893034E-2</v>
      </c>
      <c r="H243" s="50">
        <f t="shared" si="59"/>
        <v>1.1007544128936533E-2</v>
      </c>
      <c r="I243" s="49">
        <f t="shared" si="60"/>
        <v>5.5457724951197639E-5</v>
      </c>
    </row>
    <row r="244" spans="2:9" ht="12.75" customHeight="1" x14ac:dyDescent="0.25">
      <c r="B244" s="82" t="s">
        <v>3</v>
      </c>
      <c r="C244" s="29">
        <v>3.502514612375089</v>
      </c>
      <c r="D244" s="29">
        <v>24496.645034227455</v>
      </c>
      <c r="E244" s="49">
        <f t="shared" si="56"/>
        <v>1.1887099051805806E-2</v>
      </c>
      <c r="F244" s="49">
        <f t="shared" si="57"/>
        <v>8.0135200470573941E-3</v>
      </c>
      <c r="G244" s="49">
        <f t="shared" si="58"/>
        <v>2.4281459822698838E-2</v>
      </c>
      <c r="H244" s="50">
        <f t="shared" si="59"/>
        <v>1.9021064175993925E-2</v>
      </c>
      <c r="I244" s="49">
        <f t="shared" si="60"/>
        <v>1.4695121178451439E-4</v>
      </c>
    </row>
    <row r="245" spans="2:9" ht="12.75" customHeight="1" x14ac:dyDescent="0.25">
      <c r="B245" s="111" t="s">
        <v>6</v>
      </c>
      <c r="C245" s="29">
        <v>7.3584735717562477</v>
      </c>
      <c r="D245" s="29">
        <v>20836.189535136225</v>
      </c>
      <c r="E245" s="49">
        <f t="shared" si="56"/>
        <v>2.4973744266050875E-2</v>
      </c>
      <c r="F245" s="49">
        <f t="shared" si="57"/>
        <v>6.8160853174303827E-3</v>
      </c>
      <c r="G245" s="49">
        <f t="shared" si="58"/>
        <v>4.9255204088749713E-2</v>
      </c>
      <c r="H245" s="50">
        <f t="shared" si="59"/>
        <v>2.5837149493424309E-2</v>
      </c>
      <c r="I245" s="49">
        <f t="shared" si="60"/>
        <v>2.5061608758981865E-4</v>
      </c>
    </row>
    <row r="246" spans="2:9" ht="12.75" customHeight="1" x14ac:dyDescent="0.25">
      <c r="B246" s="82" t="s">
        <v>5</v>
      </c>
      <c r="C246" s="29">
        <v>17.520230893648204</v>
      </c>
      <c r="D246" s="29">
        <v>49475.746319971244</v>
      </c>
      <c r="E246" s="49">
        <f t="shared" si="56"/>
        <v>5.9461484987803674E-2</v>
      </c>
      <c r="F246" s="49">
        <f t="shared" si="57"/>
        <v>1.6184864679397892E-2</v>
      </c>
      <c r="G246" s="49">
        <f t="shared" si="58"/>
        <v>0.10871668907655338</v>
      </c>
      <c r="H246" s="50">
        <f t="shared" si="59"/>
        <v>4.2022014172822197E-2</v>
      </c>
      <c r="I246" s="49">
        <f t="shared" si="60"/>
        <v>1.2783768570143652E-3</v>
      </c>
    </row>
    <row r="247" spans="2:9" ht="12.75" customHeight="1" x14ac:dyDescent="0.25">
      <c r="B247" s="111" t="s">
        <v>10</v>
      </c>
      <c r="C247" s="29">
        <v>21.1</v>
      </c>
      <c r="D247" s="29">
        <v>237021.44592026682</v>
      </c>
      <c r="E247" s="49">
        <f t="shared" si="56"/>
        <v>7.1610776185461952E-2</v>
      </c>
      <c r="F247" s="49">
        <f t="shared" si="57"/>
        <v>7.7536173047808077E-2</v>
      </c>
      <c r="G247" s="49">
        <f t="shared" si="58"/>
        <v>0.18032746526201532</v>
      </c>
      <c r="H247" s="50">
        <f t="shared" si="59"/>
        <v>0.11955818722063027</v>
      </c>
      <c r="I247" s="49">
        <f t="shared" si="60"/>
        <v>1.1205688784626303E-2</v>
      </c>
    </row>
    <row r="248" spans="2:9" ht="12.75" customHeight="1" x14ac:dyDescent="0.25">
      <c r="B248" s="82" t="s">
        <v>8</v>
      </c>
      <c r="C248" s="29">
        <v>23.5</v>
      </c>
      <c r="D248" s="29">
        <v>617141.72101696266</v>
      </c>
      <c r="E248" s="49">
        <f t="shared" si="56"/>
        <v>7.9756077742102166E-2</v>
      </c>
      <c r="F248" s="49">
        <f t="shared" si="57"/>
        <v>0.20188387211126099</v>
      </c>
      <c r="G248" s="49">
        <f t="shared" si="58"/>
        <v>0.26008354300411751</v>
      </c>
      <c r="H248" s="50">
        <f t="shared" si="59"/>
        <v>0.32144205933189129</v>
      </c>
      <c r="I248" s="49">
        <f t="shared" si="60"/>
        <v>4.445593983459574E-2</v>
      </c>
    </row>
    <row r="249" spans="2:9" ht="12.75" customHeight="1" x14ac:dyDescent="0.25">
      <c r="B249" s="82" t="s">
        <v>9</v>
      </c>
      <c r="C249" s="29">
        <v>23.742632694444477</v>
      </c>
      <c r="D249" s="29">
        <v>119784.51078433092</v>
      </c>
      <c r="E249" s="49">
        <f t="shared" si="56"/>
        <v>8.0579542935331511E-2</v>
      </c>
      <c r="F249" s="49">
        <f t="shared" si="57"/>
        <v>3.9184777227902166E-2</v>
      </c>
      <c r="G249" s="49">
        <f t="shared" si="58"/>
        <v>0.34066308593944905</v>
      </c>
      <c r="H249" s="50">
        <f t="shared" si="59"/>
        <v>0.36062683655979344</v>
      </c>
      <c r="I249" s="49">
        <f t="shared" si="60"/>
        <v>1.1770061412783424E-2</v>
      </c>
    </row>
    <row r="250" spans="2:9" ht="12.75" customHeight="1" x14ac:dyDescent="0.25">
      <c r="B250" s="82" t="s">
        <v>7</v>
      </c>
      <c r="C250" s="29">
        <v>33.799999999999997</v>
      </c>
      <c r="D250" s="29">
        <v>1339764.2833351614</v>
      </c>
      <c r="E250" s="49">
        <f t="shared" si="56"/>
        <v>0.11471299692268311</v>
      </c>
      <c r="F250" s="49">
        <f t="shared" si="57"/>
        <v>0.43827340143259685</v>
      </c>
      <c r="G250" s="49">
        <f t="shared" si="58"/>
        <v>0.45537608286213216</v>
      </c>
      <c r="H250" s="50">
        <f t="shared" si="59"/>
        <v>0.79890023799239029</v>
      </c>
      <c r="I250" s="49">
        <f t="shared" si="60"/>
        <v>0.17444139709212306</v>
      </c>
    </row>
    <row r="251" spans="2:9" ht="12.75" customHeight="1" x14ac:dyDescent="0.25">
      <c r="B251" s="82" t="s">
        <v>2</v>
      </c>
      <c r="C251" s="29">
        <v>56.5</v>
      </c>
      <c r="D251" s="29">
        <v>251430.37783690859</v>
      </c>
      <c r="E251" s="49">
        <f t="shared" si="56"/>
        <v>0.19175397414590523</v>
      </c>
      <c r="F251" s="49">
        <f t="shared" si="57"/>
        <v>8.224972727571811E-2</v>
      </c>
      <c r="G251" s="49">
        <f t="shared" si="58"/>
        <v>0.64713005700803738</v>
      </c>
      <c r="H251" s="50">
        <f t="shared" si="59"/>
        <v>0.8811499652681084</v>
      </c>
      <c r="I251" s="49">
        <f t="shared" si="60"/>
        <v>4.5340414662063087E-2</v>
      </c>
    </row>
    <row r="252" spans="2:9" ht="12.75" customHeight="1" thickBot="1" x14ac:dyDescent="0.3">
      <c r="B252" s="86" t="s">
        <v>4</v>
      </c>
      <c r="C252" s="32">
        <v>103.97256102695296</v>
      </c>
      <c r="D252" s="32">
        <v>363314.38569269452</v>
      </c>
      <c r="E252" s="51">
        <f t="shared" si="56"/>
        <v>0.35286994299196267</v>
      </c>
      <c r="F252" s="51">
        <f t="shared" si="57"/>
        <v>0.11885003473189147</v>
      </c>
      <c r="G252" s="51">
        <f t="shared" si="58"/>
        <v>1</v>
      </c>
      <c r="H252" s="52">
        <f t="shared" si="59"/>
        <v>0.99999999999999989</v>
      </c>
      <c r="I252" s="51">
        <f t="shared" si="60"/>
        <v>9.7880732241673818E-2</v>
      </c>
    </row>
    <row r="253" spans="2:9" ht="12.75" customHeight="1" thickBot="1" x14ac:dyDescent="0.3">
      <c r="B253" s="38" t="s">
        <v>12</v>
      </c>
      <c r="C253" s="32">
        <f>SUM(C241:C252)</f>
        <v>294.64839126102942</v>
      </c>
      <c r="D253" s="32">
        <f>SUM(D241:D252)</f>
        <v>3056914.4259173279</v>
      </c>
      <c r="E253" s="51">
        <f>SUM(E242:E252)</f>
        <v>1</v>
      </c>
      <c r="F253" s="51">
        <f>SUM(F242:F252)</f>
        <v>0.99999999999999989</v>
      </c>
      <c r="G253" s="52"/>
      <c r="H253" s="52"/>
      <c r="I253" s="51">
        <f>SUM(I241:I252)</f>
        <v>0.3868346719767371</v>
      </c>
    </row>
    <row r="254" spans="2:9" ht="12.75" customHeight="1" thickBot="1" x14ac:dyDescent="0.3">
      <c r="B254" s="4"/>
      <c r="C254" s="4"/>
      <c r="D254" s="4"/>
      <c r="E254" s="50"/>
      <c r="F254" s="50"/>
      <c r="G254" s="50"/>
      <c r="H254" s="53"/>
      <c r="I254" s="53"/>
    </row>
    <row r="255" spans="2:9" ht="12.75" customHeight="1" thickBot="1" x14ac:dyDescent="0.3">
      <c r="B255" s="4"/>
      <c r="C255" s="4"/>
      <c r="D255" s="4"/>
      <c r="E255" s="50"/>
      <c r="F255" s="50"/>
      <c r="G255" s="55"/>
      <c r="H255" s="57" t="s">
        <v>29</v>
      </c>
      <c r="I255" s="58">
        <f>1-(2*I253)</f>
        <v>0.2263306560465258</v>
      </c>
    </row>
    <row r="256" spans="2:9" ht="12.6" customHeight="1" x14ac:dyDescent="0.25"/>
    <row r="257" ht="12.75" customHeight="1" x14ac:dyDescent="0.25"/>
    <row r="258" ht="12.75" customHeight="1" x14ac:dyDescent="0.25"/>
    <row r="259" ht="12.75" customHeight="1" x14ac:dyDescent="0.25"/>
    <row r="260" ht="12.75" customHeight="1" x14ac:dyDescent="0.25"/>
    <row r="261" ht="12.75" customHeight="1" x14ac:dyDescent="0.25"/>
    <row r="262" ht="12.75" customHeight="1" x14ac:dyDescent="0.25"/>
    <row r="263" ht="12.75" customHeight="1" x14ac:dyDescent="0.25"/>
    <row r="264" ht="12.75" customHeight="1" x14ac:dyDescent="0.25"/>
    <row r="265" ht="12.75" customHeight="1" x14ac:dyDescent="0.25"/>
    <row r="266" ht="12.75" customHeight="1" x14ac:dyDescent="0.25"/>
    <row r="267" ht="12.75" customHeight="1" x14ac:dyDescent="0.25"/>
    <row r="268" ht="12.75" customHeight="1" x14ac:dyDescent="0.25"/>
    <row r="269" ht="12.75" customHeight="1" x14ac:dyDescent="0.25"/>
    <row r="270" ht="12.75" customHeight="1" x14ac:dyDescent="0.25"/>
    <row r="271" ht="12.75" customHeight="1" x14ac:dyDescent="0.25"/>
    <row r="272" ht="12.75" customHeight="1" x14ac:dyDescent="0.25"/>
    <row r="273" ht="12.75" customHeight="1" x14ac:dyDescent="0.25"/>
    <row r="274" ht="12.75" customHeight="1" x14ac:dyDescent="0.25"/>
    <row r="275" ht="12.75" customHeight="1" x14ac:dyDescent="0.25"/>
    <row r="276" ht="12.75" customHeight="1" x14ac:dyDescent="0.25"/>
    <row r="277" ht="12.75" customHeight="1" x14ac:dyDescent="0.25"/>
    <row r="278" ht="12.75" customHeight="1" x14ac:dyDescent="0.25"/>
    <row r="279" ht="12.75" customHeight="1" x14ac:dyDescent="0.25"/>
    <row r="280" ht="12.75" customHeight="1" x14ac:dyDescent="0.25"/>
    <row r="281" ht="12.75" customHeight="1" x14ac:dyDescent="0.25"/>
    <row r="282" ht="12.75" customHeight="1" x14ac:dyDescent="0.25"/>
    <row r="283" ht="12.75" customHeight="1" x14ac:dyDescent="0.25"/>
    <row r="284" ht="12.75" customHeight="1" x14ac:dyDescent="0.25"/>
    <row r="285" ht="12.75" customHeight="1" x14ac:dyDescent="0.25"/>
    <row r="286" ht="12.75" customHeight="1" x14ac:dyDescent="0.25"/>
    <row r="287" ht="12.75" customHeight="1" x14ac:dyDescent="0.25"/>
    <row r="288" ht="12.75" customHeight="1" x14ac:dyDescent="0.25"/>
    <row r="289" ht="12.75" customHeight="1" x14ac:dyDescent="0.25"/>
    <row r="290" ht="12.75" customHeight="1" x14ac:dyDescent="0.25"/>
    <row r="291" ht="12.75" customHeight="1" x14ac:dyDescent="0.25"/>
    <row r="292" ht="12.75" customHeight="1" x14ac:dyDescent="0.25"/>
    <row r="293" ht="12.75" customHeight="1" x14ac:dyDescent="0.25"/>
    <row r="294" ht="12.75" customHeight="1" x14ac:dyDescent="0.25"/>
    <row r="295" ht="12.75" customHeight="1" x14ac:dyDescent="0.25"/>
    <row r="296" ht="12.75" customHeight="1" x14ac:dyDescent="0.25"/>
    <row r="297" ht="12.75" customHeight="1" x14ac:dyDescent="0.25"/>
    <row r="298" ht="12.75" customHeight="1" x14ac:dyDescent="0.25"/>
    <row r="299" ht="12.75" customHeight="1" x14ac:dyDescent="0.25"/>
    <row r="300" ht="12.75" customHeight="1" x14ac:dyDescent="0.25"/>
    <row r="301" ht="12.75" customHeight="1" x14ac:dyDescent="0.25"/>
    <row r="302" ht="12.75" customHeight="1" x14ac:dyDescent="0.25"/>
    <row r="303" ht="12.75" customHeight="1" x14ac:dyDescent="0.25"/>
    <row r="304" ht="12.75" customHeight="1" x14ac:dyDescent="0.25"/>
    <row r="305" ht="12.75" customHeight="1" x14ac:dyDescent="0.25"/>
    <row r="306" ht="12.75" customHeight="1" x14ac:dyDescent="0.25"/>
    <row r="307" ht="12.75" customHeight="1" x14ac:dyDescent="0.25"/>
    <row r="308" ht="12.75" customHeight="1" x14ac:dyDescent="0.25"/>
    <row r="309" ht="12.75" customHeight="1" x14ac:dyDescent="0.25"/>
    <row r="310" ht="12.75" customHeight="1" x14ac:dyDescent="0.25"/>
    <row r="311" ht="12.75" customHeight="1" x14ac:dyDescent="0.25"/>
    <row r="312" ht="12.75" customHeight="1" x14ac:dyDescent="0.25"/>
    <row r="313" ht="12.75" customHeight="1" x14ac:dyDescent="0.25"/>
    <row r="314" ht="12.75" customHeight="1" x14ac:dyDescent="0.25"/>
    <row r="315" ht="12.75" customHeight="1" x14ac:dyDescent="0.25"/>
    <row r="316" ht="12.75" customHeight="1" x14ac:dyDescent="0.25"/>
    <row r="317" ht="12.75" customHeight="1" x14ac:dyDescent="0.25"/>
    <row r="318" ht="12.75" customHeight="1" x14ac:dyDescent="0.25"/>
    <row r="319" ht="12.75" customHeight="1" x14ac:dyDescent="0.25"/>
    <row r="320" ht="12.75" customHeight="1" x14ac:dyDescent="0.25"/>
    <row r="321" ht="12.75" customHeight="1" x14ac:dyDescent="0.25"/>
    <row r="322" ht="12.75" customHeight="1" x14ac:dyDescent="0.25"/>
    <row r="323" ht="12.75" customHeight="1" x14ac:dyDescent="0.25"/>
    <row r="324" ht="12.75" customHeight="1" x14ac:dyDescent="0.25"/>
    <row r="325" ht="12.75" customHeight="1" x14ac:dyDescent="0.25"/>
    <row r="326" ht="12.75" customHeight="1" x14ac:dyDescent="0.25"/>
    <row r="327" ht="12.75" customHeight="1" x14ac:dyDescent="0.25"/>
    <row r="328" ht="12.75" customHeight="1" x14ac:dyDescent="0.25"/>
    <row r="329" ht="12.75" customHeight="1" x14ac:dyDescent="0.25"/>
    <row r="330" ht="12.75" customHeight="1" x14ac:dyDescent="0.25"/>
    <row r="331" ht="12.75" customHeight="1" x14ac:dyDescent="0.25"/>
    <row r="332" ht="12.75" customHeight="1" x14ac:dyDescent="0.25"/>
    <row r="333" ht="12.75" customHeight="1" x14ac:dyDescent="0.25"/>
    <row r="334" ht="12.75" customHeight="1" x14ac:dyDescent="0.25"/>
    <row r="335" ht="12.75" customHeight="1" x14ac:dyDescent="0.25"/>
    <row r="336" ht="12.75" customHeight="1" x14ac:dyDescent="0.25"/>
    <row r="337" ht="12.75" customHeight="1" x14ac:dyDescent="0.25"/>
    <row r="338" ht="12.75" customHeight="1" x14ac:dyDescent="0.25"/>
    <row r="339" ht="12.75" customHeight="1" x14ac:dyDescent="0.25"/>
    <row r="340" ht="12.75" customHeight="1" x14ac:dyDescent="0.25"/>
    <row r="341" ht="12.75" customHeight="1" x14ac:dyDescent="0.25"/>
    <row r="342" ht="12.75" customHeight="1" x14ac:dyDescent="0.25"/>
    <row r="343" ht="12.75" customHeight="1" x14ac:dyDescent="0.25"/>
    <row r="344" ht="12.75" customHeight="1" x14ac:dyDescent="0.25"/>
    <row r="345" ht="12.75" customHeight="1" x14ac:dyDescent="0.25"/>
    <row r="346" ht="12.75" customHeight="1" x14ac:dyDescent="0.25"/>
    <row r="347" ht="12.75" customHeight="1" x14ac:dyDescent="0.25"/>
    <row r="348" ht="12.75" customHeight="1" x14ac:dyDescent="0.25"/>
    <row r="349" ht="12.75" customHeight="1" x14ac:dyDescent="0.25"/>
    <row r="350" ht="12.75" customHeight="1" x14ac:dyDescent="0.25"/>
    <row r="351" ht="12.75" customHeight="1" x14ac:dyDescent="0.25"/>
    <row r="352" ht="12.75" customHeight="1" x14ac:dyDescent="0.25"/>
    <row r="353" ht="12.75" customHeight="1" x14ac:dyDescent="0.25"/>
    <row r="354" ht="12.75" customHeight="1" x14ac:dyDescent="0.25"/>
    <row r="355" ht="12.75" customHeight="1" x14ac:dyDescent="0.25"/>
    <row r="356" ht="12.75" customHeight="1" x14ac:dyDescent="0.25"/>
    <row r="357" ht="12.75" customHeight="1" x14ac:dyDescent="0.25"/>
    <row r="358" ht="12.75" customHeight="1" x14ac:dyDescent="0.25"/>
    <row r="359" ht="12.75" customHeight="1" x14ac:dyDescent="0.25"/>
    <row r="360" ht="12.75" customHeight="1" x14ac:dyDescent="0.25"/>
    <row r="361" ht="12.75" customHeight="1" x14ac:dyDescent="0.25"/>
    <row r="362" ht="12.75" customHeight="1" x14ac:dyDescent="0.25"/>
    <row r="363" ht="12.75" customHeight="1" x14ac:dyDescent="0.25"/>
    <row r="364" ht="12.75" customHeight="1" x14ac:dyDescent="0.25"/>
    <row r="365" ht="12.75" customHeight="1" x14ac:dyDescent="0.25"/>
    <row r="366" ht="12.75" customHeight="1" x14ac:dyDescent="0.25"/>
    <row r="367" ht="12.75" customHeight="1" x14ac:dyDescent="0.25"/>
    <row r="368" ht="12.75" customHeight="1" x14ac:dyDescent="0.25"/>
    <row r="369" ht="12.75" customHeight="1" x14ac:dyDescent="0.25"/>
    <row r="370" ht="12.75" customHeight="1" x14ac:dyDescent="0.25"/>
    <row r="371" ht="12.75" customHeight="1" x14ac:dyDescent="0.25"/>
    <row r="372" ht="12.75" customHeight="1" x14ac:dyDescent="0.25"/>
    <row r="373" ht="12.75" customHeight="1" x14ac:dyDescent="0.25"/>
    <row r="374" ht="12.75" customHeight="1" x14ac:dyDescent="0.25"/>
    <row r="375" ht="12.75" customHeight="1" x14ac:dyDescent="0.25"/>
    <row r="376" ht="12.75" customHeight="1" x14ac:dyDescent="0.25"/>
    <row r="377" ht="12.75" customHeight="1" x14ac:dyDescent="0.25"/>
    <row r="378" ht="12.75" customHeight="1" x14ac:dyDescent="0.25"/>
    <row r="379" ht="12.75" customHeight="1" x14ac:dyDescent="0.25"/>
    <row r="380" ht="12.75" customHeight="1" x14ac:dyDescent="0.25"/>
    <row r="381" ht="12.75" customHeight="1" x14ac:dyDescent="0.25"/>
    <row r="382" ht="12.75" customHeight="1" x14ac:dyDescent="0.25"/>
    <row r="383" ht="12.75" customHeight="1" x14ac:dyDescent="0.25"/>
    <row r="384" ht="12.75" customHeight="1" x14ac:dyDescent="0.25"/>
    <row r="385" ht="12.75" customHeight="1" x14ac:dyDescent="0.25"/>
    <row r="386" ht="12.75" customHeight="1" x14ac:dyDescent="0.25"/>
    <row r="387" ht="12.75" customHeight="1" x14ac:dyDescent="0.25"/>
    <row r="388" ht="12.75" customHeight="1" x14ac:dyDescent="0.25"/>
    <row r="389" ht="12.75" customHeight="1" x14ac:dyDescent="0.25"/>
    <row r="390" ht="12.75" customHeight="1" x14ac:dyDescent="0.25"/>
    <row r="391" ht="12.75" customHeight="1" x14ac:dyDescent="0.25"/>
    <row r="392" ht="12.75" customHeight="1" x14ac:dyDescent="0.25"/>
    <row r="393" ht="12.75" customHeight="1" x14ac:dyDescent="0.25"/>
    <row r="394" ht="12.75" customHeight="1" x14ac:dyDescent="0.25"/>
    <row r="395" ht="12.75" customHeight="1" x14ac:dyDescent="0.25"/>
    <row r="396" ht="12.75" customHeight="1" x14ac:dyDescent="0.25"/>
    <row r="397" ht="12.75" customHeight="1" x14ac:dyDescent="0.25"/>
    <row r="398" ht="12.75" customHeight="1" x14ac:dyDescent="0.25"/>
    <row r="399" ht="12.75" customHeight="1" x14ac:dyDescent="0.25"/>
    <row r="400" ht="12.75" customHeight="1" x14ac:dyDescent="0.25"/>
    <row r="401" ht="12.75" customHeight="1" x14ac:dyDescent="0.25"/>
    <row r="402" ht="12.75" customHeight="1" x14ac:dyDescent="0.25"/>
    <row r="403" ht="12.75" customHeight="1" x14ac:dyDescent="0.25"/>
    <row r="404" ht="12.75" customHeight="1" x14ac:dyDescent="0.25"/>
    <row r="405" ht="12.75" customHeight="1" x14ac:dyDescent="0.25"/>
    <row r="406" ht="12.75" customHeight="1" x14ac:dyDescent="0.25"/>
    <row r="407" ht="12.75" customHeight="1" x14ac:dyDescent="0.25"/>
    <row r="408" ht="12.75" customHeight="1" x14ac:dyDescent="0.25"/>
    <row r="409" ht="12.75" customHeight="1" x14ac:dyDescent="0.25"/>
    <row r="410" ht="12.75" customHeight="1" x14ac:dyDescent="0.25"/>
    <row r="411" ht="12.75" customHeight="1" x14ac:dyDescent="0.25"/>
    <row r="412" ht="12.75" customHeight="1" x14ac:dyDescent="0.25"/>
    <row r="413" ht="12.75" customHeight="1" x14ac:dyDescent="0.25"/>
    <row r="414" ht="12.75" customHeight="1" x14ac:dyDescent="0.25"/>
    <row r="415" ht="12.75" customHeight="1" x14ac:dyDescent="0.25"/>
    <row r="416" ht="12.75" customHeight="1" x14ac:dyDescent="0.25"/>
    <row r="417" ht="12.75" customHeight="1" x14ac:dyDescent="0.25"/>
    <row r="418" ht="12.75" customHeight="1" x14ac:dyDescent="0.25"/>
    <row r="419" ht="12.75" customHeight="1" x14ac:dyDescent="0.25"/>
    <row r="420" ht="12.75" customHeight="1" x14ac:dyDescent="0.25"/>
    <row r="421" ht="12.75" customHeight="1" x14ac:dyDescent="0.25"/>
    <row r="422" ht="12.75" customHeight="1" x14ac:dyDescent="0.25"/>
    <row r="423" ht="12.75" customHeight="1" x14ac:dyDescent="0.25"/>
    <row r="424" ht="12.75" customHeight="1" x14ac:dyDescent="0.25"/>
    <row r="425" ht="12.75" customHeight="1" x14ac:dyDescent="0.25"/>
    <row r="426" ht="12.75" customHeight="1" x14ac:dyDescent="0.25"/>
    <row r="427" ht="12.75" customHeight="1" x14ac:dyDescent="0.25"/>
    <row r="428" ht="12.75" customHeight="1" x14ac:dyDescent="0.25"/>
    <row r="429" ht="12.75" customHeight="1" x14ac:dyDescent="0.25"/>
    <row r="430" ht="12.75" customHeight="1" x14ac:dyDescent="0.25"/>
    <row r="431" ht="12.75" customHeight="1" x14ac:dyDescent="0.25"/>
    <row r="432" ht="12.75" customHeight="1" x14ac:dyDescent="0.25"/>
    <row r="433" ht="12.75" customHeight="1" x14ac:dyDescent="0.25"/>
    <row r="434" ht="12.75" customHeight="1" x14ac:dyDescent="0.25"/>
    <row r="435" ht="12.75" customHeight="1" x14ac:dyDescent="0.25"/>
    <row r="436" ht="12.75" customHeight="1" x14ac:dyDescent="0.25"/>
    <row r="437" ht="12.75" customHeight="1" x14ac:dyDescent="0.25"/>
    <row r="438" ht="12.75" customHeight="1" x14ac:dyDescent="0.25"/>
    <row r="439" ht="12.75" customHeight="1" x14ac:dyDescent="0.25"/>
    <row r="440" ht="12.75" customHeight="1" x14ac:dyDescent="0.25"/>
    <row r="441" ht="12.75" customHeight="1" x14ac:dyDescent="0.25"/>
    <row r="442" ht="12.75" customHeight="1" x14ac:dyDescent="0.25"/>
    <row r="443" ht="12.75" customHeight="1" x14ac:dyDescent="0.25"/>
    <row r="444" ht="12.75" customHeight="1" x14ac:dyDescent="0.25"/>
    <row r="445" ht="12.75" customHeight="1" x14ac:dyDescent="0.25"/>
    <row r="446" ht="12.75" customHeight="1" x14ac:dyDescent="0.25"/>
    <row r="447" ht="12.75" customHeight="1" x14ac:dyDescent="0.25"/>
    <row r="448" ht="12.75" customHeight="1" x14ac:dyDescent="0.25"/>
    <row r="449" ht="12.75" customHeight="1" x14ac:dyDescent="0.25"/>
    <row r="450" ht="12.75" customHeight="1" x14ac:dyDescent="0.25"/>
    <row r="451" ht="12.75" customHeight="1" x14ac:dyDescent="0.25"/>
    <row r="452" ht="12.75" customHeight="1" x14ac:dyDescent="0.25"/>
    <row r="453" ht="12.75" customHeight="1" x14ac:dyDescent="0.25"/>
    <row r="454" ht="12.75" customHeight="1" x14ac:dyDescent="0.25"/>
    <row r="455" ht="12.75" customHeight="1" x14ac:dyDescent="0.25"/>
    <row r="456" ht="12.75" customHeight="1" x14ac:dyDescent="0.25"/>
    <row r="457" ht="12.75" customHeight="1" x14ac:dyDescent="0.25"/>
    <row r="458" ht="12.75" customHeight="1" x14ac:dyDescent="0.25"/>
    <row r="459" ht="12.75" customHeight="1" x14ac:dyDescent="0.25"/>
    <row r="460" ht="12.75" customHeight="1" x14ac:dyDescent="0.25"/>
    <row r="461" ht="12.75" customHeight="1" x14ac:dyDescent="0.25"/>
    <row r="462" ht="12.75" customHeight="1" x14ac:dyDescent="0.25"/>
    <row r="463" ht="12.75" customHeight="1" x14ac:dyDescent="0.25"/>
    <row r="464" ht="12.75" customHeight="1" x14ac:dyDescent="0.25"/>
    <row r="465" ht="12.75" customHeight="1" x14ac:dyDescent="0.25"/>
    <row r="466" ht="12.75" customHeight="1" x14ac:dyDescent="0.25"/>
    <row r="467" ht="12.75" customHeight="1" x14ac:dyDescent="0.25"/>
    <row r="468" ht="12.75" customHeight="1" x14ac:dyDescent="0.25"/>
    <row r="469" ht="12.75" customHeight="1" x14ac:dyDescent="0.25"/>
    <row r="470" ht="12.75" customHeight="1" x14ac:dyDescent="0.25"/>
    <row r="471" ht="12.75" customHeight="1" x14ac:dyDescent="0.25"/>
    <row r="472" ht="12.75" customHeight="1" x14ac:dyDescent="0.25"/>
    <row r="473" ht="12.75" customHeight="1" x14ac:dyDescent="0.25"/>
    <row r="474" ht="12.75" customHeight="1" x14ac:dyDescent="0.25"/>
    <row r="475" ht="12.75" customHeight="1" x14ac:dyDescent="0.25"/>
    <row r="476" ht="12.75" customHeight="1" x14ac:dyDescent="0.25"/>
    <row r="477" ht="12.75" customHeight="1" x14ac:dyDescent="0.25"/>
    <row r="478" ht="12.75" customHeight="1" x14ac:dyDescent="0.25"/>
    <row r="479" ht="12.75" customHeight="1" x14ac:dyDescent="0.25"/>
    <row r="480" ht="12.75" customHeight="1" x14ac:dyDescent="0.25"/>
    <row r="481" ht="12.75" customHeight="1" x14ac:dyDescent="0.25"/>
    <row r="482" ht="12.75" customHeight="1" x14ac:dyDescent="0.25"/>
    <row r="483" ht="12.75" customHeight="1" x14ac:dyDescent="0.25"/>
    <row r="484" ht="12.75" customHeight="1" x14ac:dyDescent="0.25"/>
    <row r="485" ht="12.75" customHeight="1" x14ac:dyDescent="0.25"/>
    <row r="486" ht="12.75" customHeight="1" x14ac:dyDescent="0.25"/>
    <row r="487" ht="12.75" customHeight="1" x14ac:dyDescent="0.25"/>
    <row r="488" ht="12.75" customHeight="1" x14ac:dyDescent="0.25"/>
    <row r="489" ht="12.75" customHeight="1" x14ac:dyDescent="0.25"/>
    <row r="490" ht="12.75" customHeight="1" x14ac:dyDescent="0.25"/>
    <row r="491" ht="12.75" customHeight="1" x14ac:dyDescent="0.25"/>
    <row r="492" ht="12.75" customHeight="1" x14ac:dyDescent="0.25"/>
    <row r="493" ht="12.75" customHeight="1" x14ac:dyDescent="0.25"/>
    <row r="494" ht="12.75" customHeight="1" x14ac:dyDescent="0.25"/>
    <row r="495" ht="12.75" customHeight="1" x14ac:dyDescent="0.25"/>
    <row r="496" ht="12.75" customHeight="1" x14ac:dyDescent="0.25"/>
    <row r="497" ht="12.75" customHeight="1" x14ac:dyDescent="0.25"/>
    <row r="498" ht="12.75" customHeight="1" x14ac:dyDescent="0.25"/>
    <row r="499" ht="12.75" customHeight="1" x14ac:dyDescent="0.25"/>
    <row r="500" ht="12.75" customHeight="1" x14ac:dyDescent="0.25"/>
    <row r="501" ht="12.75" customHeight="1" x14ac:dyDescent="0.25"/>
    <row r="502" ht="12.75" customHeight="1" x14ac:dyDescent="0.25"/>
    <row r="503" ht="12.75" customHeight="1" x14ac:dyDescent="0.25"/>
    <row r="504" ht="12.75" customHeight="1" x14ac:dyDescent="0.25"/>
    <row r="505" ht="12.75" customHeight="1" x14ac:dyDescent="0.25"/>
    <row r="506" ht="12.75" customHeight="1" x14ac:dyDescent="0.25"/>
    <row r="507" ht="12.75" customHeight="1" x14ac:dyDescent="0.25"/>
    <row r="508" ht="12.75" customHeight="1" x14ac:dyDescent="0.25"/>
    <row r="509" ht="12.75" customHeight="1" x14ac:dyDescent="0.25"/>
    <row r="510" ht="12.75" customHeight="1" x14ac:dyDescent="0.25"/>
    <row r="511" ht="12.75" customHeight="1" x14ac:dyDescent="0.25"/>
    <row r="512" ht="12.75" customHeight="1" x14ac:dyDescent="0.25"/>
    <row r="513" ht="12.75" customHeight="1" x14ac:dyDescent="0.25"/>
    <row r="514" ht="12.75" customHeight="1" x14ac:dyDescent="0.25"/>
    <row r="515" ht="12.75" customHeight="1" x14ac:dyDescent="0.25"/>
    <row r="516" ht="12.75" customHeight="1" x14ac:dyDescent="0.25"/>
    <row r="517" ht="12.75" customHeight="1" x14ac:dyDescent="0.25"/>
    <row r="518" ht="12.75" customHeight="1" x14ac:dyDescent="0.25"/>
    <row r="519" ht="12.75" customHeight="1" x14ac:dyDescent="0.25"/>
    <row r="520" ht="12.75" customHeight="1" x14ac:dyDescent="0.25"/>
  </sheetData>
  <sortState ref="B241:I253">
    <sortCondition ref="C242"/>
  </sortState>
  <mergeCells count="15">
    <mergeCell ref="A1:F1"/>
    <mergeCell ref="B4:I4"/>
    <mergeCell ref="B25:I25"/>
    <mergeCell ref="B239:I239"/>
    <mergeCell ref="B47:I47"/>
    <mergeCell ref="B68:I68"/>
    <mergeCell ref="A89:F89"/>
    <mergeCell ref="B92:I92"/>
    <mergeCell ref="B113:I113"/>
    <mergeCell ref="B134:I134"/>
    <mergeCell ref="B155:I155"/>
    <mergeCell ref="A174:F174"/>
    <mergeCell ref="B176:I176"/>
    <mergeCell ref="B197:I197"/>
    <mergeCell ref="B218:I218"/>
  </mergeCells>
  <pageMargins left="0.7" right="0.7" top="0.75" bottom="0.75" header="0" footer="0"/>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8D7D6B-946A-4226-9A20-06BED363946C}">
  <dimension ref="A1:AM520"/>
  <sheetViews>
    <sheetView showGridLines="0" zoomScale="55" zoomScaleNormal="55" workbookViewId="0">
      <selection activeCell="O29" sqref="O29"/>
    </sheetView>
  </sheetViews>
  <sheetFormatPr defaultColWidth="12.6640625" defaultRowHeight="15" customHeight="1" x14ac:dyDescent="0.25"/>
  <cols>
    <col min="1" max="1" width="8.6640625" style="2" customWidth="1"/>
    <col min="2" max="2" width="15.109375" style="2" bestFit="1" customWidth="1"/>
    <col min="3" max="3" width="16.33203125" style="2" bestFit="1" customWidth="1"/>
    <col min="4" max="4" width="13.21875" style="2" customWidth="1"/>
    <col min="5" max="5" width="9.6640625" style="2" customWidth="1"/>
    <col min="6" max="6" width="13.33203125" style="2" customWidth="1"/>
    <col min="7" max="7" width="14" style="2" bestFit="1" customWidth="1"/>
    <col min="8" max="8" width="14.21875" style="2" bestFit="1" customWidth="1"/>
    <col min="9" max="9" width="20.21875" style="2" bestFit="1" customWidth="1"/>
    <col min="10" max="13" width="16.109375" style="2" customWidth="1"/>
    <col min="14" max="14" width="20" style="2" customWidth="1"/>
    <col min="15" max="15" width="12.6640625" style="2"/>
    <col min="16" max="16" width="27.77734375" style="2" customWidth="1"/>
    <col min="17" max="17" width="17.21875" style="2" bestFit="1" customWidth="1"/>
    <col min="18" max="18" width="12" style="2" bestFit="1" customWidth="1"/>
    <col min="19" max="20" width="12.44140625" style="2" bestFit="1" customWidth="1"/>
    <col min="21" max="21" width="17.21875" style="2" bestFit="1" customWidth="1"/>
    <col min="22" max="22" width="12" style="2" bestFit="1" customWidth="1"/>
    <col min="23" max="23" width="7.88671875" style="2" customWidth="1"/>
    <col min="24" max="24" width="13" style="2" customWidth="1"/>
    <col min="25" max="25" width="9" style="2" bestFit="1" customWidth="1"/>
    <col min="26" max="26" width="12.6640625" style="2"/>
    <col min="27" max="27" width="4.33203125" style="2" bestFit="1" customWidth="1"/>
    <col min="28" max="28" width="15.109375" style="2" bestFit="1" customWidth="1"/>
    <col min="29" max="29" width="6.33203125" style="2" bestFit="1" customWidth="1"/>
    <col min="30" max="30" width="8.5546875" style="2" bestFit="1" customWidth="1"/>
    <col min="31" max="31" width="15.109375" style="2" bestFit="1" customWidth="1"/>
    <col min="32" max="32" width="6.21875" style="2" bestFit="1" customWidth="1"/>
    <col min="33" max="33" width="7.77734375" style="2" customWidth="1"/>
    <col min="34" max="34" width="15.109375" style="2" bestFit="1" customWidth="1"/>
    <col min="35" max="35" width="6.5546875" style="2" bestFit="1" customWidth="1"/>
    <col min="36" max="36" width="7.77734375" style="2" customWidth="1"/>
    <col min="37" max="37" width="12.33203125" style="2" bestFit="1" customWidth="1"/>
    <col min="38" max="38" width="7.6640625" style="2" bestFit="1" customWidth="1"/>
    <col min="39" max="39" width="7.44140625" style="2" customWidth="1"/>
    <col min="40" max="16384" width="12.6640625" style="2"/>
  </cols>
  <sheetData>
    <row r="1" spans="1:39" ht="25.05" customHeight="1" x14ac:dyDescent="0.25">
      <c r="A1" s="252" t="s">
        <v>81</v>
      </c>
      <c r="B1" s="252"/>
      <c r="C1" s="252"/>
      <c r="D1" s="252"/>
      <c r="E1" s="252"/>
      <c r="F1" s="252"/>
    </row>
    <row r="2" spans="1:39" ht="12.75" customHeight="1" x14ac:dyDescent="0.25">
      <c r="D2" s="1"/>
    </row>
    <row r="3" spans="1:39" ht="12.75" customHeight="1" x14ac:dyDescent="0.25"/>
    <row r="4" spans="1:39" ht="21" customHeight="1" thickBot="1" x14ac:dyDescent="0.35">
      <c r="B4" s="256" t="s">
        <v>95</v>
      </c>
      <c r="C4" s="256"/>
      <c r="D4" s="256"/>
      <c r="E4" s="256"/>
      <c r="F4" s="256"/>
      <c r="G4" s="256"/>
      <c r="H4" s="256"/>
      <c r="I4" s="256"/>
    </row>
    <row r="5" spans="1:39" s="8" customFormat="1" ht="40.200000000000003" customHeight="1" thickBot="1" x14ac:dyDescent="0.3">
      <c r="B5" s="36" t="s">
        <v>19</v>
      </c>
      <c r="C5" s="37" t="s">
        <v>42</v>
      </c>
      <c r="D5" s="37" t="s">
        <v>41</v>
      </c>
      <c r="E5" s="37" t="s">
        <v>27</v>
      </c>
      <c r="F5" s="37" t="s">
        <v>16</v>
      </c>
      <c r="G5" s="37" t="s">
        <v>28</v>
      </c>
      <c r="H5" s="37" t="s">
        <v>116</v>
      </c>
      <c r="I5" s="37" t="s">
        <v>20</v>
      </c>
      <c r="AA5" s="137"/>
      <c r="AB5" s="137"/>
      <c r="AC5" s="137"/>
      <c r="AD5" s="137"/>
      <c r="AE5" s="137"/>
      <c r="AF5" s="137"/>
      <c r="AG5" s="137"/>
      <c r="AH5" s="137"/>
      <c r="AI5" s="137"/>
      <c r="AJ5" s="137"/>
      <c r="AK5" s="137"/>
      <c r="AL5" s="137"/>
      <c r="AM5" s="137"/>
    </row>
    <row r="6" spans="1:39" ht="12.75" customHeight="1" thickBot="1" x14ac:dyDescent="0.3">
      <c r="B6" s="4"/>
      <c r="C6" s="26">
        <v>0</v>
      </c>
      <c r="D6" s="26">
        <v>0</v>
      </c>
      <c r="E6" s="49">
        <v>0</v>
      </c>
      <c r="F6" s="49">
        <v>0</v>
      </c>
      <c r="G6" s="49">
        <v>0</v>
      </c>
      <c r="H6" s="50">
        <f>F6</f>
        <v>0</v>
      </c>
      <c r="I6" s="49">
        <v>0</v>
      </c>
      <c r="P6" s="18"/>
      <c r="Q6" s="14"/>
      <c r="R6" s="15"/>
      <c r="AA6" s="250" t="s">
        <v>145</v>
      </c>
      <c r="AB6" s="250"/>
      <c r="AC6" s="250"/>
      <c r="AD6" s="250"/>
      <c r="AE6" s="250"/>
      <c r="AF6" s="250"/>
      <c r="AG6" s="250"/>
      <c r="AH6" s="250"/>
      <c r="AI6" s="250"/>
      <c r="AJ6" s="250"/>
      <c r="AK6" s="250"/>
      <c r="AL6" s="250"/>
      <c r="AM6" s="250"/>
    </row>
    <row r="7" spans="1:39" ht="12.75" customHeight="1" thickBot="1" x14ac:dyDescent="0.3">
      <c r="B7" s="82" t="s">
        <v>2</v>
      </c>
      <c r="C7" s="29">
        <v>2.5183118413223982</v>
      </c>
      <c r="D7" s="29">
        <v>70.615686242804699</v>
      </c>
      <c r="E7" s="49">
        <f t="shared" ref="E7:E17" si="0">C7/$C$18</f>
        <v>1.2244961028881811E-3</v>
      </c>
      <c r="F7" s="49">
        <f t="shared" ref="F7:F17" si="1">D7/$D$18</f>
        <v>0.32788290485219612</v>
      </c>
      <c r="G7" s="49">
        <f t="shared" ref="G7:G17" si="2">G6+E7</f>
        <v>1.2244961028881811E-3</v>
      </c>
      <c r="H7" s="50">
        <f t="shared" ref="H7:H17" si="3">F7+H6</f>
        <v>0.32788290485219612</v>
      </c>
      <c r="I7" s="49">
        <f t="shared" ref="I7:I17" si="4">(G6+G7)*0.5*(H7-H6)</f>
        <v>2.0074566959758523E-4</v>
      </c>
      <c r="P7" s="18"/>
      <c r="Q7" s="14"/>
      <c r="R7" s="15"/>
      <c r="AA7" s="38" t="s">
        <v>136</v>
      </c>
      <c r="AB7" s="144"/>
      <c r="AC7" s="140" t="s">
        <v>137</v>
      </c>
      <c r="AD7" s="141" t="s">
        <v>139</v>
      </c>
      <c r="AE7" s="35"/>
      <c r="AF7" s="35" t="s">
        <v>138</v>
      </c>
      <c r="AG7" s="35" t="s">
        <v>139</v>
      </c>
      <c r="AH7" s="144"/>
      <c r="AI7" s="140" t="s">
        <v>140</v>
      </c>
      <c r="AJ7" s="140" t="s">
        <v>139</v>
      </c>
      <c r="AK7" s="147"/>
      <c r="AL7" s="35" t="s">
        <v>141</v>
      </c>
      <c r="AM7" s="35" t="s">
        <v>142</v>
      </c>
    </row>
    <row r="8" spans="1:39" ht="12.75" customHeight="1" x14ac:dyDescent="0.25">
      <c r="B8" s="82" t="s">
        <v>3</v>
      </c>
      <c r="C8" s="29">
        <v>12.211567510036925</v>
      </c>
      <c r="D8" s="29">
        <v>1.1373645744579148</v>
      </c>
      <c r="E8" s="49">
        <f t="shared" si="0"/>
        <v>5.9377145359186811E-3</v>
      </c>
      <c r="F8" s="49">
        <f t="shared" si="1"/>
        <v>5.2810136159689514E-3</v>
      </c>
      <c r="G8" s="49">
        <f t="shared" si="2"/>
        <v>7.162210638806862E-3</v>
      </c>
      <c r="H8" s="50">
        <f t="shared" si="3"/>
        <v>0.33316391846816507</v>
      </c>
      <c r="I8" s="49">
        <f t="shared" si="4"/>
        <v>2.2145156248015027E-5</v>
      </c>
      <c r="P8" s="18"/>
      <c r="Q8" s="14"/>
      <c r="R8" s="15"/>
      <c r="AA8" s="138">
        <v>1</v>
      </c>
      <c r="AB8" s="145" t="s">
        <v>2</v>
      </c>
      <c r="AC8" s="135">
        <v>2.0572122059260146E-3</v>
      </c>
      <c r="AD8" s="142">
        <v>0.3138345928266002</v>
      </c>
      <c r="AE8" s="131" t="s">
        <v>3</v>
      </c>
      <c r="AF8" s="132">
        <v>5.6387986055587242E-3</v>
      </c>
      <c r="AG8" s="132">
        <v>4.8230826802841548E-3</v>
      </c>
      <c r="AH8" s="145" t="s">
        <v>2</v>
      </c>
      <c r="AI8" s="135">
        <v>0</v>
      </c>
      <c r="AJ8" s="135">
        <v>0.31383459282660014</v>
      </c>
      <c r="AK8" s="148" t="s">
        <v>195</v>
      </c>
      <c r="AL8" s="139">
        <v>3.4564517331350051E-3</v>
      </c>
      <c r="AM8" s="139">
        <v>1.4487850841712153E-2</v>
      </c>
    </row>
    <row r="9" spans="1:39" ht="12.75" customHeight="1" x14ac:dyDescent="0.25">
      <c r="B9" s="82" t="s">
        <v>1</v>
      </c>
      <c r="C9" s="29">
        <v>16.119568257640697</v>
      </c>
      <c r="D9" s="29">
        <v>4.6792163012865338</v>
      </c>
      <c r="E9" s="49">
        <f t="shared" si="0"/>
        <v>7.8379286424496968E-3</v>
      </c>
      <c r="F9" s="49">
        <f t="shared" si="1"/>
        <v>2.1726547102045711E-2</v>
      </c>
      <c r="G9" s="49">
        <f t="shared" si="2"/>
        <v>1.5000139281256559E-2</v>
      </c>
      <c r="H9" s="50">
        <f t="shared" si="3"/>
        <v>0.35489046557021076</v>
      </c>
      <c r="I9" s="49">
        <f t="shared" si="4"/>
        <v>2.4075566971513821E-4</v>
      </c>
      <c r="P9" s="18"/>
      <c r="Q9" s="14"/>
      <c r="R9" s="15"/>
      <c r="AA9" s="138">
        <v>2</v>
      </c>
      <c r="AB9" s="145" t="s">
        <v>3</v>
      </c>
      <c r="AC9" s="135">
        <v>8.6289624421381217E-3</v>
      </c>
      <c r="AD9" s="142">
        <v>0.31865767550688434</v>
      </c>
      <c r="AE9" s="131" t="s">
        <v>1</v>
      </c>
      <c r="AF9" s="132">
        <v>1.1360188457287819E-2</v>
      </c>
      <c r="AG9" s="132">
        <v>2.788828273526155E-2</v>
      </c>
      <c r="AH9" s="145" t="s">
        <v>7</v>
      </c>
      <c r="AI9" s="135">
        <v>0</v>
      </c>
      <c r="AJ9" s="135">
        <v>0.45209506885227224</v>
      </c>
      <c r="AK9" s="148" t="s">
        <v>3</v>
      </c>
      <c r="AL9" s="139">
        <v>8.4493008852779827E-3</v>
      </c>
      <c r="AM9" s="139">
        <v>1.931093352199631E-2</v>
      </c>
    </row>
    <row r="10" spans="1:39" ht="12.75" customHeight="1" x14ac:dyDescent="0.25">
      <c r="B10" s="111" t="s">
        <v>6</v>
      </c>
      <c r="C10" s="29">
        <v>25.568969407520573</v>
      </c>
      <c r="D10" s="29">
        <v>9.0854543985789711</v>
      </c>
      <c r="E10" s="49">
        <f t="shared" si="0"/>
        <v>1.2432576014071097E-2</v>
      </c>
      <c r="F10" s="49">
        <f t="shared" si="1"/>
        <v>4.2185601225560185E-2</v>
      </c>
      <c r="G10" s="49">
        <f t="shared" si="2"/>
        <v>2.7432715295327655E-2</v>
      </c>
      <c r="H10" s="50">
        <f t="shared" si="3"/>
        <v>0.39707606679577095</v>
      </c>
      <c r="I10" s="49">
        <f t="shared" si="4"/>
        <v>8.9502774101498446E-4</v>
      </c>
      <c r="P10" s="18"/>
      <c r="Q10" s="14"/>
      <c r="R10" s="15"/>
      <c r="AA10" s="138">
        <v>3</v>
      </c>
      <c r="AB10" s="145" t="s">
        <v>1</v>
      </c>
      <c r="AC10" s="135">
        <v>1.7701695815085312E-2</v>
      </c>
      <c r="AD10" s="142">
        <v>0.34172287556186176</v>
      </c>
      <c r="AE10" s="131" t="s">
        <v>6</v>
      </c>
      <c r="AF10" s="132">
        <v>2.024176629132083E-2</v>
      </c>
      <c r="AG10" s="132">
        <v>7.0606082022317218E-2</v>
      </c>
      <c r="AH10" s="145" t="s">
        <v>8</v>
      </c>
      <c r="AI10" s="135">
        <v>0</v>
      </c>
      <c r="AJ10" s="135">
        <v>0.49286636899442893</v>
      </c>
      <c r="AK10" s="148" t="s">
        <v>1</v>
      </c>
      <c r="AL10" s="139">
        <v>2.7144395442591892E-2</v>
      </c>
      <c r="AM10" s="139">
        <v>4.2376133576973701E-2</v>
      </c>
    </row>
    <row r="11" spans="1:39" ht="12.75" customHeight="1" x14ac:dyDescent="0.25">
      <c r="B11" s="82" t="s">
        <v>195</v>
      </c>
      <c r="C11" s="29">
        <v>26.253813751823277</v>
      </c>
      <c r="D11" s="29">
        <v>2.9212416811762312</v>
      </c>
      <c r="E11" s="49">
        <f t="shared" si="0"/>
        <v>1.2765572594130586E-2</v>
      </c>
      <c r="F11" s="49">
        <f t="shared" si="1"/>
        <v>1.3563915599516984E-2</v>
      </c>
      <c r="G11" s="49">
        <f t="shared" si="2"/>
        <v>4.0198287889458242E-2</v>
      </c>
      <c r="H11" s="50">
        <f t="shared" si="3"/>
        <v>0.41063998239528793</v>
      </c>
      <c r="I11" s="49">
        <f t="shared" si="4"/>
        <v>4.5867060955454985E-4</v>
      </c>
      <c r="P11" s="18"/>
      <c r="Q11" s="14"/>
      <c r="R11" s="15"/>
      <c r="AA11" s="138">
        <v>4</v>
      </c>
      <c r="AB11" s="145" t="s">
        <v>195</v>
      </c>
      <c r="AC11" s="135">
        <v>3.0178732413705139E-2</v>
      </c>
      <c r="AD11" s="142">
        <v>0.35621072640357393</v>
      </c>
      <c r="AE11" s="131" t="s">
        <v>195</v>
      </c>
      <c r="AF11" s="132">
        <v>3.2012888050712042E-2</v>
      </c>
      <c r="AG11" s="132">
        <v>8.5093932864029373E-2</v>
      </c>
      <c r="AH11" s="145" t="s">
        <v>195</v>
      </c>
      <c r="AI11" s="135">
        <v>5.4290577913134646E-3</v>
      </c>
      <c r="AJ11" s="135">
        <v>0.50735421983614104</v>
      </c>
      <c r="AK11" s="148" t="s">
        <v>6</v>
      </c>
      <c r="AL11" s="139">
        <v>5.8435636670972346E-2</v>
      </c>
      <c r="AM11" s="139">
        <v>8.5093932864029373E-2</v>
      </c>
    </row>
    <row r="12" spans="1:39" ht="12.75" customHeight="1" x14ac:dyDescent="0.25">
      <c r="B12" s="82" t="s">
        <v>5</v>
      </c>
      <c r="C12" s="29">
        <v>76.989228247043215</v>
      </c>
      <c r="D12" s="29">
        <v>16.117225862466793</v>
      </c>
      <c r="E12" s="49">
        <f t="shared" si="0"/>
        <v>3.7435002451233004E-2</v>
      </c>
      <c r="F12" s="49">
        <f t="shared" si="1"/>
        <v>7.4835537472143707E-2</v>
      </c>
      <c r="G12" s="49">
        <f t="shared" si="2"/>
        <v>7.7633290340691247E-2</v>
      </c>
      <c r="H12" s="50">
        <f t="shared" si="3"/>
        <v>0.48547551986743165</v>
      </c>
      <c r="I12" s="49">
        <f t="shared" si="4"/>
        <v>4.4089947440220933E-3</v>
      </c>
      <c r="P12" s="18"/>
      <c r="Q12" s="14"/>
      <c r="R12" s="15"/>
      <c r="AA12" s="138">
        <v>5</v>
      </c>
      <c r="AB12" s="145" t="s">
        <v>6</v>
      </c>
      <c r="AC12" s="135">
        <v>4.2893132745155806E-2</v>
      </c>
      <c r="AD12" s="142">
        <v>0.39892852569062959</v>
      </c>
      <c r="AE12" s="131" t="s">
        <v>5</v>
      </c>
      <c r="AF12" s="132">
        <v>5.7762823909743397E-2</v>
      </c>
      <c r="AG12" s="132">
        <v>0.15890215283199549</v>
      </c>
      <c r="AH12" s="145" t="s">
        <v>3</v>
      </c>
      <c r="AI12" s="135">
        <v>1.3271339033212672E-2</v>
      </c>
      <c r="AJ12" s="135">
        <v>0.51217730251642524</v>
      </c>
      <c r="AK12" s="148" t="s">
        <v>8</v>
      </c>
      <c r="AL12" s="139">
        <v>0.1198547150976936</v>
      </c>
      <c r="AM12" s="139">
        <v>0.12586523300618602</v>
      </c>
    </row>
    <row r="13" spans="1:39" ht="12.75" customHeight="1" x14ac:dyDescent="0.25">
      <c r="B13" s="82" t="s">
        <v>9</v>
      </c>
      <c r="C13" s="29">
        <v>157.50468272422137</v>
      </c>
      <c r="D13" s="29">
        <v>9.2101982254801253</v>
      </c>
      <c r="E13" s="49">
        <f t="shared" si="0"/>
        <v>7.6584586157198528E-2</v>
      </c>
      <c r="F13" s="49">
        <f t="shared" si="1"/>
        <v>4.2764812028470107E-2</v>
      </c>
      <c r="G13" s="49">
        <f t="shared" si="2"/>
        <v>0.15421787649788976</v>
      </c>
      <c r="H13" s="50">
        <f t="shared" si="3"/>
        <v>0.5282403318959018</v>
      </c>
      <c r="I13" s="49">
        <f t="shared" si="4"/>
        <v>4.9575357842166949E-3</v>
      </c>
      <c r="P13" s="18"/>
      <c r="Q13" s="14"/>
      <c r="R13" s="15"/>
      <c r="AA13" s="138">
        <v>6</v>
      </c>
      <c r="AB13" s="145" t="s">
        <v>5</v>
      </c>
      <c r="AC13" s="135">
        <v>8.1100344412985081E-2</v>
      </c>
      <c r="AD13" s="142">
        <v>0.47273674565859569</v>
      </c>
      <c r="AE13" s="131" t="s">
        <v>2</v>
      </c>
      <c r="AF13" s="132">
        <v>8.8550981159494335E-2</v>
      </c>
      <c r="AG13" s="132">
        <v>0.47273674565859564</v>
      </c>
      <c r="AH13" s="145" t="s">
        <v>1</v>
      </c>
      <c r="AI13" s="135">
        <v>4.2635773025661156E-2</v>
      </c>
      <c r="AJ13" s="135">
        <v>0.5352425025714026</v>
      </c>
      <c r="AK13" s="148" t="s">
        <v>5</v>
      </c>
      <c r="AL13" s="139">
        <v>0.19303489364868062</v>
      </c>
      <c r="AM13" s="139">
        <v>0.19967345297415212</v>
      </c>
    </row>
    <row r="14" spans="1:39" ht="12.75" customHeight="1" x14ac:dyDescent="0.25">
      <c r="B14" s="111" t="s">
        <v>10</v>
      </c>
      <c r="C14" s="29">
        <v>320.97337292558882</v>
      </c>
      <c r="D14" s="29">
        <v>31.242577098288798</v>
      </c>
      <c r="E14" s="49">
        <f t="shared" si="0"/>
        <v>0.15606909272676606</v>
      </c>
      <c r="F14" s="49">
        <f t="shared" si="1"/>
        <v>0.14506560056405907</v>
      </c>
      <c r="G14" s="49">
        <f t="shared" si="2"/>
        <v>0.31028696922465582</v>
      </c>
      <c r="H14" s="50">
        <f t="shared" si="3"/>
        <v>0.67330593245996084</v>
      </c>
      <c r="I14" s="49">
        <f t="shared" si="4"/>
        <v>3.369183720482833E-2</v>
      </c>
      <c r="P14" s="18"/>
      <c r="Q14" s="14"/>
      <c r="R14" s="15"/>
      <c r="AA14" s="138">
        <v>7</v>
      </c>
      <c r="AB14" s="145" t="s">
        <v>9</v>
      </c>
      <c r="AC14" s="135">
        <v>0.15563756621705813</v>
      </c>
      <c r="AD14" s="142">
        <v>0.51758473013830564</v>
      </c>
      <c r="AE14" s="131" t="s">
        <v>9</v>
      </c>
      <c r="AF14" s="132">
        <v>0.1404898543639673</v>
      </c>
      <c r="AG14" s="132">
        <v>0.51758473013830553</v>
      </c>
      <c r="AH14" s="145" t="s">
        <v>6</v>
      </c>
      <c r="AI14" s="135">
        <v>7.6185424270137081E-2</v>
      </c>
      <c r="AJ14" s="135">
        <v>0.57796030185845826</v>
      </c>
      <c r="AK14" s="148" t="s">
        <v>7</v>
      </c>
      <c r="AL14" s="139">
        <v>0.28137382347094353</v>
      </c>
      <c r="AM14" s="139">
        <v>0.33793392899982422</v>
      </c>
    </row>
    <row r="15" spans="1:39" ht="12.75" customHeight="1" x14ac:dyDescent="0.25">
      <c r="B15" s="82" t="s">
        <v>7</v>
      </c>
      <c r="C15" s="29">
        <v>338.1638706235197</v>
      </c>
      <c r="D15" s="29">
        <v>29.822025620101655</v>
      </c>
      <c r="E15" s="49">
        <f t="shared" si="0"/>
        <v>0.16442774676334126</v>
      </c>
      <c r="F15" s="49">
        <f t="shared" si="1"/>
        <v>0.13846969291319289</v>
      </c>
      <c r="G15" s="49">
        <f t="shared" si="2"/>
        <v>0.47471471598799708</v>
      </c>
      <c r="H15" s="50">
        <f t="shared" si="3"/>
        <v>0.81177562537315373</v>
      </c>
      <c r="I15" s="49">
        <f t="shared" si="4"/>
        <v>5.4349471143867477E-2</v>
      </c>
      <c r="P15" s="18"/>
      <c r="Q15" s="14"/>
      <c r="R15" s="15"/>
      <c r="AA15" s="138">
        <v>8</v>
      </c>
      <c r="AB15" s="145" t="s">
        <v>10</v>
      </c>
      <c r="AC15" s="135">
        <v>0.30720643346615872</v>
      </c>
      <c r="AD15" s="142">
        <v>0.67429750228954155</v>
      </c>
      <c r="AE15" s="131" t="s">
        <v>10</v>
      </c>
      <c r="AF15" s="132">
        <v>0.26486530011936027</v>
      </c>
      <c r="AG15" s="132">
        <v>0.67429750228954144</v>
      </c>
      <c r="AH15" s="145" t="s">
        <v>5</v>
      </c>
      <c r="AI15" s="135">
        <v>0.18981189410229665</v>
      </c>
      <c r="AJ15" s="135">
        <v>0.65176852182642442</v>
      </c>
      <c r="AK15" s="148" t="s">
        <v>2</v>
      </c>
      <c r="AL15" s="139">
        <v>0.42904096947561376</v>
      </c>
      <c r="AM15" s="139">
        <v>0.65176852182642442</v>
      </c>
    </row>
    <row r="16" spans="1:39" ht="12.75" customHeight="1" x14ac:dyDescent="0.25">
      <c r="B16" s="82" t="s">
        <v>4</v>
      </c>
      <c r="C16" s="29">
        <v>441.00564598635611</v>
      </c>
      <c r="D16" s="29">
        <v>30.733285344959441</v>
      </c>
      <c r="E16" s="49">
        <f t="shared" si="0"/>
        <v>0.21443321116991285</v>
      </c>
      <c r="F16" s="49">
        <f t="shared" si="1"/>
        <v>0.1427008560096448</v>
      </c>
      <c r="G16" s="49">
        <f t="shared" si="2"/>
        <v>0.68914792715790996</v>
      </c>
      <c r="H16" s="50">
        <f t="shared" si="3"/>
        <v>0.9544764813827985</v>
      </c>
      <c r="I16" s="49">
        <f t="shared" si="4"/>
        <v>8.3042097727284339E-2</v>
      </c>
      <c r="P16" s="18"/>
      <c r="Q16" s="14"/>
      <c r="R16" s="15"/>
      <c r="AA16" s="138">
        <v>9</v>
      </c>
      <c r="AB16" s="145" t="s">
        <v>7</v>
      </c>
      <c r="AC16" s="135">
        <v>0.49808736370607998</v>
      </c>
      <c r="AD16" s="142">
        <v>0.8125579783152137</v>
      </c>
      <c r="AE16" s="131" t="s">
        <v>4</v>
      </c>
      <c r="AF16" s="132">
        <v>0.43265145785843007</v>
      </c>
      <c r="AG16" s="132">
        <v>0.82096822383217116</v>
      </c>
      <c r="AH16" s="145" t="s">
        <v>9</v>
      </c>
      <c r="AI16" s="135">
        <v>0.43188628237804488</v>
      </c>
      <c r="AJ16" s="135">
        <v>0.69661650630613436</v>
      </c>
      <c r="AK16" s="148" t="s">
        <v>9</v>
      </c>
      <c r="AL16" s="139">
        <v>0.583159505521051</v>
      </c>
      <c r="AM16" s="139">
        <v>0.69661650630613436</v>
      </c>
    </row>
    <row r="17" spans="1:39" ht="12.75" customHeight="1" thickBot="1" x14ac:dyDescent="0.3">
      <c r="B17" s="86" t="s">
        <v>8</v>
      </c>
      <c r="C17" s="32">
        <v>639.30171283634877</v>
      </c>
      <c r="D17" s="32">
        <v>9.8043370354728054</v>
      </c>
      <c r="E17" s="51">
        <f t="shared" si="0"/>
        <v>0.3108520728420901</v>
      </c>
      <c r="F17" s="51">
        <f t="shared" si="1"/>
        <v>4.5523518617201678E-2</v>
      </c>
      <c r="G17" s="49">
        <f t="shared" si="2"/>
        <v>1</v>
      </c>
      <c r="H17" s="52">
        <f t="shared" si="3"/>
        <v>1.0000000000000002</v>
      </c>
      <c r="I17" s="51">
        <f t="shared" si="4"/>
        <v>3.8447978554590402E-2</v>
      </c>
      <c r="AA17" s="138">
        <v>10</v>
      </c>
      <c r="AB17" s="145" t="s">
        <v>4</v>
      </c>
      <c r="AC17" s="135">
        <v>0.70348588928344968</v>
      </c>
      <c r="AD17" s="142">
        <v>0.95922869985784354</v>
      </c>
      <c r="AE17" s="131" t="s">
        <v>7</v>
      </c>
      <c r="AF17" s="132">
        <v>0.64822411816596082</v>
      </c>
      <c r="AG17" s="132">
        <v>0.9592286998578432</v>
      </c>
      <c r="AH17" s="145" t="s">
        <v>10</v>
      </c>
      <c r="AI17" s="135">
        <v>0.6826176704974718</v>
      </c>
      <c r="AJ17" s="135">
        <v>0.85332927845737028</v>
      </c>
      <c r="AK17" s="148" t="s">
        <v>4</v>
      </c>
      <c r="AL17" s="139">
        <v>0.78522342619448249</v>
      </c>
      <c r="AM17" s="139">
        <v>0.8432872278487642</v>
      </c>
    </row>
    <row r="18" spans="1:39" ht="12.75" customHeight="1" thickBot="1" x14ac:dyDescent="0.3">
      <c r="B18" s="35" t="s">
        <v>12</v>
      </c>
      <c r="C18" s="6">
        <f>SUM(C6:C17)</f>
        <v>2056.6107441114218</v>
      </c>
      <c r="D18" s="6">
        <f>SUM(D6:D17)</f>
        <v>215.36861238507393</v>
      </c>
      <c r="E18" s="59">
        <f>SUM(E7:E17)</f>
        <v>1</v>
      </c>
      <c r="F18" s="59">
        <f>SUM(F7:F17)</f>
        <v>1.0000000000000002</v>
      </c>
      <c r="G18" s="53"/>
      <c r="H18" s="53"/>
      <c r="I18" s="59">
        <f>SUM(I6:I17)</f>
        <v>0.2207152600049396</v>
      </c>
      <c r="AA18" s="40">
        <v>11</v>
      </c>
      <c r="AB18" s="146" t="s">
        <v>8</v>
      </c>
      <c r="AC18" s="136">
        <v>0.99999999999999978</v>
      </c>
      <c r="AD18" s="143">
        <v>1</v>
      </c>
      <c r="AE18" s="133" t="s">
        <v>8</v>
      </c>
      <c r="AF18" s="134">
        <v>1</v>
      </c>
      <c r="AG18" s="134">
        <v>0.99999999999999989</v>
      </c>
      <c r="AH18" s="146" t="s">
        <v>4</v>
      </c>
      <c r="AI18" s="136">
        <v>1</v>
      </c>
      <c r="AJ18" s="136">
        <v>1</v>
      </c>
      <c r="AK18" s="149" t="s">
        <v>10</v>
      </c>
      <c r="AL18" s="56">
        <v>0.99999999999999989</v>
      </c>
      <c r="AM18" s="56">
        <v>1</v>
      </c>
    </row>
    <row r="19" spans="1:39" ht="12.75" customHeight="1" thickBot="1" x14ac:dyDescent="0.3">
      <c r="B19" s="4"/>
      <c r="C19" s="4"/>
      <c r="D19" s="4"/>
      <c r="E19" s="50"/>
      <c r="F19" s="50"/>
      <c r="G19" s="50"/>
      <c r="H19" s="53"/>
      <c r="I19" s="53"/>
    </row>
    <row r="20" spans="1:39" ht="12.75" customHeight="1" thickBot="1" x14ac:dyDescent="0.3">
      <c r="B20" s="4"/>
      <c r="C20" s="4"/>
      <c r="D20" s="4"/>
      <c r="E20" s="50"/>
      <c r="F20" s="50"/>
      <c r="G20" s="55"/>
      <c r="H20" s="56" t="s">
        <v>30</v>
      </c>
      <c r="I20" s="52">
        <f>1-(2*I18)</f>
        <v>0.55856947999012085</v>
      </c>
    </row>
    <row r="21" spans="1:39" ht="12.75" customHeight="1" thickBot="1" x14ac:dyDescent="0.3">
      <c r="AA21" s="250" t="s">
        <v>146</v>
      </c>
      <c r="AB21" s="250"/>
      <c r="AC21" s="250"/>
      <c r="AD21" s="250"/>
      <c r="AE21" s="250"/>
      <c r="AF21" s="250"/>
      <c r="AG21" s="250"/>
      <c r="AH21" s="250"/>
      <c r="AI21" s="250"/>
      <c r="AJ21" s="250"/>
      <c r="AK21" s="250"/>
      <c r="AL21" s="250"/>
      <c r="AM21" s="250"/>
    </row>
    <row r="22" spans="1:39" ht="12.75" customHeight="1" thickBot="1" x14ac:dyDescent="0.3">
      <c r="AA22" s="38" t="s">
        <v>136</v>
      </c>
      <c r="AB22" s="144"/>
      <c r="AC22" s="164" t="s">
        <v>137</v>
      </c>
      <c r="AD22" s="165" t="s">
        <v>148</v>
      </c>
      <c r="AE22" s="38"/>
      <c r="AF22" s="38" t="s">
        <v>138</v>
      </c>
      <c r="AG22" s="38" t="s">
        <v>148</v>
      </c>
      <c r="AH22" s="166"/>
      <c r="AI22" s="164" t="s">
        <v>140</v>
      </c>
      <c r="AJ22" s="164" t="s">
        <v>148</v>
      </c>
      <c r="AK22" s="167"/>
      <c r="AL22" s="38" t="s">
        <v>141</v>
      </c>
      <c r="AM22" s="38" t="s">
        <v>148</v>
      </c>
    </row>
    <row r="23" spans="1:39" ht="12.75" customHeight="1" x14ac:dyDescent="0.25">
      <c r="AA23" s="138">
        <v>1</v>
      </c>
      <c r="AB23" s="145" t="s">
        <v>2</v>
      </c>
      <c r="AC23" s="135">
        <v>2.0572122059260146E-3</v>
      </c>
      <c r="AD23" s="142">
        <v>6.1580410728501248E-2</v>
      </c>
      <c r="AE23" s="131" t="s">
        <v>3</v>
      </c>
      <c r="AF23" s="132">
        <v>5.6387986055587242E-3</v>
      </c>
      <c r="AG23" s="132">
        <v>8.6508040877704764E-3</v>
      </c>
      <c r="AH23" s="145" t="s">
        <v>2</v>
      </c>
      <c r="AI23" s="135">
        <v>0</v>
      </c>
      <c r="AJ23" s="135">
        <v>6.1580410728501248E-2</v>
      </c>
      <c r="AK23" s="148" t="s">
        <v>195</v>
      </c>
      <c r="AL23" s="139">
        <v>3.4564517331350051E-3</v>
      </c>
      <c r="AM23" s="139">
        <v>8.3030863015460567E-3</v>
      </c>
    </row>
    <row r="24" spans="1:39" ht="13.2" customHeight="1" x14ac:dyDescent="0.25">
      <c r="AA24" s="138">
        <v>2</v>
      </c>
      <c r="AB24" s="145" t="s">
        <v>3</v>
      </c>
      <c r="AC24" s="135">
        <v>8.6289624421381217E-3</v>
      </c>
      <c r="AD24" s="142">
        <v>7.0231214816271731E-2</v>
      </c>
      <c r="AE24" s="131" t="s">
        <v>1</v>
      </c>
      <c r="AF24" s="132">
        <v>1.1360188457287819E-2</v>
      </c>
      <c r="AG24" s="132">
        <v>2.233691110888162E-2</v>
      </c>
      <c r="AH24" s="145" t="s">
        <v>7</v>
      </c>
      <c r="AI24" s="135">
        <v>0</v>
      </c>
      <c r="AJ24" s="135">
        <v>0.38878998458508923</v>
      </c>
      <c r="AK24" s="148" t="s">
        <v>3</v>
      </c>
      <c r="AL24" s="139">
        <v>8.4493008852779827E-3</v>
      </c>
      <c r="AM24" s="139">
        <v>1.6953890389316533E-2</v>
      </c>
    </row>
    <row r="25" spans="1:39" ht="14.4" customHeight="1" thickBot="1" x14ac:dyDescent="0.35">
      <c r="B25" s="256" t="s">
        <v>96</v>
      </c>
      <c r="C25" s="256"/>
      <c r="D25" s="256"/>
      <c r="E25" s="256"/>
      <c r="F25" s="256"/>
      <c r="G25" s="256"/>
      <c r="H25" s="256"/>
      <c r="I25" s="256"/>
      <c r="U25" s="23"/>
      <c r="V25" s="121" t="s">
        <v>131</v>
      </c>
      <c r="W25" s="127" t="s">
        <v>134</v>
      </c>
      <c r="X25" s="127" t="s">
        <v>132</v>
      </c>
      <c r="Y25" s="127" t="s">
        <v>133</v>
      </c>
      <c r="AA25" s="138">
        <v>3</v>
      </c>
      <c r="AB25" s="145" t="s">
        <v>1</v>
      </c>
      <c r="AC25" s="135">
        <v>1.7701695815085312E-2</v>
      </c>
      <c r="AD25" s="142">
        <v>8.3917321837382874E-2</v>
      </c>
      <c r="AE25" s="131" t="s">
        <v>6</v>
      </c>
      <c r="AF25" s="132">
        <v>2.024176629132083E-2</v>
      </c>
      <c r="AG25" s="132">
        <v>4.5534073596056365E-2</v>
      </c>
      <c r="AH25" s="145" t="s">
        <v>8</v>
      </c>
      <c r="AI25" s="135">
        <v>0</v>
      </c>
      <c r="AJ25" s="135">
        <v>0.40414506788187921</v>
      </c>
      <c r="AK25" s="148" t="s">
        <v>1</v>
      </c>
      <c r="AL25" s="139">
        <v>2.7144395442591892E-2</v>
      </c>
      <c r="AM25" s="139">
        <v>3.0639997410427677E-2</v>
      </c>
    </row>
    <row r="26" spans="1:39" ht="12.6" customHeight="1" thickBot="1" x14ac:dyDescent="0.3">
      <c r="B26" s="36" t="s">
        <v>19</v>
      </c>
      <c r="C26" s="37" t="s">
        <v>97</v>
      </c>
      <c r="D26" s="37" t="s">
        <v>41</v>
      </c>
      <c r="E26" s="37" t="s">
        <v>31</v>
      </c>
      <c r="F26" s="37" t="s">
        <v>16</v>
      </c>
      <c r="G26" s="37" t="s">
        <v>32</v>
      </c>
      <c r="H26" s="37" t="s">
        <v>116</v>
      </c>
      <c r="I26" s="37" t="s">
        <v>20</v>
      </c>
      <c r="J26" s="8"/>
      <c r="K26" s="8"/>
      <c r="L26" s="8"/>
      <c r="M26" s="8"/>
      <c r="N26" s="8"/>
      <c r="U26" s="18" t="s">
        <v>0</v>
      </c>
      <c r="V26" s="60">
        <f>I20</f>
        <v>0.55856947999012085</v>
      </c>
      <c r="W26" s="60">
        <f>I41</f>
        <v>0.54542406419307321</v>
      </c>
      <c r="X26" s="60">
        <f>I63</f>
        <v>0.6570939204764038</v>
      </c>
      <c r="Y26" s="60">
        <f>I84</f>
        <v>3.5954097325959999E-2</v>
      </c>
      <c r="AA26" s="138">
        <v>4</v>
      </c>
      <c r="AB26" s="145" t="s">
        <v>195</v>
      </c>
      <c r="AC26" s="135">
        <v>3.0178732413705139E-2</v>
      </c>
      <c r="AD26" s="142">
        <v>9.2220408138928928E-2</v>
      </c>
      <c r="AE26" s="131" t="s">
        <v>195</v>
      </c>
      <c r="AF26" s="132">
        <v>3.2012888050712042E-2</v>
      </c>
      <c r="AG26" s="132">
        <v>5.3837159897602418E-2</v>
      </c>
      <c r="AH26" s="145" t="s">
        <v>195</v>
      </c>
      <c r="AI26" s="135">
        <v>5.4290577913134646E-3</v>
      </c>
      <c r="AJ26" s="135">
        <v>0.41244815418342529</v>
      </c>
      <c r="AK26" s="148" t="s">
        <v>6</v>
      </c>
      <c r="AL26" s="139">
        <v>5.8435636670972346E-2</v>
      </c>
      <c r="AM26" s="139">
        <v>5.3837159897602418E-2</v>
      </c>
    </row>
    <row r="27" spans="1:39" ht="12.75" customHeight="1" x14ac:dyDescent="0.25">
      <c r="B27" s="4"/>
      <c r="C27" s="26">
        <v>0</v>
      </c>
      <c r="D27" s="26">
        <v>0</v>
      </c>
      <c r="E27" s="49">
        <f t="shared" ref="E27:E38" si="5">C27/$C$39</f>
        <v>0</v>
      </c>
      <c r="F27" s="49">
        <f t="shared" ref="F27:F38" si="6">D27/$D$39</f>
        <v>0</v>
      </c>
      <c r="G27" s="49">
        <v>0</v>
      </c>
      <c r="H27" s="50">
        <f>F27</f>
        <v>0</v>
      </c>
      <c r="I27" s="49">
        <v>0</v>
      </c>
      <c r="U27" s="18" t="s">
        <v>130</v>
      </c>
      <c r="V27" s="60">
        <f>I108</f>
        <v>0.31246237334944971</v>
      </c>
      <c r="W27" s="60">
        <f>I129</f>
        <v>0.31570929723575603</v>
      </c>
      <c r="X27" s="60">
        <f>I150</f>
        <v>0.43052784121895882</v>
      </c>
      <c r="Y27" s="60">
        <f>I171</f>
        <v>8.3100695050904783E-2</v>
      </c>
      <c r="AA27" s="138">
        <v>5</v>
      </c>
      <c r="AB27" s="145" t="s">
        <v>6</v>
      </c>
      <c r="AC27" s="135">
        <v>4.2893132745155806E-2</v>
      </c>
      <c r="AD27" s="142">
        <v>0.11541757062610367</v>
      </c>
      <c r="AE27" s="131" t="s">
        <v>5</v>
      </c>
      <c r="AF27" s="132">
        <v>5.7762823909743397E-2</v>
      </c>
      <c r="AG27" s="132">
        <v>0.11688690634392547</v>
      </c>
      <c r="AH27" s="145" t="s">
        <v>3</v>
      </c>
      <c r="AI27" s="135">
        <v>1.3271339033212672E-2</v>
      </c>
      <c r="AJ27" s="135">
        <v>0.42109895827119576</v>
      </c>
      <c r="AK27" s="148" t="s">
        <v>8</v>
      </c>
      <c r="AL27" s="139">
        <v>0.1198547150976936</v>
      </c>
      <c r="AM27" s="139">
        <v>6.9192243194392378E-2</v>
      </c>
    </row>
    <row r="28" spans="1:39" ht="13.8" thickBot="1" x14ac:dyDescent="0.3">
      <c r="A28" s="8"/>
      <c r="B28" s="82" t="s">
        <v>3</v>
      </c>
      <c r="C28" s="29">
        <v>12.430383918221033</v>
      </c>
      <c r="D28" s="29">
        <v>1.1373645744579148</v>
      </c>
      <c r="E28" s="49">
        <f t="shared" si="5"/>
        <v>5.765430583763765E-3</v>
      </c>
      <c r="F28" s="49">
        <f t="shared" si="6"/>
        <v>5.2810136159689505E-3</v>
      </c>
      <c r="G28" s="49">
        <f t="shared" ref="G28:G38" si="7">G27+E28</f>
        <v>5.765430583763765E-3</v>
      </c>
      <c r="H28" s="50">
        <f t="shared" ref="H28:H38" si="8">F28+H27</f>
        <v>5.2810136159689505E-3</v>
      </c>
      <c r="I28" s="49">
        <f t="shared" ref="I28:I38" si="9">(G27+G28)*0.5*(H28-H27)</f>
        <v>1.522365870739013E-5</v>
      </c>
      <c r="U28" s="125" t="s">
        <v>135</v>
      </c>
      <c r="V28" s="126">
        <f>I192</f>
        <v>0.12860447399869779</v>
      </c>
      <c r="W28" s="126">
        <f>I213</f>
        <v>3.7465205671335045E-2</v>
      </c>
      <c r="X28" s="126">
        <f>I234</f>
        <v>0.74024238301289857</v>
      </c>
      <c r="Y28" s="126">
        <f>I255</f>
        <v>0.31539130910230218</v>
      </c>
      <c r="AA28" s="138">
        <v>6</v>
      </c>
      <c r="AB28" s="145" t="s">
        <v>5</v>
      </c>
      <c r="AC28" s="135">
        <v>8.1100344412985081E-2</v>
      </c>
      <c r="AD28" s="142">
        <v>0.17846731707242672</v>
      </c>
      <c r="AE28" s="131" t="s">
        <v>2</v>
      </c>
      <c r="AF28" s="132">
        <v>8.8550981159494335E-2</v>
      </c>
      <c r="AG28" s="132">
        <v>0.17846731707242672</v>
      </c>
      <c r="AH28" s="145" t="s">
        <v>1</v>
      </c>
      <c r="AI28" s="135">
        <v>4.2635773025661156E-2</v>
      </c>
      <c r="AJ28" s="135">
        <v>0.43478506529230687</v>
      </c>
      <c r="AK28" s="148" t="s">
        <v>5</v>
      </c>
      <c r="AL28" s="139">
        <v>0.19303489364868062</v>
      </c>
      <c r="AM28" s="139">
        <v>0.13224198964071543</v>
      </c>
    </row>
    <row r="29" spans="1:39" ht="12.75" customHeight="1" x14ac:dyDescent="0.25">
      <c r="B29" s="82" t="s">
        <v>1</v>
      </c>
      <c r="C29" s="29">
        <v>14.87970566394463</v>
      </c>
      <c r="D29" s="29">
        <v>4.6792163012865338</v>
      </c>
      <c r="E29" s="49">
        <f t="shared" si="5"/>
        <v>6.901469067786185E-3</v>
      </c>
      <c r="F29" s="49">
        <f t="shared" si="6"/>
        <v>2.1726547102045704E-2</v>
      </c>
      <c r="G29" s="49">
        <f t="shared" si="7"/>
        <v>1.266689965154995E-2</v>
      </c>
      <c r="H29" s="50">
        <f t="shared" si="8"/>
        <v>2.7007560718014655E-2</v>
      </c>
      <c r="I29" s="49">
        <f t="shared" si="9"/>
        <v>2.0023544552900233E-4</v>
      </c>
      <c r="AA29" s="138">
        <v>7</v>
      </c>
      <c r="AB29" s="145" t="s">
        <v>9</v>
      </c>
      <c r="AC29" s="135">
        <v>0.15563756621705813</v>
      </c>
      <c r="AD29" s="142">
        <v>0.25736713399590871</v>
      </c>
      <c r="AE29" s="131" t="s">
        <v>9</v>
      </c>
      <c r="AF29" s="132">
        <v>0.1404898543639673</v>
      </c>
      <c r="AG29" s="132">
        <v>0.25736713399590871</v>
      </c>
      <c r="AH29" s="145" t="s">
        <v>6</v>
      </c>
      <c r="AI29" s="135">
        <v>7.6185424270137081E-2</v>
      </c>
      <c r="AJ29" s="135">
        <v>0.45798222777948161</v>
      </c>
      <c r="AK29" s="148" t="s">
        <v>7</v>
      </c>
      <c r="AL29" s="139">
        <v>0.28137382347094353</v>
      </c>
      <c r="AM29" s="139">
        <v>0.45945156349730343</v>
      </c>
    </row>
    <row r="30" spans="1:39" ht="12.75" customHeight="1" x14ac:dyDescent="0.25">
      <c r="B30" s="111" t="s">
        <v>6</v>
      </c>
      <c r="C30" s="29">
        <v>21.778950457619164</v>
      </c>
      <c r="D30" s="29">
        <v>9.0854543985789711</v>
      </c>
      <c r="E30" s="49">
        <f t="shared" si="5"/>
        <v>1.0101460089786475E-2</v>
      </c>
      <c r="F30" s="49">
        <f t="shared" si="6"/>
        <v>4.2185601225560171E-2</v>
      </c>
      <c r="G30" s="49">
        <f t="shared" si="7"/>
        <v>2.2768359741336425E-2</v>
      </c>
      <c r="H30" s="50">
        <f t="shared" si="8"/>
        <v>6.9193161943574832E-2</v>
      </c>
      <c r="I30" s="49">
        <f t="shared" si="9"/>
        <v>7.4742886103629507E-4</v>
      </c>
      <c r="AA30" s="138">
        <v>8</v>
      </c>
      <c r="AB30" s="145" t="s">
        <v>10</v>
      </c>
      <c r="AC30" s="135">
        <v>0.30720643346615872</v>
      </c>
      <c r="AD30" s="142">
        <v>0.38405950424456814</v>
      </c>
      <c r="AE30" s="131" t="s">
        <v>10</v>
      </c>
      <c r="AF30" s="132">
        <v>0.26486530011936027</v>
      </c>
      <c r="AG30" s="132">
        <v>0.38405950424456814</v>
      </c>
      <c r="AH30" s="145" t="s">
        <v>5</v>
      </c>
      <c r="AI30" s="135">
        <v>0.18981189410229665</v>
      </c>
      <c r="AJ30" s="135">
        <v>0.52103197422580472</v>
      </c>
      <c r="AK30" s="148" t="s">
        <v>2</v>
      </c>
      <c r="AL30" s="139">
        <v>0.42904096947561376</v>
      </c>
      <c r="AM30" s="139">
        <v>0.52103197422580472</v>
      </c>
    </row>
    <row r="31" spans="1:39" ht="12.75" customHeight="1" x14ac:dyDescent="0.25">
      <c r="B31" s="82" t="s">
        <v>195</v>
      </c>
      <c r="C31" s="29">
        <v>26.487263324145417</v>
      </c>
      <c r="D31" s="29">
        <v>2.9212416811762312</v>
      </c>
      <c r="E31" s="49">
        <f t="shared" si="5"/>
        <v>1.2285258368036581E-2</v>
      </c>
      <c r="F31" s="49">
        <f t="shared" si="6"/>
        <v>1.3563915599516981E-2</v>
      </c>
      <c r="G31" s="49">
        <f t="shared" si="7"/>
        <v>3.5053618109373005E-2</v>
      </c>
      <c r="H31" s="50">
        <f t="shared" si="8"/>
        <v>8.2757077543091806E-2</v>
      </c>
      <c r="I31" s="49">
        <f t="shared" si="9"/>
        <v>3.9214621368208126E-4</v>
      </c>
      <c r="AA31" s="138">
        <v>9</v>
      </c>
      <c r="AB31" s="145" t="s">
        <v>7</v>
      </c>
      <c r="AC31" s="135">
        <v>0.49808736370607998</v>
      </c>
      <c r="AD31" s="142">
        <v>0.71126907810115614</v>
      </c>
      <c r="AE31" s="131" t="s">
        <v>4</v>
      </c>
      <c r="AF31" s="132">
        <v>0.43265145785843007</v>
      </c>
      <c r="AG31" s="132">
        <v>0.65743534284662219</v>
      </c>
      <c r="AH31" s="145" t="s">
        <v>9</v>
      </c>
      <c r="AI31" s="135">
        <v>0.43188628237804488</v>
      </c>
      <c r="AJ31" s="135">
        <v>0.59993179114928674</v>
      </c>
      <c r="AK31" s="148" t="s">
        <v>9</v>
      </c>
      <c r="AL31" s="139">
        <v>0.583159505521051</v>
      </c>
      <c r="AM31" s="139">
        <v>0.59993179114928674</v>
      </c>
    </row>
    <row r="32" spans="1:39" ht="12.75" customHeight="1" x14ac:dyDescent="0.25">
      <c r="B32" s="82" t="s">
        <v>2</v>
      </c>
      <c r="C32" s="29">
        <v>57.406515877545473</v>
      </c>
      <c r="D32" s="29">
        <v>70.615686242804699</v>
      </c>
      <c r="E32" s="49">
        <f t="shared" si="5"/>
        <v>2.6626151253668431E-2</v>
      </c>
      <c r="F32" s="49">
        <f t="shared" si="6"/>
        <v>0.32788290485219601</v>
      </c>
      <c r="G32" s="49">
        <f t="shared" si="7"/>
        <v>6.167976936304144E-2</v>
      </c>
      <c r="H32" s="50">
        <f t="shared" si="8"/>
        <v>0.41063998239528782</v>
      </c>
      <c r="I32" s="49">
        <f t="shared" si="9"/>
        <v>1.5858612040324137E-2</v>
      </c>
      <c r="AA32" s="138">
        <v>10</v>
      </c>
      <c r="AB32" s="145" t="s">
        <v>4</v>
      </c>
      <c r="AC32" s="135">
        <v>0.70348588928344968</v>
      </c>
      <c r="AD32" s="142">
        <v>0.98464491670321008</v>
      </c>
      <c r="AE32" s="131" t="s">
        <v>7</v>
      </c>
      <c r="AF32" s="132">
        <v>0.64822411816596082</v>
      </c>
      <c r="AG32" s="132">
        <v>0.98464491670321019</v>
      </c>
      <c r="AH32" s="145" t="s">
        <v>10</v>
      </c>
      <c r="AI32" s="135">
        <v>0.6826176704974718</v>
      </c>
      <c r="AJ32" s="135">
        <v>0.72662416139794617</v>
      </c>
      <c r="AK32" s="148" t="s">
        <v>4</v>
      </c>
      <c r="AL32" s="139">
        <v>0.78522342619448249</v>
      </c>
      <c r="AM32" s="139">
        <v>0.87330762975134069</v>
      </c>
    </row>
    <row r="33" spans="2:39" ht="12.75" customHeight="1" thickBot="1" x14ac:dyDescent="0.3">
      <c r="B33" s="82" t="s">
        <v>5</v>
      </c>
      <c r="C33" s="29">
        <v>61.088307514794813</v>
      </c>
      <c r="D33" s="29">
        <v>16.117225862466793</v>
      </c>
      <c r="E33" s="49">
        <f t="shared" si="5"/>
        <v>2.8333830939838649E-2</v>
      </c>
      <c r="F33" s="49">
        <f t="shared" si="6"/>
        <v>7.4835537472143679E-2</v>
      </c>
      <c r="G33" s="49">
        <f t="shared" si="7"/>
        <v>9.0013600302880081E-2</v>
      </c>
      <c r="H33" s="50">
        <f t="shared" si="8"/>
        <v>0.48547551986743148</v>
      </c>
      <c r="I33" s="49">
        <f t="shared" si="9"/>
        <v>5.6760274249549048E-3</v>
      </c>
      <c r="AA33" s="40">
        <v>11</v>
      </c>
      <c r="AB33" s="146" t="s">
        <v>8</v>
      </c>
      <c r="AC33" s="136">
        <v>0.99999999999999978</v>
      </c>
      <c r="AD33" s="143">
        <v>1</v>
      </c>
      <c r="AE33" s="133" t="s">
        <v>8</v>
      </c>
      <c r="AF33" s="134">
        <v>1</v>
      </c>
      <c r="AG33" s="134">
        <v>1.0000000000000002</v>
      </c>
      <c r="AH33" s="146" t="s">
        <v>4</v>
      </c>
      <c r="AI33" s="136">
        <v>1</v>
      </c>
      <c r="AJ33" s="136">
        <v>1.0000000000000002</v>
      </c>
      <c r="AK33" s="149" t="s">
        <v>10</v>
      </c>
      <c r="AL33" s="56">
        <v>0.99999999999999989</v>
      </c>
      <c r="AM33" s="56">
        <v>1.0000000000000002</v>
      </c>
    </row>
    <row r="34" spans="2:39" ht="12.75" customHeight="1" thickBot="1" x14ac:dyDescent="0.3">
      <c r="B34" s="82" t="s">
        <v>9</v>
      </c>
      <c r="C34" s="29">
        <v>122.25690376263047</v>
      </c>
      <c r="D34" s="29">
        <v>9.2101982254801253</v>
      </c>
      <c r="E34" s="49">
        <f t="shared" si="5"/>
        <v>5.6704901205513948E-2</v>
      </c>
      <c r="F34" s="49">
        <f t="shared" si="6"/>
        <v>4.2764812028470094E-2</v>
      </c>
      <c r="G34" s="49">
        <f t="shared" si="7"/>
        <v>0.14671850150839402</v>
      </c>
      <c r="H34" s="50">
        <f t="shared" si="8"/>
        <v>0.52824033189590158</v>
      </c>
      <c r="I34" s="49">
        <f t="shared" si="9"/>
        <v>5.0619019175318913E-3</v>
      </c>
    </row>
    <row r="35" spans="2:39" ht="12.75" customHeight="1" thickBot="1" x14ac:dyDescent="0.3">
      <c r="B35" s="111" t="s">
        <v>10</v>
      </c>
      <c r="C35" s="29">
        <v>302.83700707899817</v>
      </c>
      <c r="D35" s="29">
        <v>31.242577098288798</v>
      </c>
      <c r="E35" s="49">
        <f t="shared" si="5"/>
        <v>0.14046112766874344</v>
      </c>
      <c r="F35" s="49">
        <f t="shared" si="6"/>
        <v>0.14506560056405901</v>
      </c>
      <c r="G35" s="49">
        <f t="shared" si="7"/>
        <v>0.28717962917713746</v>
      </c>
      <c r="H35" s="50">
        <f t="shared" si="8"/>
        <v>0.67330593245996062</v>
      </c>
      <c r="I35" s="49">
        <f t="shared" si="9"/>
        <v>3.1471846455759601E-2</v>
      </c>
      <c r="AA35" s="250" t="s">
        <v>147</v>
      </c>
      <c r="AB35" s="250"/>
      <c r="AC35" s="250"/>
      <c r="AD35" s="250"/>
      <c r="AE35" s="250"/>
      <c r="AF35" s="250"/>
      <c r="AG35" s="250"/>
      <c r="AH35" s="250"/>
      <c r="AI35" s="250"/>
      <c r="AJ35" s="250"/>
      <c r="AK35" s="250"/>
      <c r="AL35" s="250"/>
      <c r="AM35" s="250"/>
    </row>
    <row r="36" spans="2:39" ht="12.75" customHeight="1" thickBot="1" x14ac:dyDescent="0.3">
      <c r="B36" s="82" t="s">
        <v>4</v>
      </c>
      <c r="C36" s="29">
        <v>377.49670014536434</v>
      </c>
      <c r="D36" s="29">
        <v>30.733285344959441</v>
      </c>
      <c r="E36" s="49">
        <f t="shared" si="5"/>
        <v>0.17508960580836683</v>
      </c>
      <c r="F36" s="49">
        <f t="shared" si="6"/>
        <v>0.14270085600964477</v>
      </c>
      <c r="G36" s="49">
        <f t="shared" si="7"/>
        <v>0.46226923498550432</v>
      </c>
      <c r="H36" s="50">
        <f t="shared" si="8"/>
        <v>0.81600678846960539</v>
      </c>
      <c r="I36" s="49">
        <f t="shared" si="9"/>
        <v>5.3473497225732483E-2</v>
      </c>
      <c r="AA36" s="38" t="s">
        <v>136</v>
      </c>
      <c r="AB36" s="144"/>
      <c r="AC36" s="164" t="s">
        <v>137</v>
      </c>
      <c r="AD36" s="165" t="s">
        <v>144</v>
      </c>
      <c r="AE36" s="38"/>
      <c r="AF36" s="38" t="s">
        <v>138</v>
      </c>
      <c r="AG36" s="38" t="s">
        <v>144</v>
      </c>
      <c r="AH36" s="166"/>
      <c r="AI36" s="164" t="s">
        <v>140</v>
      </c>
      <c r="AJ36" s="164" t="s">
        <v>144</v>
      </c>
      <c r="AK36" s="167"/>
      <c r="AL36" s="38" t="s">
        <v>141</v>
      </c>
      <c r="AM36" s="38" t="s">
        <v>144</v>
      </c>
    </row>
    <row r="37" spans="2:39" ht="12.75" customHeight="1" x14ac:dyDescent="0.25">
      <c r="B37" s="82" t="s">
        <v>7</v>
      </c>
      <c r="C37" s="29">
        <v>400.68179774902404</v>
      </c>
      <c r="D37" s="29">
        <v>29.822025620101655</v>
      </c>
      <c r="E37" s="49">
        <f t="shared" si="5"/>
        <v>0.18584326166414011</v>
      </c>
      <c r="F37" s="49">
        <f t="shared" si="6"/>
        <v>0.13846969291319283</v>
      </c>
      <c r="G37" s="49">
        <f t="shared" si="7"/>
        <v>0.64811249664964443</v>
      </c>
      <c r="H37" s="50">
        <f t="shared" si="8"/>
        <v>0.95447648138279817</v>
      </c>
      <c r="I37" s="49">
        <f t="shared" si="9"/>
        <v>7.687710869796914E-2</v>
      </c>
      <c r="AA37" s="138">
        <v>1</v>
      </c>
      <c r="AB37" s="145" t="s">
        <v>2</v>
      </c>
      <c r="AC37" s="135">
        <v>2.0572122059260146E-3</v>
      </c>
      <c r="AD37" s="142">
        <v>8.2249727275718124E-2</v>
      </c>
      <c r="AE37" s="131" t="s">
        <v>3</v>
      </c>
      <c r="AF37" s="132">
        <v>5.6387986055587242E-3</v>
      </c>
      <c r="AG37" s="132">
        <v>8.0135200470573958E-3</v>
      </c>
      <c r="AH37" s="145" t="s">
        <v>2</v>
      </c>
      <c r="AI37" s="135">
        <v>0</v>
      </c>
      <c r="AJ37" s="135">
        <v>8.2249727275718124E-2</v>
      </c>
      <c r="AK37" s="148" t="s">
        <v>195</v>
      </c>
      <c r="AL37" s="139">
        <v>3.4564517331350051E-3</v>
      </c>
      <c r="AM37" s="139">
        <v>6.6897636279041406E-3</v>
      </c>
    </row>
    <row r="38" spans="2:39" ht="12.75" customHeight="1" thickBot="1" x14ac:dyDescent="0.3">
      <c r="B38" s="86" t="s">
        <v>8</v>
      </c>
      <c r="C38" s="32">
        <v>758.67651151455357</v>
      </c>
      <c r="D38" s="32">
        <v>9.8043370354728054</v>
      </c>
      <c r="E38" s="51">
        <f t="shared" si="5"/>
        <v>0.35188750335035557</v>
      </c>
      <c r="F38" s="49">
        <f t="shared" si="6"/>
        <v>4.5523518617201671E-2</v>
      </c>
      <c r="G38" s="51">
        <f t="shared" si="7"/>
        <v>1</v>
      </c>
      <c r="H38" s="52">
        <f t="shared" si="8"/>
        <v>0.99999999999999989</v>
      </c>
      <c r="I38" s="51">
        <f t="shared" si="9"/>
        <v>3.7513939962236446E-2</v>
      </c>
      <c r="AA38" s="138">
        <v>2</v>
      </c>
      <c r="AB38" s="145" t="s">
        <v>3</v>
      </c>
      <c r="AC38" s="135">
        <v>8.6289624421381217E-3</v>
      </c>
      <c r="AD38" s="142">
        <v>9.0263247322775519E-2</v>
      </c>
      <c r="AE38" s="131" t="s">
        <v>1</v>
      </c>
      <c r="AF38" s="132">
        <v>1.1360188457287819E-2</v>
      </c>
      <c r="AG38" s="132">
        <v>1.2331300548089792E-2</v>
      </c>
      <c r="AH38" s="145" t="s">
        <v>7</v>
      </c>
      <c r="AI38" s="135">
        <v>0</v>
      </c>
      <c r="AJ38" s="135">
        <v>0.52052312870831507</v>
      </c>
      <c r="AK38" s="148" t="s">
        <v>3</v>
      </c>
      <c r="AL38" s="139">
        <v>8.4493008852779827E-3</v>
      </c>
      <c r="AM38" s="139">
        <v>1.4703283674961536E-2</v>
      </c>
    </row>
    <row r="39" spans="2:39" ht="12.75" customHeight="1" thickBot="1" x14ac:dyDescent="0.3">
      <c r="B39" s="35" t="s">
        <v>12</v>
      </c>
      <c r="C39" s="6">
        <f>SUM(C27:C38)</f>
        <v>2156.0200470068412</v>
      </c>
      <c r="D39" s="6">
        <f>SUM(D27:D38)</f>
        <v>215.36861238507399</v>
      </c>
      <c r="E39" s="51">
        <f>SUM(E28:E38)</f>
        <v>1</v>
      </c>
      <c r="F39" s="59">
        <f>SUM(F28:F38)</f>
        <v>0.99999999999999989</v>
      </c>
      <c r="G39" s="53"/>
      <c r="H39" s="53"/>
      <c r="I39" s="59">
        <f>SUM(I27:I38)</f>
        <v>0.22728796790346339</v>
      </c>
      <c r="AA39" s="138">
        <v>3</v>
      </c>
      <c r="AB39" s="145" t="s">
        <v>1</v>
      </c>
      <c r="AC39" s="135">
        <v>1.7701695815085312E-2</v>
      </c>
      <c r="AD39" s="142">
        <v>9.4581027823807909E-2</v>
      </c>
      <c r="AE39" s="131" t="s">
        <v>6</v>
      </c>
      <c r="AF39" s="132">
        <v>2.024176629132083E-2</v>
      </c>
      <c r="AG39" s="132">
        <v>1.9147385865520176E-2</v>
      </c>
      <c r="AH39" s="145" t="s">
        <v>8</v>
      </c>
      <c r="AI39" s="135">
        <v>0</v>
      </c>
      <c r="AJ39" s="135">
        <v>0.7224070008195761</v>
      </c>
      <c r="AK39" s="148" t="s">
        <v>1</v>
      </c>
      <c r="AL39" s="139">
        <v>2.7144395442591892E-2</v>
      </c>
      <c r="AM39" s="139">
        <v>1.9021064175993932E-2</v>
      </c>
    </row>
    <row r="40" spans="2:39" ht="12.75" customHeight="1" thickBot="1" x14ac:dyDescent="0.3">
      <c r="B40" s="4"/>
      <c r="C40" s="4"/>
      <c r="D40" s="4"/>
      <c r="E40" s="50"/>
      <c r="F40" s="50"/>
      <c r="G40" s="50"/>
      <c r="H40" s="53"/>
      <c r="I40" s="53"/>
      <c r="AA40" s="138">
        <v>4</v>
      </c>
      <c r="AB40" s="145" t="s">
        <v>195</v>
      </c>
      <c r="AC40" s="135">
        <v>3.0178732413705139E-2</v>
      </c>
      <c r="AD40" s="142">
        <v>0.10127079145171206</v>
      </c>
      <c r="AE40" s="131" t="s">
        <v>195</v>
      </c>
      <c r="AF40" s="132">
        <v>3.2012888050712042E-2</v>
      </c>
      <c r="AG40" s="132">
        <v>2.5837149493424316E-2</v>
      </c>
      <c r="AH40" s="145" t="s">
        <v>195</v>
      </c>
      <c r="AI40" s="135">
        <v>5.4290577913134646E-3</v>
      </c>
      <c r="AJ40" s="135">
        <v>0.72909676444748028</v>
      </c>
      <c r="AK40" s="148" t="s">
        <v>6</v>
      </c>
      <c r="AL40" s="139">
        <v>5.8435636670972346E-2</v>
      </c>
      <c r="AM40" s="139">
        <v>2.5837149493424316E-2</v>
      </c>
    </row>
    <row r="41" spans="2:39" ht="12.75" customHeight="1" thickBot="1" x14ac:dyDescent="0.3">
      <c r="B41" s="4"/>
      <c r="C41" s="4"/>
      <c r="D41" s="4"/>
      <c r="E41" s="50"/>
      <c r="F41" s="50"/>
      <c r="G41" s="55"/>
      <c r="H41" s="56" t="s">
        <v>29</v>
      </c>
      <c r="I41" s="52">
        <f>1-(2*I39)</f>
        <v>0.54542406419307321</v>
      </c>
      <c r="AA41" s="138">
        <v>5</v>
      </c>
      <c r="AB41" s="145" t="s">
        <v>6</v>
      </c>
      <c r="AC41" s="135">
        <v>4.2893132745155806E-2</v>
      </c>
      <c r="AD41" s="142">
        <v>0.10808687676914244</v>
      </c>
      <c r="AE41" s="131" t="s">
        <v>5</v>
      </c>
      <c r="AF41" s="132">
        <v>5.7762823909743397E-2</v>
      </c>
      <c r="AG41" s="132">
        <v>4.2022014172822211E-2</v>
      </c>
      <c r="AH41" s="145" t="s">
        <v>3</v>
      </c>
      <c r="AI41" s="135">
        <v>1.3271339033212672E-2</v>
      </c>
      <c r="AJ41" s="135">
        <v>0.73711028449453764</v>
      </c>
      <c r="AK41" s="148" t="s">
        <v>8</v>
      </c>
      <c r="AL41" s="139">
        <v>0.1198547150976936</v>
      </c>
      <c r="AM41" s="139">
        <v>0.22772102160468533</v>
      </c>
    </row>
    <row r="42" spans="2:39" ht="12.75" customHeight="1" x14ac:dyDescent="0.25">
      <c r="E42" s="60"/>
      <c r="F42" s="60"/>
      <c r="G42" s="60"/>
      <c r="H42" s="60"/>
      <c r="I42" s="60"/>
      <c r="AA42" s="138">
        <v>6</v>
      </c>
      <c r="AB42" s="145" t="s">
        <v>5</v>
      </c>
      <c r="AC42" s="135">
        <v>8.1100344412985081E-2</v>
      </c>
      <c r="AD42" s="142">
        <v>0.12427174144854033</v>
      </c>
      <c r="AE42" s="131" t="s">
        <v>2</v>
      </c>
      <c r="AF42" s="132">
        <v>8.8550981159494335E-2</v>
      </c>
      <c r="AG42" s="132">
        <v>0.12427174144854033</v>
      </c>
      <c r="AH42" s="145" t="s">
        <v>1</v>
      </c>
      <c r="AI42" s="135">
        <v>4.2635773025661156E-2</v>
      </c>
      <c r="AJ42" s="135">
        <v>0.74142806499557001</v>
      </c>
      <c r="AK42" s="148" t="s">
        <v>5</v>
      </c>
      <c r="AL42" s="139">
        <v>0.19303489364868062</v>
      </c>
      <c r="AM42" s="139">
        <v>0.24390588628408322</v>
      </c>
    </row>
    <row r="43" spans="2:39" ht="12.75" customHeight="1" x14ac:dyDescent="0.25">
      <c r="AA43" s="138">
        <v>7</v>
      </c>
      <c r="AB43" s="145" t="s">
        <v>9</v>
      </c>
      <c r="AC43" s="135">
        <v>0.15563756621705813</v>
      </c>
      <c r="AD43" s="142">
        <v>0.16345651867644251</v>
      </c>
      <c r="AE43" s="131" t="s">
        <v>9</v>
      </c>
      <c r="AF43" s="132">
        <v>0.1404898543639673</v>
      </c>
      <c r="AG43" s="132">
        <v>0.16345651867644251</v>
      </c>
      <c r="AH43" s="145" t="s">
        <v>6</v>
      </c>
      <c r="AI43" s="135">
        <v>7.6185424270137081E-2</v>
      </c>
      <c r="AJ43" s="135">
        <v>0.7482441503130004</v>
      </c>
      <c r="AK43" s="148" t="s">
        <v>7</v>
      </c>
      <c r="AL43" s="139">
        <v>0.28137382347094353</v>
      </c>
      <c r="AM43" s="139">
        <v>0.68217928771668013</v>
      </c>
    </row>
    <row r="44" spans="2:39" ht="12.75" customHeight="1" x14ac:dyDescent="0.25">
      <c r="AA44" s="138">
        <v>8</v>
      </c>
      <c r="AB44" s="145" t="s">
        <v>10</v>
      </c>
      <c r="AC44" s="135">
        <v>0.30720643346615872</v>
      </c>
      <c r="AD44" s="142">
        <v>0.24099269172425059</v>
      </c>
      <c r="AE44" s="131" t="s">
        <v>10</v>
      </c>
      <c r="AF44" s="132">
        <v>0.26486530011936027</v>
      </c>
      <c r="AG44" s="132">
        <v>0.24099269172425059</v>
      </c>
      <c r="AH44" s="145" t="s">
        <v>5</v>
      </c>
      <c r="AI44" s="135">
        <v>0.18981189410229665</v>
      </c>
      <c r="AJ44" s="135">
        <v>0.76442901499239835</v>
      </c>
      <c r="AK44" s="148" t="s">
        <v>2</v>
      </c>
      <c r="AL44" s="139">
        <v>0.42904096947561376</v>
      </c>
      <c r="AM44" s="139">
        <v>0.76442901499239824</v>
      </c>
    </row>
    <row r="45" spans="2:39" ht="12.75" customHeight="1" x14ac:dyDescent="0.25">
      <c r="AA45" s="138">
        <v>9</v>
      </c>
      <c r="AB45" s="145" t="s">
        <v>7</v>
      </c>
      <c r="AC45" s="135">
        <v>0.49808736370607998</v>
      </c>
      <c r="AD45" s="142">
        <v>0.67926609315684749</v>
      </c>
      <c r="AE45" s="131" t="s">
        <v>4</v>
      </c>
      <c r="AF45" s="132">
        <v>0.43265145785843007</v>
      </c>
      <c r="AG45" s="132">
        <v>0.35984272645614207</v>
      </c>
      <c r="AH45" s="145" t="s">
        <v>9</v>
      </c>
      <c r="AI45" s="135">
        <v>0.43188628237804488</v>
      </c>
      <c r="AJ45" s="135">
        <v>0.80361379222030049</v>
      </c>
      <c r="AK45" s="148" t="s">
        <v>9</v>
      </c>
      <c r="AL45" s="139">
        <v>0.583159505521051</v>
      </c>
      <c r="AM45" s="139">
        <v>0.80361379222030038</v>
      </c>
    </row>
    <row r="46" spans="2:39" ht="12.75" customHeight="1" x14ac:dyDescent="0.25">
      <c r="AA46" s="138">
        <v>10</v>
      </c>
      <c r="AB46" s="145" t="s">
        <v>4</v>
      </c>
      <c r="AC46" s="135">
        <v>0.70348588928344968</v>
      </c>
      <c r="AD46" s="142">
        <v>0.79811612788873898</v>
      </c>
      <c r="AE46" s="131" t="s">
        <v>7</v>
      </c>
      <c r="AF46" s="132">
        <v>0.64822411816596082</v>
      </c>
      <c r="AG46" s="132">
        <v>0.79811612788873898</v>
      </c>
      <c r="AH46" s="145" t="s">
        <v>10</v>
      </c>
      <c r="AI46" s="135">
        <v>0.6826176704974718</v>
      </c>
      <c r="AJ46" s="135">
        <v>0.88114996526810863</v>
      </c>
      <c r="AK46" s="148" t="s">
        <v>4</v>
      </c>
      <c r="AL46" s="139">
        <v>0.78522342619448249</v>
      </c>
      <c r="AM46" s="139">
        <v>0.92246382695219187</v>
      </c>
    </row>
    <row r="47" spans="2:39" ht="16.2" thickBot="1" x14ac:dyDescent="0.35">
      <c r="B47" s="257" t="s">
        <v>104</v>
      </c>
      <c r="C47" s="257"/>
      <c r="D47" s="257"/>
      <c r="E47" s="257"/>
      <c r="F47" s="257"/>
      <c r="G47" s="257"/>
      <c r="H47" s="257"/>
      <c r="I47" s="257"/>
      <c r="J47" s="122"/>
      <c r="AA47" s="40">
        <v>11</v>
      </c>
      <c r="AB47" s="146" t="s">
        <v>8</v>
      </c>
      <c r="AC47" s="136">
        <v>0.99999999999999978</v>
      </c>
      <c r="AD47" s="143">
        <v>1</v>
      </c>
      <c r="AE47" s="133" t="s">
        <v>8</v>
      </c>
      <c r="AF47" s="134">
        <v>1</v>
      </c>
      <c r="AG47" s="134">
        <v>1</v>
      </c>
      <c r="AH47" s="146" t="s">
        <v>4</v>
      </c>
      <c r="AI47" s="136">
        <v>1</v>
      </c>
      <c r="AJ47" s="136">
        <v>1.0000000000000002</v>
      </c>
      <c r="AK47" s="149" t="s">
        <v>10</v>
      </c>
      <c r="AL47" s="56">
        <v>0.99999999999999989</v>
      </c>
      <c r="AM47" s="56">
        <v>1</v>
      </c>
    </row>
    <row r="48" spans="2:39" ht="27" thickBot="1" x14ac:dyDescent="0.3">
      <c r="B48" s="30" t="s">
        <v>19</v>
      </c>
      <c r="C48" s="31" t="s">
        <v>38</v>
      </c>
      <c r="D48" s="31" t="s">
        <v>41</v>
      </c>
      <c r="E48" s="31" t="s">
        <v>15</v>
      </c>
      <c r="F48" s="31" t="s">
        <v>16</v>
      </c>
      <c r="G48" s="31" t="s">
        <v>17</v>
      </c>
      <c r="H48" s="31" t="s">
        <v>116</v>
      </c>
      <c r="I48" s="31" t="s">
        <v>20</v>
      </c>
      <c r="J48" s="25"/>
      <c r="K48" s="8"/>
      <c r="L48" s="8"/>
      <c r="M48" s="8"/>
      <c r="N48" s="8"/>
    </row>
    <row r="49" spans="1:10" ht="12.75" customHeight="1" x14ac:dyDescent="0.25">
      <c r="B49" s="4"/>
      <c r="C49" s="26">
        <v>0</v>
      </c>
      <c r="D49" s="26">
        <v>0</v>
      </c>
      <c r="E49" s="49">
        <f t="shared" ref="E49:E60" si="10">C49/$C$61</f>
        <v>0</v>
      </c>
      <c r="F49" s="49">
        <f t="shared" ref="F49:F60" si="11">D49/$D$61</f>
        <v>0</v>
      </c>
      <c r="G49" s="49">
        <v>0</v>
      </c>
      <c r="H49" s="50">
        <f>F49</f>
        <v>0</v>
      </c>
      <c r="I49" s="49">
        <v>0</v>
      </c>
      <c r="J49" s="28"/>
    </row>
    <row r="50" spans="1:10" ht="12.75" customHeight="1" x14ac:dyDescent="0.25">
      <c r="B50" s="82" t="s">
        <v>2</v>
      </c>
      <c r="C50" s="29">
        <v>0</v>
      </c>
      <c r="D50" s="29">
        <v>70.615686242804699</v>
      </c>
      <c r="E50" s="49">
        <f t="shared" si="10"/>
        <v>0</v>
      </c>
      <c r="F50" s="49">
        <f t="shared" si="11"/>
        <v>0.32788290485219607</v>
      </c>
      <c r="G50" s="49">
        <f t="shared" ref="G50:G60" si="12">G49+E50</f>
        <v>0</v>
      </c>
      <c r="H50" s="50">
        <f t="shared" ref="H50:H60" si="13">F50+H49</f>
        <v>0.32788290485219607</v>
      </c>
      <c r="I50" s="49">
        <f t="shared" ref="I50:I60" si="14">(G49+G50)*0.5*(H50-H49)</f>
        <v>0</v>
      </c>
      <c r="J50" s="28"/>
    </row>
    <row r="51" spans="1:10" ht="12.75" customHeight="1" x14ac:dyDescent="0.25">
      <c r="A51" s="8"/>
      <c r="B51" s="82" t="s">
        <v>3</v>
      </c>
      <c r="C51" s="29">
        <v>0</v>
      </c>
      <c r="D51" s="29">
        <v>1.1373645744579148</v>
      </c>
      <c r="E51" s="49">
        <f t="shared" si="10"/>
        <v>0</v>
      </c>
      <c r="F51" s="49">
        <f t="shared" si="11"/>
        <v>5.2810136159689514E-3</v>
      </c>
      <c r="G51" s="49">
        <f t="shared" si="12"/>
        <v>0</v>
      </c>
      <c r="H51" s="50">
        <f t="shared" si="13"/>
        <v>0.33316391846816501</v>
      </c>
      <c r="I51" s="49">
        <f t="shared" si="14"/>
        <v>0</v>
      </c>
      <c r="J51" s="28"/>
    </row>
    <row r="52" spans="1:10" ht="12.75" customHeight="1" x14ac:dyDescent="0.25">
      <c r="B52" s="82" t="s">
        <v>7</v>
      </c>
      <c r="C52" s="29">
        <v>0</v>
      </c>
      <c r="D52" s="29">
        <v>29.822025620101655</v>
      </c>
      <c r="E52" s="49">
        <f t="shared" si="10"/>
        <v>0</v>
      </c>
      <c r="F52" s="49">
        <f t="shared" si="11"/>
        <v>0.13846969291319286</v>
      </c>
      <c r="G52" s="49">
        <f t="shared" si="12"/>
        <v>0</v>
      </c>
      <c r="H52" s="50">
        <f t="shared" si="13"/>
        <v>0.47163361138135784</v>
      </c>
      <c r="I52" s="49">
        <f t="shared" si="14"/>
        <v>0</v>
      </c>
      <c r="J52" s="28"/>
    </row>
    <row r="53" spans="1:10" ht="12.75" customHeight="1" x14ac:dyDescent="0.25">
      <c r="B53" s="82" t="s">
        <v>8</v>
      </c>
      <c r="C53" s="29">
        <v>0</v>
      </c>
      <c r="D53" s="29">
        <v>9.8043370354728054</v>
      </c>
      <c r="E53" s="49">
        <f t="shared" si="10"/>
        <v>0</v>
      </c>
      <c r="F53" s="49">
        <f t="shared" si="11"/>
        <v>4.5523518617201678E-2</v>
      </c>
      <c r="G53" s="49">
        <f t="shared" si="12"/>
        <v>0</v>
      </c>
      <c r="H53" s="50">
        <f t="shared" si="13"/>
        <v>0.51715712999855956</v>
      </c>
      <c r="I53" s="49">
        <f t="shared" si="14"/>
        <v>0</v>
      </c>
      <c r="J53" s="28"/>
    </row>
    <row r="54" spans="1:10" ht="12.75" customHeight="1" x14ac:dyDescent="0.25">
      <c r="B54" s="82" t="s">
        <v>195</v>
      </c>
      <c r="C54" s="29">
        <v>3.8418556888470429E-2</v>
      </c>
      <c r="D54" s="29">
        <v>2.9212416811762312</v>
      </c>
      <c r="E54" s="49">
        <f t="shared" si="10"/>
        <v>2.5380223793664534E-4</v>
      </c>
      <c r="F54" s="49">
        <f t="shared" si="11"/>
        <v>1.3563915599516982E-2</v>
      </c>
      <c r="G54" s="49">
        <f t="shared" si="12"/>
        <v>2.5380223793664534E-4</v>
      </c>
      <c r="H54" s="50">
        <f t="shared" si="13"/>
        <v>0.53072104559807654</v>
      </c>
      <c r="I54" s="49">
        <f t="shared" si="14"/>
        <v>1.7212760671705912E-6</v>
      </c>
      <c r="J54" s="28"/>
    </row>
    <row r="55" spans="1:10" ht="12.75" customHeight="1" x14ac:dyDescent="0.25">
      <c r="B55" s="82" t="s">
        <v>1</v>
      </c>
      <c r="C55" s="29">
        <v>1.2659744256775787</v>
      </c>
      <c r="D55" s="29">
        <v>4.6792163012865338</v>
      </c>
      <c r="E55" s="49">
        <f t="shared" si="10"/>
        <v>8.3633319007865806E-3</v>
      </c>
      <c r="F55" s="49">
        <f t="shared" si="11"/>
        <v>2.1726547102045708E-2</v>
      </c>
      <c r="G55" s="49">
        <f t="shared" si="12"/>
        <v>8.6171341387232259E-3</v>
      </c>
      <c r="H55" s="50">
        <f t="shared" si="13"/>
        <v>0.55244759270012223</v>
      </c>
      <c r="I55" s="49">
        <f t="shared" si="14"/>
        <v>9.6367408513375614E-5</v>
      </c>
      <c r="J55" s="28"/>
    </row>
    <row r="56" spans="1:10" ht="12.75" customHeight="1" x14ac:dyDescent="0.25">
      <c r="B56" s="111" t="s">
        <v>6</v>
      </c>
      <c r="C56" s="29">
        <v>3.843941814762962</v>
      </c>
      <c r="D56" s="29">
        <v>9.0854543985789711</v>
      </c>
      <c r="E56" s="49">
        <f t="shared" si="10"/>
        <v>2.5394005243801119E-2</v>
      </c>
      <c r="F56" s="49">
        <f t="shared" si="11"/>
        <v>4.2185601225560178E-2</v>
      </c>
      <c r="G56" s="49">
        <f t="shared" si="12"/>
        <v>3.4011139382524341E-2</v>
      </c>
      <c r="H56" s="50">
        <f t="shared" si="13"/>
        <v>0.59463319392568237</v>
      </c>
      <c r="I56" s="49">
        <f t="shared" si="14"/>
        <v>8.9914967385072719E-4</v>
      </c>
      <c r="J56" s="28"/>
    </row>
    <row r="57" spans="1:10" ht="12.75" customHeight="1" x14ac:dyDescent="0.25">
      <c r="B57" s="82" t="s">
        <v>5</v>
      </c>
      <c r="C57" s="29">
        <v>16.824037840124145</v>
      </c>
      <c r="D57" s="29">
        <v>16.117225862466793</v>
      </c>
      <c r="E57" s="49">
        <f t="shared" si="10"/>
        <v>0.1111436451751719</v>
      </c>
      <c r="F57" s="49">
        <f t="shared" si="11"/>
        <v>7.4835537472143693E-2</v>
      </c>
      <c r="G57" s="49">
        <f t="shared" si="12"/>
        <v>0.14515478455769626</v>
      </c>
      <c r="H57" s="50">
        <f t="shared" si="13"/>
        <v>0.66946873139782603</v>
      </c>
      <c r="I57" s="49">
        <f t="shared" si="14"/>
        <v>6.7039891073798104E-3</v>
      </c>
      <c r="J57" s="28"/>
    </row>
    <row r="58" spans="1:10" ht="12.75" customHeight="1" x14ac:dyDescent="0.25">
      <c r="B58" s="111" t="s">
        <v>10</v>
      </c>
      <c r="C58" s="29">
        <v>23.810297901754669</v>
      </c>
      <c r="D58" s="29">
        <v>31.242577098288798</v>
      </c>
      <c r="E58" s="49">
        <f t="shared" si="10"/>
        <v>0.15729656142334458</v>
      </c>
      <c r="F58" s="49">
        <f t="shared" si="11"/>
        <v>0.14506560056405904</v>
      </c>
      <c r="G58" s="49">
        <f t="shared" si="12"/>
        <v>0.30245134598104084</v>
      </c>
      <c r="H58" s="50">
        <f t="shared" si="13"/>
        <v>0.81453433196188507</v>
      </c>
      <c r="I58" s="49">
        <f t="shared" si="14"/>
        <v>3.2466126071378255E-2</v>
      </c>
      <c r="J58" s="28"/>
    </row>
    <row r="59" spans="1:10" ht="12.75" customHeight="1" x14ac:dyDescent="0.25">
      <c r="B59" s="82" t="s">
        <v>9</v>
      </c>
      <c r="C59" s="29">
        <v>41.495772011888072</v>
      </c>
      <c r="D59" s="29">
        <v>9.2101982254801253</v>
      </c>
      <c r="E59" s="49">
        <f t="shared" si="10"/>
        <v>0.27413106203077137</v>
      </c>
      <c r="F59" s="49">
        <f t="shared" si="11"/>
        <v>4.2764812028470101E-2</v>
      </c>
      <c r="G59" s="49">
        <f t="shared" si="12"/>
        <v>0.57658240801181226</v>
      </c>
      <c r="H59" s="50">
        <f t="shared" si="13"/>
        <v>0.85729914399035523</v>
      </c>
      <c r="I59" s="49">
        <f t="shared" si="14"/>
        <v>1.8795856628092421E-2</v>
      </c>
      <c r="J59" s="28"/>
    </row>
    <row r="60" spans="1:10" ht="12.75" customHeight="1" thickBot="1" x14ac:dyDescent="0.3">
      <c r="B60" s="86" t="s">
        <v>4</v>
      </c>
      <c r="C60" s="32">
        <v>64.093575287693014</v>
      </c>
      <c r="D60" s="32">
        <v>30.733285344959441</v>
      </c>
      <c r="E60" s="49">
        <f t="shared" si="10"/>
        <v>0.42341759198818785</v>
      </c>
      <c r="F60" s="49">
        <f t="shared" si="11"/>
        <v>0.1427008560096448</v>
      </c>
      <c r="G60" s="51">
        <f t="shared" si="12"/>
        <v>1</v>
      </c>
      <c r="H60" s="52">
        <f t="shared" si="13"/>
        <v>1</v>
      </c>
      <c r="I60" s="51">
        <f t="shared" si="14"/>
        <v>0.11248982959651632</v>
      </c>
      <c r="J60" s="28"/>
    </row>
    <row r="61" spans="1:10" ht="12.75" customHeight="1" thickBot="1" x14ac:dyDescent="0.3">
      <c r="B61" s="35" t="s">
        <v>12</v>
      </c>
      <c r="C61" s="6">
        <f t="shared" ref="C61:I61" si="15">SUM(C49:C60)</f>
        <v>151.37201783878891</v>
      </c>
      <c r="D61" s="6">
        <f t="shared" si="15"/>
        <v>215.36861238507396</v>
      </c>
      <c r="E61" s="6">
        <f t="shared" si="15"/>
        <v>1</v>
      </c>
      <c r="F61" s="6">
        <f t="shared" si="15"/>
        <v>1</v>
      </c>
      <c r="G61" s="6">
        <f t="shared" si="15"/>
        <v>2.0670706143097335</v>
      </c>
      <c r="H61" s="6">
        <f t="shared" si="15"/>
        <v>6.6689416042742256</v>
      </c>
      <c r="I61" s="106">
        <f t="shared" si="15"/>
        <v>0.1714530397617981</v>
      </c>
      <c r="J61" s="28"/>
    </row>
    <row r="62" spans="1:10" ht="12.75" customHeight="1" thickBot="1" x14ac:dyDescent="0.3">
      <c r="B62" s="4"/>
      <c r="C62" s="4"/>
      <c r="D62" s="4"/>
      <c r="E62" s="50"/>
      <c r="F62" s="50"/>
      <c r="G62" s="50"/>
      <c r="H62" s="53"/>
      <c r="I62" s="53"/>
      <c r="J62" s="9"/>
    </row>
    <row r="63" spans="1:10" ht="12.75" customHeight="1" thickBot="1" x14ac:dyDescent="0.3">
      <c r="B63" s="4"/>
      <c r="C63" s="4"/>
      <c r="D63" s="4"/>
      <c r="E63" s="50"/>
      <c r="F63" s="50"/>
      <c r="G63" s="55"/>
      <c r="H63" s="56" t="s">
        <v>29</v>
      </c>
      <c r="I63" s="52">
        <f>1-(2*I61)</f>
        <v>0.6570939204764038</v>
      </c>
      <c r="J63" s="9"/>
    </row>
    <row r="64" spans="1:10" ht="12.75" customHeight="1" x14ac:dyDescent="0.25"/>
    <row r="65" spans="2:14" ht="12.75" customHeight="1" x14ac:dyDescent="0.25"/>
    <row r="66" spans="2:14" ht="12.75" customHeight="1" x14ac:dyDescent="0.25"/>
    <row r="67" spans="2:14" ht="12.75" customHeight="1" x14ac:dyDescent="0.25"/>
    <row r="68" spans="2:14" ht="16.2" thickBot="1" x14ac:dyDescent="0.35">
      <c r="B68" s="256" t="s">
        <v>98</v>
      </c>
      <c r="C68" s="256"/>
      <c r="D68" s="256"/>
      <c r="E68" s="256"/>
      <c r="F68" s="256"/>
      <c r="G68" s="256"/>
      <c r="H68" s="256"/>
      <c r="I68" s="256"/>
    </row>
    <row r="69" spans="2:14" ht="37.200000000000003" customHeight="1" thickBot="1" x14ac:dyDescent="0.3">
      <c r="B69" s="36" t="s">
        <v>19</v>
      </c>
      <c r="C69" s="37" t="s">
        <v>93</v>
      </c>
      <c r="D69" s="37" t="s">
        <v>41</v>
      </c>
      <c r="E69" s="37" t="s">
        <v>91</v>
      </c>
      <c r="F69" s="37" t="s">
        <v>16</v>
      </c>
      <c r="G69" s="37" t="s">
        <v>92</v>
      </c>
      <c r="H69" s="37" t="s">
        <v>116</v>
      </c>
      <c r="I69" s="37" t="s">
        <v>20</v>
      </c>
      <c r="J69" s="8"/>
      <c r="K69" s="8"/>
      <c r="L69" s="8"/>
      <c r="M69" s="8"/>
      <c r="N69" s="8"/>
    </row>
    <row r="70" spans="2:14" ht="12.75" customHeight="1" x14ac:dyDescent="0.25">
      <c r="B70" s="4"/>
      <c r="C70" s="26">
        <v>0</v>
      </c>
      <c r="D70" s="26">
        <v>0</v>
      </c>
      <c r="E70" s="49">
        <f t="shared" ref="E70:E81" si="16">C70/$C$82</f>
        <v>0</v>
      </c>
      <c r="F70" s="49">
        <v>0</v>
      </c>
      <c r="G70" s="49">
        <v>0</v>
      </c>
      <c r="H70" s="50">
        <f>F70</f>
        <v>0</v>
      </c>
      <c r="I70" s="49">
        <v>0</v>
      </c>
    </row>
    <row r="71" spans="2:14" ht="12.75" customHeight="1" x14ac:dyDescent="0.25">
      <c r="B71" s="82" t="s">
        <v>3</v>
      </c>
      <c r="C71" s="29">
        <v>0</v>
      </c>
      <c r="D71" s="29">
        <v>1.1373645744579148</v>
      </c>
      <c r="E71" s="49">
        <f t="shared" si="16"/>
        <v>0</v>
      </c>
      <c r="F71" s="49">
        <f t="shared" ref="F71:F81" si="17">D71/$D$82</f>
        <v>5.2810136159689514E-3</v>
      </c>
      <c r="G71" s="49">
        <f t="shared" ref="G71:G81" si="18">G70+E71</f>
        <v>0</v>
      </c>
      <c r="H71" s="50">
        <f t="shared" ref="H71:H81" si="19">F71+H70</f>
        <v>5.2810136159689514E-3</v>
      </c>
      <c r="I71" s="49">
        <f t="shared" ref="I71:I81" si="20">(G70+G71)*0.5*(H71-H70)</f>
        <v>0</v>
      </c>
    </row>
    <row r="72" spans="2:14" ht="12.75" customHeight="1" x14ac:dyDescent="0.25">
      <c r="B72" s="82" t="s">
        <v>195</v>
      </c>
      <c r="C72" s="29">
        <v>3.8418556888470429E-2</v>
      </c>
      <c r="D72" s="29">
        <v>2.9212416811762312</v>
      </c>
      <c r="E72" s="49">
        <f t="shared" si="16"/>
        <v>1.3244489135736634E-4</v>
      </c>
      <c r="F72" s="49">
        <f t="shared" si="17"/>
        <v>1.3563915599516982E-2</v>
      </c>
      <c r="G72" s="49">
        <f t="shared" si="18"/>
        <v>1.3244489135736634E-4</v>
      </c>
      <c r="H72" s="50">
        <f t="shared" si="19"/>
        <v>1.8844929215485934E-2</v>
      </c>
      <c r="I72" s="49">
        <f t="shared" si="20"/>
        <v>8.9823566397925671E-7</v>
      </c>
    </row>
    <row r="73" spans="2:14" ht="12.75" customHeight="1" x14ac:dyDescent="0.25">
      <c r="B73" s="82" t="s">
        <v>1</v>
      </c>
      <c r="C73" s="29">
        <v>1.2659744256775787</v>
      </c>
      <c r="D73" s="29">
        <v>4.6792163012865338</v>
      </c>
      <c r="E73" s="49">
        <f t="shared" si="16"/>
        <v>4.3643452240235033E-3</v>
      </c>
      <c r="F73" s="49">
        <f t="shared" si="17"/>
        <v>2.1726547102045708E-2</v>
      </c>
      <c r="G73" s="49">
        <f t="shared" si="18"/>
        <v>4.4967901153808694E-3</v>
      </c>
      <c r="H73" s="50">
        <f t="shared" si="19"/>
        <v>4.0571476317531642E-2</v>
      </c>
      <c r="I73" s="49">
        <f t="shared" si="20"/>
        <v>5.0288646210168577E-5</v>
      </c>
    </row>
    <row r="74" spans="2:14" ht="12.75" customHeight="1" x14ac:dyDescent="0.25">
      <c r="B74" s="111" t="s">
        <v>6</v>
      </c>
      <c r="C74" s="29">
        <v>7.6439418147629619</v>
      </c>
      <c r="D74" s="29">
        <v>9.0854543985789711</v>
      </c>
      <c r="E74" s="49">
        <f t="shared" si="16"/>
        <v>2.6351875895217088E-2</v>
      </c>
      <c r="F74" s="49">
        <f t="shared" si="17"/>
        <v>4.2185601225560178E-2</v>
      </c>
      <c r="G74" s="49">
        <f t="shared" si="18"/>
        <v>3.0848666010597957E-2</v>
      </c>
      <c r="H74" s="50">
        <f t="shared" si="19"/>
        <v>8.275707754309182E-2</v>
      </c>
      <c r="I74" s="49">
        <f t="shared" si="20"/>
        <v>7.4553465863303804E-4</v>
      </c>
    </row>
    <row r="75" spans="2:14" ht="12.75" customHeight="1" x14ac:dyDescent="0.25">
      <c r="B75" s="82" t="s">
        <v>5</v>
      </c>
      <c r="C75" s="29">
        <v>16.824037840124145</v>
      </c>
      <c r="D75" s="29">
        <v>16.117225862466793</v>
      </c>
      <c r="E75" s="49">
        <f t="shared" si="16"/>
        <v>5.7999520138044859E-2</v>
      </c>
      <c r="F75" s="49">
        <f t="shared" si="17"/>
        <v>7.4835537472143693E-2</v>
      </c>
      <c r="G75" s="49">
        <f t="shared" si="18"/>
        <v>8.8848186148642816E-2</v>
      </c>
      <c r="H75" s="50">
        <f t="shared" si="19"/>
        <v>0.15759261501523553</v>
      </c>
      <c r="I75" s="49">
        <f t="shared" si="20"/>
        <v>4.4787891325302545E-3</v>
      </c>
    </row>
    <row r="76" spans="2:14" ht="12.75" customHeight="1" x14ac:dyDescent="0.25">
      <c r="B76" s="82" t="s">
        <v>8</v>
      </c>
      <c r="C76" s="29">
        <v>23.5</v>
      </c>
      <c r="D76" s="29">
        <v>9.8043370354728054</v>
      </c>
      <c r="E76" s="49">
        <f t="shared" si="16"/>
        <v>8.1014363864150507E-2</v>
      </c>
      <c r="F76" s="49">
        <f t="shared" si="17"/>
        <v>4.5523518617201678E-2</v>
      </c>
      <c r="G76" s="49">
        <f t="shared" si="18"/>
        <v>0.16986255001279332</v>
      </c>
      <c r="H76" s="50">
        <f t="shared" si="19"/>
        <v>0.20311613363243719</v>
      </c>
      <c r="I76" s="49">
        <f t="shared" si="20"/>
        <v>5.8887115070575431E-3</v>
      </c>
    </row>
    <row r="77" spans="2:14" ht="12.75" customHeight="1" x14ac:dyDescent="0.25">
      <c r="B77" s="82" t="s">
        <v>7</v>
      </c>
      <c r="C77" s="29">
        <v>33.799999999999997</v>
      </c>
      <c r="D77" s="29">
        <v>29.822025620101655</v>
      </c>
      <c r="E77" s="49">
        <f t="shared" si="16"/>
        <v>0.11652278717482072</v>
      </c>
      <c r="F77" s="49">
        <f t="shared" si="17"/>
        <v>0.13846969291319286</v>
      </c>
      <c r="G77" s="49">
        <f t="shared" si="18"/>
        <v>0.28638533718761405</v>
      </c>
      <c r="H77" s="50">
        <f t="shared" si="19"/>
        <v>0.34158582654563008</v>
      </c>
      <c r="I77" s="49">
        <f t="shared" si="20"/>
        <v>3.158825241646674E-2</v>
      </c>
    </row>
    <row r="78" spans="2:14" ht="12.75" customHeight="1" x14ac:dyDescent="0.25">
      <c r="B78" s="82" t="s">
        <v>9</v>
      </c>
      <c r="C78" s="29">
        <v>41.495772011888072</v>
      </c>
      <c r="D78" s="29">
        <v>9.2101982254801253</v>
      </c>
      <c r="E78" s="49">
        <f t="shared" si="16"/>
        <v>0.14305334351467799</v>
      </c>
      <c r="F78" s="49">
        <f t="shared" si="17"/>
        <v>4.2764812028470101E-2</v>
      </c>
      <c r="G78" s="49">
        <f t="shared" si="18"/>
        <v>0.42943868070229207</v>
      </c>
      <c r="H78" s="50">
        <f t="shared" si="19"/>
        <v>0.38435063857410018</v>
      </c>
      <c r="I78" s="49">
        <f t="shared" si="20"/>
        <v>1.5306039785263027E-2</v>
      </c>
    </row>
    <row r="79" spans="2:14" ht="12.75" customHeight="1" x14ac:dyDescent="0.25">
      <c r="B79" s="111" t="s">
        <v>10</v>
      </c>
      <c r="C79" s="29">
        <v>44.910297901754674</v>
      </c>
      <c r="D79" s="29">
        <v>31.242577098288798</v>
      </c>
      <c r="E79" s="49">
        <f t="shared" si="16"/>
        <v>0.1548246474663893</v>
      </c>
      <c r="F79" s="49">
        <f t="shared" si="17"/>
        <v>0.14506560056405904</v>
      </c>
      <c r="G79" s="49">
        <f t="shared" si="18"/>
        <v>0.58426332816868132</v>
      </c>
      <c r="H79" s="50">
        <f t="shared" si="19"/>
        <v>0.52941623913815916</v>
      </c>
      <c r="I79" s="49">
        <f t="shared" si="20"/>
        <v>7.3526645354930406E-2</v>
      </c>
    </row>
    <row r="80" spans="2:14" ht="12.75" customHeight="1" x14ac:dyDescent="0.25">
      <c r="B80" s="82" t="s">
        <v>2</v>
      </c>
      <c r="C80" s="29">
        <v>56.5</v>
      </c>
      <c r="D80" s="29">
        <v>70.615686242804699</v>
      </c>
      <c r="E80" s="49">
        <f t="shared" si="16"/>
        <v>0.19477921524785122</v>
      </c>
      <c r="F80" s="49">
        <f t="shared" si="17"/>
        <v>0.32788290485219607</v>
      </c>
      <c r="G80" s="49">
        <f t="shared" si="18"/>
        <v>0.77904254341653256</v>
      </c>
      <c r="H80" s="50">
        <f t="shared" si="19"/>
        <v>0.85729914399035523</v>
      </c>
      <c r="I80" s="49">
        <f t="shared" si="20"/>
        <v>0.22350234468870744</v>
      </c>
    </row>
    <row r="81" spans="1:14" ht="12.75" customHeight="1" thickBot="1" x14ac:dyDescent="0.3">
      <c r="B81" s="86" t="s">
        <v>4</v>
      </c>
      <c r="C81" s="32">
        <v>64.093575287693014</v>
      </c>
      <c r="D81" s="32">
        <v>30.733285344959441</v>
      </c>
      <c r="E81" s="51">
        <f t="shared" si="16"/>
        <v>0.22095745658346752</v>
      </c>
      <c r="F81" s="51">
        <f t="shared" si="17"/>
        <v>0.1427008560096448</v>
      </c>
      <c r="G81" s="51">
        <f t="shared" si="18"/>
        <v>1</v>
      </c>
      <c r="H81" s="52">
        <f t="shared" si="19"/>
        <v>1</v>
      </c>
      <c r="I81" s="51">
        <f t="shared" si="20"/>
        <v>0.12693544691155742</v>
      </c>
    </row>
    <row r="82" spans="1:14" ht="12.75" customHeight="1" thickBot="1" x14ac:dyDescent="0.3">
      <c r="B82" s="38" t="s">
        <v>12</v>
      </c>
      <c r="C82" s="32">
        <f>SUM(C70:C81)</f>
        <v>290.0720178387889</v>
      </c>
      <c r="D82" s="32">
        <f>SUM(D70:D81)</f>
        <v>215.36861238507396</v>
      </c>
      <c r="E82" s="51">
        <f>SUM(E71:E81)</f>
        <v>1</v>
      </c>
      <c r="F82" s="51">
        <f>SUM(F71:F81)</f>
        <v>1</v>
      </c>
      <c r="G82" s="52"/>
      <c r="H82" s="52"/>
      <c r="I82" s="51">
        <f>SUM(I70:I81)</f>
        <v>0.48202295133702</v>
      </c>
    </row>
    <row r="83" spans="1:14" ht="12.75" customHeight="1" thickBot="1" x14ac:dyDescent="0.3">
      <c r="B83" s="47"/>
      <c r="C83" s="29"/>
      <c r="D83" s="29"/>
      <c r="E83" s="26"/>
      <c r="F83" s="27"/>
      <c r="G83" s="4"/>
      <c r="H83" s="40"/>
      <c r="I83" s="34"/>
    </row>
    <row r="84" spans="1:14" ht="12.75" customHeight="1" thickBot="1" x14ac:dyDescent="0.3">
      <c r="B84" s="4"/>
      <c r="C84" s="4"/>
      <c r="D84" s="4"/>
      <c r="E84" s="4"/>
      <c r="F84" s="4"/>
      <c r="G84" s="5"/>
      <c r="H84" s="48" t="s">
        <v>37</v>
      </c>
      <c r="I84" s="61">
        <f>1-(2*I82)</f>
        <v>3.5954097325959999E-2</v>
      </c>
    </row>
    <row r="85" spans="1:14" ht="12.75" customHeight="1" x14ac:dyDescent="0.25">
      <c r="B85" s="4"/>
      <c r="C85" s="4"/>
      <c r="D85" s="4"/>
      <c r="E85" s="4"/>
      <c r="F85" s="4"/>
      <c r="G85" s="5"/>
      <c r="H85" s="107"/>
      <c r="I85" s="108"/>
    </row>
    <row r="86" spans="1:14" ht="12.75" customHeight="1" x14ac:dyDescent="0.25">
      <c r="B86" s="4"/>
      <c r="C86" s="4"/>
      <c r="D86" s="4"/>
      <c r="E86" s="4"/>
      <c r="F86" s="4"/>
      <c r="G86" s="5"/>
      <c r="H86" s="107"/>
      <c r="I86" s="108"/>
    </row>
    <row r="87" spans="1:14" ht="12.75" customHeight="1" x14ac:dyDescent="0.25"/>
    <row r="88" spans="1:14" ht="12.75" customHeight="1" x14ac:dyDescent="0.25"/>
    <row r="89" spans="1:14" ht="23.55" customHeight="1" x14ac:dyDescent="0.25">
      <c r="A89" s="252" t="s">
        <v>113</v>
      </c>
      <c r="B89" s="252"/>
      <c r="C89" s="252"/>
      <c r="D89" s="252"/>
      <c r="E89" s="252"/>
      <c r="F89" s="252"/>
    </row>
    <row r="90" spans="1:14" ht="12.75" customHeight="1" x14ac:dyDescent="0.25">
      <c r="D90" s="1"/>
    </row>
    <row r="91" spans="1:14" ht="12.75" customHeight="1" x14ac:dyDescent="0.25"/>
    <row r="92" spans="1:14" ht="16.2" thickBot="1" x14ac:dyDescent="0.35">
      <c r="B92" s="256" t="s">
        <v>99</v>
      </c>
      <c r="C92" s="256"/>
      <c r="D92" s="256"/>
      <c r="E92" s="256"/>
      <c r="F92" s="256"/>
      <c r="G92" s="256"/>
      <c r="H92" s="256"/>
      <c r="I92" s="256"/>
    </row>
    <row r="93" spans="1:14" ht="27" thickBot="1" x14ac:dyDescent="0.3">
      <c r="A93" s="8"/>
      <c r="B93" s="36" t="s">
        <v>19</v>
      </c>
      <c r="C93" s="37" t="s">
        <v>42</v>
      </c>
      <c r="D93" s="37" t="s">
        <v>44</v>
      </c>
      <c r="E93" s="37" t="s">
        <v>27</v>
      </c>
      <c r="F93" s="37" t="s">
        <v>21</v>
      </c>
      <c r="G93" s="37" t="s">
        <v>28</v>
      </c>
      <c r="H93" s="37" t="s">
        <v>117</v>
      </c>
      <c r="I93" s="37" t="s">
        <v>20</v>
      </c>
      <c r="J93" s="8"/>
      <c r="K93" s="8"/>
      <c r="L93" s="8"/>
      <c r="M93" s="8"/>
      <c r="N93" s="8"/>
    </row>
    <row r="94" spans="1:14" ht="12.75" customHeight="1" x14ac:dyDescent="0.25">
      <c r="B94" s="4"/>
      <c r="C94" s="26">
        <v>0</v>
      </c>
      <c r="D94" s="26">
        <v>0</v>
      </c>
      <c r="E94" s="49">
        <v>0</v>
      </c>
      <c r="F94" s="49">
        <v>0</v>
      </c>
      <c r="G94" s="49">
        <v>0</v>
      </c>
      <c r="H94" s="50">
        <f>F94</f>
        <v>0</v>
      </c>
      <c r="I94" s="49">
        <v>0</v>
      </c>
    </row>
    <row r="95" spans="1:14" ht="12.75" customHeight="1" x14ac:dyDescent="0.25">
      <c r="B95" s="82" t="s">
        <v>2</v>
      </c>
      <c r="C95" s="29">
        <v>2.5183118413223982</v>
      </c>
      <c r="D95" s="29">
        <v>33738.127951375733</v>
      </c>
      <c r="E95" s="49">
        <f t="shared" ref="E95:E105" si="21">C95/$C$106</f>
        <v>1.2244961028881811E-3</v>
      </c>
      <c r="F95" s="49">
        <f t="shared" ref="F95:F105" si="22">D95/$D$106</f>
        <v>6.1580410728501248E-2</v>
      </c>
      <c r="G95" s="49">
        <f t="shared" ref="G95:G105" si="23">G94+E95</f>
        <v>1.2244961028881811E-3</v>
      </c>
      <c r="H95" s="50">
        <f t="shared" ref="H95:H105" si="24">F95+H94</f>
        <v>6.1580410728501248E-2</v>
      </c>
      <c r="I95" s="49">
        <f t="shared" ref="I95:I105" si="25">(G94+G95)*0.5*(H95-H94)</f>
        <v>3.7702486475651658E-5</v>
      </c>
    </row>
    <row r="96" spans="1:14" ht="12.75" customHeight="1" x14ac:dyDescent="0.25">
      <c r="B96" s="82" t="s">
        <v>3</v>
      </c>
      <c r="C96" s="29">
        <v>12.211567510036925</v>
      </c>
      <c r="D96" s="29">
        <v>4739.5256339269945</v>
      </c>
      <c r="E96" s="49">
        <f t="shared" si="21"/>
        <v>5.9377145359186811E-3</v>
      </c>
      <c r="F96" s="49">
        <f t="shared" si="22"/>
        <v>8.6508040877704764E-3</v>
      </c>
      <c r="G96" s="49">
        <f t="shared" si="23"/>
        <v>7.162210638806862E-3</v>
      </c>
      <c r="H96" s="50">
        <f t="shared" si="24"/>
        <v>7.0231214816271731E-2</v>
      </c>
      <c r="I96" s="49">
        <f t="shared" si="25"/>
        <v>3.6275878481993876E-5</v>
      </c>
    </row>
    <row r="97" spans="2:9" ht="12.75" customHeight="1" x14ac:dyDescent="0.25">
      <c r="B97" s="82" t="s">
        <v>1</v>
      </c>
      <c r="C97" s="29">
        <v>16.119568257640697</v>
      </c>
      <c r="D97" s="29">
        <v>7498.2226388555227</v>
      </c>
      <c r="E97" s="49">
        <f t="shared" si="21"/>
        <v>7.8379286424496968E-3</v>
      </c>
      <c r="F97" s="49">
        <f t="shared" si="22"/>
        <v>1.3686107021111144E-2</v>
      </c>
      <c r="G97" s="49">
        <f t="shared" si="23"/>
        <v>1.5000139281256559E-2</v>
      </c>
      <c r="H97" s="50">
        <f t="shared" si="24"/>
        <v>8.3917321837382874E-2</v>
      </c>
      <c r="I97" s="49">
        <f t="shared" si="25"/>
        <v>1.5165814642265099E-4</v>
      </c>
    </row>
    <row r="98" spans="2:9" ht="12.75" customHeight="1" x14ac:dyDescent="0.25">
      <c r="B98" s="111" t="s">
        <v>6</v>
      </c>
      <c r="C98" s="29">
        <v>25.568969407520573</v>
      </c>
      <c r="D98" s="29">
        <v>12709.055149886017</v>
      </c>
      <c r="E98" s="49">
        <f t="shared" si="21"/>
        <v>1.2432576014071097E-2</v>
      </c>
      <c r="F98" s="49">
        <f t="shared" si="22"/>
        <v>2.3197162487174745E-2</v>
      </c>
      <c r="G98" s="49">
        <f t="shared" si="23"/>
        <v>2.7432715295327655E-2</v>
      </c>
      <c r="H98" s="50">
        <f t="shared" si="24"/>
        <v>0.10711448432455761</v>
      </c>
      <c r="I98" s="49">
        <f t="shared" si="25"/>
        <v>4.921609112038402E-4</v>
      </c>
    </row>
    <row r="99" spans="2:9" ht="12.75" customHeight="1" x14ac:dyDescent="0.25">
      <c r="B99" s="82" t="s">
        <v>195</v>
      </c>
      <c r="C99" s="29">
        <v>26.253813751823277</v>
      </c>
      <c r="D99" s="29">
        <v>4549.0211045835586</v>
      </c>
      <c r="E99" s="49">
        <f t="shared" si="21"/>
        <v>1.2765572594130586E-2</v>
      </c>
      <c r="F99" s="49">
        <f t="shared" si="22"/>
        <v>8.3030863015460567E-3</v>
      </c>
      <c r="G99" s="49">
        <f t="shared" si="23"/>
        <v>4.0198287889458242E-2</v>
      </c>
      <c r="H99" s="50">
        <f t="shared" si="24"/>
        <v>0.11541757062610367</v>
      </c>
      <c r="I99" s="49">
        <f t="shared" si="25"/>
        <v>2.8077302805170669E-4</v>
      </c>
    </row>
    <row r="100" spans="2:9" ht="12.75" customHeight="1" x14ac:dyDescent="0.25">
      <c r="B100" s="82" t="s">
        <v>5</v>
      </c>
      <c r="C100" s="29">
        <v>76.989228247043215</v>
      </c>
      <c r="D100" s="29">
        <v>34543.134541376516</v>
      </c>
      <c r="E100" s="49">
        <f t="shared" si="21"/>
        <v>3.7435002451233004E-2</v>
      </c>
      <c r="F100" s="49">
        <f t="shared" si="22"/>
        <v>6.3049746446323052E-2</v>
      </c>
      <c r="G100" s="49">
        <f t="shared" si="23"/>
        <v>7.7633290340691247E-2</v>
      </c>
      <c r="H100" s="50">
        <f t="shared" si="24"/>
        <v>0.17846731707242672</v>
      </c>
      <c r="I100" s="49">
        <f t="shared" si="25"/>
        <v>3.7146255653905023E-3</v>
      </c>
    </row>
    <row r="101" spans="2:9" ht="12.75" customHeight="1" x14ac:dyDescent="0.25">
      <c r="B101" s="82" t="s">
        <v>9</v>
      </c>
      <c r="C101" s="29">
        <v>157.50468272422137</v>
      </c>
      <c r="D101" s="29">
        <v>43226.930239887697</v>
      </c>
      <c r="E101" s="49">
        <f t="shared" si="21"/>
        <v>7.6584586157198528E-2</v>
      </c>
      <c r="F101" s="49">
        <f t="shared" si="22"/>
        <v>7.8899816923481969E-2</v>
      </c>
      <c r="G101" s="49">
        <f t="shared" si="23"/>
        <v>0.15421787649788976</v>
      </c>
      <c r="H101" s="50">
        <f t="shared" si="24"/>
        <v>0.25736713399590871</v>
      </c>
      <c r="I101" s="49">
        <f t="shared" si="25"/>
        <v>9.1465073085298613E-3</v>
      </c>
    </row>
    <row r="102" spans="2:9" ht="12.75" customHeight="1" x14ac:dyDescent="0.25">
      <c r="B102" s="111" t="s">
        <v>10</v>
      </c>
      <c r="C102" s="29">
        <v>320.97337292558882</v>
      </c>
      <c r="D102" s="29">
        <v>69411.089457609574</v>
      </c>
      <c r="E102" s="49">
        <f t="shared" si="21"/>
        <v>0.15606909272676606</v>
      </c>
      <c r="F102" s="49">
        <f t="shared" si="22"/>
        <v>0.12669237024865945</v>
      </c>
      <c r="G102" s="49">
        <f t="shared" si="23"/>
        <v>0.31028696922465582</v>
      </c>
      <c r="H102" s="50">
        <f t="shared" si="24"/>
        <v>0.38405950424456814</v>
      </c>
      <c r="I102" s="49">
        <f t="shared" si="25"/>
        <v>2.9424609948288584E-2</v>
      </c>
    </row>
    <row r="103" spans="2:9" ht="12.75" customHeight="1" x14ac:dyDescent="0.25">
      <c r="B103" s="82" t="s">
        <v>7</v>
      </c>
      <c r="C103" s="29">
        <v>338.1638706235197</v>
      </c>
      <c r="D103" s="29">
        <v>179268.67227891536</v>
      </c>
      <c r="E103" s="49">
        <f t="shared" si="21"/>
        <v>0.16442774676334126</v>
      </c>
      <c r="F103" s="49">
        <f t="shared" si="22"/>
        <v>0.327209573856588</v>
      </c>
      <c r="G103" s="49">
        <f t="shared" si="23"/>
        <v>0.47471471598799708</v>
      </c>
      <c r="H103" s="50">
        <f t="shared" si="24"/>
        <v>0.71126907810115614</v>
      </c>
      <c r="I103" s="49">
        <f t="shared" si="25"/>
        <v>0.12843003344756779</v>
      </c>
    </row>
    <row r="104" spans="2:9" ht="12.75" customHeight="1" x14ac:dyDescent="0.25">
      <c r="B104" s="82" t="s">
        <v>4</v>
      </c>
      <c r="C104" s="29">
        <v>441.00564598635611</v>
      </c>
      <c r="D104" s="29">
        <v>149774.72401466093</v>
      </c>
      <c r="E104" s="49">
        <f t="shared" si="21"/>
        <v>0.21443321116991285</v>
      </c>
      <c r="F104" s="49">
        <f t="shared" si="22"/>
        <v>0.273375838602054</v>
      </c>
      <c r="G104" s="49">
        <f t="shared" si="23"/>
        <v>0.68914792715790996</v>
      </c>
      <c r="H104" s="50">
        <f t="shared" si="24"/>
        <v>0.98464491670321008</v>
      </c>
      <c r="I104" s="49">
        <f t="shared" si="25"/>
        <v>0.1590859630438077</v>
      </c>
    </row>
    <row r="105" spans="2:9" ht="12.75" customHeight="1" thickBot="1" x14ac:dyDescent="0.3">
      <c r="B105" s="86" t="s">
        <v>8</v>
      </c>
      <c r="C105" s="32">
        <v>639.30171283634877</v>
      </c>
      <c r="D105" s="32">
        <v>8412.6065227973904</v>
      </c>
      <c r="E105" s="51">
        <f t="shared" si="21"/>
        <v>0.3108520728420901</v>
      </c>
      <c r="F105" s="51">
        <f t="shared" si="22"/>
        <v>1.5355083296789959E-2</v>
      </c>
      <c r="G105" s="51">
        <f t="shared" si="23"/>
        <v>1</v>
      </c>
      <c r="H105" s="52">
        <f t="shared" si="24"/>
        <v>1</v>
      </c>
      <c r="I105" s="51">
        <f t="shared" si="25"/>
        <v>1.2968503561054869E-2</v>
      </c>
    </row>
    <row r="106" spans="2:9" ht="12.75" customHeight="1" thickBot="1" x14ac:dyDescent="0.3">
      <c r="B106" s="38" t="s">
        <v>12</v>
      </c>
      <c r="C106" s="32">
        <f>SUM(C95:C105)</f>
        <v>2056.6107441114218</v>
      </c>
      <c r="D106" s="32">
        <f>SUM(D94:D105)</f>
        <v>547871.10953387525</v>
      </c>
      <c r="E106" s="39">
        <f>SUM(E95:E105)</f>
        <v>1</v>
      </c>
      <c r="F106" s="33">
        <f>SUM(F95:F105)</f>
        <v>1</v>
      </c>
      <c r="G106" s="40"/>
      <c r="H106" s="40"/>
      <c r="I106" s="51">
        <f>SUM(I94:I105)</f>
        <v>0.34376881332527515</v>
      </c>
    </row>
    <row r="107" spans="2:9" ht="12.75" customHeight="1" thickBot="1" x14ac:dyDescent="0.3">
      <c r="B107" s="4"/>
      <c r="C107" s="4"/>
      <c r="D107" s="4"/>
      <c r="E107" s="4"/>
      <c r="F107" s="4"/>
      <c r="G107" s="4"/>
      <c r="H107" s="7"/>
      <c r="I107" s="53"/>
    </row>
    <row r="108" spans="2:9" ht="12.75" customHeight="1" thickBot="1" x14ac:dyDescent="0.3">
      <c r="B108" s="4"/>
      <c r="C108" s="4"/>
      <c r="D108" s="4"/>
      <c r="E108" s="4"/>
      <c r="F108" s="4"/>
      <c r="G108" s="5"/>
      <c r="H108" s="24" t="s">
        <v>29</v>
      </c>
      <c r="I108" s="52">
        <f>1-(2*I106)</f>
        <v>0.31246237334944971</v>
      </c>
    </row>
    <row r="109" spans="2:9" ht="12.75" customHeight="1" x14ac:dyDescent="0.25"/>
    <row r="110" spans="2:9" ht="12.75" customHeight="1" x14ac:dyDescent="0.25"/>
    <row r="111" spans="2:9" ht="12.75" customHeight="1" x14ac:dyDescent="0.25"/>
    <row r="112" spans="2:9" ht="12.75" customHeight="1" x14ac:dyDescent="0.25"/>
    <row r="113" spans="1:14" ht="16.2" thickBot="1" x14ac:dyDescent="0.35">
      <c r="B113" s="256" t="s">
        <v>100</v>
      </c>
      <c r="C113" s="256"/>
      <c r="D113" s="256"/>
      <c r="E113" s="256"/>
      <c r="F113" s="256"/>
      <c r="G113" s="256"/>
      <c r="H113" s="256"/>
      <c r="I113" s="256"/>
    </row>
    <row r="114" spans="1:14" ht="27" thickBot="1" x14ac:dyDescent="0.3">
      <c r="A114" s="8"/>
      <c r="B114" s="30" t="s">
        <v>19</v>
      </c>
      <c r="C114" s="31" t="s">
        <v>43</v>
      </c>
      <c r="D114" s="31" t="s">
        <v>44</v>
      </c>
      <c r="E114" s="31" t="s">
        <v>31</v>
      </c>
      <c r="F114" s="31" t="s">
        <v>21</v>
      </c>
      <c r="G114" s="31" t="s">
        <v>32</v>
      </c>
      <c r="H114" s="31" t="s">
        <v>117</v>
      </c>
      <c r="I114" s="31" t="s">
        <v>20</v>
      </c>
      <c r="J114" s="8"/>
      <c r="K114" s="8"/>
      <c r="L114" s="8"/>
      <c r="M114" s="8"/>
      <c r="N114" s="8"/>
    </row>
    <row r="115" spans="1:14" ht="12.75" customHeight="1" x14ac:dyDescent="0.25">
      <c r="B115" s="4"/>
      <c r="C115" s="26">
        <v>0</v>
      </c>
      <c r="D115" s="26">
        <v>0</v>
      </c>
      <c r="E115" s="49">
        <f t="shared" ref="E115:E126" si="26">C115/$C$127</f>
        <v>0</v>
      </c>
      <c r="F115" s="49">
        <v>0</v>
      </c>
      <c r="G115" s="49">
        <v>0</v>
      </c>
      <c r="H115" s="50">
        <f>F115</f>
        <v>0</v>
      </c>
      <c r="I115" s="49">
        <v>0</v>
      </c>
    </row>
    <row r="116" spans="1:14" ht="12.75" customHeight="1" x14ac:dyDescent="0.25">
      <c r="B116" s="82" t="s">
        <v>3</v>
      </c>
      <c r="C116" s="29">
        <v>12.430383918221033</v>
      </c>
      <c r="D116" s="29">
        <v>4739.5256339269945</v>
      </c>
      <c r="E116" s="49">
        <f t="shared" si="26"/>
        <v>5.765430583763765E-3</v>
      </c>
      <c r="F116" s="49">
        <f t="shared" ref="F116:F126" si="27">D116/$D$127</f>
        <v>8.6508040877704764E-3</v>
      </c>
      <c r="G116" s="49">
        <f t="shared" ref="G116:G126" si="28">G115+E116</f>
        <v>5.765430583763765E-3</v>
      </c>
      <c r="H116" s="50">
        <f t="shared" ref="H116:H126" si="29">F116+H115</f>
        <v>8.6508040877704764E-3</v>
      </c>
      <c r="I116" s="49">
        <f t="shared" ref="I116:I126" si="30">(G115+G116)*0.5*(H116-H115)</f>
        <v>2.4937805230890252E-5</v>
      </c>
    </row>
    <row r="117" spans="1:14" ht="12.75" customHeight="1" x14ac:dyDescent="0.25">
      <c r="B117" s="82" t="s">
        <v>1</v>
      </c>
      <c r="C117" s="29">
        <v>14.87970566394463</v>
      </c>
      <c r="D117" s="29">
        <v>7498.2226388555227</v>
      </c>
      <c r="E117" s="49">
        <f t="shared" si="26"/>
        <v>6.901469067786185E-3</v>
      </c>
      <c r="F117" s="49">
        <f t="shared" si="27"/>
        <v>1.3686107021111144E-2</v>
      </c>
      <c r="G117" s="49">
        <f t="shared" si="28"/>
        <v>1.266689965154995E-2</v>
      </c>
      <c r="H117" s="50">
        <f t="shared" si="29"/>
        <v>2.233691110888162E-2</v>
      </c>
      <c r="I117" s="49">
        <f t="shared" si="30"/>
        <v>1.2613342212448313E-4</v>
      </c>
    </row>
    <row r="118" spans="1:14" ht="12.75" customHeight="1" x14ac:dyDescent="0.25">
      <c r="B118" s="111" t="s">
        <v>6</v>
      </c>
      <c r="C118" s="29">
        <v>21.778950457619164</v>
      </c>
      <c r="D118" s="29">
        <v>12709.055149886017</v>
      </c>
      <c r="E118" s="49">
        <f t="shared" si="26"/>
        <v>1.0101460089786475E-2</v>
      </c>
      <c r="F118" s="49">
        <f t="shared" si="27"/>
        <v>2.3197162487174745E-2</v>
      </c>
      <c r="G118" s="49">
        <f t="shared" si="28"/>
        <v>2.2768359741336425E-2</v>
      </c>
      <c r="H118" s="50">
        <f t="shared" si="29"/>
        <v>4.5534073596056365E-2</v>
      </c>
      <c r="I118" s="49">
        <f t="shared" si="30"/>
        <v>4.1099873495598516E-4</v>
      </c>
    </row>
    <row r="119" spans="1:14" ht="12.75" customHeight="1" x14ac:dyDescent="0.25">
      <c r="B119" s="82" t="s">
        <v>195</v>
      </c>
      <c r="C119" s="29">
        <v>26.487263324145417</v>
      </c>
      <c r="D119" s="29">
        <v>4549.0211045835586</v>
      </c>
      <c r="E119" s="49">
        <f t="shared" si="26"/>
        <v>1.2285258368036581E-2</v>
      </c>
      <c r="F119" s="49">
        <f t="shared" si="27"/>
        <v>8.3030863015460567E-3</v>
      </c>
      <c r="G119" s="49">
        <f t="shared" si="28"/>
        <v>3.5053618109373005E-2</v>
      </c>
      <c r="H119" s="50">
        <f t="shared" si="29"/>
        <v>5.3837159897602418E-2</v>
      </c>
      <c r="I119" s="49">
        <f t="shared" si="30"/>
        <v>2.4005043611026239E-4</v>
      </c>
    </row>
    <row r="120" spans="1:14" ht="12.75" customHeight="1" x14ac:dyDescent="0.25">
      <c r="B120" s="82" t="s">
        <v>2</v>
      </c>
      <c r="C120" s="29">
        <v>57.406515877545473</v>
      </c>
      <c r="D120" s="29">
        <v>33738.127951375733</v>
      </c>
      <c r="E120" s="49">
        <f t="shared" si="26"/>
        <v>2.6626151253668431E-2</v>
      </c>
      <c r="F120" s="49">
        <f t="shared" si="27"/>
        <v>6.1580410728501248E-2</v>
      </c>
      <c r="G120" s="49">
        <f t="shared" si="28"/>
        <v>6.167976936304144E-2</v>
      </c>
      <c r="H120" s="50">
        <f t="shared" si="29"/>
        <v>0.11541757062610367</v>
      </c>
      <c r="I120" s="49">
        <f t="shared" si="30"/>
        <v>2.9784408658552692E-3</v>
      </c>
    </row>
    <row r="121" spans="1:14" ht="12.75" customHeight="1" x14ac:dyDescent="0.25">
      <c r="B121" s="82" t="s">
        <v>5</v>
      </c>
      <c r="C121" s="29">
        <v>61.088307514794813</v>
      </c>
      <c r="D121" s="29">
        <v>34543.134541376516</v>
      </c>
      <c r="E121" s="49">
        <f t="shared" si="26"/>
        <v>2.8333830939838649E-2</v>
      </c>
      <c r="F121" s="49">
        <f t="shared" si="27"/>
        <v>6.3049746446323052E-2</v>
      </c>
      <c r="G121" s="49">
        <f t="shared" si="28"/>
        <v>9.0013600302880081E-2</v>
      </c>
      <c r="H121" s="50">
        <f t="shared" si="29"/>
        <v>0.17846731707242672</v>
      </c>
      <c r="I121" s="49">
        <f t="shared" si="30"/>
        <v>4.7821142475123514E-3</v>
      </c>
    </row>
    <row r="122" spans="1:14" ht="12.75" customHeight="1" x14ac:dyDescent="0.25">
      <c r="B122" s="82" t="s">
        <v>9</v>
      </c>
      <c r="C122" s="29">
        <v>122.25690376263047</v>
      </c>
      <c r="D122" s="29">
        <v>43226.930239887697</v>
      </c>
      <c r="E122" s="49">
        <f t="shared" si="26"/>
        <v>5.6704901205513948E-2</v>
      </c>
      <c r="F122" s="49">
        <f t="shared" si="27"/>
        <v>7.8899816923481969E-2</v>
      </c>
      <c r="G122" s="49">
        <f t="shared" si="28"/>
        <v>0.14671850150839402</v>
      </c>
      <c r="H122" s="50">
        <f t="shared" si="29"/>
        <v>0.25736713399590871</v>
      </c>
      <c r="I122" s="49">
        <f t="shared" si="30"/>
        <v>9.339059746410314E-3</v>
      </c>
    </row>
    <row r="123" spans="1:14" ht="12.75" customHeight="1" x14ac:dyDescent="0.25">
      <c r="B123" s="111" t="s">
        <v>10</v>
      </c>
      <c r="C123" s="29">
        <v>302.83700707899817</v>
      </c>
      <c r="D123" s="29">
        <v>69411.089457609574</v>
      </c>
      <c r="E123" s="49">
        <f t="shared" si="26"/>
        <v>0.14046112766874344</v>
      </c>
      <c r="F123" s="49">
        <f t="shared" si="27"/>
        <v>0.12669237024865945</v>
      </c>
      <c r="G123" s="49">
        <f t="shared" si="28"/>
        <v>0.28717962917713746</v>
      </c>
      <c r="H123" s="50">
        <f t="shared" si="29"/>
        <v>0.38405950424456814</v>
      </c>
      <c r="I123" s="49">
        <f t="shared" si="30"/>
        <v>2.7485791311506285E-2</v>
      </c>
    </row>
    <row r="124" spans="1:14" ht="12.75" customHeight="1" x14ac:dyDescent="0.25">
      <c r="B124" s="82" t="s">
        <v>4</v>
      </c>
      <c r="C124" s="29">
        <v>377.49670014536434</v>
      </c>
      <c r="D124" s="29">
        <v>149774.72401466093</v>
      </c>
      <c r="E124" s="49">
        <f t="shared" si="26"/>
        <v>0.17508960580836683</v>
      </c>
      <c r="F124" s="49">
        <f t="shared" si="27"/>
        <v>0.273375838602054</v>
      </c>
      <c r="G124" s="49">
        <f t="shared" si="28"/>
        <v>0.46226923498550432</v>
      </c>
      <c r="H124" s="50">
        <f t="shared" si="29"/>
        <v>0.65743534284662219</v>
      </c>
      <c r="I124" s="49">
        <f t="shared" si="30"/>
        <v>0.10244060586490955</v>
      </c>
    </row>
    <row r="125" spans="1:14" ht="12.75" customHeight="1" x14ac:dyDescent="0.25">
      <c r="B125" s="82" t="s">
        <v>7</v>
      </c>
      <c r="C125" s="29">
        <v>400.68179774902404</v>
      </c>
      <c r="D125" s="29">
        <v>179268.67227891536</v>
      </c>
      <c r="E125" s="49">
        <f t="shared" si="26"/>
        <v>0.18584326166414011</v>
      </c>
      <c r="F125" s="49">
        <f t="shared" si="27"/>
        <v>0.327209573856588</v>
      </c>
      <c r="G125" s="49">
        <f t="shared" si="28"/>
        <v>0.64811249664964443</v>
      </c>
      <c r="H125" s="50">
        <f t="shared" si="29"/>
        <v>0.98464491670321019</v>
      </c>
      <c r="I125" s="49">
        <f t="shared" si="30"/>
        <v>0.18166376661323863</v>
      </c>
    </row>
    <row r="126" spans="1:14" ht="12.75" customHeight="1" thickBot="1" x14ac:dyDescent="0.3">
      <c r="B126" s="86" t="s">
        <v>8</v>
      </c>
      <c r="C126" s="32">
        <v>758.67651151455357</v>
      </c>
      <c r="D126" s="32">
        <v>8412.6065227973904</v>
      </c>
      <c r="E126" s="51">
        <f t="shared" si="26"/>
        <v>0.35188750335035557</v>
      </c>
      <c r="F126" s="51">
        <f t="shared" si="27"/>
        <v>1.5355083296789959E-2</v>
      </c>
      <c r="G126" s="51">
        <f t="shared" si="28"/>
        <v>1</v>
      </c>
      <c r="H126" s="52">
        <f t="shared" si="29"/>
        <v>1.0000000000000002</v>
      </c>
      <c r="I126" s="51">
        <f t="shared" si="30"/>
        <v>1.2653452334267934E-2</v>
      </c>
    </row>
    <row r="127" spans="1:14" ht="12.75" customHeight="1" thickBot="1" x14ac:dyDescent="0.3">
      <c r="B127" s="38" t="s">
        <v>12</v>
      </c>
      <c r="C127" s="32">
        <f>SUM(C115:C126)</f>
        <v>2156.0200470068412</v>
      </c>
      <c r="D127" s="32">
        <f>SUM(D115:D126)</f>
        <v>547871.10953387525</v>
      </c>
      <c r="E127" s="51">
        <f>SUM(E116:E126)</f>
        <v>1</v>
      </c>
      <c r="F127" s="51">
        <f>SUM(F116:F126)</f>
        <v>1.0000000000000002</v>
      </c>
      <c r="G127" s="52"/>
      <c r="H127" s="52"/>
      <c r="I127" s="51">
        <f>SUM(I115:I126)</f>
        <v>0.34214535138212199</v>
      </c>
    </row>
    <row r="128" spans="1:14" ht="12.75" customHeight="1" thickBot="1" x14ac:dyDescent="0.3">
      <c r="B128" s="4"/>
      <c r="C128" s="4"/>
      <c r="D128" s="4"/>
      <c r="E128" s="50"/>
      <c r="F128" s="50"/>
      <c r="G128" s="50"/>
      <c r="H128" s="53"/>
      <c r="I128" s="53"/>
    </row>
    <row r="129" spans="1:14" ht="12.75" customHeight="1" thickBot="1" x14ac:dyDescent="0.3">
      <c r="B129" s="4"/>
      <c r="C129" s="4"/>
      <c r="D129" s="4"/>
      <c r="E129" s="50"/>
      <c r="F129" s="50"/>
      <c r="G129" s="55"/>
      <c r="H129" s="56" t="s">
        <v>29</v>
      </c>
      <c r="I129" s="52">
        <f>1-(2*I127)</f>
        <v>0.31570929723575603</v>
      </c>
    </row>
    <row r="130" spans="1:14" ht="12.75" customHeight="1" x14ac:dyDescent="0.25"/>
    <row r="131" spans="1:14" ht="12.75" customHeight="1" x14ac:dyDescent="0.25"/>
    <row r="132" spans="1:14" ht="12.75" customHeight="1" x14ac:dyDescent="0.25"/>
    <row r="133" spans="1:14" ht="12.75" customHeight="1" x14ac:dyDescent="0.25"/>
    <row r="134" spans="1:14" ht="16.2" thickBot="1" x14ac:dyDescent="0.35">
      <c r="B134" s="256" t="s">
        <v>105</v>
      </c>
      <c r="C134" s="256"/>
      <c r="D134" s="256"/>
      <c r="E134" s="256"/>
      <c r="F134" s="256"/>
      <c r="G134" s="256"/>
      <c r="H134" s="256"/>
      <c r="I134" s="256"/>
    </row>
    <row r="135" spans="1:14" ht="27" thickBot="1" x14ac:dyDescent="0.3">
      <c r="A135" s="8"/>
      <c r="B135" s="30" t="s">
        <v>19</v>
      </c>
      <c r="C135" s="31" t="s">
        <v>38</v>
      </c>
      <c r="D135" s="31" t="s">
        <v>34</v>
      </c>
      <c r="E135" s="31" t="s">
        <v>15</v>
      </c>
      <c r="F135" s="31" t="s">
        <v>21</v>
      </c>
      <c r="G135" s="31" t="s">
        <v>17</v>
      </c>
      <c r="H135" s="31" t="s">
        <v>117</v>
      </c>
      <c r="I135" s="31" t="s">
        <v>20</v>
      </c>
      <c r="J135" s="8"/>
      <c r="K135" s="8"/>
      <c r="L135" s="8"/>
      <c r="M135" s="8"/>
      <c r="N135" s="8"/>
    </row>
    <row r="136" spans="1:14" ht="12.75" customHeight="1" x14ac:dyDescent="0.25">
      <c r="B136" s="4"/>
      <c r="C136" s="26">
        <v>0</v>
      </c>
      <c r="D136" s="26">
        <v>0</v>
      </c>
      <c r="E136" s="49">
        <v>0</v>
      </c>
      <c r="F136" s="49">
        <v>0</v>
      </c>
      <c r="G136" s="49">
        <v>0</v>
      </c>
      <c r="H136" s="50">
        <f>F136</f>
        <v>0</v>
      </c>
      <c r="I136" s="49">
        <v>0</v>
      </c>
    </row>
    <row r="137" spans="1:14" ht="12.75" customHeight="1" x14ac:dyDescent="0.25">
      <c r="B137" s="82" t="s">
        <v>2</v>
      </c>
      <c r="C137" s="29">
        <v>0</v>
      </c>
      <c r="D137" s="29">
        <v>33738.127951375733</v>
      </c>
      <c r="E137" s="49">
        <f t="shared" ref="E137:E147" si="31">C137/$C$148</f>
        <v>0</v>
      </c>
      <c r="F137" s="49">
        <f t="shared" ref="F137:F147" si="32">D137/$D$148</f>
        <v>6.1580410728501248E-2</v>
      </c>
      <c r="G137" s="49">
        <f t="shared" ref="G137:G147" si="33">G136+E137</f>
        <v>0</v>
      </c>
      <c r="H137" s="50">
        <f t="shared" ref="H137:H147" si="34">F137+H136</f>
        <v>6.1580410728501248E-2</v>
      </c>
      <c r="I137" s="49">
        <f t="shared" ref="I137:I147" si="35">(G136+G137)*0.5*(H137-H136)</f>
        <v>0</v>
      </c>
    </row>
    <row r="138" spans="1:14" ht="12.75" customHeight="1" x14ac:dyDescent="0.25">
      <c r="B138" s="82" t="s">
        <v>3</v>
      </c>
      <c r="C138" s="29">
        <v>0</v>
      </c>
      <c r="D138" s="29">
        <v>4739.5256339269945</v>
      </c>
      <c r="E138" s="49">
        <f t="shared" si="31"/>
        <v>0</v>
      </c>
      <c r="F138" s="49">
        <f t="shared" si="32"/>
        <v>8.6508040877704764E-3</v>
      </c>
      <c r="G138" s="49">
        <f t="shared" si="33"/>
        <v>0</v>
      </c>
      <c r="H138" s="50">
        <f t="shared" si="34"/>
        <v>7.0231214816271731E-2</v>
      </c>
      <c r="I138" s="49">
        <f t="shared" si="35"/>
        <v>0</v>
      </c>
    </row>
    <row r="139" spans="1:14" ht="12.75" customHeight="1" x14ac:dyDescent="0.25">
      <c r="B139" s="82" t="s">
        <v>7</v>
      </c>
      <c r="C139" s="29">
        <v>0</v>
      </c>
      <c r="D139" s="29">
        <v>179268.67227891536</v>
      </c>
      <c r="E139" s="49">
        <f t="shared" si="31"/>
        <v>0</v>
      </c>
      <c r="F139" s="49">
        <f t="shared" si="32"/>
        <v>0.327209573856588</v>
      </c>
      <c r="G139" s="49">
        <f t="shared" si="33"/>
        <v>0</v>
      </c>
      <c r="H139" s="50">
        <f t="shared" si="34"/>
        <v>0.3974407886728597</v>
      </c>
      <c r="I139" s="49">
        <f t="shared" si="35"/>
        <v>0</v>
      </c>
    </row>
    <row r="140" spans="1:14" ht="12.75" customHeight="1" x14ac:dyDescent="0.25">
      <c r="B140" s="82" t="s">
        <v>8</v>
      </c>
      <c r="C140" s="29">
        <v>0</v>
      </c>
      <c r="D140" s="29">
        <v>8412.6065227973904</v>
      </c>
      <c r="E140" s="49">
        <f t="shared" si="31"/>
        <v>0</v>
      </c>
      <c r="F140" s="49">
        <f t="shared" si="32"/>
        <v>1.5355083296789959E-2</v>
      </c>
      <c r="G140" s="49">
        <f t="shared" si="33"/>
        <v>0</v>
      </c>
      <c r="H140" s="50">
        <f t="shared" si="34"/>
        <v>0.41279587196964967</v>
      </c>
      <c r="I140" s="49">
        <f t="shared" si="35"/>
        <v>0</v>
      </c>
    </row>
    <row r="141" spans="1:14" ht="12.75" customHeight="1" x14ac:dyDescent="0.25">
      <c r="B141" s="82" t="s">
        <v>195</v>
      </c>
      <c r="C141" s="29">
        <v>3.8418556888470429E-2</v>
      </c>
      <c r="D141" s="29">
        <v>4549.0211045835586</v>
      </c>
      <c r="E141" s="49">
        <f t="shared" si="31"/>
        <v>2.5380223793664534E-4</v>
      </c>
      <c r="F141" s="49">
        <f t="shared" si="32"/>
        <v>8.3030863015460567E-3</v>
      </c>
      <c r="G141" s="49">
        <f t="shared" si="33"/>
        <v>2.5380223793664534E-4</v>
      </c>
      <c r="H141" s="50">
        <f t="shared" si="34"/>
        <v>0.42109895827119576</v>
      </c>
      <c r="I141" s="49">
        <f t="shared" si="35"/>
        <v>1.0536709425567495E-6</v>
      </c>
    </row>
    <row r="142" spans="1:14" ht="12.75" customHeight="1" x14ac:dyDescent="0.25">
      <c r="B142" s="82" t="s">
        <v>1</v>
      </c>
      <c r="C142" s="29">
        <v>1.2659744256775787</v>
      </c>
      <c r="D142" s="29">
        <v>7498.2226388555227</v>
      </c>
      <c r="E142" s="49">
        <f t="shared" si="31"/>
        <v>8.3633319007865806E-3</v>
      </c>
      <c r="F142" s="49">
        <f t="shared" si="32"/>
        <v>1.3686107021111144E-2</v>
      </c>
      <c r="G142" s="49">
        <f t="shared" si="33"/>
        <v>8.6171341387232259E-3</v>
      </c>
      <c r="H142" s="50">
        <f t="shared" si="34"/>
        <v>0.43478506529230687</v>
      </c>
      <c r="I142" s="49">
        <f t="shared" si="35"/>
        <v>6.0704292314217333E-5</v>
      </c>
    </row>
    <row r="143" spans="1:14" ht="12.75" customHeight="1" x14ac:dyDescent="0.25">
      <c r="B143" s="111" t="s">
        <v>6</v>
      </c>
      <c r="C143" s="29">
        <v>3.843941814762962</v>
      </c>
      <c r="D143" s="29">
        <v>12709.055149886017</v>
      </c>
      <c r="E143" s="49">
        <f t="shared" si="31"/>
        <v>2.5394005243801119E-2</v>
      </c>
      <c r="F143" s="49">
        <f t="shared" si="32"/>
        <v>2.3197162487174745E-2</v>
      </c>
      <c r="G143" s="49">
        <f t="shared" si="33"/>
        <v>3.4011139382524341E-2</v>
      </c>
      <c r="H143" s="50">
        <f t="shared" si="34"/>
        <v>0.45798222777948161</v>
      </c>
      <c r="I143" s="49">
        <f t="shared" si="35"/>
        <v>4.9442749371005415E-4</v>
      </c>
    </row>
    <row r="144" spans="1:14" ht="12.75" customHeight="1" x14ac:dyDescent="0.25">
      <c r="B144" s="82" t="s">
        <v>5</v>
      </c>
      <c r="C144" s="29">
        <v>16.824037840124145</v>
      </c>
      <c r="D144" s="29">
        <v>34543.134541376516</v>
      </c>
      <c r="E144" s="49">
        <f t="shared" si="31"/>
        <v>0.1111436451751719</v>
      </c>
      <c r="F144" s="49">
        <f t="shared" si="32"/>
        <v>6.3049746446323052E-2</v>
      </c>
      <c r="G144" s="49">
        <f t="shared" si="33"/>
        <v>0.14515478455769626</v>
      </c>
      <c r="H144" s="50">
        <f t="shared" si="34"/>
        <v>0.52103197422580472</v>
      </c>
      <c r="I144" s="49">
        <f t="shared" si="35"/>
        <v>5.6481830381260598E-3</v>
      </c>
    </row>
    <row r="145" spans="1:14" ht="12.75" customHeight="1" x14ac:dyDescent="0.25">
      <c r="B145" s="111" t="s">
        <v>10</v>
      </c>
      <c r="C145" s="29">
        <v>23.810297901754669</v>
      </c>
      <c r="D145" s="29">
        <v>69411.089457609574</v>
      </c>
      <c r="E145" s="49">
        <f t="shared" si="31"/>
        <v>0.15729656142334458</v>
      </c>
      <c r="F145" s="49">
        <f t="shared" si="32"/>
        <v>0.12669237024865945</v>
      </c>
      <c r="G145" s="49">
        <f t="shared" si="33"/>
        <v>0.30245134598104084</v>
      </c>
      <c r="H145" s="50">
        <f t="shared" si="34"/>
        <v>0.64772434447446414</v>
      </c>
      <c r="I145" s="49">
        <f t="shared" si="35"/>
        <v>2.8354140807891733E-2</v>
      </c>
    </row>
    <row r="146" spans="1:14" ht="12.75" customHeight="1" x14ac:dyDescent="0.25">
      <c r="B146" s="82" t="s">
        <v>9</v>
      </c>
      <c r="C146" s="29">
        <v>41.495772011888072</v>
      </c>
      <c r="D146" s="29">
        <v>43226.930239887697</v>
      </c>
      <c r="E146" s="49">
        <f t="shared" si="31"/>
        <v>0.27413106203077137</v>
      </c>
      <c r="F146" s="49">
        <f t="shared" si="32"/>
        <v>7.8899816923481969E-2</v>
      </c>
      <c r="G146" s="49">
        <f t="shared" si="33"/>
        <v>0.57658240801181226</v>
      </c>
      <c r="H146" s="50">
        <f t="shared" si="34"/>
        <v>0.72662416139794606</v>
      </c>
      <c r="I146" s="49">
        <f t="shared" si="35"/>
        <v>3.4677801129798576E-2</v>
      </c>
    </row>
    <row r="147" spans="1:14" ht="12.75" customHeight="1" thickBot="1" x14ac:dyDescent="0.3">
      <c r="B147" s="86" t="s">
        <v>4</v>
      </c>
      <c r="C147" s="32">
        <v>64.093575287693014</v>
      </c>
      <c r="D147" s="32">
        <v>149774.72401466093</v>
      </c>
      <c r="E147" s="51">
        <f t="shared" si="31"/>
        <v>0.42341759198818785</v>
      </c>
      <c r="F147" s="51">
        <f t="shared" si="32"/>
        <v>0.273375838602054</v>
      </c>
      <c r="G147" s="51">
        <f t="shared" si="33"/>
        <v>1</v>
      </c>
      <c r="H147" s="52">
        <f t="shared" si="34"/>
        <v>1</v>
      </c>
      <c r="I147" s="51">
        <f t="shared" si="35"/>
        <v>0.21549976895773737</v>
      </c>
    </row>
    <row r="148" spans="1:14" ht="12.75" customHeight="1" thickBot="1" x14ac:dyDescent="0.3">
      <c r="B148" s="38" t="s">
        <v>12</v>
      </c>
      <c r="C148" s="32">
        <f>SUM(C136:C147)</f>
        <v>151.37201783878891</v>
      </c>
      <c r="D148" s="32">
        <f>SUM(D136:D147)</f>
        <v>547871.10953387525</v>
      </c>
      <c r="E148" s="51">
        <f>SUM(E137:E147)</f>
        <v>1</v>
      </c>
      <c r="F148" s="51">
        <f>SUM(F137:F147)</f>
        <v>1</v>
      </c>
      <c r="G148" s="52"/>
      <c r="H148" s="52"/>
      <c r="I148" s="51">
        <f>SUM(I136:I147)</f>
        <v>0.28473607939052059</v>
      </c>
    </row>
    <row r="149" spans="1:14" ht="12.75" customHeight="1" thickBot="1" x14ac:dyDescent="0.3">
      <c r="B149" s="4"/>
      <c r="C149" s="4"/>
      <c r="D149" s="4"/>
      <c r="E149" s="50"/>
      <c r="F149" s="50"/>
      <c r="G149" s="50"/>
      <c r="H149" s="53"/>
      <c r="I149" s="53"/>
    </row>
    <row r="150" spans="1:14" ht="12.75" customHeight="1" thickBot="1" x14ac:dyDescent="0.3">
      <c r="B150" s="4"/>
      <c r="C150" s="4"/>
      <c r="D150" s="4"/>
      <c r="E150" s="50"/>
      <c r="F150" s="50"/>
      <c r="G150" s="55"/>
      <c r="H150" s="56" t="s">
        <v>33</v>
      </c>
      <c r="I150" s="52">
        <f>1-(2*I148)</f>
        <v>0.43052784121895882</v>
      </c>
    </row>
    <row r="151" spans="1:14" ht="12.75" customHeight="1" x14ac:dyDescent="0.25"/>
    <row r="152" spans="1:14" ht="12.75" customHeight="1" x14ac:dyDescent="0.25"/>
    <row r="153" spans="1:14" ht="12.75" customHeight="1" x14ac:dyDescent="0.25"/>
    <row r="154" spans="1:14" ht="12.75" customHeight="1" x14ac:dyDescent="0.25"/>
    <row r="155" spans="1:14" ht="16.2" thickBot="1" x14ac:dyDescent="0.35">
      <c r="B155" s="256" t="s">
        <v>101</v>
      </c>
      <c r="C155" s="256"/>
      <c r="D155" s="256"/>
      <c r="E155" s="256"/>
      <c r="F155" s="256"/>
      <c r="G155" s="256"/>
      <c r="H155" s="256"/>
      <c r="I155" s="256"/>
    </row>
    <row r="156" spans="1:14" ht="27" thickBot="1" x14ac:dyDescent="0.3">
      <c r="A156" s="8"/>
      <c r="B156" s="30" t="s">
        <v>19</v>
      </c>
      <c r="C156" s="31" t="s">
        <v>39</v>
      </c>
      <c r="D156" s="31" t="s">
        <v>40</v>
      </c>
      <c r="E156" s="31" t="s">
        <v>15</v>
      </c>
      <c r="F156" s="31" t="s">
        <v>21</v>
      </c>
      <c r="G156" s="31" t="s">
        <v>17</v>
      </c>
      <c r="H156" s="31" t="s">
        <v>117</v>
      </c>
      <c r="I156" s="31" t="s">
        <v>20</v>
      </c>
      <c r="J156" s="8"/>
      <c r="K156" s="8"/>
      <c r="L156" s="8"/>
      <c r="M156" s="8"/>
      <c r="N156" s="8"/>
    </row>
    <row r="157" spans="1:14" ht="12.75" customHeight="1" x14ac:dyDescent="0.25">
      <c r="B157" s="4"/>
      <c r="C157" s="26">
        <v>0</v>
      </c>
      <c r="D157" s="26">
        <v>0</v>
      </c>
      <c r="E157" s="49">
        <v>0</v>
      </c>
      <c r="F157" s="49">
        <v>0</v>
      </c>
      <c r="G157" s="49">
        <v>0</v>
      </c>
      <c r="H157" s="50">
        <f>F157</f>
        <v>0</v>
      </c>
      <c r="I157" s="49">
        <v>0</v>
      </c>
    </row>
    <row r="158" spans="1:14" ht="12.75" customHeight="1" x14ac:dyDescent="0.25">
      <c r="B158" s="82" t="s">
        <v>3</v>
      </c>
      <c r="C158" s="29">
        <v>0</v>
      </c>
      <c r="D158" s="29">
        <v>4739.5256339269945</v>
      </c>
      <c r="E158" s="49">
        <f t="shared" ref="E158:E168" si="36">C158/$C$169</f>
        <v>0</v>
      </c>
      <c r="F158" s="49">
        <f t="shared" ref="F158:F168" si="37">D158/$D$169</f>
        <v>8.6508040877704764E-3</v>
      </c>
      <c r="G158" s="49">
        <f t="shared" ref="G158:G168" si="38">G157+E158</f>
        <v>0</v>
      </c>
      <c r="H158" s="50">
        <f t="shared" ref="H158:H168" si="39">F158+H157</f>
        <v>8.6508040877704764E-3</v>
      </c>
      <c r="I158" s="49">
        <f t="shared" ref="I158:I168" si="40">(G157+G158)*0.5*(H158-H157)</f>
        <v>0</v>
      </c>
    </row>
    <row r="159" spans="1:14" ht="12.75" customHeight="1" x14ac:dyDescent="0.25">
      <c r="B159" s="82" t="s">
        <v>195</v>
      </c>
      <c r="C159" s="29">
        <v>3.8418556888470429E-2</v>
      </c>
      <c r="D159" s="29">
        <v>4549.0211045835586</v>
      </c>
      <c r="E159" s="49">
        <f t="shared" si="36"/>
        <v>1.3244489135736634E-4</v>
      </c>
      <c r="F159" s="49">
        <f t="shared" si="37"/>
        <v>8.3030863015460567E-3</v>
      </c>
      <c r="G159" s="49">
        <f t="shared" si="38"/>
        <v>1.3244489135736634E-4</v>
      </c>
      <c r="H159" s="50">
        <f t="shared" si="39"/>
        <v>1.6953890389316533E-2</v>
      </c>
      <c r="I159" s="49">
        <f t="shared" si="40"/>
        <v>5.498506815695521E-7</v>
      </c>
    </row>
    <row r="160" spans="1:14" ht="12.75" customHeight="1" x14ac:dyDescent="0.25">
      <c r="B160" s="82" t="s">
        <v>1</v>
      </c>
      <c r="C160" s="29">
        <v>1.2659744256775787</v>
      </c>
      <c r="D160" s="29">
        <v>7498.2226388555227</v>
      </c>
      <c r="E160" s="49">
        <f t="shared" si="36"/>
        <v>4.3643452240235033E-3</v>
      </c>
      <c r="F160" s="49">
        <f t="shared" si="37"/>
        <v>1.3686107021111144E-2</v>
      </c>
      <c r="G160" s="49">
        <f t="shared" si="38"/>
        <v>4.4967901153808694E-3</v>
      </c>
      <c r="H160" s="50">
        <f t="shared" si="39"/>
        <v>3.0639997410427677E-2</v>
      </c>
      <c r="I160" s="49">
        <f t="shared" si="40"/>
        <v>3.1678102864046827E-5</v>
      </c>
    </row>
    <row r="161" spans="1:9" ht="12.75" customHeight="1" x14ac:dyDescent="0.25">
      <c r="B161" s="111" t="s">
        <v>6</v>
      </c>
      <c r="C161" s="29">
        <v>7.6439418147629619</v>
      </c>
      <c r="D161" s="29">
        <v>12709.055149886017</v>
      </c>
      <c r="E161" s="49">
        <f t="shared" si="36"/>
        <v>2.6351875895217088E-2</v>
      </c>
      <c r="F161" s="49">
        <f t="shared" si="37"/>
        <v>2.3197162487174745E-2</v>
      </c>
      <c r="G161" s="49">
        <f t="shared" si="38"/>
        <v>3.0848666010597957E-2</v>
      </c>
      <c r="H161" s="50">
        <f t="shared" si="39"/>
        <v>5.3837159897602418E-2</v>
      </c>
      <c r="I161" s="49">
        <f t="shared" si="40"/>
        <v>4.0995714446881838E-4</v>
      </c>
    </row>
    <row r="162" spans="1:9" ht="12.75" customHeight="1" x14ac:dyDescent="0.25">
      <c r="B162" s="82" t="s">
        <v>5</v>
      </c>
      <c r="C162" s="29">
        <v>16.824037840124145</v>
      </c>
      <c r="D162" s="29">
        <v>34543.134541376516</v>
      </c>
      <c r="E162" s="49">
        <f t="shared" si="36"/>
        <v>5.7999520138044859E-2</v>
      </c>
      <c r="F162" s="49">
        <f t="shared" si="37"/>
        <v>6.3049746446323052E-2</v>
      </c>
      <c r="G162" s="49">
        <f t="shared" si="38"/>
        <v>8.8848186148642816E-2</v>
      </c>
      <c r="H162" s="50">
        <f t="shared" si="39"/>
        <v>0.11688690634392547</v>
      </c>
      <c r="I162" s="49">
        <f t="shared" si="40"/>
        <v>3.7734280895315737E-3</v>
      </c>
    </row>
    <row r="163" spans="1:9" ht="12.75" customHeight="1" x14ac:dyDescent="0.25">
      <c r="B163" s="82" t="s">
        <v>8</v>
      </c>
      <c r="C163" s="29">
        <v>23.5</v>
      </c>
      <c r="D163" s="29">
        <v>8412.6065227973904</v>
      </c>
      <c r="E163" s="49">
        <f t="shared" si="36"/>
        <v>8.1014363864150507E-2</v>
      </c>
      <c r="F163" s="49">
        <f t="shared" si="37"/>
        <v>1.5355083296789959E-2</v>
      </c>
      <c r="G163" s="49">
        <f t="shared" si="38"/>
        <v>0.16986255001279332</v>
      </c>
      <c r="H163" s="50">
        <f t="shared" si="39"/>
        <v>0.13224198964071543</v>
      </c>
      <c r="I163" s="49">
        <f t="shared" si="40"/>
        <v>1.9862624517663512E-3</v>
      </c>
    </row>
    <row r="164" spans="1:9" ht="12.75" customHeight="1" x14ac:dyDescent="0.25">
      <c r="B164" s="82" t="s">
        <v>7</v>
      </c>
      <c r="C164" s="29">
        <v>33.799999999999997</v>
      </c>
      <c r="D164" s="29">
        <v>179268.67227891536</v>
      </c>
      <c r="E164" s="49">
        <f t="shared" si="36"/>
        <v>0.11652278717482072</v>
      </c>
      <c r="F164" s="49">
        <f t="shared" si="37"/>
        <v>0.327209573856588</v>
      </c>
      <c r="G164" s="49">
        <f t="shared" si="38"/>
        <v>0.28638533718761405</v>
      </c>
      <c r="H164" s="50">
        <f t="shared" si="39"/>
        <v>0.45945156349730343</v>
      </c>
      <c r="I164" s="49">
        <f t="shared" si="40"/>
        <v>7.4644338371906968E-2</v>
      </c>
    </row>
    <row r="165" spans="1:9" ht="12.75" customHeight="1" x14ac:dyDescent="0.25">
      <c r="B165" s="82" t="s">
        <v>9</v>
      </c>
      <c r="C165" s="29">
        <v>41.495772011888072</v>
      </c>
      <c r="D165" s="29">
        <v>43226.930239887697</v>
      </c>
      <c r="E165" s="49">
        <f t="shared" si="36"/>
        <v>0.14305334351467799</v>
      </c>
      <c r="F165" s="49">
        <f t="shared" si="37"/>
        <v>7.8899816923481969E-2</v>
      </c>
      <c r="G165" s="49">
        <f t="shared" si="38"/>
        <v>0.42943868070229207</v>
      </c>
      <c r="H165" s="50">
        <f t="shared" si="39"/>
        <v>0.53835138042078534</v>
      </c>
      <c r="I165" s="49">
        <f t="shared" si="40"/>
        <v>2.8239191980472419E-2</v>
      </c>
    </row>
    <row r="166" spans="1:9" ht="12.75" customHeight="1" x14ac:dyDescent="0.25">
      <c r="B166" s="111" t="s">
        <v>10</v>
      </c>
      <c r="C166" s="29">
        <v>44.910297901754674</v>
      </c>
      <c r="D166" s="29">
        <v>69411.089457609574</v>
      </c>
      <c r="E166" s="49">
        <f t="shared" si="36"/>
        <v>0.1548246474663893</v>
      </c>
      <c r="F166" s="49">
        <f t="shared" si="37"/>
        <v>0.12669237024865945</v>
      </c>
      <c r="G166" s="49">
        <f t="shared" si="38"/>
        <v>0.58426332816868132</v>
      </c>
      <c r="H166" s="50">
        <f t="shared" si="39"/>
        <v>0.66504375066944477</v>
      </c>
      <c r="I166" s="49">
        <f t="shared" si="40"/>
        <v>6.42141551148456E-2</v>
      </c>
    </row>
    <row r="167" spans="1:9" ht="12.75" customHeight="1" x14ac:dyDescent="0.25">
      <c r="B167" s="82" t="s">
        <v>2</v>
      </c>
      <c r="C167" s="29">
        <v>56.5</v>
      </c>
      <c r="D167" s="29">
        <v>33738.127951375733</v>
      </c>
      <c r="E167" s="49">
        <f t="shared" si="36"/>
        <v>0.19477921524785122</v>
      </c>
      <c r="F167" s="49">
        <f t="shared" si="37"/>
        <v>6.1580410728501248E-2</v>
      </c>
      <c r="G167" s="49">
        <f t="shared" si="38"/>
        <v>0.77904254341653256</v>
      </c>
      <c r="H167" s="50">
        <f t="shared" si="39"/>
        <v>0.72662416139794606</v>
      </c>
      <c r="I167" s="49">
        <f t="shared" si="40"/>
        <v>4.197646776039745E-2</v>
      </c>
    </row>
    <row r="168" spans="1:9" ht="12.75" customHeight="1" thickBot="1" x14ac:dyDescent="0.3">
      <c r="B168" s="86" t="s">
        <v>4</v>
      </c>
      <c r="C168" s="32">
        <v>64.093575287693014</v>
      </c>
      <c r="D168" s="32">
        <v>149774.72401466093</v>
      </c>
      <c r="E168" s="51">
        <f t="shared" si="36"/>
        <v>0.22095745658346752</v>
      </c>
      <c r="F168" s="51">
        <f t="shared" si="37"/>
        <v>0.273375838602054</v>
      </c>
      <c r="G168" s="51">
        <f t="shared" si="38"/>
        <v>1</v>
      </c>
      <c r="H168" s="52">
        <f t="shared" si="39"/>
        <v>1</v>
      </c>
      <c r="I168" s="51">
        <f t="shared" si="40"/>
        <v>0.2431736236076128</v>
      </c>
    </row>
    <row r="169" spans="1:9" ht="12.75" customHeight="1" thickBot="1" x14ac:dyDescent="0.3">
      <c r="B169" s="38" t="s">
        <v>12</v>
      </c>
      <c r="C169" s="32">
        <f>SUM(C157:C168)</f>
        <v>290.0720178387889</v>
      </c>
      <c r="D169" s="32">
        <f>SUM(D157:D168)</f>
        <v>547871.10953387525</v>
      </c>
      <c r="E169" s="51">
        <f>SUM(E158:E168)</f>
        <v>1</v>
      </c>
      <c r="F169" s="51">
        <f>SUM(F158:F168)</f>
        <v>1</v>
      </c>
      <c r="G169" s="52"/>
      <c r="H169" s="52"/>
      <c r="I169" s="51">
        <f>SUM(I157:I168)</f>
        <v>0.45844965247454761</v>
      </c>
    </row>
    <row r="170" spans="1:9" ht="12.75" customHeight="1" thickBot="1" x14ac:dyDescent="0.3">
      <c r="B170" s="4"/>
      <c r="C170" s="4"/>
      <c r="D170" s="4"/>
      <c r="E170" s="50"/>
      <c r="F170" s="50"/>
      <c r="G170" s="50"/>
      <c r="H170" s="53"/>
      <c r="I170" s="53"/>
    </row>
    <row r="171" spans="1:9" ht="12.75" customHeight="1" thickBot="1" x14ac:dyDescent="0.3">
      <c r="B171" s="4"/>
      <c r="C171" s="4"/>
      <c r="D171" s="4"/>
      <c r="E171" s="50"/>
      <c r="F171" s="50"/>
      <c r="G171" s="55"/>
      <c r="H171" s="57" t="s">
        <v>29</v>
      </c>
      <c r="I171" s="58">
        <f>1-(2*I169)</f>
        <v>8.3100695050904783E-2</v>
      </c>
    </row>
    <row r="172" spans="1:9" ht="12.75" customHeight="1" x14ac:dyDescent="0.25">
      <c r="B172" s="4"/>
      <c r="C172" s="4"/>
      <c r="D172" s="4"/>
      <c r="E172" s="50"/>
      <c r="F172" s="50"/>
      <c r="G172" s="55"/>
      <c r="H172" s="116"/>
      <c r="I172" s="108"/>
    </row>
    <row r="173" spans="1:9" ht="12.75" customHeight="1" x14ac:dyDescent="0.25">
      <c r="B173" s="4"/>
      <c r="C173" s="4"/>
      <c r="D173" s="4"/>
      <c r="E173" s="50"/>
      <c r="F173" s="50"/>
      <c r="G173" s="55"/>
      <c r="H173" s="116"/>
      <c r="I173" s="108"/>
    </row>
    <row r="174" spans="1:9" ht="28.2" customHeight="1" x14ac:dyDescent="0.25">
      <c r="A174" s="252" t="s">
        <v>94</v>
      </c>
      <c r="B174" s="252"/>
      <c r="C174" s="252"/>
      <c r="D174" s="252"/>
      <c r="E174" s="252"/>
      <c r="F174" s="252"/>
      <c r="G174" s="55"/>
      <c r="H174" s="116"/>
      <c r="I174" s="108"/>
    </row>
    <row r="175" spans="1:9" ht="12.75" customHeight="1" x14ac:dyDescent="0.25"/>
    <row r="176" spans="1:9" ht="16.2" thickBot="1" x14ac:dyDescent="0.35">
      <c r="B176" s="256" t="s">
        <v>114</v>
      </c>
      <c r="C176" s="256"/>
      <c r="D176" s="256"/>
      <c r="E176" s="256"/>
      <c r="F176" s="256"/>
      <c r="G176" s="256"/>
      <c r="H176" s="256"/>
      <c r="I176" s="256"/>
    </row>
    <row r="177" spans="1:14" ht="42.6" customHeight="1" thickBot="1" x14ac:dyDescent="0.3">
      <c r="A177" s="8"/>
      <c r="B177" s="36" t="s">
        <v>19</v>
      </c>
      <c r="C177" s="37" t="s">
        <v>42</v>
      </c>
      <c r="D177" s="37" t="s">
        <v>115</v>
      </c>
      <c r="E177" s="37" t="s">
        <v>27</v>
      </c>
      <c r="F177" s="37" t="s">
        <v>21</v>
      </c>
      <c r="G177" s="37" t="s">
        <v>28</v>
      </c>
      <c r="H177" s="37" t="s">
        <v>117</v>
      </c>
      <c r="I177" s="37" t="s">
        <v>20</v>
      </c>
      <c r="J177" s="8"/>
      <c r="K177" s="8"/>
      <c r="L177" s="8"/>
      <c r="M177" s="8"/>
      <c r="N177" s="8"/>
    </row>
    <row r="178" spans="1:14" ht="12.75" customHeight="1" x14ac:dyDescent="0.25">
      <c r="B178" s="4"/>
      <c r="C178" s="26">
        <v>0</v>
      </c>
      <c r="D178" s="26">
        <v>0</v>
      </c>
      <c r="E178" s="49">
        <v>0</v>
      </c>
      <c r="F178" s="49">
        <v>0</v>
      </c>
      <c r="G178" s="49">
        <v>0</v>
      </c>
      <c r="H178" s="50">
        <f>F178</f>
        <v>0</v>
      </c>
      <c r="I178" s="49">
        <v>0</v>
      </c>
    </row>
    <row r="179" spans="1:14" ht="12.75" customHeight="1" x14ac:dyDescent="0.25">
      <c r="B179" s="82" t="s">
        <v>2</v>
      </c>
      <c r="C179" s="84">
        <v>2.5183118413223982</v>
      </c>
      <c r="D179" s="29">
        <v>251430.37783690859</v>
      </c>
      <c r="E179" s="49">
        <f t="shared" ref="E179:E189" si="41">C179/$C$190</f>
        <v>1.2244961028881811E-3</v>
      </c>
      <c r="F179" s="49">
        <f t="shared" ref="F179:F189" si="42">D179/$D$190</f>
        <v>8.2249727275718124E-2</v>
      </c>
      <c r="G179" s="49">
        <f t="shared" ref="G179:G189" si="43">G178+E179</f>
        <v>1.2244961028881811E-3</v>
      </c>
      <c r="H179" s="50">
        <f t="shared" ref="H179:H189" si="44">F179+H178</f>
        <v>8.2249727275718124E-2</v>
      </c>
      <c r="I179" s="49">
        <f t="shared" ref="I179:I189" si="45">(G178+G179)*0.5*(H179-H178)</f>
        <v>5.0357235256366287E-5</v>
      </c>
    </row>
    <row r="180" spans="1:14" ht="12.75" customHeight="1" x14ac:dyDescent="0.25">
      <c r="B180" s="82" t="s">
        <v>3</v>
      </c>
      <c r="C180" s="84">
        <v>12.211567510036925</v>
      </c>
      <c r="D180" s="29">
        <v>24496.645034227455</v>
      </c>
      <c r="E180" s="49">
        <f t="shared" si="41"/>
        <v>5.9377145359186811E-3</v>
      </c>
      <c r="F180" s="49">
        <f t="shared" si="42"/>
        <v>8.0135200470573958E-3</v>
      </c>
      <c r="G180" s="49">
        <f t="shared" si="43"/>
        <v>7.162210638806862E-3</v>
      </c>
      <c r="H180" s="50">
        <f t="shared" si="44"/>
        <v>9.0263247322775519E-2</v>
      </c>
      <c r="I180" s="49">
        <f t="shared" si="45"/>
        <v>3.3603521301682319E-5</v>
      </c>
    </row>
    <row r="181" spans="1:14" ht="12.75" customHeight="1" x14ac:dyDescent="0.25">
      <c r="B181" s="82" t="s">
        <v>1</v>
      </c>
      <c r="C181" s="84">
        <v>16.119568257640697</v>
      </c>
      <c r="D181" s="29">
        <v>13199.085501550475</v>
      </c>
      <c r="E181" s="49">
        <f t="shared" si="41"/>
        <v>7.8379286424496968E-3</v>
      </c>
      <c r="F181" s="49">
        <f t="shared" si="42"/>
        <v>4.3177805010323955E-3</v>
      </c>
      <c r="G181" s="49">
        <f t="shared" si="43"/>
        <v>1.5000139281256559E-2</v>
      </c>
      <c r="H181" s="50">
        <f t="shared" si="44"/>
        <v>9.4581027823807909E-2</v>
      </c>
      <c r="I181" s="49">
        <f t="shared" si="45"/>
        <v>4.7846081170953282E-5</v>
      </c>
    </row>
    <row r="182" spans="1:14" ht="12.75" customHeight="1" x14ac:dyDescent="0.25">
      <c r="B182" s="111" t="s">
        <v>6</v>
      </c>
      <c r="C182" s="84">
        <v>25.568969407520573</v>
      </c>
      <c r="D182" s="29">
        <v>20836.189535136225</v>
      </c>
      <c r="E182" s="49">
        <f t="shared" si="41"/>
        <v>1.2432576014071097E-2</v>
      </c>
      <c r="F182" s="49">
        <f t="shared" si="42"/>
        <v>6.8160853174303836E-3</v>
      </c>
      <c r="G182" s="49">
        <f t="shared" si="43"/>
        <v>2.7432715295327655E-2</v>
      </c>
      <c r="H182" s="50">
        <f t="shared" si="44"/>
        <v>0.1013971131412383</v>
      </c>
      <c r="I182" s="49">
        <f t="shared" si="45"/>
        <v>1.4461297852805724E-4</v>
      </c>
    </row>
    <row r="183" spans="1:14" ht="12.75" customHeight="1" x14ac:dyDescent="0.25">
      <c r="B183" s="82" t="s">
        <v>195</v>
      </c>
      <c r="C183" s="84">
        <v>26.253813751823277</v>
      </c>
      <c r="D183" s="29">
        <v>20450.034940117202</v>
      </c>
      <c r="E183" s="49">
        <f t="shared" si="41"/>
        <v>1.2765572594130586E-2</v>
      </c>
      <c r="F183" s="49">
        <f t="shared" si="42"/>
        <v>6.6897636279041406E-3</v>
      </c>
      <c r="G183" s="49">
        <f t="shared" si="43"/>
        <v>4.0198287889458242E-2</v>
      </c>
      <c r="H183" s="50">
        <f t="shared" si="44"/>
        <v>0.10808687676914244</v>
      </c>
      <c r="I183" s="49">
        <f t="shared" si="45"/>
        <v>2.2621771261212512E-4</v>
      </c>
    </row>
    <row r="184" spans="1:14" ht="12.75" customHeight="1" x14ac:dyDescent="0.25">
      <c r="B184" s="82" t="s">
        <v>5</v>
      </c>
      <c r="C184" s="84">
        <v>76.989228247043215</v>
      </c>
      <c r="D184" s="29">
        <v>49475.746319971244</v>
      </c>
      <c r="E184" s="49">
        <f t="shared" si="41"/>
        <v>3.7435002451233004E-2</v>
      </c>
      <c r="F184" s="49">
        <f t="shared" si="42"/>
        <v>1.6184864679397896E-2</v>
      </c>
      <c r="G184" s="49">
        <f t="shared" si="43"/>
        <v>7.7633290340691247E-2</v>
      </c>
      <c r="H184" s="50">
        <f t="shared" si="44"/>
        <v>0.12427174144854033</v>
      </c>
      <c r="I184" s="49">
        <f t="shared" si="45"/>
        <v>9.5354407430742801E-4</v>
      </c>
    </row>
    <row r="185" spans="1:14" ht="12.75" customHeight="1" x14ac:dyDescent="0.25">
      <c r="B185" s="82" t="s">
        <v>9</v>
      </c>
      <c r="C185" s="84">
        <v>157.50468272422137</v>
      </c>
      <c r="D185" s="29">
        <v>119784.51078433092</v>
      </c>
      <c r="E185" s="49">
        <f t="shared" si="41"/>
        <v>7.6584586157198528E-2</v>
      </c>
      <c r="F185" s="49">
        <f t="shared" si="42"/>
        <v>3.9184777227902166E-2</v>
      </c>
      <c r="G185" s="49">
        <f t="shared" si="43"/>
        <v>0.15421787649788976</v>
      </c>
      <c r="H185" s="50">
        <f t="shared" si="44"/>
        <v>0.16345651867644251</v>
      </c>
      <c r="I185" s="49">
        <f t="shared" si="45"/>
        <v>4.5425181612994883E-3</v>
      </c>
    </row>
    <row r="186" spans="1:14" ht="12.75" customHeight="1" x14ac:dyDescent="0.25">
      <c r="B186" s="111" t="s">
        <v>10</v>
      </c>
      <c r="C186" s="84">
        <v>320.97337292558882</v>
      </c>
      <c r="D186" s="29">
        <v>237021.44592026682</v>
      </c>
      <c r="E186" s="49">
        <f t="shared" si="41"/>
        <v>0.15606909272676606</v>
      </c>
      <c r="F186" s="49">
        <f t="shared" si="42"/>
        <v>7.7536173047808091E-2</v>
      </c>
      <c r="G186" s="49">
        <f t="shared" si="43"/>
        <v>0.31028696922465582</v>
      </c>
      <c r="H186" s="50">
        <f t="shared" si="44"/>
        <v>0.24099269172425059</v>
      </c>
      <c r="I186" s="49">
        <f t="shared" si="45"/>
        <v>1.8007964049744345E-2</v>
      </c>
    </row>
    <row r="187" spans="1:14" ht="12.75" customHeight="1" x14ac:dyDescent="0.25">
      <c r="B187" s="82" t="s">
        <v>7</v>
      </c>
      <c r="C187" s="84">
        <v>338.1638706235197</v>
      </c>
      <c r="D187" s="29">
        <v>1339764.2833351614</v>
      </c>
      <c r="E187" s="49">
        <f t="shared" si="41"/>
        <v>0.16442774676334126</v>
      </c>
      <c r="F187" s="49">
        <f t="shared" si="42"/>
        <v>0.43827340143259691</v>
      </c>
      <c r="G187" s="49">
        <f t="shared" si="43"/>
        <v>0.47471471598799708</v>
      </c>
      <c r="H187" s="50">
        <f t="shared" si="44"/>
        <v>0.67926609315684749</v>
      </c>
      <c r="I187" s="49">
        <f t="shared" si="45"/>
        <v>0.17202267935423504</v>
      </c>
    </row>
    <row r="188" spans="1:14" ht="12.75" customHeight="1" x14ac:dyDescent="0.25">
      <c r="B188" s="82" t="s">
        <v>4</v>
      </c>
      <c r="C188" s="84">
        <v>441.00564598635611</v>
      </c>
      <c r="D188" s="29">
        <v>363314.38569269452</v>
      </c>
      <c r="E188" s="49">
        <f t="shared" si="41"/>
        <v>0.21443321116991285</v>
      </c>
      <c r="F188" s="49">
        <f t="shared" si="42"/>
        <v>0.1188500347318915</v>
      </c>
      <c r="G188" s="49">
        <f t="shared" si="43"/>
        <v>0.68914792715790996</v>
      </c>
      <c r="H188" s="50">
        <f t="shared" si="44"/>
        <v>0.79811612788873898</v>
      </c>
      <c r="I188" s="49">
        <f t="shared" si="45"/>
        <v>6.916255778052105E-2</v>
      </c>
    </row>
    <row r="189" spans="1:14" ht="12.75" customHeight="1" thickBot="1" x14ac:dyDescent="0.3">
      <c r="B189" s="86" t="s">
        <v>8</v>
      </c>
      <c r="C189" s="87">
        <v>639.30171283634877</v>
      </c>
      <c r="D189" s="32">
        <v>617141.72101696266</v>
      </c>
      <c r="E189" s="51">
        <f t="shared" si="41"/>
        <v>0.3108520728420901</v>
      </c>
      <c r="F189" s="51">
        <f t="shared" si="42"/>
        <v>0.20188387211126102</v>
      </c>
      <c r="G189" s="51">
        <f t="shared" si="43"/>
        <v>1</v>
      </c>
      <c r="H189" s="52">
        <f t="shared" si="44"/>
        <v>1</v>
      </c>
      <c r="I189" s="51">
        <f t="shared" si="45"/>
        <v>0.17050586205167456</v>
      </c>
    </row>
    <row r="190" spans="1:14" ht="12.75" customHeight="1" thickBot="1" x14ac:dyDescent="0.3">
      <c r="B190" s="38" t="s">
        <v>12</v>
      </c>
      <c r="C190" s="32">
        <f>SUM(C178:C189)</f>
        <v>2056.6107441114218</v>
      </c>
      <c r="D190" s="32">
        <f>SUM(D178:D189)</f>
        <v>3056914.4259173274</v>
      </c>
      <c r="E190" s="39">
        <f>SUM(E179:E189)</f>
        <v>1</v>
      </c>
      <c r="F190" s="33">
        <f>SUM(F179:F189)</f>
        <v>1</v>
      </c>
      <c r="G190" s="40"/>
      <c r="H190" s="40"/>
      <c r="I190" s="51">
        <f>SUM(I178:I189)</f>
        <v>0.43569776300065111</v>
      </c>
    </row>
    <row r="191" spans="1:14" ht="12.75" customHeight="1" thickBot="1" x14ac:dyDescent="0.3">
      <c r="B191" s="4"/>
      <c r="C191" s="4"/>
      <c r="D191" s="4"/>
      <c r="E191" s="4"/>
      <c r="F191" s="4"/>
      <c r="G191" s="4"/>
      <c r="H191" s="7"/>
      <c r="I191" s="53"/>
    </row>
    <row r="192" spans="1:14" ht="12.75" customHeight="1" thickBot="1" x14ac:dyDescent="0.3">
      <c r="B192" s="4"/>
      <c r="C192" s="4"/>
      <c r="D192" s="4"/>
      <c r="E192" s="4"/>
      <c r="F192" s="4"/>
      <c r="G192" s="5"/>
      <c r="H192" s="24" t="s">
        <v>29</v>
      </c>
      <c r="I192" s="52">
        <f>1-(2*I190)</f>
        <v>0.12860447399869779</v>
      </c>
    </row>
    <row r="193" spans="1:14" ht="12.75" customHeight="1" x14ac:dyDescent="0.25"/>
    <row r="194" spans="1:14" ht="12.75" customHeight="1" x14ac:dyDescent="0.25"/>
    <row r="195" spans="1:14" ht="12.75" customHeight="1" x14ac:dyDescent="0.25"/>
    <row r="196" spans="1:14" ht="12.75" customHeight="1" x14ac:dyDescent="0.25"/>
    <row r="197" spans="1:14" ht="16.2" thickBot="1" x14ac:dyDescent="0.35">
      <c r="B197" s="256" t="s">
        <v>120</v>
      </c>
      <c r="C197" s="256"/>
      <c r="D197" s="256"/>
      <c r="E197" s="256"/>
      <c r="F197" s="256"/>
      <c r="G197" s="256"/>
      <c r="H197" s="256"/>
      <c r="I197" s="256"/>
    </row>
    <row r="198" spans="1:14" ht="27" thickBot="1" x14ac:dyDescent="0.3">
      <c r="A198" s="8"/>
      <c r="B198" s="30" t="s">
        <v>19</v>
      </c>
      <c r="C198" s="31" t="s">
        <v>43</v>
      </c>
      <c r="D198" s="37" t="s">
        <v>115</v>
      </c>
      <c r="E198" s="31" t="s">
        <v>31</v>
      </c>
      <c r="F198" s="31" t="s">
        <v>21</v>
      </c>
      <c r="G198" s="31" t="s">
        <v>32</v>
      </c>
      <c r="H198" s="31" t="s">
        <v>117</v>
      </c>
      <c r="I198" s="31" t="s">
        <v>20</v>
      </c>
      <c r="J198" s="8"/>
      <c r="K198" s="8"/>
      <c r="L198" s="8"/>
      <c r="M198" s="8"/>
      <c r="N198" s="8"/>
    </row>
    <row r="199" spans="1:14" ht="12.75" customHeight="1" x14ac:dyDescent="0.25">
      <c r="B199" s="4"/>
      <c r="C199" s="26">
        <v>0</v>
      </c>
      <c r="D199" s="26">
        <v>0</v>
      </c>
      <c r="E199" s="49">
        <f>C199/$C$127</f>
        <v>0</v>
      </c>
      <c r="F199" s="49">
        <v>0</v>
      </c>
      <c r="G199" s="49">
        <v>0</v>
      </c>
      <c r="H199" s="50">
        <f>F199</f>
        <v>0</v>
      </c>
      <c r="I199" s="49">
        <v>0</v>
      </c>
    </row>
    <row r="200" spans="1:14" ht="12.75" customHeight="1" x14ac:dyDescent="0.25">
      <c r="B200" s="82" t="s">
        <v>3</v>
      </c>
      <c r="C200" s="84">
        <v>12.430383918221033</v>
      </c>
      <c r="D200" s="29">
        <v>24496.645034227455</v>
      </c>
      <c r="E200" s="49">
        <f t="shared" ref="E200:E210" si="46">C200/$C$211</f>
        <v>5.765430583763765E-3</v>
      </c>
      <c r="F200" s="49">
        <f t="shared" ref="F200:F210" si="47">D200/$D$211</f>
        <v>8.0135200470573958E-3</v>
      </c>
      <c r="G200" s="49">
        <f t="shared" ref="G200:G210" si="48">G199+E200</f>
        <v>5.765430583763765E-3</v>
      </c>
      <c r="H200" s="50">
        <f t="shared" ref="H200:H210" si="49">F200+H199</f>
        <v>8.0135200470573958E-3</v>
      </c>
      <c r="I200" s="49">
        <f t="shared" ref="I200:I210" si="50">(G199+G200)*0.5*(H200-H199)</f>
        <v>2.3100696781454379E-5</v>
      </c>
    </row>
    <row r="201" spans="1:14" ht="12.75" customHeight="1" x14ac:dyDescent="0.25">
      <c r="B201" s="82" t="s">
        <v>1</v>
      </c>
      <c r="C201" s="84">
        <v>14.87970566394463</v>
      </c>
      <c r="D201" s="29">
        <v>13199.085501550475</v>
      </c>
      <c r="E201" s="49">
        <f t="shared" si="46"/>
        <v>6.901469067786185E-3</v>
      </c>
      <c r="F201" s="49">
        <f t="shared" si="47"/>
        <v>4.3177805010323955E-3</v>
      </c>
      <c r="G201" s="49">
        <f t="shared" si="48"/>
        <v>1.266689965154995E-2</v>
      </c>
      <c r="H201" s="50">
        <f t="shared" si="49"/>
        <v>1.2331300548089792E-2</v>
      </c>
      <c r="I201" s="49">
        <f t="shared" si="50"/>
        <v>3.9793378039313724E-5</v>
      </c>
    </row>
    <row r="202" spans="1:14" ht="12.75" customHeight="1" x14ac:dyDescent="0.25">
      <c r="B202" s="111" t="s">
        <v>6</v>
      </c>
      <c r="C202" s="84">
        <v>21.778950457619164</v>
      </c>
      <c r="D202" s="29">
        <v>20836.189535136225</v>
      </c>
      <c r="E202" s="49">
        <f t="shared" si="46"/>
        <v>1.0101460089786475E-2</v>
      </c>
      <c r="F202" s="49">
        <f t="shared" si="47"/>
        <v>6.8160853174303836E-3</v>
      </c>
      <c r="G202" s="49">
        <f t="shared" si="48"/>
        <v>2.2768359741336425E-2</v>
      </c>
      <c r="H202" s="50">
        <f t="shared" si="49"/>
        <v>1.9147385865520176E-2</v>
      </c>
      <c r="I202" s="49">
        <f t="shared" si="50"/>
        <v>1.2076487563359494E-4</v>
      </c>
    </row>
    <row r="203" spans="1:14" ht="12.75" customHeight="1" x14ac:dyDescent="0.25">
      <c r="B203" s="82" t="s">
        <v>195</v>
      </c>
      <c r="C203" s="84">
        <v>26.487263324145417</v>
      </c>
      <c r="D203" s="29">
        <v>20450.034940117202</v>
      </c>
      <c r="E203" s="49">
        <f t="shared" si="46"/>
        <v>1.2285258368036581E-2</v>
      </c>
      <c r="F203" s="49">
        <f t="shared" si="47"/>
        <v>6.6897636279041406E-3</v>
      </c>
      <c r="G203" s="49">
        <f t="shared" si="48"/>
        <v>3.5053618109373005E-2</v>
      </c>
      <c r="H203" s="50">
        <f t="shared" si="49"/>
        <v>2.5837149493424316E-2</v>
      </c>
      <c r="I203" s="49">
        <f t="shared" si="50"/>
        <v>1.9340768215957737E-4</v>
      </c>
    </row>
    <row r="204" spans="1:14" ht="12.75" customHeight="1" x14ac:dyDescent="0.25">
      <c r="B204" s="82" t="s">
        <v>2</v>
      </c>
      <c r="C204" s="84">
        <v>57.406515877545473</v>
      </c>
      <c r="D204" s="29">
        <v>251430.37783690859</v>
      </c>
      <c r="E204" s="49">
        <f t="shared" si="46"/>
        <v>2.6626151253668431E-2</v>
      </c>
      <c r="F204" s="49">
        <f t="shared" si="47"/>
        <v>8.2249727275718124E-2</v>
      </c>
      <c r="G204" s="49">
        <f t="shared" si="48"/>
        <v>6.167976936304144E-2</v>
      </c>
      <c r="H204" s="50">
        <f t="shared" si="49"/>
        <v>0.10808687676914244</v>
      </c>
      <c r="I204" s="49">
        <f t="shared" si="50"/>
        <v>3.9781473690312279E-3</v>
      </c>
    </row>
    <row r="205" spans="1:14" ht="12.75" customHeight="1" x14ac:dyDescent="0.25">
      <c r="B205" s="82" t="s">
        <v>5</v>
      </c>
      <c r="C205" s="84">
        <v>61.088307514794813</v>
      </c>
      <c r="D205" s="29">
        <v>49475.746319971244</v>
      </c>
      <c r="E205" s="49">
        <f t="shared" si="46"/>
        <v>2.8333830939838649E-2</v>
      </c>
      <c r="F205" s="49">
        <f t="shared" si="47"/>
        <v>1.6184864679397896E-2</v>
      </c>
      <c r="G205" s="49">
        <f t="shared" si="48"/>
        <v>9.0013600302880081E-2</v>
      </c>
      <c r="H205" s="50">
        <f t="shared" si="49"/>
        <v>0.12427174144854033</v>
      </c>
      <c r="I205" s="49">
        <f t="shared" si="50"/>
        <v>1.2275683304024104E-3</v>
      </c>
    </row>
    <row r="206" spans="1:14" ht="12.75" customHeight="1" x14ac:dyDescent="0.25">
      <c r="B206" s="82" t="s">
        <v>9</v>
      </c>
      <c r="C206" s="84">
        <v>122.25690376263047</v>
      </c>
      <c r="D206" s="29">
        <v>119784.51078433092</v>
      </c>
      <c r="E206" s="49">
        <f t="shared" si="46"/>
        <v>5.6704901205513948E-2</v>
      </c>
      <c r="F206" s="49">
        <f t="shared" si="47"/>
        <v>3.9184777227902166E-2</v>
      </c>
      <c r="G206" s="49">
        <f t="shared" si="48"/>
        <v>0.14671850150839402</v>
      </c>
      <c r="H206" s="50">
        <f t="shared" si="49"/>
        <v>0.16345651867644251</v>
      </c>
      <c r="I206" s="49">
        <f t="shared" si="50"/>
        <v>4.6381473360839164E-3</v>
      </c>
    </row>
    <row r="207" spans="1:14" ht="12.75" customHeight="1" x14ac:dyDescent="0.25">
      <c r="B207" s="111" t="s">
        <v>10</v>
      </c>
      <c r="C207" s="84">
        <v>302.83700707899817</v>
      </c>
      <c r="D207" s="29">
        <v>237021.44592026682</v>
      </c>
      <c r="E207" s="49">
        <f t="shared" si="46"/>
        <v>0.14046112766874344</v>
      </c>
      <c r="F207" s="49">
        <f t="shared" si="47"/>
        <v>7.7536173047808091E-2</v>
      </c>
      <c r="G207" s="49">
        <f t="shared" si="48"/>
        <v>0.28717962917713746</v>
      </c>
      <c r="H207" s="50">
        <f t="shared" si="49"/>
        <v>0.24099269172425059</v>
      </c>
      <c r="I207" s="49">
        <f t="shared" si="50"/>
        <v>1.6821400272976909E-2</v>
      </c>
    </row>
    <row r="208" spans="1:14" ht="12.75" customHeight="1" x14ac:dyDescent="0.25">
      <c r="B208" s="82" t="s">
        <v>4</v>
      </c>
      <c r="C208" s="84">
        <v>377.49670014536434</v>
      </c>
      <c r="D208" s="29">
        <v>363314.38569269452</v>
      </c>
      <c r="E208" s="49">
        <f t="shared" si="46"/>
        <v>0.17508960580836683</v>
      </c>
      <c r="F208" s="49">
        <f t="shared" si="47"/>
        <v>0.1188500347318915</v>
      </c>
      <c r="G208" s="49">
        <f t="shared" si="48"/>
        <v>0.46226923498550432</v>
      </c>
      <c r="H208" s="50">
        <f t="shared" si="49"/>
        <v>0.35984272645614207</v>
      </c>
      <c r="I208" s="49">
        <f t="shared" si="50"/>
        <v>4.4536011767753299E-2</v>
      </c>
    </row>
    <row r="209" spans="1:14" ht="12.75" customHeight="1" x14ac:dyDescent="0.25">
      <c r="B209" s="82" t="s">
        <v>7</v>
      </c>
      <c r="C209" s="84">
        <v>400.68179774902404</v>
      </c>
      <c r="D209" s="29">
        <v>1339764.2833351614</v>
      </c>
      <c r="E209" s="49">
        <f t="shared" si="46"/>
        <v>0.18584326166414011</v>
      </c>
      <c r="F209" s="49">
        <f t="shared" si="47"/>
        <v>0.43827340143259691</v>
      </c>
      <c r="G209" s="49">
        <f t="shared" si="48"/>
        <v>0.64811249664964443</v>
      </c>
      <c r="H209" s="50">
        <f t="shared" si="49"/>
        <v>0.79811612788873898</v>
      </c>
      <c r="I209" s="49">
        <f t="shared" si="50"/>
        <v>0.24332538920617683</v>
      </c>
    </row>
    <row r="210" spans="1:14" ht="12.75" customHeight="1" thickBot="1" x14ac:dyDescent="0.3">
      <c r="B210" s="86" t="s">
        <v>8</v>
      </c>
      <c r="C210" s="87">
        <v>758.67651151455357</v>
      </c>
      <c r="D210" s="32">
        <v>617141.72101696266</v>
      </c>
      <c r="E210" s="51">
        <f t="shared" si="46"/>
        <v>0.35188750335035557</v>
      </c>
      <c r="F210" s="51">
        <f t="shared" si="47"/>
        <v>0.20188387211126102</v>
      </c>
      <c r="G210" s="51">
        <f t="shared" si="48"/>
        <v>1</v>
      </c>
      <c r="H210" s="52">
        <f t="shared" si="49"/>
        <v>1</v>
      </c>
      <c r="I210" s="51">
        <f t="shared" si="50"/>
        <v>0.16636366624929394</v>
      </c>
    </row>
    <row r="211" spans="1:14" ht="12.75" customHeight="1" thickBot="1" x14ac:dyDescent="0.3">
      <c r="B211" s="38" t="s">
        <v>12</v>
      </c>
      <c r="C211" s="32">
        <f>SUM(C199:C210)</f>
        <v>2156.0200470068412</v>
      </c>
      <c r="D211" s="32">
        <f>SUM(D199:D210)</f>
        <v>3056914.4259173274</v>
      </c>
      <c r="E211" s="51">
        <f>SUM(E200:E210)</f>
        <v>1</v>
      </c>
      <c r="F211" s="51">
        <f>SUM(F200:F210)</f>
        <v>1</v>
      </c>
      <c r="G211" s="52"/>
      <c r="H211" s="52"/>
      <c r="I211" s="51">
        <f>SUM(I199:I210)</f>
        <v>0.48126739716433248</v>
      </c>
    </row>
    <row r="212" spans="1:14" ht="12.75" customHeight="1" thickBot="1" x14ac:dyDescent="0.3">
      <c r="B212" s="4"/>
      <c r="C212" s="4"/>
      <c r="D212" s="4"/>
      <c r="E212" s="50"/>
      <c r="F212" s="50"/>
      <c r="G212" s="50"/>
      <c r="H212" s="53"/>
      <c r="I212" s="53"/>
    </row>
    <row r="213" spans="1:14" ht="12.75" customHeight="1" thickBot="1" x14ac:dyDescent="0.3">
      <c r="B213" s="4"/>
      <c r="C213" s="4"/>
      <c r="D213" s="4"/>
      <c r="E213" s="50"/>
      <c r="F213" s="50"/>
      <c r="G213" s="55"/>
      <c r="H213" s="56" t="s">
        <v>29</v>
      </c>
      <c r="I213" s="52">
        <f>1-(2*I211)</f>
        <v>3.7465205671335045E-2</v>
      </c>
    </row>
    <row r="214" spans="1:14" ht="12.75" customHeight="1" x14ac:dyDescent="0.25"/>
    <row r="215" spans="1:14" ht="12.75" customHeight="1" x14ac:dyDescent="0.25"/>
    <row r="216" spans="1:14" ht="12.75" customHeight="1" x14ac:dyDescent="0.25"/>
    <row r="217" spans="1:14" ht="12.75" customHeight="1" x14ac:dyDescent="0.25"/>
    <row r="218" spans="1:14" ht="16.2" thickBot="1" x14ac:dyDescent="0.35">
      <c r="B218" s="256" t="s">
        <v>119</v>
      </c>
      <c r="C218" s="256"/>
      <c r="D218" s="256"/>
      <c r="E218" s="256"/>
      <c r="F218" s="256"/>
      <c r="G218" s="256"/>
      <c r="H218" s="256"/>
      <c r="I218" s="256"/>
    </row>
    <row r="219" spans="1:14" ht="27" thickBot="1" x14ac:dyDescent="0.3">
      <c r="A219" s="8"/>
      <c r="B219" s="30" t="s">
        <v>19</v>
      </c>
      <c r="C219" s="31" t="s">
        <v>38</v>
      </c>
      <c r="D219" s="37" t="s">
        <v>115</v>
      </c>
      <c r="E219" s="31" t="s">
        <v>15</v>
      </c>
      <c r="F219" s="31" t="s">
        <v>21</v>
      </c>
      <c r="G219" s="31" t="s">
        <v>17</v>
      </c>
      <c r="H219" s="31" t="s">
        <v>117</v>
      </c>
      <c r="I219" s="31" t="s">
        <v>20</v>
      </c>
      <c r="J219" s="8"/>
      <c r="K219" s="8"/>
      <c r="L219" s="8"/>
      <c r="M219" s="8"/>
      <c r="N219" s="8"/>
    </row>
    <row r="220" spans="1:14" ht="12.75" customHeight="1" x14ac:dyDescent="0.25">
      <c r="B220" s="4"/>
      <c r="C220" s="26">
        <v>0</v>
      </c>
      <c r="D220" s="26">
        <v>0</v>
      </c>
      <c r="E220" s="49">
        <v>0</v>
      </c>
      <c r="F220" s="49">
        <v>0</v>
      </c>
      <c r="G220" s="49">
        <v>0</v>
      </c>
      <c r="H220" s="50">
        <f>F220</f>
        <v>0</v>
      </c>
      <c r="I220" s="49">
        <v>0</v>
      </c>
    </row>
    <row r="221" spans="1:14" ht="12.75" customHeight="1" x14ac:dyDescent="0.25">
      <c r="B221" s="82" t="s">
        <v>2</v>
      </c>
      <c r="C221" s="84">
        <v>0</v>
      </c>
      <c r="D221" s="29">
        <v>251430.37783690859</v>
      </c>
      <c r="E221" s="49">
        <f t="shared" ref="E221:E231" si="51">C221/$C$232</f>
        <v>0</v>
      </c>
      <c r="F221" s="49">
        <f t="shared" ref="F221:F231" si="52">D221/$D$232</f>
        <v>8.2249727275718124E-2</v>
      </c>
      <c r="G221" s="49">
        <f t="shared" ref="G221:G231" si="53">G220+E221</f>
        <v>0</v>
      </c>
      <c r="H221" s="50">
        <f t="shared" ref="H221:H231" si="54">F221+H220</f>
        <v>8.2249727275718124E-2</v>
      </c>
      <c r="I221" s="49">
        <f t="shared" ref="I221:I231" si="55">(G220+G221)*0.5*(H221-H220)</f>
        <v>0</v>
      </c>
    </row>
    <row r="222" spans="1:14" ht="12.75" customHeight="1" x14ac:dyDescent="0.25">
      <c r="B222" s="82" t="s">
        <v>3</v>
      </c>
      <c r="C222" s="84">
        <v>0</v>
      </c>
      <c r="D222" s="29">
        <v>24496.645034227455</v>
      </c>
      <c r="E222" s="49">
        <f t="shared" si="51"/>
        <v>0</v>
      </c>
      <c r="F222" s="49">
        <f t="shared" si="52"/>
        <v>8.0135200470573958E-3</v>
      </c>
      <c r="G222" s="49">
        <f t="shared" si="53"/>
        <v>0</v>
      </c>
      <c r="H222" s="50">
        <f t="shared" si="54"/>
        <v>9.0263247322775519E-2</v>
      </c>
      <c r="I222" s="49">
        <f t="shared" si="55"/>
        <v>0</v>
      </c>
    </row>
    <row r="223" spans="1:14" ht="12.75" customHeight="1" x14ac:dyDescent="0.25">
      <c r="B223" s="82" t="s">
        <v>7</v>
      </c>
      <c r="C223" s="84">
        <v>0</v>
      </c>
      <c r="D223" s="29">
        <v>1339764.2833351614</v>
      </c>
      <c r="E223" s="49">
        <f t="shared" si="51"/>
        <v>0</v>
      </c>
      <c r="F223" s="49">
        <f t="shared" si="52"/>
        <v>0.43827340143259691</v>
      </c>
      <c r="G223" s="49">
        <f t="shared" si="53"/>
        <v>0</v>
      </c>
      <c r="H223" s="50">
        <f t="shared" si="54"/>
        <v>0.52853664875537243</v>
      </c>
      <c r="I223" s="49">
        <f t="shared" si="55"/>
        <v>0</v>
      </c>
    </row>
    <row r="224" spans="1:14" ht="12.75" customHeight="1" x14ac:dyDescent="0.25">
      <c r="B224" s="82" t="s">
        <v>8</v>
      </c>
      <c r="C224" s="84">
        <v>0</v>
      </c>
      <c r="D224" s="29">
        <v>617141.72101696266</v>
      </c>
      <c r="E224" s="49">
        <f t="shared" si="51"/>
        <v>0</v>
      </c>
      <c r="F224" s="49">
        <f t="shared" si="52"/>
        <v>0.20188387211126102</v>
      </c>
      <c r="G224" s="49">
        <f t="shared" si="53"/>
        <v>0</v>
      </c>
      <c r="H224" s="50">
        <f t="shared" si="54"/>
        <v>0.73042052086663345</v>
      </c>
      <c r="I224" s="49">
        <f t="shared" si="55"/>
        <v>0</v>
      </c>
    </row>
    <row r="225" spans="1:14" ht="12.75" customHeight="1" x14ac:dyDescent="0.25">
      <c r="B225" s="82" t="s">
        <v>195</v>
      </c>
      <c r="C225" s="84">
        <v>3.8418556888470429E-2</v>
      </c>
      <c r="D225" s="29">
        <v>20450.034940117202</v>
      </c>
      <c r="E225" s="49">
        <f t="shared" si="51"/>
        <v>2.5380223793664534E-4</v>
      </c>
      <c r="F225" s="49">
        <f t="shared" si="52"/>
        <v>6.6897636279041406E-3</v>
      </c>
      <c r="G225" s="49">
        <f t="shared" si="53"/>
        <v>2.5380223793664534E-4</v>
      </c>
      <c r="H225" s="50">
        <f t="shared" si="54"/>
        <v>0.73711028449453764</v>
      </c>
      <c r="I225" s="49">
        <f t="shared" si="55"/>
        <v>8.4893849001462731E-7</v>
      </c>
    </row>
    <row r="226" spans="1:14" ht="12.75" customHeight="1" x14ac:dyDescent="0.25">
      <c r="B226" s="82" t="s">
        <v>1</v>
      </c>
      <c r="C226" s="84">
        <v>1.2659744256775787</v>
      </c>
      <c r="D226" s="29">
        <v>13199.085501550475</v>
      </c>
      <c r="E226" s="49">
        <f t="shared" si="51"/>
        <v>8.3633319007865806E-3</v>
      </c>
      <c r="F226" s="49">
        <f t="shared" si="52"/>
        <v>4.3177805010323955E-3</v>
      </c>
      <c r="G226" s="49">
        <f t="shared" si="53"/>
        <v>8.6171341387232259E-3</v>
      </c>
      <c r="H226" s="50">
        <f t="shared" si="54"/>
        <v>0.74142806499557001</v>
      </c>
      <c r="I226" s="49">
        <f t="shared" si="55"/>
        <v>1.9151378056520392E-5</v>
      </c>
    </row>
    <row r="227" spans="1:14" ht="12.75" customHeight="1" x14ac:dyDescent="0.25">
      <c r="B227" s="111" t="s">
        <v>6</v>
      </c>
      <c r="C227" s="84">
        <v>3.843941814762962</v>
      </c>
      <c r="D227" s="29">
        <v>20836.189535136225</v>
      </c>
      <c r="E227" s="49">
        <f t="shared" si="51"/>
        <v>2.5394005243801119E-2</v>
      </c>
      <c r="F227" s="49">
        <f t="shared" si="52"/>
        <v>6.8160853174303836E-3</v>
      </c>
      <c r="G227" s="49">
        <f t="shared" si="53"/>
        <v>3.4011139382524341E-2</v>
      </c>
      <c r="H227" s="50">
        <f t="shared" si="54"/>
        <v>0.7482441503130004</v>
      </c>
      <c r="I227" s="49">
        <f t="shared" si="55"/>
        <v>1.4527897462779103E-4</v>
      </c>
    </row>
    <row r="228" spans="1:14" ht="12.75" customHeight="1" x14ac:dyDescent="0.25">
      <c r="B228" s="82" t="s">
        <v>5</v>
      </c>
      <c r="C228" s="84">
        <v>16.824037840124145</v>
      </c>
      <c r="D228" s="29">
        <v>49475.746319971244</v>
      </c>
      <c r="E228" s="49">
        <f t="shared" si="51"/>
        <v>0.1111436451751719</v>
      </c>
      <c r="F228" s="49">
        <f t="shared" si="52"/>
        <v>1.6184864679397896E-2</v>
      </c>
      <c r="G228" s="49">
        <f t="shared" si="53"/>
        <v>0.14515478455769626</v>
      </c>
      <c r="H228" s="50">
        <f t="shared" si="54"/>
        <v>0.76442901499239835</v>
      </c>
      <c r="I228" s="49">
        <f t="shared" si="55"/>
        <v>1.4498881170658879E-3</v>
      </c>
    </row>
    <row r="229" spans="1:14" ht="12.75" customHeight="1" x14ac:dyDescent="0.25">
      <c r="B229" s="111" t="s">
        <v>10</v>
      </c>
      <c r="C229" s="84">
        <v>23.810297901754669</v>
      </c>
      <c r="D229" s="29">
        <v>237021.44592026682</v>
      </c>
      <c r="E229" s="49">
        <f t="shared" si="51"/>
        <v>0.15729656142334458</v>
      </c>
      <c r="F229" s="49">
        <f t="shared" si="52"/>
        <v>7.7536173047808091E-2</v>
      </c>
      <c r="G229" s="49">
        <f t="shared" si="53"/>
        <v>0.30245134598104084</v>
      </c>
      <c r="H229" s="50">
        <f t="shared" si="54"/>
        <v>0.84196518804020648</v>
      </c>
      <c r="I229" s="49">
        <f t="shared" si="55"/>
        <v>1.7352833197355658E-2</v>
      </c>
    </row>
    <row r="230" spans="1:14" ht="12.75" customHeight="1" x14ac:dyDescent="0.25">
      <c r="B230" s="82" t="s">
        <v>9</v>
      </c>
      <c r="C230" s="84">
        <v>41.495772011888072</v>
      </c>
      <c r="D230" s="29">
        <v>119784.51078433092</v>
      </c>
      <c r="E230" s="49">
        <f t="shared" si="51"/>
        <v>0.27413106203077137</v>
      </c>
      <c r="F230" s="49">
        <f t="shared" si="52"/>
        <v>3.9184777227902166E-2</v>
      </c>
      <c r="G230" s="49">
        <f t="shared" si="53"/>
        <v>0.57658240801181226</v>
      </c>
      <c r="H230" s="50">
        <f t="shared" si="54"/>
        <v>0.88114996526810863</v>
      </c>
      <c r="I230" s="49">
        <f t="shared" si="55"/>
        <v>1.7222370913008243E-2</v>
      </c>
    </row>
    <row r="231" spans="1:14" ht="12.75" customHeight="1" thickBot="1" x14ac:dyDescent="0.3">
      <c r="B231" s="86" t="s">
        <v>4</v>
      </c>
      <c r="C231" s="87">
        <v>64.093575287693014</v>
      </c>
      <c r="D231" s="32">
        <v>363314.38569269452</v>
      </c>
      <c r="E231" s="51">
        <f t="shared" si="51"/>
        <v>0.42341759198818785</v>
      </c>
      <c r="F231" s="51">
        <f t="shared" si="52"/>
        <v>0.1188500347318915</v>
      </c>
      <c r="G231" s="51">
        <f t="shared" si="53"/>
        <v>1</v>
      </c>
      <c r="H231" s="52">
        <f t="shared" si="54"/>
        <v>1.0000000000000002</v>
      </c>
      <c r="I231" s="51">
        <f t="shared" si="55"/>
        <v>9.3688436974946582E-2</v>
      </c>
    </row>
    <row r="232" spans="1:14" ht="12.75" customHeight="1" thickBot="1" x14ac:dyDescent="0.3">
      <c r="B232" s="38" t="s">
        <v>12</v>
      </c>
      <c r="C232" s="32">
        <f>SUM(C220:C231)</f>
        <v>151.37201783878891</v>
      </c>
      <c r="D232" s="32">
        <f>SUM(D220:D231)</f>
        <v>3056914.4259173274</v>
      </c>
      <c r="E232" s="51">
        <f>SUM(E221:E231)</f>
        <v>1</v>
      </c>
      <c r="F232" s="51">
        <f>SUM(F221:F231)</f>
        <v>1.0000000000000002</v>
      </c>
      <c r="G232" s="52"/>
      <c r="H232" s="52"/>
      <c r="I232" s="51">
        <f>SUM(I220:I231)</f>
        <v>0.12987880849355071</v>
      </c>
    </row>
    <row r="233" spans="1:14" ht="12.75" customHeight="1" thickBot="1" x14ac:dyDescent="0.3">
      <c r="B233" s="4"/>
      <c r="C233" s="4"/>
      <c r="D233" s="4"/>
      <c r="E233" s="50"/>
      <c r="F233" s="50"/>
      <c r="G233" s="50"/>
      <c r="H233" s="53"/>
      <c r="I233" s="53"/>
    </row>
    <row r="234" spans="1:14" ht="12.75" customHeight="1" thickBot="1" x14ac:dyDescent="0.3">
      <c r="B234" s="4"/>
      <c r="C234" s="4"/>
      <c r="D234" s="4"/>
      <c r="E234" s="50"/>
      <c r="F234" s="50"/>
      <c r="G234" s="55"/>
      <c r="H234" s="56" t="s">
        <v>33</v>
      </c>
      <c r="I234" s="52">
        <f>1-(2*I232)</f>
        <v>0.74024238301289857</v>
      </c>
    </row>
    <row r="235" spans="1:14" ht="12.75" customHeight="1" x14ac:dyDescent="0.25"/>
    <row r="236" spans="1:14" ht="12.75" customHeight="1" x14ac:dyDescent="0.25"/>
    <row r="237" spans="1:14" ht="12.75" customHeight="1" x14ac:dyDescent="0.25"/>
    <row r="238" spans="1:14" ht="12.75" customHeight="1" x14ac:dyDescent="0.25"/>
    <row r="239" spans="1:14" ht="16.2" thickBot="1" x14ac:dyDescent="0.35">
      <c r="B239" s="256" t="s">
        <v>118</v>
      </c>
      <c r="C239" s="256"/>
      <c r="D239" s="256"/>
      <c r="E239" s="256"/>
      <c r="F239" s="256"/>
      <c r="G239" s="256"/>
      <c r="H239" s="256"/>
      <c r="I239" s="256"/>
    </row>
    <row r="240" spans="1:14" ht="27" thickBot="1" x14ac:dyDescent="0.3">
      <c r="A240" s="8"/>
      <c r="B240" s="30" t="s">
        <v>19</v>
      </c>
      <c r="C240" s="31" t="s">
        <v>39</v>
      </c>
      <c r="D240" s="37" t="s">
        <v>115</v>
      </c>
      <c r="E240" s="31" t="s">
        <v>15</v>
      </c>
      <c r="F240" s="31" t="s">
        <v>21</v>
      </c>
      <c r="G240" s="31" t="s">
        <v>17</v>
      </c>
      <c r="H240" s="31" t="s">
        <v>117</v>
      </c>
      <c r="I240" s="31" t="s">
        <v>20</v>
      </c>
      <c r="J240" s="8"/>
      <c r="K240" s="8"/>
      <c r="L240" s="8"/>
      <c r="M240" s="8"/>
      <c r="N240" s="8"/>
    </row>
    <row r="241" spans="2:9" ht="12.75" customHeight="1" x14ac:dyDescent="0.25">
      <c r="B241" s="4"/>
      <c r="C241" s="26">
        <v>0</v>
      </c>
      <c r="D241" s="26">
        <v>0</v>
      </c>
      <c r="E241" s="49">
        <v>0</v>
      </c>
      <c r="F241" s="49">
        <v>0</v>
      </c>
      <c r="G241" s="49">
        <v>0</v>
      </c>
      <c r="H241" s="50">
        <f>F241</f>
        <v>0</v>
      </c>
      <c r="I241" s="49">
        <v>0</v>
      </c>
    </row>
    <row r="242" spans="2:9" ht="12.75" customHeight="1" x14ac:dyDescent="0.25">
      <c r="B242" s="82" t="s">
        <v>3</v>
      </c>
      <c r="C242" s="29">
        <v>0</v>
      </c>
      <c r="D242" s="29">
        <v>24496.645034227455</v>
      </c>
      <c r="E242" s="49">
        <f t="shared" ref="E242:E252" si="56">C242/$C$253</f>
        <v>0</v>
      </c>
      <c r="F242" s="49">
        <f t="shared" ref="F242:F252" si="57">D242/$D$253</f>
        <v>8.0135200470573958E-3</v>
      </c>
      <c r="G242" s="49">
        <f t="shared" ref="G242:G252" si="58">G241+E242</f>
        <v>0</v>
      </c>
      <c r="H242" s="50">
        <f t="shared" ref="H242:H252" si="59">F242+H241</f>
        <v>8.0135200470573958E-3</v>
      </c>
      <c r="I242" s="49">
        <f t="shared" ref="I242:I252" si="60">(G241+G242)*0.5*(H242-H241)</f>
        <v>0</v>
      </c>
    </row>
    <row r="243" spans="2:9" ht="12.75" customHeight="1" x14ac:dyDescent="0.25">
      <c r="B243" s="82" t="s">
        <v>195</v>
      </c>
      <c r="C243" s="29">
        <v>3.8418556888470429E-2</v>
      </c>
      <c r="D243" s="29">
        <v>20450.034940117202</v>
      </c>
      <c r="E243" s="49">
        <f t="shared" si="56"/>
        <v>1.3244489135736634E-4</v>
      </c>
      <c r="F243" s="49">
        <f t="shared" si="57"/>
        <v>6.6897636279041406E-3</v>
      </c>
      <c r="G243" s="49">
        <f t="shared" si="58"/>
        <v>1.3244489135736634E-4</v>
      </c>
      <c r="H243" s="50">
        <f t="shared" si="59"/>
        <v>1.4703283674961536E-2</v>
      </c>
      <c r="I243" s="49">
        <f t="shared" si="60"/>
        <v>4.4301250845211235E-7</v>
      </c>
    </row>
    <row r="244" spans="2:9" ht="12.75" customHeight="1" x14ac:dyDescent="0.25">
      <c r="B244" s="82" t="s">
        <v>1</v>
      </c>
      <c r="C244" s="29">
        <v>1.2659744256775787</v>
      </c>
      <c r="D244" s="29">
        <v>13199.085501550475</v>
      </c>
      <c r="E244" s="49">
        <f t="shared" si="56"/>
        <v>4.3643452240235033E-3</v>
      </c>
      <c r="F244" s="49">
        <f t="shared" si="57"/>
        <v>4.3177805010323955E-3</v>
      </c>
      <c r="G244" s="49">
        <f t="shared" si="58"/>
        <v>4.4967901153808694E-3</v>
      </c>
      <c r="H244" s="50">
        <f t="shared" si="59"/>
        <v>1.9021064175993932E-2</v>
      </c>
      <c r="I244" s="49">
        <f t="shared" si="60"/>
        <v>9.9940103233954634E-6</v>
      </c>
    </row>
    <row r="245" spans="2:9" ht="12.75" customHeight="1" x14ac:dyDescent="0.25">
      <c r="B245" s="111" t="s">
        <v>6</v>
      </c>
      <c r="C245" s="29">
        <v>7.6439418147629619</v>
      </c>
      <c r="D245" s="29">
        <v>20836.189535136225</v>
      </c>
      <c r="E245" s="49">
        <f t="shared" si="56"/>
        <v>2.6351875895217088E-2</v>
      </c>
      <c r="F245" s="49">
        <f t="shared" si="57"/>
        <v>6.8160853174303836E-3</v>
      </c>
      <c r="G245" s="49">
        <f t="shared" si="58"/>
        <v>3.0848666010597957E-2</v>
      </c>
      <c r="H245" s="50">
        <f t="shared" si="59"/>
        <v>2.5837149493424316E-2</v>
      </c>
      <c r="I245" s="49">
        <f t="shared" si="60"/>
        <v>1.2045882226908205E-4</v>
      </c>
    </row>
    <row r="246" spans="2:9" ht="12.75" customHeight="1" x14ac:dyDescent="0.25">
      <c r="B246" s="82" t="s">
        <v>5</v>
      </c>
      <c r="C246" s="29">
        <v>16.824037840124145</v>
      </c>
      <c r="D246" s="29">
        <v>49475.746319971244</v>
      </c>
      <c r="E246" s="49">
        <f t="shared" si="56"/>
        <v>5.7999520138044859E-2</v>
      </c>
      <c r="F246" s="49">
        <f t="shared" si="57"/>
        <v>1.6184864679397896E-2</v>
      </c>
      <c r="G246" s="49">
        <f t="shared" si="58"/>
        <v>8.8848186148642816E-2</v>
      </c>
      <c r="H246" s="50">
        <f t="shared" si="59"/>
        <v>4.2022014172822211E-2</v>
      </c>
      <c r="I246" s="49">
        <f t="shared" si="60"/>
        <v>9.686386773736039E-4</v>
      </c>
    </row>
    <row r="247" spans="2:9" ht="12.75" customHeight="1" x14ac:dyDescent="0.25">
      <c r="B247" s="82" t="s">
        <v>8</v>
      </c>
      <c r="C247" s="29">
        <v>23.5</v>
      </c>
      <c r="D247" s="29">
        <v>617141.72101696266</v>
      </c>
      <c r="E247" s="49">
        <f t="shared" si="56"/>
        <v>8.1014363864150507E-2</v>
      </c>
      <c r="F247" s="49">
        <f t="shared" si="57"/>
        <v>0.20188387211126102</v>
      </c>
      <c r="G247" s="49">
        <f t="shared" si="58"/>
        <v>0.16986255001279332</v>
      </c>
      <c r="H247" s="50">
        <f t="shared" si="59"/>
        <v>0.24390588628408322</v>
      </c>
      <c r="I247" s="49">
        <f t="shared" si="60"/>
        <v>2.6114762586512782E-2</v>
      </c>
    </row>
    <row r="248" spans="2:9" ht="12.75" customHeight="1" x14ac:dyDescent="0.25">
      <c r="B248" s="82" t="s">
        <v>7</v>
      </c>
      <c r="C248" s="29">
        <v>33.799999999999997</v>
      </c>
      <c r="D248" s="29">
        <v>1339764.2833351614</v>
      </c>
      <c r="E248" s="49">
        <f t="shared" si="56"/>
        <v>0.11652278717482072</v>
      </c>
      <c r="F248" s="49">
        <f t="shared" si="57"/>
        <v>0.43827340143259691</v>
      </c>
      <c r="G248" s="49">
        <f t="shared" si="58"/>
        <v>0.28638533718761405</v>
      </c>
      <c r="H248" s="50">
        <f t="shared" si="59"/>
        <v>0.68217928771668013</v>
      </c>
      <c r="I248" s="49">
        <f t="shared" si="60"/>
        <v>9.998065670987917E-2</v>
      </c>
    </row>
    <row r="249" spans="2:9" ht="12.75" customHeight="1" x14ac:dyDescent="0.25">
      <c r="B249" s="82" t="s">
        <v>9</v>
      </c>
      <c r="C249" s="29">
        <v>41.495772011888072</v>
      </c>
      <c r="D249" s="29">
        <v>119784.51078433092</v>
      </c>
      <c r="E249" s="49">
        <f t="shared" si="56"/>
        <v>0.14305334351467799</v>
      </c>
      <c r="F249" s="49">
        <f t="shared" si="57"/>
        <v>3.9184777227902166E-2</v>
      </c>
      <c r="G249" s="49">
        <f t="shared" si="58"/>
        <v>0.42943868070229207</v>
      </c>
      <c r="H249" s="50">
        <f t="shared" si="59"/>
        <v>0.72136406494458227</v>
      </c>
      <c r="I249" s="49">
        <f t="shared" si="60"/>
        <v>1.4024702337698905E-2</v>
      </c>
    </row>
    <row r="250" spans="2:9" ht="12.75" customHeight="1" x14ac:dyDescent="0.25">
      <c r="B250" s="111" t="s">
        <v>10</v>
      </c>
      <c r="C250" s="29">
        <v>44.910297901754674</v>
      </c>
      <c r="D250" s="29">
        <v>237021.44592026682</v>
      </c>
      <c r="E250" s="49">
        <f t="shared" si="56"/>
        <v>0.1548246474663893</v>
      </c>
      <c r="F250" s="49">
        <f t="shared" si="57"/>
        <v>7.7536173047808091E-2</v>
      </c>
      <c r="G250" s="49">
        <f t="shared" si="58"/>
        <v>0.58426332816868132</v>
      </c>
      <c r="H250" s="50">
        <f t="shared" si="59"/>
        <v>0.79890023799239041</v>
      </c>
      <c r="I250" s="49">
        <f t="shared" si="60"/>
        <v>3.9299287189365262E-2</v>
      </c>
    </row>
    <row r="251" spans="2:9" ht="12.75" customHeight="1" x14ac:dyDescent="0.25">
      <c r="B251" s="82" t="s">
        <v>2</v>
      </c>
      <c r="C251" s="29">
        <v>56.5</v>
      </c>
      <c r="D251" s="29">
        <v>251430.37783690859</v>
      </c>
      <c r="E251" s="49">
        <f t="shared" si="56"/>
        <v>0.19477921524785122</v>
      </c>
      <c r="F251" s="49">
        <f t="shared" si="57"/>
        <v>8.2249727275718124E-2</v>
      </c>
      <c r="G251" s="49">
        <f t="shared" si="58"/>
        <v>0.77904254341653256</v>
      </c>
      <c r="H251" s="50">
        <f t="shared" si="59"/>
        <v>0.88114996526810851</v>
      </c>
      <c r="I251" s="49">
        <f t="shared" si="60"/>
        <v>5.6065768065634507E-2</v>
      </c>
    </row>
    <row r="252" spans="2:9" ht="12.75" customHeight="1" thickBot="1" x14ac:dyDescent="0.3">
      <c r="B252" s="86" t="s">
        <v>4</v>
      </c>
      <c r="C252" s="32">
        <v>64.093575287693014</v>
      </c>
      <c r="D252" s="32">
        <v>363314.38569269452</v>
      </c>
      <c r="E252" s="51">
        <f t="shared" si="56"/>
        <v>0.22095745658346752</v>
      </c>
      <c r="F252" s="51">
        <f t="shared" si="57"/>
        <v>0.1188500347318915</v>
      </c>
      <c r="G252" s="51">
        <f t="shared" si="58"/>
        <v>1</v>
      </c>
      <c r="H252" s="52">
        <f t="shared" si="59"/>
        <v>1</v>
      </c>
      <c r="I252" s="51">
        <f t="shared" si="60"/>
        <v>0.10571963403728374</v>
      </c>
    </row>
    <row r="253" spans="2:9" ht="12.75" customHeight="1" thickBot="1" x14ac:dyDescent="0.3">
      <c r="B253" s="38" t="s">
        <v>12</v>
      </c>
      <c r="C253" s="32">
        <f>SUM(C241:C252)</f>
        <v>290.0720178387889</v>
      </c>
      <c r="D253" s="32">
        <f>SUM(D241:D252)</f>
        <v>3056914.4259173274</v>
      </c>
      <c r="E253" s="51">
        <f>SUM(E242:E252)</f>
        <v>1</v>
      </c>
      <c r="F253" s="51">
        <f>SUM(F242:F252)</f>
        <v>1</v>
      </c>
      <c r="G253" s="52"/>
      <c r="H253" s="52"/>
      <c r="I253" s="51">
        <f>SUM(I241:I252)</f>
        <v>0.34230434544884891</v>
      </c>
    </row>
    <row r="254" spans="2:9" ht="12.75" customHeight="1" thickBot="1" x14ac:dyDescent="0.3">
      <c r="B254" s="4"/>
      <c r="C254" s="4"/>
      <c r="D254" s="4"/>
      <c r="E254" s="50"/>
      <c r="F254" s="50"/>
      <c r="G254" s="50"/>
      <c r="H254" s="53"/>
      <c r="I254" s="53"/>
    </row>
    <row r="255" spans="2:9" ht="12.75" customHeight="1" thickBot="1" x14ac:dyDescent="0.3">
      <c r="B255" s="4"/>
      <c r="C255" s="4"/>
      <c r="D255" s="4"/>
      <c r="E255" s="50"/>
      <c r="F255" s="50"/>
      <c r="G255" s="55"/>
      <c r="H255" s="57" t="s">
        <v>29</v>
      </c>
      <c r="I255" s="58">
        <f>1-(2*I253)</f>
        <v>0.31539130910230218</v>
      </c>
    </row>
    <row r="256" spans="2:9" ht="12.6" customHeight="1" x14ac:dyDescent="0.25"/>
    <row r="257" ht="12.75" customHeight="1" x14ac:dyDescent="0.25"/>
    <row r="258" ht="12.75" customHeight="1" x14ac:dyDescent="0.25"/>
    <row r="259" ht="12.75" customHeight="1" x14ac:dyDescent="0.25"/>
    <row r="260" ht="12.75" customHeight="1" x14ac:dyDescent="0.25"/>
    <row r="261" ht="12.75" customHeight="1" x14ac:dyDescent="0.25"/>
    <row r="262" ht="12.75" customHeight="1" x14ac:dyDescent="0.25"/>
    <row r="263" ht="12.75" customHeight="1" x14ac:dyDescent="0.25"/>
    <row r="264" ht="12.75" customHeight="1" x14ac:dyDescent="0.25"/>
    <row r="265" ht="12.75" customHeight="1" x14ac:dyDescent="0.25"/>
    <row r="266" ht="12.75" customHeight="1" x14ac:dyDescent="0.25"/>
    <row r="267" ht="12.75" customHeight="1" x14ac:dyDescent="0.25"/>
    <row r="268" ht="12.75" customHeight="1" x14ac:dyDescent="0.25"/>
    <row r="269" ht="12.75" customHeight="1" x14ac:dyDescent="0.25"/>
    <row r="270" ht="12.75" customHeight="1" x14ac:dyDescent="0.25"/>
    <row r="271" ht="12.75" customHeight="1" x14ac:dyDescent="0.25"/>
    <row r="272" ht="12.75" customHeight="1" x14ac:dyDescent="0.25"/>
    <row r="273" ht="12.75" customHeight="1" x14ac:dyDescent="0.25"/>
    <row r="274" ht="12.75" customHeight="1" x14ac:dyDescent="0.25"/>
    <row r="275" ht="12.75" customHeight="1" x14ac:dyDescent="0.25"/>
    <row r="276" ht="12.75" customHeight="1" x14ac:dyDescent="0.25"/>
    <row r="277" ht="12.75" customHeight="1" x14ac:dyDescent="0.25"/>
    <row r="278" ht="12.75" customHeight="1" x14ac:dyDescent="0.25"/>
    <row r="279" ht="12.75" customHeight="1" x14ac:dyDescent="0.25"/>
    <row r="280" ht="12.75" customHeight="1" x14ac:dyDescent="0.25"/>
    <row r="281" ht="12.75" customHeight="1" x14ac:dyDescent="0.25"/>
    <row r="282" ht="12.75" customHeight="1" x14ac:dyDescent="0.25"/>
    <row r="283" ht="12.75" customHeight="1" x14ac:dyDescent="0.25"/>
    <row r="284" ht="12.75" customHeight="1" x14ac:dyDescent="0.25"/>
    <row r="285" ht="12.75" customHeight="1" x14ac:dyDescent="0.25"/>
    <row r="286" ht="12.75" customHeight="1" x14ac:dyDescent="0.25"/>
    <row r="287" ht="12.75" customHeight="1" x14ac:dyDescent="0.25"/>
    <row r="288" ht="12.75" customHeight="1" x14ac:dyDescent="0.25"/>
    <row r="289" ht="12.75" customHeight="1" x14ac:dyDescent="0.25"/>
    <row r="290" ht="12.75" customHeight="1" x14ac:dyDescent="0.25"/>
    <row r="291" ht="12.75" customHeight="1" x14ac:dyDescent="0.25"/>
    <row r="292" ht="12.75" customHeight="1" x14ac:dyDescent="0.25"/>
    <row r="293" ht="12.75" customHeight="1" x14ac:dyDescent="0.25"/>
    <row r="294" ht="12.75" customHeight="1" x14ac:dyDescent="0.25"/>
    <row r="295" ht="12.75" customHeight="1" x14ac:dyDescent="0.25"/>
    <row r="296" ht="12.75" customHeight="1" x14ac:dyDescent="0.25"/>
    <row r="297" ht="12.75" customHeight="1" x14ac:dyDescent="0.25"/>
    <row r="298" ht="12.75" customHeight="1" x14ac:dyDescent="0.25"/>
    <row r="299" ht="12.75" customHeight="1" x14ac:dyDescent="0.25"/>
    <row r="300" ht="12.75" customHeight="1" x14ac:dyDescent="0.25"/>
    <row r="301" ht="12.75" customHeight="1" x14ac:dyDescent="0.25"/>
    <row r="302" ht="12.75" customHeight="1" x14ac:dyDescent="0.25"/>
    <row r="303" ht="12.75" customHeight="1" x14ac:dyDescent="0.25"/>
    <row r="304" ht="12.75" customHeight="1" x14ac:dyDescent="0.25"/>
    <row r="305" ht="12.75" customHeight="1" x14ac:dyDescent="0.25"/>
    <row r="306" ht="12.75" customHeight="1" x14ac:dyDescent="0.25"/>
    <row r="307" ht="12.75" customHeight="1" x14ac:dyDescent="0.25"/>
    <row r="308" ht="12.75" customHeight="1" x14ac:dyDescent="0.25"/>
    <row r="309" ht="12.75" customHeight="1" x14ac:dyDescent="0.25"/>
    <row r="310" ht="12.75" customHeight="1" x14ac:dyDescent="0.25"/>
    <row r="311" ht="12.75" customHeight="1" x14ac:dyDescent="0.25"/>
    <row r="312" ht="12.75" customHeight="1" x14ac:dyDescent="0.25"/>
    <row r="313" ht="12.75" customHeight="1" x14ac:dyDescent="0.25"/>
    <row r="314" ht="12.75" customHeight="1" x14ac:dyDescent="0.25"/>
    <row r="315" ht="12.75" customHeight="1" x14ac:dyDescent="0.25"/>
    <row r="316" ht="12.75" customHeight="1" x14ac:dyDescent="0.25"/>
    <row r="317" ht="12.75" customHeight="1" x14ac:dyDescent="0.25"/>
    <row r="318" ht="12.75" customHeight="1" x14ac:dyDescent="0.25"/>
    <row r="319" ht="12.75" customHeight="1" x14ac:dyDescent="0.25"/>
    <row r="320" ht="12.75" customHeight="1" x14ac:dyDescent="0.25"/>
    <row r="321" ht="12.75" customHeight="1" x14ac:dyDescent="0.25"/>
    <row r="322" ht="12.75" customHeight="1" x14ac:dyDescent="0.25"/>
    <row r="323" ht="12.75" customHeight="1" x14ac:dyDescent="0.25"/>
    <row r="324" ht="12.75" customHeight="1" x14ac:dyDescent="0.25"/>
    <row r="325" ht="12.75" customHeight="1" x14ac:dyDescent="0.25"/>
    <row r="326" ht="12.75" customHeight="1" x14ac:dyDescent="0.25"/>
    <row r="327" ht="12.75" customHeight="1" x14ac:dyDescent="0.25"/>
    <row r="328" ht="12.75" customHeight="1" x14ac:dyDescent="0.25"/>
    <row r="329" ht="12.75" customHeight="1" x14ac:dyDescent="0.25"/>
    <row r="330" ht="12.75" customHeight="1" x14ac:dyDescent="0.25"/>
    <row r="331" ht="12.75" customHeight="1" x14ac:dyDescent="0.25"/>
    <row r="332" ht="12.75" customHeight="1" x14ac:dyDescent="0.25"/>
    <row r="333" ht="12.75" customHeight="1" x14ac:dyDescent="0.25"/>
    <row r="334" ht="12.75" customHeight="1" x14ac:dyDescent="0.25"/>
    <row r="335" ht="12.75" customHeight="1" x14ac:dyDescent="0.25"/>
    <row r="336" ht="12.75" customHeight="1" x14ac:dyDescent="0.25"/>
    <row r="337" ht="12.75" customHeight="1" x14ac:dyDescent="0.25"/>
    <row r="338" ht="12.75" customHeight="1" x14ac:dyDescent="0.25"/>
    <row r="339" ht="12.75" customHeight="1" x14ac:dyDescent="0.25"/>
    <row r="340" ht="12.75" customHeight="1" x14ac:dyDescent="0.25"/>
    <row r="341" ht="12.75" customHeight="1" x14ac:dyDescent="0.25"/>
    <row r="342" ht="12.75" customHeight="1" x14ac:dyDescent="0.25"/>
    <row r="343" ht="12.75" customHeight="1" x14ac:dyDescent="0.25"/>
    <row r="344" ht="12.75" customHeight="1" x14ac:dyDescent="0.25"/>
    <row r="345" ht="12.75" customHeight="1" x14ac:dyDescent="0.25"/>
    <row r="346" ht="12.75" customHeight="1" x14ac:dyDescent="0.25"/>
    <row r="347" ht="12.75" customHeight="1" x14ac:dyDescent="0.25"/>
    <row r="348" ht="12.75" customHeight="1" x14ac:dyDescent="0.25"/>
    <row r="349" ht="12.75" customHeight="1" x14ac:dyDescent="0.25"/>
    <row r="350" ht="12.75" customHeight="1" x14ac:dyDescent="0.25"/>
    <row r="351" ht="12.75" customHeight="1" x14ac:dyDescent="0.25"/>
    <row r="352" ht="12.75" customHeight="1" x14ac:dyDescent="0.25"/>
    <row r="353" ht="12.75" customHeight="1" x14ac:dyDescent="0.25"/>
    <row r="354" ht="12.75" customHeight="1" x14ac:dyDescent="0.25"/>
    <row r="355" ht="12.75" customHeight="1" x14ac:dyDescent="0.25"/>
    <row r="356" ht="12.75" customHeight="1" x14ac:dyDescent="0.25"/>
    <row r="357" ht="12.75" customHeight="1" x14ac:dyDescent="0.25"/>
    <row r="358" ht="12.75" customHeight="1" x14ac:dyDescent="0.25"/>
    <row r="359" ht="12.75" customHeight="1" x14ac:dyDescent="0.25"/>
    <row r="360" ht="12.75" customHeight="1" x14ac:dyDescent="0.25"/>
    <row r="361" ht="12.75" customHeight="1" x14ac:dyDescent="0.25"/>
    <row r="362" ht="12.75" customHeight="1" x14ac:dyDescent="0.25"/>
    <row r="363" ht="12.75" customHeight="1" x14ac:dyDescent="0.25"/>
    <row r="364" ht="12.75" customHeight="1" x14ac:dyDescent="0.25"/>
    <row r="365" ht="12.75" customHeight="1" x14ac:dyDescent="0.25"/>
    <row r="366" ht="12.75" customHeight="1" x14ac:dyDescent="0.25"/>
    <row r="367" ht="12.75" customHeight="1" x14ac:dyDescent="0.25"/>
    <row r="368" ht="12.75" customHeight="1" x14ac:dyDescent="0.25"/>
    <row r="369" ht="12.75" customHeight="1" x14ac:dyDescent="0.25"/>
    <row r="370" ht="12.75" customHeight="1" x14ac:dyDescent="0.25"/>
    <row r="371" ht="12.75" customHeight="1" x14ac:dyDescent="0.25"/>
    <row r="372" ht="12.75" customHeight="1" x14ac:dyDescent="0.25"/>
    <row r="373" ht="12.75" customHeight="1" x14ac:dyDescent="0.25"/>
    <row r="374" ht="12.75" customHeight="1" x14ac:dyDescent="0.25"/>
    <row r="375" ht="12.75" customHeight="1" x14ac:dyDescent="0.25"/>
    <row r="376" ht="12.75" customHeight="1" x14ac:dyDescent="0.25"/>
    <row r="377" ht="12.75" customHeight="1" x14ac:dyDescent="0.25"/>
    <row r="378" ht="12.75" customHeight="1" x14ac:dyDescent="0.25"/>
    <row r="379" ht="12.75" customHeight="1" x14ac:dyDescent="0.25"/>
    <row r="380" ht="12.75" customHeight="1" x14ac:dyDescent="0.25"/>
    <row r="381" ht="12.75" customHeight="1" x14ac:dyDescent="0.25"/>
    <row r="382" ht="12.75" customHeight="1" x14ac:dyDescent="0.25"/>
    <row r="383" ht="12.75" customHeight="1" x14ac:dyDescent="0.25"/>
    <row r="384" ht="12.75" customHeight="1" x14ac:dyDescent="0.25"/>
    <row r="385" ht="12.75" customHeight="1" x14ac:dyDescent="0.25"/>
    <row r="386" ht="12.75" customHeight="1" x14ac:dyDescent="0.25"/>
    <row r="387" ht="12.75" customHeight="1" x14ac:dyDescent="0.25"/>
    <row r="388" ht="12.75" customHeight="1" x14ac:dyDescent="0.25"/>
    <row r="389" ht="12.75" customHeight="1" x14ac:dyDescent="0.25"/>
    <row r="390" ht="12.75" customHeight="1" x14ac:dyDescent="0.25"/>
    <row r="391" ht="12.75" customHeight="1" x14ac:dyDescent="0.25"/>
    <row r="392" ht="12.75" customHeight="1" x14ac:dyDescent="0.25"/>
    <row r="393" ht="12.75" customHeight="1" x14ac:dyDescent="0.25"/>
    <row r="394" ht="12.75" customHeight="1" x14ac:dyDescent="0.25"/>
    <row r="395" ht="12.75" customHeight="1" x14ac:dyDescent="0.25"/>
    <row r="396" ht="12.75" customHeight="1" x14ac:dyDescent="0.25"/>
    <row r="397" ht="12.75" customHeight="1" x14ac:dyDescent="0.25"/>
    <row r="398" ht="12.75" customHeight="1" x14ac:dyDescent="0.25"/>
    <row r="399" ht="12.75" customHeight="1" x14ac:dyDescent="0.25"/>
    <row r="400" ht="12.75" customHeight="1" x14ac:dyDescent="0.25"/>
    <row r="401" ht="12.75" customHeight="1" x14ac:dyDescent="0.25"/>
    <row r="402" ht="12.75" customHeight="1" x14ac:dyDescent="0.25"/>
    <row r="403" ht="12.75" customHeight="1" x14ac:dyDescent="0.25"/>
    <row r="404" ht="12.75" customHeight="1" x14ac:dyDescent="0.25"/>
    <row r="405" ht="12.75" customHeight="1" x14ac:dyDescent="0.25"/>
    <row r="406" ht="12.75" customHeight="1" x14ac:dyDescent="0.25"/>
    <row r="407" ht="12.75" customHeight="1" x14ac:dyDescent="0.25"/>
    <row r="408" ht="12.75" customHeight="1" x14ac:dyDescent="0.25"/>
    <row r="409" ht="12.75" customHeight="1" x14ac:dyDescent="0.25"/>
    <row r="410" ht="12.75" customHeight="1" x14ac:dyDescent="0.25"/>
    <row r="411" ht="12.75" customHeight="1" x14ac:dyDescent="0.25"/>
    <row r="412" ht="12.75" customHeight="1" x14ac:dyDescent="0.25"/>
    <row r="413" ht="12.75" customHeight="1" x14ac:dyDescent="0.25"/>
    <row r="414" ht="12.75" customHeight="1" x14ac:dyDescent="0.25"/>
    <row r="415" ht="12.75" customHeight="1" x14ac:dyDescent="0.25"/>
    <row r="416" ht="12.75" customHeight="1" x14ac:dyDescent="0.25"/>
    <row r="417" ht="12.75" customHeight="1" x14ac:dyDescent="0.25"/>
    <row r="418" ht="12.75" customHeight="1" x14ac:dyDescent="0.25"/>
    <row r="419" ht="12.75" customHeight="1" x14ac:dyDescent="0.25"/>
    <row r="420" ht="12.75" customHeight="1" x14ac:dyDescent="0.25"/>
    <row r="421" ht="12.75" customHeight="1" x14ac:dyDescent="0.25"/>
    <row r="422" ht="12.75" customHeight="1" x14ac:dyDescent="0.25"/>
    <row r="423" ht="12.75" customHeight="1" x14ac:dyDescent="0.25"/>
    <row r="424" ht="12.75" customHeight="1" x14ac:dyDescent="0.25"/>
    <row r="425" ht="12.75" customHeight="1" x14ac:dyDescent="0.25"/>
    <row r="426" ht="12.75" customHeight="1" x14ac:dyDescent="0.25"/>
    <row r="427" ht="12.75" customHeight="1" x14ac:dyDescent="0.25"/>
    <row r="428" ht="12.75" customHeight="1" x14ac:dyDescent="0.25"/>
    <row r="429" ht="12.75" customHeight="1" x14ac:dyDescent="0.25"/>
    <row r="430" ht="12.75" customHeight="1" x14ac:dyDescent="0.25"/>
    <row r="431" ht="12.75" customHeight="1" x14ac:dyDescent="0.25"/>
    <row r="432" ht="12.75" customHeight="1" x14ac:dyDescent="0.25"/>
    <row r="433" ht="12.75" customHeight="1" x14ac:dyDescent="0.25"/>
    <row r="434" ht="12.75" customHeight="1" x14ac:dyDescent="0.25"/>
    <row r="435" ht="12.75" customHeight="1" x14ac:dyDescent="0.25"/>
    <row r="436" ht="12.75" customHeight="1" x14ac:dyDescent="0.25"/>
    <row r="437" ht="12.75" customHeight="1" x14ac:dyDescent="0.25"/>
    <row r="438" ht="12.75" customHeight="1" x14ac:dyDescent="0.25"/>
    <row r="439" ht="12.75" customHeight="1" x14ac:dyDescent="0.25"/>
    <row r="440" ht="12.75" customHeight="1" x14ac:dyDescent="0.25"/>
    <row r="441" ht="12.75" customHeight="1" x14ac:dyDescent="0.25"/>
    <row r="442" ht="12.75" customHeight="1" x14ac:dyDescent="0.25"/>
    <row r="443" ht="12.75" customHeight="1" x14ac:dyDescent="0.25"/>
    <row r="444" ht="12.75" customHeight="1" x14ac:dyDescent="0.25"/>
    <row r="445" ht="12.75" customHeight="1" x14ac:dyDescent="0.25"/>
    <row r="446" ht="12.75" customHeight="1" x14ac:dyDescent="0.25"/>
    <row r="447" ht="12.75" customHeight="1" x14ac:dyDescent="0.25"/>
    <row r="448" ht="12.75" customHeight="1" x14ac:dyDescent="0.25"/>
    <row r="449" ht="12.75" customHeight="1" x14ac:dyDescent="0.25"/>
    <row r="450" ht="12.75" customHeight="1" x14ac:dyDescent="0.25"/>
    <row r="451" ht="12.75" customHeight="1" x14ac:dyDescent="0.25"/>
    <row r="452" ht="12.75" customHeight="1" x14ac:dyDescent="0.25"/>
    <row r="453" ht="12.75" customHeight="1" x14ac:dyDescent="0.25"/>
    <row r="454" ht="12.75" customHeight="1" x14ac:dyDescent="0.25"/>
    <row r="455" ht="12.75" customHeight="1" x14ac:dyDescent="0.25"/>
    <row r="456" ht="12.75" customHeight="1" x14ac:dyDescent="0.25"/>
    <row r="457" ht="12.75" customHeight="1" x14ac:dyDescent="0.25"/>
    <row r="458" ht="12.75" customHeight="1" x14ac:dyDescent="0.25"/>
    <row r="459" ht="12.75" customHeight="1" x14ac:dyDescent="0.25"/>
    <row r="460" ht="12.75" customHeight="1" x14ac:dyDescent="0.25"/>
    <row r="461" ht="12.75" customHeight="1" x14ac:dyDescent="0.25"/>
    <row r="462" ht="12.75" customHeight="1" x14ac:dyDescent="0.25"/>
    <row r="463" ht="12.75" customHeight="1" x14ac:dyDescent="0.25"/>
    <row r="464" ht="12.75" customHeight="1" x14ac:dyDescent="0.25"/>
    <row r="465" ht="12.75" customHeight="1" x14ac:dyDescent="0.25"/>
    <row r="466" ht="12.75" customHeight="1" x14ac:dyDescent="0.25"/>
    <row r="467" ht="12.75" customHeight="1" x14ac:dyDescent="0.25"/>
    <row r="468" ht="12.75" customHeight="1" x14ac:dyDescent="0.25"/>
    <row r="469" ht="12.75" customHeight="1" x14ac:dyDescent="0.25"/>
    <row r="470" ht="12.75" customHeight="1" x14ac:dyDescent="0.25"/>
    <row r="471" ht="12.75" customHeight="1" x14ac:dyDescent="0.25"/>
    <row r="472" ht="12.75" customHeight="1" x14ac:dyDescent="0.25"/>
    <row r="473" ht="12.75" customHeight="1" x14ac:dyDescent="0.25"/>
    <row r="474" ht="12.75" customHeight="1" x14ac:dyDescent="0.25"/>
    <row r="475" ht="12.75" customHeight="1" x14ac:dyDescent="0.25"/>
    <row r="476" ht="12.75" customHeight="1" x14ac:dyDescent="0.25"/>
    <row r="477" ht="12.75" customHeight="1" x14ac:dyDescent="0.25"/>
    <row r="478" ht="12.75" customHeight="1" x14ac:dyDescent="0.25"/>
    <row r="479" ht="12.75" customHeight="1" x14ac:dyDescent="0.25"/>
    <row r="480" ht="12.75" customHeight="1" x14ac:dyDescent="0.25"/>
    <row r="481" ht="12.75" customHeight="1" x14ac:dyDescent="0.25"/>
    <row r="482" ht="12.75" customHeight="1" x14ac:dyDescent="0.25"/>
    <row r="483" ht="12.75" customHeight="1" x14ac:dyDescent="0.25"/>
    <row r="484" ht="12.75" customHeight="1" x14ac:dyDescent="0.25"/>
    <row r="485" ht="12.75" customHeight="1" x14ac:dyDescent="0.25"/>
    <row r="486" ht="12.75" customHeight="1" x14ac:dyDescent="0.25"/>
    <row r="487" ht="12.75" customHeight="1" x14ac:dyDescent="0.25"/>
    <row r="488" ht="12.75" customHeight="1" x14ac:dyDescent="0.25"/>
    <row r="489" ht="12.75" customHeight="1" x14ac:dyDescent="0.25"/>
    <row r="490" ht="12.75" customHeight="1" x14ac:dyDescent="0.25"/>
    <row r="491" ht="12.75" customHeight="1" x14ac:dyDescent="0.25"/>
    <row r="492" ht="12.75" customHeight="1" x14ac:dyDescent="0.25"/>
    <row r="493" ht="12.75" customHeight="1" x14ac:dyDescent="0.25"/>
    <row r="494" ht="12.75" customHeight="1" x14ac:dyDescent="0.25"/>
    <row r="495" ht="12.75" customHeight="1" x14ac:dyDescent="0.25"/>
    <row r="496" ht="12.75" customHeight="1" x14ac:dyDescent="0.25"/>
    <row r="497" ht="12.75" customHeight="1" x14ac:dyDescent="0.25"/>
    <row r="498" ht="12.75" customHeight="1" x14ac:dyDescent="0.25"/>
    <row r="499" ht="12.75" customHeight="1" x14ac:dyDescent="0.25"/>
    <row r="500" ht="12.75" customHeight="1" x14ac:dyDescent="0.25"/>
    <row r="501" ht="12.75" customHeight="1" x14ac:dyDescent="0.25"/>
    <row r="502" ht="12.75" customHeight="1" x14ac:dyDescent="0.25"/>
    <row r="503" ht="12.75" customHeight="1" x14ac:dyDescent="0.25"/>
    <row r="504" ht="12.75" customHeight="1" x14ac:dyDescent="0.25"/>
    <row r="505" ht="12.75" customHeight="1" x14ac:dyDescent="0.25"/>
    <row r="506" ht="12.75" customHeight="1" x14ac:dyDescent="0.25"/>
    <row r="507" ht="12.75" customHeight="1" x14ac:dyDescent="0.25"/>
    <row r="508" ht="12.75" customHeight="1" x14ac:dyDescent="0.25"/>
    <row r="509" ht="12.75" customHeight="1" x14ac:dyDescent="0.25"/>
    <row r="510" ht="12.75" customHeight="1" x14ac:dyDescent="0.25"/>
    <row r="511" ht="12.75" customHeight="1" x14ac:dyDescent="0.25"/>
    <row r="512" ht="12.75" customHeight="1" x14ac:dyDescent="0.25"/>
    <row r="513" ht="12.75" customHeight="1" x14ac:dyDescent="0.25"/>
    <row r="514" ht="12.75" customHeight="1" x14ac:dyDescent="0.25"/>
    <row r="515" ht="12.75" customHeight="1" x14ac:dyDescent="0.25"/>
    <row r="516" ht="12.75" customHeight="1" x14ac:dyDescent="0.25"/>
    <row r="517" ht="12.75" customHeight="1" x14ac:dyDescent="0.25"/>
    <row r="518" ht="12.75" customHeight="1" x14ac:dyDescent="0.25"/>
    <row r="519" ht="12.75" customHeight="1" x14ac:dyDescent="0.25"/>
    <row r="520" ht="12.75" customHeight="1" x14ac:dyDescent="0.25"/>
  </sheetData>
  <sortState ref="B241:I253">
    <sortCondition ref="C242"/>
  </sortState>
  <mergeCells count="18">
    <mergeCell ref="B239:I239"/>
    <mergeCell ref="B47:I47"/>
    <mergeCell ref="B68:I68"/>
    <mergeCell ref="A89:F89"/>
    <mergeCell ref="B92:I92"/>
    <mergeCell ref="B113:I113"/>
    <mergeCell ref="B134:I134"/>
    <mergeCell ref="B155:I155"/>
    <mergeCell ref="A174:F174"/>
    <mergeCell ref="B176:I176"/>
    <mergeCell ref="B197:I197"/>
    <mergeCell ref="B218:I218"/>
    <mergeCell ref="AA35:AM35"/>
    <mergeCell ref="A1:F1"/>
    <mergeCell ref="B4:I4"/>
    <mergeCell ref="AA6:AM6"/>
    <mergeCell ref="AA21:AM21"/>
    <mergeCell ref="B25:I25"/>
  </mergeCells>
  <pageMargins left="0.7" right="0.7" top="0.75" bottom="0.75" header="0" footer="0"/>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43B781-0EAE-462B-A039-4AC203DF5E60}">
  <dimension ref="A1:Y520"/>
  <sheetViews>
    <sheetView showGridLines="0" zoomScale="55" zoomScaleNormal="55" workbookViewId="0">
      <selection activeCell="Y19" sqref="Y19"/>
    </sheetView>
  </sheetViews>
  <sheetFormatPr defaultColWidth="12.6640625" defaultRowHeight="15" customHeight="1" x14ac:dyDescent="0.25"/>
  <cols>
    <col min="1" max="1" width="8.6640625" style="2" customWidth="1"/>
    <col min="2" max="2" width="15.109375" style="2" bestFit="1" customWidth="1"/>
    <col min="3" max="3" width="16.33203125" style="2" bestFit="1" customWidth="1"/>
    <col min="4" max="4" width="13.21875" style="2" customWidth="1"/>
    <col min="5" max="5" width="9.6640625" style="2" customWidth="1"/>
    <col min="6" max="6" width="13.33203125" style="2" customWidth="1"/>
    <col min="7" max="7" width="14" style="2" bestFit="1" customWidth="1"/>
    <col min="8" max="8" width="14.21875" style="2" bestFit="1" customWidth="1"/>
    <col min="9" max="9" width="20.21875" style="2" bestFit="1" customWidth="1"/>
    <col min="10" max="13" width="16.109375" style="2" customWidth="1"/>
    <col min="14" max="14" width="20" style="2" customWidth="1"/>
    <col min="15" max="15" width="12.6640625" style="2"/>
    <col min="16" max="16" width="27.77734375" style="2" customWidth="1"/>
    <col min="17" max="17" width="17.21875" style="2" bestFit="1" customWidth="1"/>
    <col min="18" max="18" width="12" style="2" bestFit="1" customWidth="1"/>
    <col min="19" max="20" width="12.44140625" style="2" bestFit="1" customWidth="1"/>
    <col min="21" max="21" width="17.21875" style="2" bestFit="1" customWidth="1"/>
    <col min="22" max="22" width="12" style="2" bestFit="1" customWidth="1"/>
    <col min="23" max="23" width="7.88671875" style="2" customWidth="1"/>
    <col min="24" max="24" width="13" style="2" customWidth="1"/>
    <col min="25" max="25" width="14.44140625" style="2" customWidth="1"/>
    <col min="26" max="16384" width="12.6640625" style="2"/>
  </cols>
  <sheetData>
    <row r="1" spans="1:25" ht="25.05" customHeight="1" x14ac:dyDescent="0.25">
      <c r="A1" s="252" t="s">
        <v>81</v>
      </c>
      <c r="B1" s="252"/>
      <c r="C1" s="252"/>
      <c r="D1" s="252"/>
      <c r="E1" s="252"/>
      <c r="F1" s="252"/>
    </row>
    <row r="2" spans="1:25" ht="12.75" customHeight="1" x14ac:dyDescent="0.25">
      <c r="D2" s="1"/>
    </row>
    <row r="3" spans="1:25" ht="12.75" customHeight="1" x14ac:dyDescent="0.25"/>
    <row r="4" spans="1:25" ht="21" customHeight="1" thickBot="1" x14ac:dyDescent="0.35">
      <c r="B4" s="256" t="s">
        <v>95</v>
      </c>
      <c r="C4" s="256"/>
      <c r="D4" s="256"/>
      <c r="E4" s="256"/>
      <c r="F4" s="256"/>
      <c r="G4" s="256"/>
      <c r="H4" s="256"/>
      <c r="I4" s="256"/>
    </row>
    <row r="5" spans="1:25" s="8" customFormat="1" ht="40.200000000000003" customHeight="1" thickBot="1" x14ac:dyDescent="0.3">
      <c r="B5" s="36" t="s">
        <v>19</v>
      </c>
      <c r="C5" s="37" t="s">
        <v>42</v>
      </c>
      <c r="D5" s="37" t="s">
        <v>41</v>
      </c>
      <c r="E5" s="37" t="s">
        <v>27</v>
      </c>
      <c r="F5" s="37" t="s">
        <v>16</v>
      </c>
      <c r="G5" s="37" t="s">
        <v>28</v>
      </c>
      <c r="H5" s="37" t="s">
        <v>116</v>
      </c>
      <c r="I5" s="37" t="s">
        <v>20</v>
      </c>
      <c r="U5" s="23"/>
      <c r="V5" s="121" t="s">
        <v>131</v>
      </c>
      <c r="W5" s="127" t="s">
        <v>134</v>
      </c>
      <c r="X5" s="127" t="s">
        <v>132</v>
      </c>
      <c r="Y5" s="127" t="s">
        <v>133</v>
      </c>
    </row>
    <row r="6" spans="1:25" ht="12.75" customHeight="1" x14ac:dyDescent="0.25">
      <c r="B6" s="4"/>
      <c r="C6" s="26">
        <v>0</v>
      </c>
      <c r="D6" s="26">
        <v>0</v>
      </c>
      <c r="E6" s="49">
        <v>0</v>
      </c>
      <c r="F6" s="49">
        <v>0</v>
      </c>
      <c r="G6" s="49">
        <v>0</v>
      </c>
      <c r="H6" s="50">
        <f>F6</f>
        <v>0</v>
      </c>
      <c r="I6" s="49">
        <v>0</v>
      </c>
      <c r="P6" s="18"/>
      <c r="Q6" s="14"/>
      <c r="R6" s="15"/>
      <c r="U6" s="18" t="s">
        <v>0</v>
      </c>
      <c r="V6" s="60">
        <f>I20</f>
        <v>0.5635443044563293</v>
      </c>
      <c r="W6" s="60">
        <f>I41</f>
        <v>0.53788694952166738</v>
      </c>
      <c r="X6" s="60">
        <f>I63</f>
        <v>0.63224782461028295</v>
      </c>
      <c r="Y6" s="60">
        <f>I84</f>
        <v>0.17608983116114552</v>
      </c>
    </row>
    <row r="7" spans="1:25" ht="12.75" customHeight="1" x14ac:dyDescent="0.25">
      <c r="B7" s="82" t="s">
        <v>2</v>
      </c>
      <c r="C7" s="29">
        <v>3.4774667730851241</v>
      </c>
      <c r="D7" s="29">
        <v>71.985630555915122</v>
      </c>
      <c r="E7" s="49">
        <f t="shared" ref="E7:E17" si="0">C7/$C$18</f>
        <v>1.572820191697484E-3</v>
      </c>
      <c r="F7" s="49">
        <f t="shared" ref="F7:F17" si="1">D7/$D$18</f>
        <v>0.32633091997157765</v>
      </c>
      <c r="G7" s="49">
        <f t="shared" ref="G7:G17" si="2">G6+E7</f>
        <v>1.572820191697484E-3</v>
      </c>
      <c r="H7" s="50">
        <f t="shared" ref="H7:H17" si="3">F7+H6</f>
        <v>0.32633091997157765</v>
      </c>
      <c r="I7" s="49">
        <f t="shared" ref="I7:I17" si="4">(G6+G7)*0.5*(H7-H6)</f>
        <v>2.5662993005325655E-4</v>
      </c>
      <c r="P7" s="18"/>
      <c r="Q7" s="14"/>
      <c r="R7" s="15"/>
      <c r="U7" s="18" t="s">
        <v>130</v>
      </c>
      <c r="V7" s="60">
        <f>I108</f>
        <v>0.31976737568114222</v>
      </c>
      <c r="W7" s="60">
        <f>I129</f>
        <v>0.304622346878205</v>
      </c>
      <c r="X7" s="60">
        <f>I150</f>
        <v>0.4399416736319044</v>
      </c>
      <c r="Y7" s="60">
        <f>I171</f>
        <v>8.4142298614059641E-2</v>
      </c>
    </row>
    <row r="8" spans="1:25" ht="12.75" customHeight="1" thickBot="1" x14ac:dyDescent="0.3">
      <c r="B8" s="82" t="s">
        <v>3</v>
      </c>
      <c r="C8" s="29">
        <v>15.066778136817998</v>
      </c>
      <c r="D8" s="29">
        <v>1.1534014149577714</v>
      </c>
      <c r="E8" s="49">
        <f t="shared" si="0"/>
        <v>6.8145389801639563E-3</v>
      </c>
      <c r="F8" s="49">
        <f t="shared" si="1"/>
        <v>5.2286899751100473E-3</v>
      </c>
      <c r="G8" s="49">
        <f t="shared" si="2"/>
        <v>8.3873591718614405E-3</v>
      </c>
      <c r="H8" s="50">
        <f t="shared" si="3"/>
        <v>0.33155960994668771</v>
      </c>
      <c r="I8" s="49">
        <f t="shared" si="4"/>
        <v>2.6039344994269307E-5</v>
      </c>
      <c r="P8" s="18"/>
      <c r="Q8" s="14"/>
      <c r="R8" s="15"/>
      <c r="U8" s="125" t="s">
        <v>135</v>
      </c>
      <c r="V8" s="126">
        <f>I192</f>
        <v>0.13594769997826517</v>
      </c>
      <c r="W8" s="126">
        <f>I213</f>
        <v>2.3053535438189776E-2</v>
      </c>
      <c r="X8" s="126">
        <f>I234</f>
        <v>0.73907645650015641</v>
      </c>
      <c r="Y8" s="126">
        <f>I255</f>
        <v>0.32619503441494402</v>
      </c>
    </row>
    <row r="9" spans="1:25" ht="12.75" customHeight="1" x14ac:dyDescent="0.25">
      <c r="B9" s="82" t="s">
        <v>1</v>
      </c>
      <c r="C9" s="29">
        <v>15.505046378301394</v>
      </c>
      <c r="D9" s="29">
        <v>4.8252078498866728</v>
      </c>
      <c r="E9" s="49">
        <f t="shared" si="0"/>
        <v>7.0127629128611734E-3</v>
      </c>
      <c r="F9" s="49">
        <f t="shared" si="1"/>
        <v>2.187401158463852E-2</v>
      </c>
      <c r="G9" s="49">
        <f t="shared" si="2"/>
        <v>1.5400122084722613E-2</v>
      </c>
      <c r="H9" s="50">
        <f t="shared" si="3"/>
        <v>0.35343362153132624</v>
      </c>
      <c r="I9" s="49">
        <f t="shared" si="4"/>
        <v>2.6016382028794575E-4</v>
      </c>
      <c r="P9" s="18"/>
      <c r="Q9" s="14"/>
      <c r="R9" s="15"/>
    </row>
    <row r="10" spans="1:25" ht="12.75" customHeight="1" x14ac:dyDescent="0.25">
      <c r="B10" s="111" t="s">
        <v>6</v>
      </c>
      <c r="C10" s="29">
        <v>25.22714592864719</v>
      </c>
      <c r="D10" s="29">
        <v>9.3198591220623097</v>
      </c>
      <c r="E10" s="49">
        <f t="shared" si="0"/>
        <v>1.1409962218064309E-2</v>
      </c>
      <c r="F10" s="49">
        <f t="shared" si="1"/>
        <v>4.2249518102723385E-2</v>
      </c>
      <c r="G10" s="49">
        <f t="shared" si="2"/>
        <v>2.6810084302786922E-2</v>
      </c>
      <c r="H10" s="50">
        <f t="shared" si="3"/>
        <v>0.39568313963404961</v>
      </c>
      <c r="I10" s="49">
        <f t="shared" si="4"/>
        <v>8.9168043944438697E-4</v>
      </c>
      <c r="P10" s="18"/>
      <c r="Q10" s="14"/>
      <c r="R10" s="15"/>
    </row>
    <row r="11" spans="1:25" ht="12.75" customHeight="1" x14ac:dyDescent="0.25">
      <c r="B11" s="82" t="s">
        <v>195</v>
      </c>
      <c r="C11" s="29">
        <v>27.810279358694004</v>
      </c>
      <c r="D11" s="29">
        <v>3.0144292908057531</v>
      </c>
      <c r="E11" s="49">
        <f t="shared" si="0"/>
        <v>1.2578285219184457E-2</v>
      </c>
      <c r="F11" s="49">
        <f t="shared" si="1"/>
        <v>1.3665247856567954E-2</v>
      </c>
      <c r="G11" s="49">
        <f t="shared" si="2"/>
        <v>3.9388369521971375E-2</v>
      </c>
      <c r="H11" s="50">
        <f t="shared" si="3"/>
        <v>0.40934838749061758</v>
      </c>
      <c r="I11" s="49">
        <f t="shared" si="4"/>
        <v>4.5230913961844617E-4</v>
      </c>
      <c r="P11" s="18"/>
      <c r="Q11" s="14"/>
      <c r="R11" s="15"/>
    </row>
    <row r="12" spans="1:25" ht="12.75" customHeight="1" x14ac:dyDescent="0.25">
      <c r="B12" s="82" t="s">
        <v>5</v>
      </c>
      <c r="C12" s="29">
        <v>85.552170131890833</v>
      </c>
      <c r="D12" s="29">
        <v>16.484698612131034</v>
      </c>
      <c r="E12" s="49">
        <f t="shared" si="0"/>
        <v>3.8694310947391036E-2</v>
      </c>
      <c r="F12" s="49">
        <f t="shared" si="1"/>
        <v>7.4729731781294703E-2</v>
      </c>
      <c r="G12" s="49">
        <f t="shared" si="2"/>
        <v>7.8082680469362412E-2</v>
      </c>
      <c r="H12" s="50">
        <f t="shared" si="3"/>
        <v>0.4840781192719123</v>
      </c>
      <c r="I12" s="49">
        <f t="shared" si="4"/>
        <v>4.3892900289597189E-3</v>
      </c>
      <c r="P12" s="18"/>
      <c r="Q12" s="14"/>
      <c r="R12" s="15"/>
    </row>
    <row r="13" spans="1:25" ht="12.75" customHeight="1" x14ac:dyDescent="0.25">
      <c r="B13" s="82" t="s">
        <v>9</v>
      </c>
      <c r="C13" s="29">
        <v>147.33919010948145</v>
      </c>
      <c r="D13" s="29">
        <v>9.4846621325994338</v>
      </c>
      <c r="E13" s="49">
        <f t="shared" si="0"/>
        <v>6.6639904376988274E-2</v>
      </c>
      <c r="F13" s="49">
        <f t="shared" si="1"/>
        <v>4.2996616066960723E-2</v>
      </c>
      <c r="G13" s="49">
        <f t="shared" si="2"/>
        <v>0.1447225848463507</v>
      </c>
      <c r="H13" s="50">
        <f t="shared" si="3"/>
        <v>0.52707473533887306</v>
      </c>
      <c r="I13" s="49">
        <f t="shared" si="4"/>
        <v>4.7899362252385221E-3</v>
      </c>
      <c r="P13" s="18"/>
      <c r="Q13" s="14"/>
      <c r="R13" s="15"/>
    </row>
    <row r="14" spans="1:25" ht="12.75" customHeight="1" x14ac:dyDescent="0.25">
      <c r="B14" s="111" t="s">
        <v>10</v>
      </c>
      <c r="C14" s="29">
        <v>339.88345704567735</v>
      </c>
      <c r="D14" s="29">
        <v>32.279830657951983</v>
      </c>
      <c r="E14" s="49">
        <f t="shared" si="0"/>
        <v>0.15372557063747969</v>
      </c>
      <c r="F14" s="49">
        <f t="shared" si="1"/>
        <v>0.14633346619022741</v>
      </c>
      <c r="G14" s="49">
        <f t="shared" si="2"/>
        <v>0.29844815548383041</v>
      </c>
      <c r="H14" s="50">
        <f t="shared" si="3"/>
        <v>0.67340820152910053</v>
      </c>
      <c r="I14" s="49">
        <f t="shared" si="4"/>
        <v>3.2425355273302314E-2</v>
      </c>
      <c r="P14" s="18"/>
      <c r="Q14" s="14"/>
      <c r="R14" s="15"/>
    </row>
    <row r="15" spans="1:25" ht="12.75" customHeight="1" x14ac:dyDescent="0.25">
      <c r="B15" s="82" t="s">
        <v>7</v>
      </c>
      <c r="C15" s="29">
        <v>392.56604129317407</v>
      </c>
      <c r="D15" s="29">
        <v>30.543718640108114</v>
      </c>
      <c r="E15" s="49">
        <f t="shared" si="0"/>
        <v>0.17755332735296805</v>
      </c>
      <c r="F15" s="49">
        <f t="shared" si="1"/>
        <v>0.13846318669720228</v>
      </c>
      <c r="G15" s="49">
        <f t="shared" si="2"/>
        <v>0.47600148283679844</v>
      </c>
      <c r="H15" s="50">
        <f t="shared" si="3"/>
        <v>0.81187138822630278</v>
      </c>
      <c r="I15" s="49">
        <f t="shared" si="4"/>
        <v>5.3616382429184997E-2</v>
      </c>
      <c r="P15" s="18"/>
      <c r="Q15" s="14"/>
      <c r="R15" s="15"/>
    </row>
    <row r="16" spans="1:25" ht="12.75" customHeight="1" x14ac:dyDescent="0.25">
      <c r="B16" s="82" t="s">
        <v>4</v>
      </c>
      <c r="C16" s="29">
        <v>465.09746142377105</v>
      </c>
      <c r="D16" s="29">
        <v>31.578450691945829</v>
      </c>
      <c r="E16" s="49">
        <f t="shared" si="0"/>
        <v>0.21035849547041588</v>
      </c>
      <c r="F16" s="49">
        <f t="shared" si="1"/>
        <v>0.14315391538558958</v>
      </c>
      <c r="G16" s="49">
        <f t="shared" si="2"/>
        <v>0.68635997830721429</v>
      </c>
      <c r="H16" s="50">
        <f t="shared" si="3"/>
        <v>0.95502530361189231</v>
      </c>
      <c r="I16" s="49">
        <f t="shared" si="4"/>
        <v>8.3198297128040097E-2</v>
      </c>
      <c r="P16" s="18"/>
      <c r="Q16" s="14"/>
      <c r="R16" s="15"/>
    </row>
    <row r="17" spans="1:14" ht="12.75" customHeight="1" thickBot="1" x14ac:dyDescent="0.3">
      <c r="B17" s="86" t="s">
        <v>8</v>
      </c>
      <c r="C17" s="32">
        <v>693.45037652984286</v>
      </c>
      <c r="D17" s="32">
        <v>9.9210086461949327</v>
      </c>
      <c r="E17" s="51">
        <f t="shared" si="0"/>
        <v>0.31364002169278571</v>
      </c>
      <c r="F17" s="51">
        <f t="shared" si="1"/>
        <v>4.4974696388107666E-2</v>
      </c>
      <c r="G17" s="49">
        <f t="shared" si="2"/>
        <v>1</v>
      </c>
      <c r="H17" s="52">
        <f t="shared" si="3"/>
        <v>1</v>
      </c>
      <c r="I17" s="51">
        <f t="shared" si="4"/>
        <v>3.7921764012711419E-2</v>
      </c>
    </row>
    <row r="18" spans="1:14" ht="12.75" customHeight="1" thickBot="1" x14ac:dyDescent="0.3">
      <c r="B18" s="35" t="s">
        <v>12</v>
      </c>
      <c r="C18" s="6">
        <f>SUM(C6:C17)</f>
        <v>2210.9754131093832</v>
      </c>
      <c r="D18" s="6">
        <f>SUM(D6:D17)</f>
        <v>220.59089761455897</v>
      </c>
      <c r="E18" s="59">
        <f>SUM(E7:E17)</f>
        <v>1</v>
      </c>
      <c r="F18" s="59">
        <f>SUM(F7:F17)</f>
        <v>1</v>
      </c>
      <c r="G18" s="53"/>
      <c r="H18" s="53"/>
      <c r="I18" s="59">
        <f>SUM(I6:I17)</f>
        <v>0.21822784777183535</v>
      </c>
    </row>
    <row r="19" spans="1:14" ht="12.75" customHeight="1" thickBot="1" x14ac:dyDescent="0.3">
      <c r="B19" s="4"/>
      <c r="C19" s="4"/>
      <c r="D19" s="4"/>
      <c r="E19" s="50"/>
      <c r="F19" s="50"/>
      <c r="G19" s="50"/>
      <c r="H19" s="53"/>
      <c r="I19" s="53"/>
    </row>
    <row r="20" spans="1:14" ht="12.75" customHeight="1" thickBot="1" x14ac:dyDescent="0.3">
      <c r="B20" s="4"/>
      <c r="C20" s="4"/>
      <c r="D20" s="4"/>
      <c r="E20" s="50"/>
      <c r="F20" s="50"/>
      <c r="G20" s="55"/>
      <c r="H20" s="56" t="s">
        <v>30</v>
      </c>
      <c r="I20" s="52">
        <f>1-(2*I18)</f>
        <v>0.5635443044563293</v>
      </c>
    </row>
    <row r="21" spans="1:14" ht="12.75" customHeight="1" x14ac:dyDescent="0.25"/>
    <row r="22" spans="1:14" ht="12.75" customHeight="1" x14ac:dyDescent="0.25"/>
    <row r="23" spans="1:14" ht="12.75" customHeight="1" x14ac:dyDescent="0.25"/>
    <row r="24" spans="1:14" ht="13.2" customHeight="1" x14ac:dyDescent="0.25"/>
    <row r="25" spans="1:14" ht="14.4" customHeight="1" thickBot="1" x14ac:dyDescent="0.35">
      <c r="B25" s="256" t="s">
        <v>96</v>
      </c>
      <c r="C25" s="256"/>
      <c r="D25" s="256"/>
      <c r="E25" s="256"/>
      <c r="F25" s="256"/>
      <c r="G25" s="256"/>
      <c r="H25" s="256"/>
      <c r="I25" s="256"/>
    </row>
    <row r="26" spans="1:14" ht="12.6" customHeight="1" thickBot="1" x14ac:dyDescent="0.3">
      <c r="B26" s="36" t="s">
        <v>19</v>
      </c>
      <c r="C26" s="37" t="s">
        <v>97</v>
      </c>
      <c r="D26" s="37" t="s">
        <v>41</v>
      </c>
      <c r="E26" s="37" t="s">
        <v>31</v>
      </c>
      <c r="F26" s="37" t="s">
        <v>16</v>
      </c>
      <c r="G26" s="37" t="s">
        <v>32</v>
      </c>
      <c r="H26" s="37" t="s">
        <v>116</v>
      </c>
      <c r="I26" s="37" t="s">
        <v>20</v>
      </c>
      <c r="J26" s="8"/>
      <c r="K26" s="8"/>
      <c r="L26" s="8"/>
      <c r="M26" s="8"/>
      <c r="N26" s="8"/>
    </row>
    <row r="27" spans="1:14" ht="12.75" customHeight="1" x14ac:dyDescent="0.25">
      <c r="B27" s="4"/>
      <c r="C27" s="26">
        <v>0</v>
      </c>
      <c r="D27" s="26">
        <v>0</v>
      </c>
      <c r="E27" s="49">
        <f t="shared" ref="E27:E38" si="5">C27/$C$39</f>
        <v>0</v>
      </c>
      <c r="F27" s="49">
        <f t="shared" ref="F27:F38" si="6">D27/$D$39</f>
        <v>0</v>
      </c>
      <c r="G27" s="49">
        <v>0</v>
      </c>
      <c r="H27" s="50">
        <f>F27</f>
        <v>0</v>
      </c>
      <c r="I27" s="49">
        <v>0</v>
      </c>
    </row>
    <row r="28" spans="1:14" ht="13.2" x14ac:dyDescent="0.25">
      <c r="A28" s="8"/>
      <c r="B28" s="82" t="s">
        <v>3</v>
      </c>
      <c r="C28" s="29">
        <v>12.117680835667821</v>
      </c>
      <c r="D28" s="29">
        <v>1.1534014149577714</v>
      </c>
      <c r="E28" s="49">
        <f t="shared" si="5"/>
        <v>5.6800071776456134E-3</v>
      </c>
      <c r="F28" s="49">
        <f t="shared" si="6"/>
        <v>5.2286899751100473E-3</v>
      </c>
      <c r="G28" s="49">
        <f t="shared" ref="G28:G38" si="7">G27+E28</f>
        <v>5.6800071776456134E-3</v>
      </c>
      <c r="H28" s="50">
        <f t="shared" ref="H28:H38" si="8">F28+H27</f>
        <v>5.2286899751100473E-3</v>
      </c>
      <c r="I28" s="49">
        <f t="shared" ref="I28:I38" si="9">(G27+G28)*0.5*(H28-H27)</f>
        <v>1.4849498294154366E-5</v>
      </c>
    </row>
    <row r="29" spans="1:14" ht="12.75" customHeight="1" x14ac:dyDescent="0.25">
      <c r="B29" s="82" t="s">
        <v>1</v>
      </c>
      <c r="C29" s="29">
        <v>14.753958320027856</v>
      </c>
      <c r="D29" s="29">
        <v>4.8252078498866728</v>
      </c>
      <c r="E29" s="49">
        <f t="shared" si="5"/>
        <v>6.9157283718658006E-3</v>
      </c>
      <c r="F29" s="49">
        <f t="shared" si="6"/>
        <v>2.187401158463852E-2</v>
      </c>
      <c r="G29" s="49">
        <f t="shared" si="7"/>
        <v>1.2595735549511414E-2</v>
      </c>
      <c r="H29" s="50">
        <f t="shared" si="8"/>
        <v>2.7102701559748567E-2</v>
      </c>
      <c r="I29" s="49">
        <f t="shared" si="9"/>
        <v>1.99881904065853E-4</v>
      </c>
    </row>
    <row r="30" spans="1:14" ht="12.75" customHeight="1" x14ac:dyDescent="0.25">
      <c r="B30" s="111" t="s">
        <v>6</v>
      </c>
      <c r="C30" s="29">
        <v>21.755018612897892</v>
      </c>
      <c r="D30" s="29">
        <v>9.3198591220623097</v>
      </c>
      <c r="E30" s="49">
        <f t="shared" si="5"/>
        <v>1.019738541944061E-2</v>
      </c>
      <c r="F30" s="49">
        <f t="shared" si="6"/>
        <v>4.2249518102723385E-2</v>
      </c>
      <c r="G30" s="49">
        <f t="shared" si="7"/>
        <v>2.2793120968952023E-2</v>
      </c>
      <c r="H30" s="50">
        <f t="shared" si="8"/>
        <v>6.9352219662471959E-2</v>
      </c>
      <c r="I30" s="49">
        <f t="shared" si="9"/>
        <v>7.475810670557508E-4</v>
      </c>
    </row>
    <row r="31" spans="1:14" ht="12.75" customHeight="1" x14ac:dyDescent="0.25">
      <c r="B31" s="82" t="s">
        <v>195</v>
      </c>
      <c r="C31" s="29">
        <v>25.458676695696266</v>
      </c>
      <c r="D31" s="29">
        <v>3.0144292908057531</v>
      </c>
      <c r="E31" s="49">
        <f t="shared" si="5"/>
        <v>1.1933427553172926E-2</v>
      </c>
      <c r="F31" s="49">
        <f t="shared" si="6"/>
        <v>1.3665247856567954E-2</v>
      </c>
      <c r="G31" s="49">
        <f t="shared" si="7"/>
        <v>3.472654852212495E-2</v>
      </c>
      <c r="H31" s="50">
        <f t="shared" si="8"/>
        <v>8.3017467519039906E-2</v>
      </c>
      <c r="I31" s="49">
        <f t="shared" si="9"/>
        <v>3.9301027011171816E-4</v>
      </c>
    </row>
    <row r="32" spans="1:14" ht="12.75" customHeight="1" x14ac:dyDescent="0.25">
      <c r="B32" s="82" t="s">
        <v>2</v>
      </c>
      <c r="C32" s="29">
        <v>61.182552659450373</v>
      </c>
      <c r="D32" s="29">
        <v>71.985630555915122</v>
      </c>
      <c r="E32" s="49">
        <f t="shared" si="5"/>
        <v>2.8678535353849063E-2</v>
      </c>
      <c r="F32" s="49">
        <f t="shared" si="6"/>
        <v>0.32633091997157765</v>
      </c>
      <c r="G32" s="49">
        <f t="shared" si="7"/>
        <v>6.3405083875974017E-2</v>
      </c>
      <c r="H32" s="50">
        <f t="shared" si="8"/>
        <v>0.40934838749061753</v>
      </c>
      <c r="I32" s="49">
        <f t="shared" si="9"/>
        <v>1.6011692939392152E-2</v>
      </c>
    </row>
    <row r="33" spans="2:14" ht="12.75" customHeight="1" x14ac:dyDescent="0.25">
      <c r="B33" s="82" t="s">
        <v>5</v>
      </c>
      <c r="C33" s="29">
        <v>61.374662151806149</v>
      </c>
      <c r="D33" s="29">
        <v>16.484698612131034</v>
      </c>
      <c r="E33" s="49">
        <f t="shared" si="5"/>
        <v>2.8768584209754131E-2</v>
      </c>
      <c r="F33" s="49">
        <f t="shared" si="6"/>
        <v>7.4729731781294703E-2</v>
      </c>
      <c r="G33" s="49">
        <f t="shared" si="7"/>
        <v>9.2173668085728147E-2</v>
      </c>
      <c r="H33" s="50">
        <f t="shared" si="8"/>
        <v>0.48407811927191224</v>
      </c>
      <c r="I33" s="49">
        <f t="shared" si="9"/>
        <v>5.8131792024832913E-3</v>
      </c>
    </row>
    <row r="34" spans="2:14" ht="12.75" customHeight="1" x14ac:dyDescent="0.25">
      <c r="B34" s="82" t="s">
        <v>9</v>
      </c>
      <c r="C34" s="29">
        <v>132.5381726843523</v>
      </c>
      <c r="D34" s="29">
        <v>9.4846621325994338</v>
      </c>
      <c r="E34" s="49">
        <f t="shared" si="5"/>
        <v>6.212556530976384E-2</v>
      </c>
      <c r="F34" s="49">
        <f t="shared" si="6"/>
        <v>4.2996616066960723E-2</v>
      </c>
      <c r="G34" s="49">
        <f t="shared" si="7"/>
        <v>0.15429923339549198</v>
      </c>
      <c r="H34" s="50">
        <f t="shared" si="8"/>
        <v>0.52707473533887295</v>
      </c>
      <c r="I34" s="49">
        <f t="shared" si="9"/>
        <v>5.2987503579489262E-3</v>
      </c>
    </row>
    <row r="35" spans="2:14" ht="12.75" customHeight="1" x14ac:dyDescent="0.25">
      <c r="B35" s="111" t="s">
        <v>10</v>
      </c>
      <c r="C35" s="29">
        <v>298.67589123453513</v>
      </c>
      <c r="D35" s="29">
        <v>32.279830657951983</v>
      </c>
      <c r="E35" s="49">
        <f t="shared" si="5"/>
        <v>0.14000048598477258</v>
      </c>
      <c r="F35" s="49">
        <f t="shared" si="6"/>
        <v>0.14633346619022741</v>
      </c>
      <c r="G35" s="49">
        <f t="shared" si="7"/>
        <v>0.29429971938026456</v>
      </c>
      <c r="H35" s="50">
        <f t="shared" si="8"/>
        <v>0.6734082015291003</v>
      </c>
      <c r="I35" s="49">
        <f t="shared" si="9"/>
        <v>3.2822519844491284E-2</v>
      </c>
    </row>
    <row r="36" spans="2:14" ht="12.75" customHeight="1" x14ac:dyDescent="0.25">
      <c r="B36" s="82" t="s">
        <v>4</v>
      </c>
      <c r="C36" s="29">
        <v>357.16725365795082</v>
      </c>
      <c r="D36" s="29">
        <v>31.578450691945829</v>
      </c>
      <c r="E36" s="49">
        <f t="shared" si="5"/>
        <v>0.16741756049769133</v>
      </c>
      <c r="F36" s="49">
        <f t="shared" si="6"/>
        <v>0.14315391538558958</v>
      </c>
      <c r="G36" s="49">
        <f t="shared" si="7"/>
        <v>0.46171727987795586</v>
      </c>
      <c r="H36" s="50">
        <f t="shared" si="8"/>
        <v>0.81656211691468994</v>
      </c>
      <c r="I36" s="49">
        <f t="shared" si="9"/>
        <v>5.4113396770939334E-2</v>
      </c>
    </row>
    <row r="37" spans="2:14" ht="12.75" customHeight="1" x14ac:dyDescent="0.25">
      <c r="B37" s="82" t="s">
        <v>7</v>
      </c>
      <c r="C37" s="29">
        <v>438.23592878076829</v>
      </c>
      <c r="D37" s="29">
        <v>30.543718640108114</v>
      </c>
      <c r="E37" s="49">
        <f t="shared" si="5"/>
        <v>0.20541746021649313</v>
      </c>
      <c r="F37" s="49">
        <f t="shared" si="6"/>
        <v>0.13846318669720228</v>
      </c>
      <c r="G37" s="49">
        <f t="shared" si="7"/>
        <v>0.66713474009444895</v>
      </c>
      <c r="H37" s="50">
        <f t="shared" si="8"/>
        <v>0.9550253036118922</v>
      </c>
      <c r="I37" s="49">
        <f t="shared" si="9"/>
        <v>7.8152223997476483E-2</v>
      </c>
    </row>
    <row r="38" spans="2:14" ht="12.75" customHeight="1" thickBot="1" x14ac:dyDescent="0.3">
      <c r="B38" s="86" t="s">
        <v>8</v>
      </c>
      <c r="C38" s="32">
        <v>710.13202178540371</v>
      </c>
      <c r="D38" s="32">
        <v>9.9210086461949327</v>
      </c>
      <c r="E38" s="51">
        <f t="shared" si="5"/>
        <v>0.33286525990555105</v>
      </c>
      <c r="F38" s="49">
        <f t="shared" si="6"/>
        <v>4.4974696388107666E-2</v>
      </c>
      <c r="G38" s="51">
        <f t="shared" si="7"/>
        <v>1</v>
      </c>
      <c r="H38" s="52">
        <f t="shared" si="8"/>
        <v>0.99999999999999989</v>
      </c>
      <c r="I38" s="51">
        <f t="shared" si="9"/>
        <v>3.7489439386907339E-2</v>
      </c>
    </row>
    <row r="39" spans="2:14" ht="12.75" customHeight="1" thickBot="1" x14ac:dyDescent="0.3">
      <c r="B39" s="35" t="s">
        <v>12</v>
      </c>
      <c r="C39" s="6">
        <f>SUM(C27:C38)</f>
        <v>2133.3918174185565</v>
      </c>
      <c r="D39" s="6">
        <f>SUM(D27:D38)</f>
        <v>220.59089761455897</v>
      </c>
      <c r="E39" s="51">
        <f>SUM(E28:E38)</f>
        <v>1</v>
      </c>
      <c r="F39" s="59">
        <f>SUM(F28:F38)</f>
        <v>0.99999999999999989</v>
      </c>
      <c r="G39" s="53"/>
      <c r="H39" s="53"/>
      <c r="I39" s="59">
        <f>SUM(I27:I38)</f>
        <v>0.23105652523916631</v>
      </c>
    </row>
    <row r="40" spans="2:14" ht="12.75" customHeight="1" thickBot="1" x14ac:dyDescent="0.3">
      <c r="B40" s="4"/>
      <c r="C40" s="4"/>
      <c r="D40" s="4"/>
      <c r="E40" s="50"/>
      <c r="F40" s="50"/>
      <c r="G40" s="50"/>
      <c r="H40" s="53"/>
      <c r="I40" s="53"/>
    </row>
    <row r="41" spans="2:14" ht="12.75" customHeight="1" thickBot="1" x14ac:dyDescent="0.3">
      <c r="B41" s="4"/>
      <c r="C41" s="4"/>
      <c r="D41" s="4"/>
      <c r="E41" s="50"/>
      <c r="F41" s="50"/>
      <c r="G41" s="55"/>
      <c r="H41" s="56" t="s">
        <v>29</v>
      </c>
      <c r="I41" s="52">
        <f>1-(2*I39)</f>
        <v>0.53788694952166738</v>
      </c>
    </row>
    <row r="42" spans="2:14" ht="12.75" customHeight="1" x14ac:dyDescent="0.25">
      <c r="E42" s="60"/>
      <c r="F42" s="60"/>
      <c r="G42" s="60"/>
      <c r="H42" s="60"/>
      <c r="I42" s="60"/>
    </row>
    <row r="43" spans="2:14" ht="12.75" customHeight="1" x14ac:dyDescent="0.25"/>
    <row r="44" spans="2:14" ht="12.75" customHeight="1" x14ac:dyDescent="0.25"/>
    <row r="45" spans="2:14" ht="12.75" customHeight="1" x14ac:dyDescent="0.25"/>
    <row r="46" spans="2:14" ht="12.75" customHeight="1" x14ac:dyDescent="0.25"/>
    <row r="47" spans="2:14" ht="16.2" thickBot="1" x14ac:dyDescent="0.35">
      <c r="B47" s="257" t="s">
        <v>104</v>
      </c>
      <c r="C47" s="257"/>
      <c r="D47" s="257"/>
      <c r="E47" s="257"/>
      <c r="F47" s="257"/>
      <c r="G47" s="257"/>
      <c r="H47" s="257"/>
      <c r="I47" s="257"/>
      <c r="J47" s="122"/>
    </row>
    <row r="48" spans="2:14" ht="27" thickBot="1" x14ac:dyDescent="0.3">
      <c r="B48" s="30" t="s">
        <v>19</v>
      </c>
      <c r="C48" s="31" t="s">
        <v>38</v>
      </c>
      <c r="D48" s="31" t="s">
        <v>41</v>
      </c>
      <c r="E48" s="31" t="s">
        <v>15</v>
      </c>
      <c r="F48" s="31" t="s">
        <v>16</v>
      </c>
      <c r="G48" s="31" t="s">
        <v>17</v>
      </c>
      <c r="H48" s="31" t="s">
        <v>116</v>
      </c>
      <c r="I48" s="31" t="s">
        <v>20</v>
      </c>
      <c r="J48" s="25"/>
      <c r="K48" s="8"/>
      <c r="L48" s="8"/>
      <c r="M48" s="8"/>
      <c r="N48" s="8"/>
    </row>
    <row r="49" spans="1:10" ht="12.75" customHeight="1" x14ac:dyDescent="0.25">
      <c r="B49" s="4"/>
      <c r="C49" s="26">
        <v>0</v>
      </c>
      <c r="D49" s="26">
        <v>0</v>
      </c>
      <c r="E49" s="49">
        <f t="shared" ref="E49:E60" si="10">C49/$C$61</f>
        <v>0</v>
      </c>
      <c r="F49" s="49">
        <f t="shared" ref="F49:F60" si="11">D49/$D$61</f>
        <v>0</v>
      </c>
      <c r="G49" s="49">
        <v>0</v>
      </c>
      <c r="H49" s="50">
        <f>F49</f>
        <v>0</v>
      </c>
      <c r="I49" s="49">
        <v>0</v>
      </c>
      <c r="J49" s="28"/>
    </row>
    <row r="50" spans="1:10" ht="12.75" customHeight="1" x14ac:dyDescent="0.25">
      <c r="B50" s="82" t="s">
        <v>2</v>
      </c>
      <c r="C50" s="29">
        <v>0</v>
      </c>
      <c r="D50" s="29">
        <v>71.985630555915122</v>
      </c>
      <c r="E50" s="49">
        <f t="shared" si="10"/>
        <v>0</v>
      </c>
      <c r="F50" s="49">
        <f t="shared" si="11"/>
        <v>0.32633091997157776</v>
      </c>
      <c r="G50" s="49">
        <f t="shared" ref="G50:G60" si="12">G49+E50</f>
        <v>0</v>
      </c>
      <c r="H50" s="50">
        <f t="shared" ref="H50:H60" si="13">F50+H49</f>
        <v>0.32633091997157776</v>
      </c>
      <c r="I50" s="49">
        <f t="shared" ref="I50:I60" si="14">(G49+G50)*0.5*(H50-H49)</f>
        <v>0</v>
      </c>
      <c r="J50" s="28"/>
    </row>
    <row r="51" spans="1:10" ht="12.75" customHeight="1" x14ac:dyDescent="0.25">
      <c r="A51" s="8"/>
      <c r="B51" s="82" t="s">
        <v>7</v>
      </c>
      <c r="C51" s="29">
        <v>0</v>
      </c>
      <c r="D51" s="29">
        <v>30.543718640108114</v>
      </c>
      <c r="E51" s="49">
        <f t="shared" si="10"/>
        <v>0</v>
      </c>
      <c r="F51" s="49">
        <f t="shared" si="11"/>
        <v>0.13846318669720234</v>
      </c>
      <c r="G51" s="49">
        <f t="shared" si="12"/>
        <v>0</v>
      </c>
      <c r="H51" s="50">
        <f t="shared" si="13"/>
        <v>0.46479410666878007</v>
      </c>
      <c r="I51" s="49">
        <f t="shared" si="14"/>
        <v>0</v>
      </c>
      <c r="J51" s="28"/>
    </row>
    <row r="52" spans="1:10" ht="12.75" customHeight="1" x14ac:dyDescent="0.25">
      <c r="B52" s="82" t="s">
        <v>8</v>
      </c>
      <c r="C52" s="29">
        <v>0</v>
      </c>
      <c r="D52" s="29">
        <v>9.9210086461949327</v>
      </c>
      <c r="E52" s="49">
        <f t="shared" si="10"/>
        <v>0</v>
      </c>
      <c r="F52" s="49">
        <f t="shared" si="11"/>
        <v>4.4974696388107673E-2</v>
      </c>
      <c r="G52" s="49">
        <f t="shared" si="12"/>
        <v>0</v>
      </c>
      <c r="H52" s="50">
        <f t="shared" si="13"/>
        <v>0.50976880305688776</v>
      </c>
      <c r="I52" s="49">
        <f t="shared" si="14"/>
        <v>0</v>
      </c>
      <c r="J52" s="28"/>
    </row>
    <row r="53" spans="1:10" ht="12.75" customHeight="1" x14ac:dyDescent="0.25">
      <c r="B53" s="82" t="s">
        <v>1</v>
      </c>
      <c r="C53" s="29">
        <v>0.7693067514792219</v>
      </c>
      <c r="D53" s="29">
        <v>4.8252078498866728</v>
      </c>
      <c r="E53" s="49">
        <f t="shared" si="10"/>
        <v>3.5319141033646755E-3</v>
      </c>
      <c r="F53" s="49">
        <f t="shared" si="11"/>
        <v>2.1874011584638527E-2</v>
      </c>
      <c r="G53" s="49">
        <f t="shared" si="12"/>
        <v>3.5319141033646755E-3</v>
      </c>
      <c r="H53" s="50">
        <f t="shared" si="13"/>
        <v>0.5316428146415263</v>
      </c>
      <c r="I53" s="49">
        <f t="shared" si="14"/>
        <v>3.8628565006473564E-5</v>
      </c>
      <c r="J53" s="28"/>
    </row>
    <row r="54" spans="1:10" ht="12.75" customHeight="1" x14ac:dyDescent="0.25">
      <c r="B54" s="82" t="s">
        <v>195</v>
      </c>
      <c r="C54" s="29">
        <v>2.4789683273851866</v>
      </c>
      <c r="D54" s="29">
        <v>3.0144292908057531</v>
      </c>
      <c r="E54" s="49">
        <f t="shared" si="10"/>
        <v>1.1381029973350698E-2</v>
      </c>
      <c r="F54" s="49">
        <f t="shared" si="11"/>
        <v>1.3665247856567957E-2</v>
      </c>
      <c r="G54" s="49">
        <f t="shared" si="12"/>
        <v>1.4912944076715373E-2</v>
      </c>
      <c r="H54" s="50">
        <f t="shared" si="13"/>
        <v>0.54530806249809427</v>
      </c>
      <c r="I54" s="49">
        <f t="shared" si="14"/>
        <v>1.260267793550196E-4</v>
      </c>
      <c r="J54" s="28"/>
    </row>
    <row r="55" spans="1:10" ht="12.75" customHeight="1" x14ac:dyDescent="0.25">
      <c r="B55" s="82" t="s">
        <v>3</v>
      </c>
      <c r="C55" s="29">
        <v>2.9981638556920855</v>
      </c>
      <c r="D55" s="29">
        <v>1.1534014149577714</v>
      </c>
      <c r="E55" s="49">
        <f t="shared" si="10"/>
        <v>1.3764674735735885E-2</v>
      </c>
      <c r="F55" s="49">
        <f t="shared" si="11"/>
        <v>5.228689975110049E-3</v>
      </c>
      <c r="G55" s="49">
        <f t="shared" si="12"/>
        <v>2.8677618812451258E-2</v>
      </c>
      <c r="H55" s="50">
        <f t="shared" si="13"/>
        <v>0.55053675247320433</v>
      </c>
      <c r="I55" s="49">
        <f t="shared" si="14"/>
        <v>1.1396076959399502E-4</v>
      </c>
      <c r="J55" s="28"/>
    </row>
    <row r="56" spans="1:10" ht="12.75" customHeight="1" x14ac:dyDescent="0.25">
      <c r="B56" s="111" t="s">
        <v>6</v>
      </c>
      <c r="C56" s="29">
        <v>3.5310475475487979</v>
      </c>
      <c r="D56" s="29">
        <v>9.3198591220623097</v>
      </c>
      <c r="E56" s="49">
        <f t="shared" si="10"/>
        <v>1.6211162333957089E-2</v>
      </c>
      <c r="F56" s="49">
        <f t="shared" si="11"/>
        <v>4.2249518102723392E-2</v>
      </c>
      <c r="G56" s="49">
        <f t="shared" si="12"/>
        <v>4.4888781146408346E-2</v>
      </c>
      <c r="H56" s="50">
        <f t="shared" si="13"/>
        <v>0.5927862705759277</v>
      </c>
      <c r="I56" s="49">
        <f t="shared" si="14"/>
        <v>1.5540724734070133E-3</v>
      </c>
      <c r="J56" s="28"/>
    </row>
    <row r="57" spans="1:10" ht="12.75" customHeight="1" x14ac:dyDescent="0.25">
      <c r="B57" s="82" t="s">
        <v>5</v>
      </c>
      <c r="C57" s="29">
        <v>25.321354259396958</v>
      </c>
      <c r="D57" s="29">
        <v>16.484698612131034</v>
      </c>
      <c r="E57" s="49">
        <f t="shared" si="10"/>
        <v>0.11625121975479348</v>
      </c>
      <c r="F57" s="49">
        <f t="shared" si="11"/>
        <v>7.4729731781294731E-2</v>
      </c>
      <c r="G57" s="49">
        <f t="shared" si="12"/>
        <v>0.16114000090120184</v>
      </c>
      <c r="H57" s="50">
        <f t="shared" si="13"/>
        <v>0.66751600235722242</v>
      </c>
      <c r="I57" s="49">
        <f t="shared" si="14"/>
        <v>7.6982378108223686E-3</v>
      </c>
      <c r="J57" s="28"/>
    </row>
    <row r="58" spans="1:10" ht="12.75" customHeight="1" x14ac:dyDescent="0.25">
      <c r="B58" s="82" t="s">
        <v>9</v>
      </c>
      <c r="C58" s="29">
        <v>26.214891117774812</v>
      </c>
      <c r="D58" s="29">
        <v>9.4846621325994338</v>
      </c>
      <c r="E58" s="49">
        <f t="shared" si="10"/>
        <v>0.12035347860786184</v>
      </c>
      <c r="F58" s="49">
        <f t="shared" si="11"/>
        <v>4.299661606696073E-2</v>
      </c>
      <c r="G58" s="49">
        <f t="shared" si="12"/>
        <v>0.28149347950906367</v>
      </c>
      <c r="H58" s="50">
        <f t="shared" si="13"/>
        <v>0.71051261842418312</v>
      </c>
      <c r="I58" s="49">
        <f t="shared" si="14"/>
        <v>9.5158709077913795E-3</v>
      </c>
      <c r="J58" s="28"/>
    </row>
    <row r="59" spans="1:10" ht="12.75" customHeight="1" x14ac:dyDescent="0.25">
      <c r="B59" s="111" t="s">
        <v>10</v>
      </c>
      <c r="C59" s="29">
        <v>48.022346099497078</v>
      </c>
      <c r="D59" s="29">
        <v>32.279830657951983</v>
      </c>
      <c r="E59" s="49">
        <f t="shared" si="10"/>
        <v>0.22047226433324021</v>
      </c>
      <c r="F59" s="49">
        <f t="shared" si="11"/>
        <v>0.14633346619022747</v>
      </c>
      <c r="G59" s="49">
        <f t="shared" si="12"/>
        <v>0.50196574384230386</v>
      </c>
      <c r="H59" s="50">
        <f t="shared" si="13"/>
        <v>0.85684608461441059</v>
      </c>
      <c r="I59" s="49">
        <f t="shared" si="14"/>
        <v>5.7323151885854608E-2</v>
      </c>
      <c r="J59" s="28"/>
    </row>
    <row r="60" spans="1:10" ht="12.75" customHeight="1" thickBot="1" x14ac:dyDescent="0.3">
      <c r="B60" s="86" t="s">
        <v>4</v>
      </c>
      <c r="C60" s="32">
        <v>108.47973776175608</v>
      </c>
      <c r="D60" s="32">
        <v>31.578450691945829</v>
      </c>
      <c r="E60" s="49">
        <f t="shared" si="10"/>
        <v>0.49803425615769614</v>
      </c>
      <c r="F60" s="49">
        <f t="shared" si="11"/>
        <v>0.14315391538558961</v>
      </c>
      <c r="G60" s="51">
        <f t="shared" si="12"/>
        <v>1</v>
      </c>
      <c r="H60" s="52">
        <f t="shared" si="13"/>
        <v>1.0000000000000002</v>
      </c>
      <c r="I60" s="51">
        <f t="shared" si="14"/>
        <v>0.10750613850302769</v>
      </c>
      <c r="J60" s="28"/>
    </row>
    <row r="61" spans="1:10" ht="12.75" customHeight="1" thickBot="1" x14ac:dyDescent="0.3">
      <c r="B61" s="35" t="s">
        <v>12</v>
      </c>
      <c r="C61" s="6">
        <f t="shared" ref="C61:I61" si="15">SUM(C49:C60)</f>
        <v>217.81581572053022</v>
      </c>
      <c r="D61" s="6">
        <f t="shared" si="15"/>
        <v>220.59089761455891</v>
      </c>
      <c r="E61" s="6">
        <f t="shared" si="15"/>
        <v>1</v>
      </c>
      <c r="F61" s="6">
        <f t="shared" si="15"/>
        <v>1.0000000000000002</v>
      </c>
      <c r="G61" s="6">
        <f t="shared" si="15"/>
        <v>2.036610482391509</v>
      </c>
      <c r="H61" s="6">
        <f t="shared" si="15"/>
        <v>6.756042435281814</v>
      </c>
      <c r="I61" s="106">
        <f t="shared" si="15"/>
        <v>0.18387608769485853</v>
      </c>
      <c r="J61" s="28"/>
    </row>
    <row r="62" spans="1:10" ht="12.75" customHeight="1" thickBot="1" x14ac:dyDescent="0.3">
      <c r="B62" s="4"/>
      <c r="C62" s="4"/>
      <c r="D62" s="4"/>
      <c r="E62" s="50"/>
      <c r="F62" s="50"/>
      <c r="G62" s="50"/>
      <c r="H62" s="53"/>
      <c r="I62" s="53"/>
      <c r="J62" s="9"/>
    </row>
    <row r="63" spans="1:10" ht="12.75" customHeight="1" thickBot="1" x14ac:dyDescent="0.3">
      <c r="B63" s="4"/>
      <c r="C63" s="4"/>
      <c r="D63" s="4"/>
      <c r="E63" s="50"/>
      <c r="F63" s="50"/>
      <c r="G63" s="55"/>
      <c r="H63" s="56" t="s">
        <v>29</v>
      </c>
      <c r="I63" s="52">
        <f>1-(2*I61)</f>
        <v>0.63224782461028295</v>
      </c>
      <c r="J63" s="9"/>
    </row>
    <row r="64" spans="1:10" ht="12.75" customHeight="1" x14ac:dyDescent="0.25"/>
    <row r="65" spans="2:14" ht="12.75" customHeight="1" x14ac:dyDescent="0.25"/>
    <row r="66" spans="2:14" ht="12.75" customHeight="1" x14ac:dyDescent="0.25"/>
    <row r="67" spans="2:14" ht="12.75" customHeight="1" x14ac:dyDescent="0.25"/>
    <row r="68" spans="2:14" ht="16.2" thickBot="1" x14ac:dyDescent="0.35">
      <c r="B68" s="256" t="s">
        <v>98</v>
      </c>
      <c r="C68" s="256"/>
      <c r="D68" s="256"/>
      <c r="E68" s="256"/>
      <c r="F68" s="256"/>
      <c r="G68" s="256"/>
      <c r="H68" s="256"/>
      <c r="I68" s="256"/>
    </row>
    <row r="69" spans="2:14" ht="37.200000000000003" customHeight="1" thickBot="1" x14ac:dyDescent="0.3">
      <c r="B69" s="36" t="s">
        <v>19</v>
      </c>
      <c r="C69" s="37" t="s">
        <v>93</v>
      </c>
      <c r="D69" s="37" t="s">
        <v>41</v>
      </c>
      <c r="E69" s="37" t="s">
        <v>91</v>
      </c>
      <c r="F69" s="37" t="s">
        <v>16</v>
      </c>
      <c r="G69" s="37" t="s">
        <v>92</v>
      </c>
      <c r="H69" s="37" t="s">
        <v>116</v>
      </c>
      <c r="I69" s="37" t="s">
        <v>20</v>
      </c>
      <c r="J69" s="8"/>
      <c r="K69" s="8"/>
      <c r="L69" s="8"/>
      <c r="M69" s="8"/>
      <c r="N69" s="8"/>
    </row>
    <row r="70" spans="2:14" ht="12.75" customHeight="1" x14ac:dyDescent="0.25">
      <c r="B70" s="4"/>
      <c r="C70" s="26">
        <v>0</v>
      </c>
      <c r="D70" s="26">
        <v>0</v>
      </c>
      <c r="E70" s="49">
        <f t="shared" ref="E70:E81" si="16">C70/$C$82</f>
        <v>0</v>
      </c>
      <c r="F70" s="49">
        <v>0</v>
      </c>
      <c r="G70" s="49">
        <v>0</v>
      </c>
      <c r="H70" s="50">
        <f>F70</f>
        <v>0</v>
      </c>
      <c r="I70" s="49">
        <v>0</v>
      </c>
    </row>
    <row r="71" spans="2:14" ht="12.75" customHeight="1" x14ac:dyDescent="0.25">
      <c r="B71" s="82" t="s">
        <v>1</v>
      </c>
      <c r="C71" s="29">
        <v>0.7693067514792219</v>
      </c>
      <c r="D71" s="29">
        <v>4.8252078498866728</v>
      </c>
      <c r="E71" s="49">
        <f t="shared" si="16"/>
        <v>2.1578474714352507E-3</v>
      </c>
      <c r="F71" s="49">
        <f t="shared" ref="F71:F81" si="17">D71/$D$82</f>
        <v>2.1874011584638524E-2</v>
      </c>
      <c r="G71" s="49">
        <f t="shared" ref="G71:G81" si="18">G70+E71</f>
        <v>2.1578474714352507E-3</v>
      </c>
      <c r="H71" s="50">
        <f t="shared" ref="H71:H81" si="19">F71+H70</f>
        <v>2.1874011584638524E-2</v>
      </c>
      <c r="I71" s="49">
        <f t="shared" ref="I71:I81" si="20">(G70+G71)*0.5*(H71-H70)</f>
        <v>2.360039029402881E-5</v>
      </c>
    </row>
    <row r="72" spans="2:14" ht="12.75" customHeight="1" x14ac:dyDescent="0.25">
      <c r="B72" s="82" t="s">
        <v>195</v>
      </c>
      <c r="C72" s="29">
        <v>2.4789683273851866</v>
      </c>
      <c r="D72" s="29">
        <v>3.0144292908057531</v>
      </c>
      <c r="E72" s="49">
        <f t="shared" si="16"/>
        <v>6.9533193706290694E-3</v>
      </c>
      <c r="F72" s="49">
        <f t="shared" si="17"/>
        <v>1.3665247856567956E-2</v>
      </c>
      <c r="G72" s="49">
        <f t="shared" si="18"/>
        <v>9.1111668420643197E-3</v>
      </c>
      <c r="H72" s="50">
        <f t="shared" si="19"/>
        <v>3.5539259441206478E-2</v>
      </c>
      <c r="I72" s="49">
        <f t="shared" si="20"/>
        <v>7.6996936846591806E-5</v>
      </c>
    </row>
    <row r="73" spans="2:14" ht="12.75" customHeight="1" x14ac:dyDescent="0.25">
      <c r="B73" s="82" t="s">
        <v>3</v>
      </c>
      <c r="C73" s="29">
        <v>2.9981638556920855</v>
      </c>
      <c r="D73" s="29">
        <v>1.1534014149577714</v>
      </c>
      <c r="E73" s="49">
        <f t="shared" si="16"/>
        <v>8.40962370668661E-3</v>
      </c>
      <c r="F73" s="49">
        <f t="shared" si="17"/>
        <v>5.2286899751100482E-3</v>
      </c>
      <c r="G73" s="49">
        <f t="shared" si="18"/>
        <v>1.7520790548750928E-2</v>
      </c>
      <c r="H73" s="50">
        <f t="shared" si="19"/>
        <v>4.0767949416316528E-2</v>
      </c>
      <c r="I73" s="49">
        <f t="shared" si="20"/>
        <v>6.9625124313456839E-5</v>
      </c>
    </row>
    <row r="74" spans="2:14" ht="12.75" customHeight="1" x14ac:dyDescent="0.25">
      <c r="B74" s="111" t="s">
        <v>6</v>
      </c>
      <c r="C74" s="29">
        <v>7.3310475475487973</v>
      </c>
      <c r="D74" s="29">
        <v>9.3198591220623097</v>
      </c>
      <c r="E74" s="49">
        <f t="shared" si="16"/>
        <v>2.0563035984062891E-2</v>
      </c>
      <c r="F74" s="49">
        <f t="shared" si="17"/>
        <v>4.2249518102723392E-2</v>
      </c>
      <c r="G74" s="49">
        <f t="shared" si="18"/>
        <v>3.8083826532813822E-2</v>
      </c>
      <c r="H74" s="50">
        <f t="shared" si="19"/>
        <v>8.301746751903992E-2</v>
      </c>
      <c r="I74" s="49">
        <f t="shared" si="20"/>
        <v>1.1746341379912861E-3</v>
      </c>
    </row>
    <row r="75" spans="2:14" ht="12.75" customHeight="1" x14ac:dyDescent="0.25">
      <c r="B75" s="82" t="s">
        <v>8</v>
      </c>
      <c r="C75" s="29">
        <v>23.5</v>
      </c>
      <c r="D75" s="29">
        <v>9.9210086461949327</v>
      </c>
      <c r="E75" s="49">
        <f t="shared" si="16"/>
        <v>6.5915729299430167E-2</v>
      </c>
      <c r="F75" s="49">
        <f t="shared" si="17"/>
        <v>4.4974696388107673E-2</v>
      </c>
      <c r="G75" s="49">
        <f t="shared" si="18"/>
        <v>0.10399955583224399</v>
      </c>
      <c r="H75" s="50">
        <f t="shared" si="19"/>
        <v>0.1279921639071476</v>
      </c>
      <c r="I75" s="49">
        <f t="shared" si="20"/>
        <v>3.1950784918319437E-3</v>
      </c>
    </row>
    <row r="76" spans="2:14" ht="12.75" customHeight="1" x14ac:dyDescent="0.25">
      <c r="B76" s="82" t="s">
        <v>5</v>
      </c>
      <c r="C76" s="29">
        <v>25.321354259396958</v>
      </c>
      <c r="D76" s="29">
        <v>16.484698612131034</v>
      </c>
      <c r="E76" s="49">
        <f t="shared" si="16"/>
        <v>7.1024490759888634E-2</v>
      </c>
      <c r="F76" s="49">
        <f t="shared" si="17"/>
        <v>7.4729731781294717E-2</v>
      </c>
      <c r="G76" s="49">
        <f t="shared" si="18"/>
        <v>0.17502404659213261</v>
      </c>
      <c r="H76" s="50">
        <f t="shared" si="19"/>
        <v>0.20272189568844232</v>
      </c>
      <c r="I76" s="49">
        <f t="shared" si="20"/>
        <v>1.042567948491214E-2</v>
      </c>
    </row>
    <row r="77" spans="2:14" ht="12.75" customHeight="1" x14ac:dyDescent="0.25">
      <c r="B77" s="82" t="s">
        <v>9</v>
      </c>
      <c r="C77" s="29">
        <v>26.214891117774812</v>
      </c>
      <c r="D77" s="29">
        <v>9.4846621325994338</v>
      </c>
      <c r="E77" s="49">
        <f t="shared" si="16"/>
        <v>7.353079432056514E-2</v>
      </c>
      <c r="F77" s="49">
        <f t="shared" si="17"/>
        <v>4.299661606696073E-2</v>
      </c>
      <c r="G77" s="49">
        <f t="shared" si="18"/>
        <v>0.24855484091269775</v>
      </c>
      <c r="H77" s="50">
        <f t="shared" si="19"/>
        <v>0.24571851175540305</v>
      </c>
      <c r="I77" s="49">
        <f t="shared" si="20"/>
        <v>9.1062294000577703E-3</v>
      </c>
    </row>
    <row r="78" spans="2:14" ht="12.75" customHeight="1" x14ac:dyDescent="0.25">
      <c r="B78" s="82" t="s">
        <v>7</v>
      </c>
      <c r="C78" s="29">
        <v>33.799999999999997</v>
      </c>
      <c r="D78" s="29">
        <v>30.543718640108114</v>
      </c>
      <c r="E78" s="49">
        <f t="shared" si="16"/>
        <v>9.480645320513785E-2</v>
      </c>
      <c r="F78" s="49">
        <f t="shared" si="17"/>
        <v>0.13846318669720231</v>
      </c>
      <c r="G78" s="49">
        <f t="shared" si="18"/>
        <v>0.34336129411783561</v>
      </c>
      <c r="H78" s="50">
        <f t="shared" si="19"/>
        <v>0.38418169845260536</v>
      </c>
      <c r="I78" s="49">
        <f t="shared" si="20"/>
        <v>4.0979297156909573E-2</v>
      </c>
    </row>
    <row r="79" spans="2:14" ht="12.75" customHeight="1" x14ac:dyDescent="0.25">
      <c r="B79" s="82" t="s">
        <v>2</v>
      </c>
      <c r="C79" s="29">
        <v>56.5</v>
      </c>
      <c r="D79" s="29">
        <v>71.985630555915122</v>
      </c>
      <c r="E79" s="49">
        <f t="shared" si="16"/>
        <v>0.15847824278373637</v>
      </c>
      <c r="F79" s="49">
        <f t="shared" si="17"/>
        <v>0.3263309199715777</v>
      </c>
      <c r="G79" s="49">
        <f t="shared" si="18"/>
        <v>0.50183953690157201</v>
      </c>
      <c r="H79" s="50">
        <f t="shared" si="19"/>
        <v>0.71051261842418301</v>
      </c>
      <c r="I79" s="49">
        <f t="shared" si="20"/>
        <v>0.13790758237365264</v>
      </c>
    </row>
    <row r="80" spans="2:14" ht="12.75" customHeight="1" x14ac:dyDescent="0.25">
      <c r="B80" s="111" t="s">
        <v>10</v>
      </c>
      <c r="C80" s="29">
        <v>69.122346099497079</v>
      </c>
      <c r="D80" s="29">
        <v>32.279830657951983</v>
      </c>
      <c r="E80" s="49">
        <f t="shared" si="16"/>
        <v>0.19388297251216904</v>
      </c>
      <c r="F80" s="49">
        <f t="shared" si="17"/>
        <v>0.14633346619022744</v>
      </c>
      <c r="G80" s="49">
        <f t="shared" si="18"/>
        <v>0.69572250941374103</v>
      </c>
      <c r="H80" s="50">
        <f t="shared" si="19"/>
        <v>0.85684608461441047</v>
      </c>
      <c r="I80" s="49">
        <f t="shared" si="20"/>
        <v>8.7621702607590737E-2</v>
      </c>
    </row>
    <row r="81" spans="1:14" ht="12.75" customHeight="1" thickBot="1" x14ac:dyDescent="0.3">
      <c r="B81" s="86" t="s">
        <v>4</v>
      </c>
      <c r="C81" s="32">
        <v>108.47973776175608</v>
      </c>
      <c r="D81" s="32">
        <v>31.578450691945829</v>
      </c>
      <c r="E81" s="51">
        <f t="shared" si="16"/>
        <v>0.30427749058625903</v>
      </c>
      <c r="F81" s="51">
        <f t="shared" si="17"/>
        <v>0.14315391538558961</v>
      </c>
      <c r="G81" s="51">
        <f t="shared" si="18"/>
        <v>1</v>
      </c>
      <c r="H81" s="52">
        <f t="shared" si="19"/>
        <v>1</v>
      </c>
      <c r="I81" s="51">
        <f t="shared" si="20"/>
        <v>0.1213746583150271</v>
      </c>
    </row>
    <row r="82" spans="1:14" ht="12.75" customHeight="1" thickBot="1" x14ac:dyDescent="0.3">
      <c r="B82" s="38" t="s">
        <v>12</v>
      </c>
      <c r="C82" s="32">
        <f>SUM(C70:C81)</f>
        <v>356.51581572053021</v>
      </c>
      <c r="D82" s="32">
        <f>SUM(D70:D81)</f>
        <v>220.59089761455894</v>
      </c>
      <c r="E82" s="51">
        <f>SUM(E71:E81)</f>
        <v>1</v>
      </c>
      <c r="F82" s="51">
        <f>SUM(F71:F81)</f>
        <v>1</v>
      </c>
      <c r="G82" s="52"/>
      <c r="H82" s="52"/>
      <c r="I82" s="51">
        <f>SUM(I70:I81)</f>
        <v>0.41195508441942724</v>
      </c>
    </row>
    <row r="83" spans="1:14" ht="12.75" customHeight="1" thickBot="1" x14ac:dyDescent="0.3">
      <c r="B83" s="47"/>
      <c r="C83" s="29"/>
      <c r="D83" s="29"/>
      <c r="E83" s="26"/>
      <c r="F83" s="27"/>
      <c r="G83" s="4"/>
      <c r="H83" s="40"/>
      <c r="I83" s="34"/>
    </row>
    <row r="84" spans="1:14" ht="12.75" customHeight="1" thickBot="1" x14ac:dyDescent="0.3">
      <c r="B84" s="4"/>
      <c r="C84" s="4"/>
      <c r="D84" s="4"/>
      <c r="E84" s="4"/>
      <c r="F84" s="4"/>
      <c r="G84" s="5"/>
      <c r="H84" s="48" t="s">
        <v>37</v>
      </c>
      <c r="I84" s="61">
        <f>1-(2*I82)</f>
        <v>0.17608983116114552</v>
      </c>
    </row>
    <row r="85" spans="1:14" ht="12.75" customHeight="1" x14ac:dyDescent="0.25">
      <c r="B85" s="4"/>
      <c r="C85" s="4"/>
      <c r="D85" s="4"/>
      <c r="E85" s="4"/>
      <c r="F85" s="4"/>
      <c r="G85" s="5"/>
      <c r="H85" s="107"/>
      <c r="I85" s="108"/>
    </row>
    <row r="86" spans="1:14" ht="12.75" customHeight="1" x14ac:dyDescent="0.25">
      <c r="B86" s="4"/>
      <c r="C86" s="4"/>
      <c r="D86" s="4"/>
      <c r="E86" s="4"/>
      <c r="F86" s="4"/>
      <c r="G86" s="5"/>
      <c r="H86" s="107"/>
      <c r="I86" s="108"/>
    </row>
    <row r="87" spans="1:14" ht="12.75" customHeight="1" x14ac:dyDescent="0.25"/>
    <row r="88" spans="1:14" ht="12.75" customHeight="1" x14ac:dyDescent="0.25"/>
    <row r="89" spans="1:14" ht="23.55" customHeight="1" x14ac:dyDescent="0.25">
      <c r="A89" s="252" t="s">
        <v>113</v>
      </c>
      <c r="B89" s="252"/>
      <c r="C89" s="252"/>
      <c r="D89" s="252"/>
      <c r="E89" s="252"/>
      <c r="F89" s="252"/>
    </row>
    <row r="90" spans="1:14" ht="12.75" customHeight="1" x14ac:dyDescent="0.25">
      <c r="D90" s="1"/>
    </row>
    <row r="91" spans="1:14" ht="12.75" customHeight="1" x14ac:dyDescent="0.25"/>
    <row r="92" spans="1:14" ht="16.2" thickBot="1" x14ac:dyDescent="0.35">
      <c r="B92" s="256" t="s">
        <v>99</v>
      </c>
      <c r="C92" s="256"/>
      <c r="D92" s="256"/>
      <c r="E92" s="256"/>
      <c r="F92" s="256"/>
      <c r="G92" s="256"/>
      <c r="H92" s="256"/>
      <c r="I92" s="256"/>
    </row>
    <row r="93" spans="1:14" ht="27" thickBot="1" x14ac:dyDescent="0.3">
      <c r="A93" s="8"/>
      <c r="B93" s="36" t="s">
        <v>19</v>
      </c>
      <c r="C93" s="37" t="s">
        <v>42</v>
      </c>
      <c r="D93" s="37" t="s">
        <v>44</v>
      </c>
      <c r="E93" s="37" t="s">
        <v>27</v>
      </c>
      <c r="F93" s="37" t="s">
        <v>21</v>
      </c>
      <c r="G93" s="37" t="s">
        <v>28</v>
      </c>
      <c r="H93" s="37" t="s">
        <v>117</v>
      </c>
      <c r="I93" s="37" t="s">
        <v>20</v>
      </c>
      <c r="J93" s="8"/>
      <c r="K93" s="8"/>
      <c r="L93" s="8"/>
      <c r="M93" s="8"/>
      <c r="N93" s="8"/>
    </row>
    <row r="94" spans="1:14" ht="12.75" customHeight="1" x14ac:dyDescent="0.25">
      <c r="B94" s="4"/>
      <c r="C94" s="26">
        <v>0</v>
      </c>
      <c r="D94" s="26">
        <v>0</v>
      </c>
      <c r="E94" s="49">
        <v>0</v>
      </c>
      <c r="F94" s="49">
        <v>0</v>
      </c>
      <c r="G94" s="49">
        <v>0</v>
      </c>
      <c r="H94" s="50">
        <f>F94</f>
        <v>0</v>
      </c>
      <c r="I94" s="49">
        <v>0</v>
      </c>
    </row>
    <row r="95" spans="1:14" ht="12.75" customHeight="1" x14ac:dyDescent="0.25">
      <c r="B95" s="82" t="s">
        <v>2</v>
      </c>
      <c r="C95" s="29">
        <v>3.4774667730851241</v>
      </c>
      <c r="D95" s="29">
        <v>33738.127951375733</v>
      </c>
      <c r="E95" s="49">
        <f t="shared" ref="E95:E105" si="21">C95/$C$106</f>
        <v>1.572820191697484E-3</v>
      </c>
      <c r="F95" s="49">
        <f t="shared" ref="F95:F105" si="22">D95/$D$106</f>
        <v>6.1580410728501248E-2</v>
      </c>
      <c r="G95" s="49">
        <f t="shared" ref="G95:G105" si="23">G94+E95</f>
        <v>1.572820191697484E-3</v>
      </c>
      <c r="H95" s="50">
        <f t="shared" ref="H95:H105" si="24">F95+H94</f>
        <v>6.1580410728501248E-2</v>
      </c>
      <c r="I95" s="49">
        <f t="shared" ref="I95:I105" si="25">(G94+G95)*0.5*(H95-H94)</f>
        <v>4.8427456703405565E-5</v>
      </c>
    </row>
    <row r="96" spans="1:14" ht="12.75" customHeight="1" x14ac:dyDescent="0.25">
      <c r="B96" s="82" t="s">
        <v>3</v>
      </c>
      <c r="C96" s="29">
        <v>15.066778136817998</v>
      </c>
      <c r="D96" s="29">
        <v>4739.5256339269945</v>
      </c>
      <c r="E96" s="49">
        <f t="shared" si="21"/>
        <v>6.8145389801639563E-3</v>
      </c>
      <c r="F96" s="49">
        <f t="shared" si="22"/>
        <v>8.6508040877704764E-3</v>
      </c>
      <c r="G96" s="49">
        <f t="shared" si="23"/>
        <v>8.3873591718614405E-3</v>
      </c>
      <c r="H96" s="50">
        <f t="shared" si="24"/>
        <v>7.0231214816271731E-2</v>
      </c>
      <c r="I96" s="49">
        <f t="shared" si="25"/>
        <v>4.3081780176601372E-5</v>
      </c>
    </row>
    <row r="97" spans="2:9" ht="12.75" customHeight="1" x14ac:dyDescent="0.25">
      <c r="B97" s="82" t="s">
        <v>1</v>
      </c>
      <c r="C97" s="29">
        <v>15.505046378301394</v>
      </c>
      <c r="D97" s="29">
        <v>7498.2226388555227</v>
      </c>
      <c r="E97" s="49">
        <f t="shared" si="21"/>
        <v>7.0127629128611734E-3</v>
      </c>
      <c r="F97" s="49">
        <f t="shared" si="22"/>
        <v>1.3686107021111144E-2</v>
      </c>
      <c r="G97" s="49">
        <f t="shared" si="23"/>
        <v>1.5400122084722613E-2</v>
      </c>
      <c r="H97" s="50">
        <f t="shared" si="24"/>
        <v>8.3917321837382874E-2</v>
      </c>
      <c r="I97" s="49">
        <f t="shared" si="25"/>
        <v>1.6277900712014236E-4</v>
      </c>
    </row>
    <row r="98" spans="2:9" ht="12.75" customHeight="1" x14ac:dyDescent="0.25">
      <c r="B98" s="111" t="s">
        <v>6</v>
      </c>
      <c r="C98" s="29">
        <v>25.22714592864719</v>
      </c>
      <c r="D98" s="29">
        <v>12709.055149886017</v>
      </c>
      <c r="E98" s="49">
        <f t="shared" si="21"/>
        <v>1.1409962218064309E-2</v>
      </c>
      <c r="F98" s="49">
        <f t="shared" si="22"/>
        <v>2.3197162487174745E-2</v>
      </c>
      <c r="G98" s="49">
        <f t="shared" si="23"/>
        <v>2.6810084302786922E-2</v>
      </c>
      <c r="H98" s="50">
        <f t="shared" si="24"/>
        <v>0.10711448432455761</v>
      </c>
      <c r="I98" s="49">
        <f t="shared" si="25"/>
        <v>4.895785080941199E-4</v>
      </c>
    </row>
    <row r="99" spans="2:9" ht="12.75" customHeight="1" x14ac:dyDescent="0.25">
      <c r="B99" s="82" t="s">
        <v>195</v>
      </c>
      <c r="C99" s="29">
        <v>27.810279358694004</v>
      </c>
      <c r="D99" s="29">
        <v>4549.0211045835586</v>
      </c>
      <c r="E99" s="49">
        <f t="shared" si="21"/>
        <v>1.2578285219184457E-2</v>
      </c>
      <c r="F99" s="49">
        <f t="shared" si="22"/>
        <v>8.3030863015460567E-3</v>
      </c>
      <c r="G99" s="49">
        <f t="shared" si="23"/>
        <v>3.9388369521971375E-2</v>
      </c>
      <c r="H99" s="50">
        <f t="shared" si="24"/>
        <v>0.11541757062610367</v>
      </c>
      <c r="I99" s="49">
        <f t="shared" si="25"/>
        <v>2.7482573756793975E-4</v>
      </c>
    </row>
    <row r="100" spans="2:9" ht="12.75" customHeight="1" x14ac:dyDescent="0.25">
      <c r="B100" s="82" t="s">
        <v>5</v>
      </c>
      <c r="C100" s="29">
        <v>85.552170131890833</v>
      </c>
      <c r="D100" s="29">
        <v>34543.134541376516</v>
      </c>
      <c r="E100" s="49">
        <f t="shared" si="21"/>
        <v>3.8694310947391036E-2</v>
      </c>
      <c r="F100" s="49">
        <f t="shared" si="22"/>
        <v>6.3049746446323052E-2</v>
      </c>
      <c r="G100" s="49">
        <f t="shared" si="23"/>
        <v>7.8082680469362412E-2</v>
      </c>
      <c r="H100" s="50">
        <f t="shared" si="24"/>
        <v>0.17846731707242672</v>
      </c>
      <c r="I100" s="49">
        <f t="shared" si="25"/>
        <v>3.7032599583684675E-3</v>
      </c>
    </row>
    <row r="101" spans="2:9" ht="12.75" customHeight="1" x14ac:dyDescent="0.25">
      <c r="B101" s="82" t="s">
        <v>9</v>
      </c>
      <c r="C101" s="29">
        <v>147.33919010948145</v>
      </c>
      <c r="D101" s="29">
        <v>43226.930239887697</v>
      </c>
      <c r="E101" s="49">
        <f t="shared" si="21"/>
        <v>6.6639904376988274E-2</v>
      </c>
      <c r="F101" s="49">
        <f t="shared" si="22"/>
        <v>7.8899816923481969E-2</v>
      </c>
      <c r="G101" s="49">
        <f t="shared" si="23"/>
        <v>0.1447225848463507</v>
      </c>
      <c r="H101" s="50">
        <f t="shared" si="24"/>
        <v>0.25736713399590871</v>
      </c>
      <c r="I101" s="49">
        <f t="shared" si="25"/>
        <v>8.7896473214987975E-3</v>
      </c>
    </row>
    <row r="102" spans="2:9" ht="12.75" customHeight="1" x14ac:dyDescent="0.25">
      <c r="B102" s="111" t="s">
        <v>10</v>
      </c>
      <c r="C102" s="29">
        <v>339.88345704567735</v>
      </c>
      <c r="D102" s="29">
        <v>69411.089457609574</v>
      </c>
      <c r="E102" s="49">
        <f t="shared" si="21"/>
        <v>0.15372557063747969</v>
      </c>
      <c r="F102" s="49">
        <f t="shared" si="22"/>
        <v>0.12669237024865945</v>
      </c>
      <c r="G102" s="49">
        <f t="shared" si="23"/>
        <v>0.29844815548383041</v>
      </c>
      <c r="H102" s="50">
        <f t="shared" si="24"/>
        <v>0.38405950424456814</v>
      </c>
      <c r="I102" s="49">
        <f t="shared" si="25"/>
        <v>2.8073175758641905E-2</v>
      </c>
    </row>
    <row r="103" spans="2:9" ht="12.75" customHeight="1" x14ac:dyDescent="0.25">
      <c r="B103" s="82" t="s">
        <v>7</v>
      </c>
      <c r="C103" s="29">
        <v>392.56604129317407</v>
      </c>
      <c r="D103" s="29">
        <v>179268.67227891536</v>
      </c>
      <c r="E103" s="49">
        <f t="shared" si="21"/>
        <v>0.17755332735296805</v>
      </c>
      <c r="F103" s="49">
        <f t="shared" si="22"/>
        <v>0.327209573856588</v>
      </c>
      <c r="G103" s="49">
        <f t="shared" si="23"/>
        <v>0.47600148283679844</v>
      </c>
      <c r="H103" s="50">
        <f t="shared" si="24"/>
        <v>0.71126907810115614</v>
      </c>
      <c r="I103" s="49">
        <f t="shared" si="25"/>
        <v>0.12670366806414082</v>
      </c>
    </row>
    <row r="104" spans="2:9" ht="12.75" customHeight="1" x14ac:dyDescent="0.25">
      <c r="B104" s="82" t="s">
        <v>4</v>
      </c>
      <c r="C104" s="29">
        <v>465.09746142377105</v>
      </c>
      <c r="D104" s="29">
        <v>149774.72401466093</v>
      </c>
      <c r="E104" s="49">
        <f t="shared" si="21"/>
        <v>0.21035849547041588</v>
      </c>
      <c r="F104" s="49">
        <f t="shared" si="22"/>
        <v>0.273375838602054</v>
      </c>
      <c r="G104" s="49">
        <f t="shared" si="23"/>
        <v>0.68635997830721429</v>
      </c>
      <c r="H104" s="50">
        <f t="shared" si="24"/>
        <v>0.98464491670321008</v>
      </c>
      <c r="I104" s="49">
        <f t="shared" si="25"/>
        <v>0.15888076959947661</v>
      </c>
    </row>
    <row r="105" spans="2:9" ht="12.75" customHeight="1" thickBot="1" x14ac:dyDescent="0.3">
      <c r="B105" s="86" t="s">
        <v>8</v>
      </c>
      <c r="C105" s="32">
        <v>693.45037652984286</v>
      </c>
      <c r="D105" s="32">
        <v>8412.6065227973904</v>
      </c>
      <c r="E105" s="51">
        <f t="shared" si="21"/>
        <v>0.31364002169278571</v>
      </c>
      <c r="F105" s="51">
        <f t="shared" si="22"/>
        <v>1.5355083296789959E-2</v>
      </c>
      <c r="G105" s="51">
        <f t="shared" si="23"/>
        <v>1</v>
      </c>
      <c r="H105" s="52">
        <f t="shared" si="24"/>
        <v>1</v>
      </c>
      <c r="I105" s="51">
        <f t="shared" si="25"/>
        <v>1.2947098967640057E-2</v>
      </c>
    </row>
    <row r="106" spans="2:9" ht="12.75" customHeight="1" thickBot="1" x14ac:dyDescent="0.3">
      <c r="B106" s="38" t="s">
        <v>12</v>
      </c>
      <c r="C106" s="32">
        <f>SUM(C95:C105)</f>
        <v>2210.9754131093832</v>
      </c>
      <c r="D106" s="32">
        <f>SUM(D94:D105)</f>
        <v>547871.10953387525</v>
      </c>
      <c r="E106" s="39">
        <f>SUM(E95:E105)</f>
        <v>1</v>
      </c>
      <c r="F106" s="33">
        <f>SUM(F95:F105)</f>
        <v>1</v>
      </c>
      <c r="G106" s="40"/>
      <c r="H106" s="40"/>
      <c r="I106" s="51">
        <f>SUM(I94:I105)</f>
        <v>0.34011631215942889</v>
      </c>
    </row>
    <row r="107" spans="2:9" ht="12.75" customHeight="1" thickBot="1" x14ac:dyDescent="0.3">
      <c r="B107" s="4"/>
      <c r="C107" s="4"/>
      <c r="D107" s="4"/>
      <c r="E107" s="4"/>
      <c r="F107" s="4"/>
      <c r="G107" s="4"/>
      <c r="H107" s="7"/>
      <c r="I107" s="53"/>
    </row>
    <row r="108" spans="2:9" ht="12.75" customHeight="1" thickBot="1" x14ac:dyDescent="0.3">
      <c r="B108" s="4"/>
      <c r="C108" s="4"/>
      <c r="D108" s="4"/>
      <c r="E108" s="4"/>
      <c r="F108" s="4"/>
      <c r="G108" s="5"/>
      <c r="H108" s="24" t="s">
        <v>29</v>
      </c>
      <c r="I108" s="52">
        <f>1-(2*I106)</f>
        <v>0.31976737568114222</v>
      </c>
    </row>
    <row r="109" spans="2:9" ht="12.75" customHeight="1" x14ac:dyDescent="0.25"/>
    <row r="110" spans="2:9" ht="12.75" customHeight="1" x14ac:dyDescent="0.25"/>
    <row r="111" spans="2:9" ht="12.75" customHeight="1" x14ac:dyDescent="0.25"/>
    <row r="112" spans="2:9" ht="12.75" customHeight="1" x14ac:dyDescent="0.25"/>
    <row r="113" spans="1:14" ht="16.2" thickBot="1" x14ac:dyDescent="0.35">
      <c r="B113" s="256" t="s">
        <v>100</v>
      </c>
      <c r="C113" s="256"/>
      <c r="D113" s="256"/>
      <c r="E113" s="256"/>
      <c r="F113" s="256"/>
      <c r="G113" s="256"/>
      <c r="H113" s="256"/>
      <c r="I113" s="256"/>
    </row>
    <row r="114" spans="1:14" ht="27" thickBot="1" x14ac:dyDescent="0.3">
      <c r="A114" s="8"/>
      <c r="B114" s="30" t="s">
        <v>19</v>
      </c>
      <c r="C114" s="31" t="s">
        <v>43</v>
      </c>
      <c r="D114" s="31" t="s">
        <v>44</v>
      </c>
      <c r="E114" s="31" t="s">
        <v>31</v>
      </c>
      <c r="F114" s="31" t="s">
        <v>21</v>
      </c>
      <c r="G114" s="31" t="s">
        <v>32</v>
      </c>
      <c r="H114" s="31" t="s">
        <v>117</v>
      </c>
      <c r="I114" s="31" t="s">
        <v>20</v>
      </c>
      <c r="J114" s="8"/>
      <c r="K114" s="8"/>
      <c r="L114" s="8"/>
      <c r="M114" s="8"/>
      <c r="N114" s="8"/>
    </row>
    <row r="115" spans="1:14" ht="12.75" customHeight="1" x14ac:dyDescent="0.25">
      <c r="B115" s="4"/>
      <c r="C115" s="26">
        <v>0</v>
      </c>
      <c r="D115" s="26">
        <v>0</v>
      </c>
      <c r="E115" s="49">
        <f t="shared" ref="E115:E126" si="26">C115/$C$127</f>
        <v>0</v>
      </c>
      <c r="F115" s="49">
        <v>0</v>
      </c>
      <c r="G115" s="49">
        <v>0</v>
      </c>
      <c r="H115" s="50">
        <f>F115</f>
        <v>0</v>
      </c>
      <c r="I115" s="49">
        <v>0</v>
      </c>
    </row>
    <row r="116" spans="1:14" ht="12.75" customHeight="1" x14ac:dyDescent="0.25">
      <c r="B116" s="82" t="s">
        <v>3</v>
      </c>
      <c r="C116" s="29">
        <v>12.117680835667821</v>
      </c>
      <c r="D116" s="29">
        <v>4739.5256339269945</v>
      </c>
      <c r="E116" s="49">
        <f t="shared" si="26"/>
        <v>5.6800071776456134E-3</v>
      </c>
      <c r="F116" s="49">
        <f t="shared" ref="F116:F126" si="27">D116/$D$127</f>
        <v>8.6508040877704764E-3</v>
      </c>
      <c r="G116" s="49">
        <f t="shared" ref="G116:G126" si="28">G115+E116</f>
        <v>5.6800071776456134E-3</v>
      </c>
      <c r="H116" s="50">
        <f t="shared" ref="H116:H126" si="29">F116+H115</f>
        <v>8.6508040877704764E-3</v>
      </c>
      <c r="I116" s="49">
        <f t="shared" ref="I116:I126" si="30">(G115+G116)*0.5*(H116-H115)</f>
        <v>2.4568314655471159E-5</v>
      </c>
    </row>
    <row r="117" spans="1:14" ht="12.75" customHeight="1" x14ac:dyDescent="0.25">
      <c r="B117" s="82" t="s">
        <v>1</v>
      </c>
      <c r="C117" s="29">
        <v>14.753958320027856</v>
      </c>
      <c r="D117" s="29">
        <v>7498.2226388555227</v>
      </c>
      <c r="E117" s="49">
        <f t="shared" si="26"/>
        <v>6.9157283718658006E-3</v>
      </c>
      <c r="F117" s="49">
        <f t="shared" si="27"/>
        <v>1.3686107021111144E-2</v>
      </c>
      <c r="G117" s="49">
        <f t="shared" si="28"/>
        <v>1.2595735549511414E-2</v>
      </c>
      <c r="H117" s="50">
        <f t="shared" si="29"/>
        <v>2.233691110888162E-2</v>
      </c>
      <c r="I117" s="49">
        <f t="shared" si="30"/>
        <v>1.2506188542708236E-4</v>
      </c>
    </row>
    <row r="118" spans="1:14" ht="12.75" customHeight="1" x14ac:dyDescent="0.25">
      <c r="B118" s="111" t="s">
        <v>6</v>
      </c>
      <c r="C118" s="29">
        <v>21.755018612897892</v>
      </c>
      <c r="D118" s="29">
        <v>12709.055149886017</v>
      </c>
      <c r="E118" s="49">
        <f t="shared" si="26"/>
        <v>1.019738541944061E-2</v>
      </c>
      <c r="F118" s="49">
        <f t="shared" si="27"/>
        <v>2.3197162487174745E-2</v>
      </c>
      <c r="G118" s="49">
        <f t="shared" si="28"/>
        <v>2.2793120968952023E-2</v>
      </c>
      <c r="H118" s="50">
        <f t="shared" si="29"/>
        <v>4.5534073596056365E-2</v>
      </c>
      <c r="I118" s="49">
        <f t="shared" si="30"/>
        <v>4.1046052744705475E-4</v>
      </c>
    </row>
    <row r="119" spans="1:14" ht="12.75" customHeight="1" x14ac:dyDescent="0.25">
      <c r="B119" s="82" t="s">
        <v>195</v>
      </c>
      <c r="C119" s="29">
        <v>25.458676695696266</v>
      </c>
      <c r="D119" s="29">
        <v>4549.0211045835586</v>
      </c>
      <c r="E119" s="49">
        <f t="shared" si="26"/>
        <v>1.1933427553172926E-2</v>
      </c>
      <c r="F119" s="49">
        <f t="shared" si="27"/>
        <v>8.3030863015460567E-3</v>
      </c>
      <c r="G119" s="49">
        <f t="shared" si="28"/>
        <v>3.472654852212495E-2</v>
      </c>
      <c r="H119" s="50">
        <f t="shared" si="29"/>
        <v>5.3837159897602418E-2</v>
      </c>
      <c r="I119" s="49">
        <f t="shared" si="30"/>
        <v>2.3879538991040882E-4</v>
      </c>
    </row>
    <row r="120" spans="1:14" ht="12.75" customHeight="1" x14ac:dyDescent="0.25">
      <c r="B120" s="82" t="s">
        <v>2</v>
      </c>
      <c r="C120" s="29">
        <v>61.182552659450373</v>
      </c>
      <c r="D120" s="29">
        <v>33738.127951375733</v>
      </c>
      <c r="E120" s="49">
        <f t="shared" si="26"/>
        <v>2.8678535353849063E-2</v>
      </c>
      <c r="F120" s="49">
        <f t="shared" si="27"/>
        <v>6.1580410728501248E-2</v>
      </c>
      <c r="G120" s="49">
        <f t="shared" si="28"/>
        <v>6.3405083875974017E-2</v>
      </c>
      <c r="H120" s="50">
        <f t="shared" si="29"/>
        <v>0.11541757062610367</v>
      </c>
      <c r="I120" s="49">
        <f t="shared" si="30"/>
        <v>3.0214931142666171E-3</v>
      </c>
    </row>
    <row r="121" spans="1:14" ht="12.75" customHeight="1" x14ac:dyDescent="0.25">
      <c r="B121" s="82" t="s">
        <v>5</v>
      </c>
      <c r="C121" s="29">
        <v>61.374662151806149</v>
      </c>
      <c r="D121" s="29">
        <v>34543.134541376516</v>
      </c>
      <c r="E121" s="49">
        <f t="shared" si="26"/>
        <v>2.8768584209754131E-2</v>
      </c>
      <c r="F121" s="49">
        <f t="shared" si="27"/>
        <v>6.3049746446323052E-2</v>
      </c>
      <c r="G121" s="49">
        <f t="shared" si="28"/>
        <v>9.2173668085728147E-2</v>
      </c>
      <c r="H121" s="50">
        <f t="shared" si="29"/>
        <v>0.17846731707242672</v>
      </c>
      <c r="I121" s="49">
        <f t="shared" si="30"/>
        <v>4.9046004318103534E-3</v>
      </c>
    </row>
    <row r="122" spans="1:14" ht="12.75" customHeight="1" x14ac:dyDescent="0.25">
      <c r="B122" s="82" t="s">
        <v>9</v>
      </c>
      <c r="C122" s="29">
        <v>132.5381726843523</v>
      </c>
      <c r="D122" s="29">
        <v>43226.930239887697</v>
      </c>
      <c r="E122" s="49">
        <f t="shared" si="26"/>
        <v>6.212556530976384E-2</v>
      </c>
      <c r="F122" s="49">
        <f t="shared" si="27"/>
        <v>7.8899816923481969E-2</v>
      </c>
      <c r="G122" s="49">
        <f t="shared" si="28"/>
        <v>0.15429923339549198</v>
      </c>
      <c r="H122" s="50">
        <f t="shared" si="29"/>
        <v>0.25736713399590871</v>
      </c>
      <c r="I122" s="49">
        <f t="shared" si="30"/>
        <v>9.7233334017338413E-3</v>
      </c>
    </row>
    <row r="123" spans="1:14" ht="12.75" customHeight="1" x14ac:dyDescent="0.25">
      <c r="B123" s="111" t="s">
        <v>10</v>
      </c>
      <c r="C123" s="29">
        <v>298.67589123453513</v>
      </c>
      <c r="D123" s="29">
        <v>69411.089457609574</v>
      </c>
      <c r="E123" s="49">
        <f t="shared" si="26"/>
        <v>0.14000048598477258</v>
      </c>
      <c r="F123" s="49">
        <f t="shared" si="27"/>
        <v>0.12669237024865945</v>
      </c>
      <c r="G123" s="49">
        <f t="shared" si="28"/>
        <v>0.29429971938026456</v>
      </c>
      <c r="H123" s="50">
        <f t="shared" si="29"/>
        <v>0.38405950424456814</v>
      </c>
      <c r="I123" s="49">
        <f t="shared" si="30"/>
        <v>2.8417032309113518E-2</v>
      </c>
    </row>
    <row r="124" spans="1:14" ht="12.75" customHeight="1" x14ac:dyDescent="0.25">
      <c r="B124" s="82" t="s">
        <v>4</v>
      </c>
      <c r="C124" s="29">
        <v>357.16725365795082</v>
      </c>
      <c r="D124" s="29">
        <v>149774.72401466093</v>
      </c>
      <c r="E124" s="49">
        <f t="shared" si="26"/>
        <v>0.16741756049769133</v>
      </c>
      <c r="F124" s="49">
        <f t="shared" si="27"/>
        <v>0.273375838602054</v>
      </c>
      <c r="G124" s="49">
        <f t="shared" si="28"/>
        <v>0.46171727987795586</v>
      </c>
      <c r="H124" s="50">
        <f t="shared" si="29"/>
        <v>0.65743534284662219</v>
      </c>
      <c r="I124" s="49">
        <f t="shared" si="30"/>
        <v>0.10333839058481224</v>
      </c>
    </row>
    <row r="125" spans="1:14" ht="12.75" customHeight="1" x14ac:dyDescent="0.25">
      <c r="B125" s="82" t="s">
        <v>7</v>
      </c>
      <c r="C125" s="29">
        <v>438.23592878076829</v>
      </c>
      <c r="D125" s="29">
        <v>179268.67227891536</v>
      </c>
      <c r="E125" s="49">
        <f t="shared" si="26"/>
        <v>0.20541746021649313</v>
      </c>
      <c r="F125" s="49">
        <f t="shared" si="27"/>
        <v>0.327209573856588</v>
      </c>
      <c r="G125" s="49">
        <f t="shared" si="28"/>
        <v>0.66713474009444895</v>
      </c>
      <c r="H125" s="50">
        <f t="shared" si="29"/>
        <v>0.98464491670321019</v>
      </c>
      <c r="I125" s="49">
        <f t="shared" si="30"/>
        <v>0.18468559420115957</v>
      </c>
    </row>
    <row r="126" spans="1:14" ht="12.75" customHeight="1" thickBot="1" x14ac:dyDescent="0.3">
      <c r="B126" s="86" t="s">
        <v>8</v>
      </c>
      <c r="C126" s="32">
        <v>710.13202178540371</v>
      </c>
      <c r="D126" s="32">
        <v>8412.6065227973904</v>
      </c>
      <c r="E126" s="51">
        <f t="shared" si="26"/>
        <v>0.33286525990555105</v>
      </c>
      <c r="F126" s="51">
        <f t="shared" si="27"/>
        <v>1.5355083296789959E-2</v>
      </c>
      <c r="G126" s="51">
        <f t="shared" si="28"/>
        <v>1</v>
      </c>
      <c r="H126" s="52">
        <f t="shared" si="29"/>
        <v>1.0000000000000002</v>
      </c>
      <c r="I126" s="51">
        <f t="shared" si="30"/>
        <v>1.2799496400561329E-2</v>
      </c>
    </row>
    <row r="127" spans="1:14" ht="12.75" customHeight="1" thickBot="1" x14ac:dyDescent="0.3">
      <c r="B127" s="38" t="s">
        <v>12</v>
      </c>
      <c r="C127" s="32">
        <f>SUM(C115:C126)</f>
        <v>2133.3918174185565</v>
      </c>
      <c r="D127" s="32">
        <f>SUM(D115:D126)</f>
        <v>547871.10953387525</v>
      </c>
      <c r="E127" s="51">
        <f>SUM(E116:E126)</f>
        <v>1</v>
      </c>
      <c r="F127" s="51">
        <f>SUM(F116:F126)</f>
        <v>1.0000000000000002</v>
      </c>
      <c r="G127" s="52"/>
      <c r="H127" s="52"/>
      <c r="I127" s="51">
        <f>SUM(I115:I126)</f>
        <v>0.3476888265608975</v>
      </c>
    </row>
    <row r="128" spans="1:14" ht="12.75" customHeight="1" thickBot="1" x14ac:dyDescent="0.3">
      <c r="B128" s="4"/>
      <c r="C128" s="4"/>
      <c r="D128" s="4"/>
      <c r="E128" s="50"/>
      <c r="F128" s="50"/>
      <c r="G128" s="50"/>
      <c r="H128" s="53"/>
      <c r="I128" s="53"/>
    </row>
    <row r="129" spans="1:14" ht="12.75" customHeight="1" thickBot="1" x14ac:dyDescent="0.3">
      <c r="B129" s="4"/>
      <c r="C129" s="4"/>
      <c r="D129" s="4"/>
      <c r="E129" s="50"/>
      <c r="F129" s="50"/>
      <c r="G129" s="55"/>
      <c r="H129" s="56" t="s">
        <v>29</v>
      </c>
      <c r="I129" s="52">
        <f>1-(2*I127)</f>
        <v>0.304622346878205</v>
      </c>
    </row>
    <row r="130" spans="1:14" ht="12.75" customHeight="1" x14ac:dyDescent="0.25"/>
    <row r="131" spans="1:14" ht="12.75" customHeight="1" x14ac:dyDescent="0.25"/>
    <row r="132" spans="1:14" ht="12.75" customHeight="1" x14ac:dyDescent="0.25"/>
    <row r="133" spans="1:14" ht="12.75" customHeight="1" x14ac:dyDescent="0.25"/>
    <row r="134" spans="1:14" ht="16.2" thickBot="1" x14ac:dyDescent="0.35">
      <c r="B134" s="256" t="s">
        <v>105</v>
      </c>
      <c r="C134" s="256"/>
      <c r="D134" s="256"/>
      <c r="E134" s="256"/>
      <c r="F134" s="256"/>
      <c r="G134" s="256"/>
      <c r="H134" s="256"/>
      <c r="I134" s="256"/>
    </row>
    <row r="135" spans="1:14" ht="27" thickBot="1" x14ac:dyDescent="0.3">
      <c r="A135" s="8"/>
      <c r="B135" s="30" t="s">
        <v>19</v>
      </c>
      <c r="C135" s="31" t="s">
        <v>38</v>
      </c>
      <c r="D135" s="31" t="s">
        <v>34</v>
      </c>
      <c r="E135" s="31" t="s">
        <v>15</v>
      </c>
      <c r="F135" s="31" t="s">
        <v>21</v>
      </c>
      <c r="G135" s="31" t="s">
        <v>17</v>
      </c>
      <c r="H135" s="31" t="s">
        <v>117</v>
      </c>
      <c r="I135" s="31" t="s">
        <v>20</v>
      </c>
      <c r="J135" s="8"/>
      <c r="K135" s="8"/>
      <c r="L135" s="8"/>
      <c r="M135" s="8"/>
      <c r="N135" s="8"/>
    </row>
    <row r="136" spans="1:14" ht="12.75" customHeight="1" x14ac:dyDescent="0.25">
      <c r="B136" s="4"/>
      <c r="C136" s="26">
        <v>0</v>
      </c>
      <c r="D136" s="26">
        <v>0</v>
      </c>
      <c r="E136" s="49">
        <v>0</v>
      </c>
      <c r="F136" s="49">
        <v>0</v>
      </c>
      <c r="G136" s="49">
        <v>0</v>
      </c>
      <c r="H136" s="50">
        <f>F136</f>
        <v>0</v>
      </c>
      <c r="I136" s="49">
        <v>0</v>
      </c>
    </row>
    <row r="137" spans="1:14" ht="12.75" customHeight="1" x14ac:dyDescent="0.25">
      <c r="B137" s="82" t="s">
        <v>2</v>
      </c>
      <c r="C137" s="29">
        <v>0</v>
      </c>
      <c r="D137" s="29">
        <v>33738.127951375733</v>
      </c>
      <c r="E137" s="49">
        <f t="shared" ref="E137:E147" si="31">C137/$C$148</f>
        <v>0</v>
      </c>
      <c r="F137" s="49">
        <f t="shared" ref="F137:F147" si="32">D137/$D$148</f>
        <v>6.1580410728501248E-2</v>
      </c>
      <c r="G137" s="49">
        <f t="shared" ref="G137:G147" si="33">G136+E137</f>
        <v>0</v>
      </c>
      <c r="H137" s="50">
        <f t="shared" ref="H137:H147" si="34">F137+H136</f>
        <v>6.1580410728501248E-2</v>
      </c>
      <c r="I137" s="49">
        <f t="shared" ref="I137:I147" si="35">(G136+G137)*0.5*(H137-H136)</f>
        <v>0</v>
      </c>
    </row>
    <row r="138" spans="1:14" ht="12.75" customHeight="1" x14ac:dyDescent="0.25">
      <c r="B138" s="82" t="s">
        <v>7</v>
      </c>
      <c r="C138" s="29">
        <v>0</v>
      </c>
      <c r="D138" s="29">
        <v>179268.67227891536</v>
      </c>
      <c r="E138" s="49">
        <f t="shared" si="31"/>
        <v>0</v>
      </c>
      <c r="F138" s="49">
        <f t="shared" si="32"/>
        <v>0.327209573856588</v>
      </c>
      <c r="G138" s="49">
        <f t="shared" si="33"/>
        <v>0</v>
      </c>
      <c r="H138" s="50">
        <f t="shared" si="34"/>
        <v>0.38878998458508923</v>
      </c>
      <c r="I138" s="49">
        <f t="shared" si="35"/>
        <v>0</v>
      </c>
    </row>
    <row r="139" spans="1:14" ht="12.75" customHeight="1" x14ac:dyDescent="0.25">
      <c r="B139" s="82" t="s">
        <v>8</v>
      </c>
      <c r="C139" s="29">
        <v>0</v>
      </c>
      <c r="D139" s="29">
        <v>8412.6065227973904</v>
      </c>
      <c r="E139" s="49">
        <f t="shared" si="31"/>
        <v>0</v>
      </c>
      <c r="F139" s="49">
        <f t="shared" si="32"/>
        <v>1.5355083296789959E-2</v>
      </c>
      <c r="G139" s="49">
        <f t="shared" si="33"/>
        <v>0</v>
      </c>
      <c r="H139" s="50">
        <f t="shared" si="34"/>
        <v>0.40414506788187921</v>
      </c>
      <c r="I139" s="49">
        <f t="shared" si="35"/>
        <v>0</v>
      </c>
    </row>
    <row r="140" spans="1:14" ht="12.75" customHeight="1" x14ac:dyDescent="0.25">
      <c r="B140" s="82" t="s">
        <v>1</v>
      </c>
      <c r="C140" s="29">
        <v>0.7693067514792219</v>
      </c>
      <c r="D140" s="29">
        <v>7498.2226388555227</v>
      </c>
      <c r="E140" s="49">
        <f t="shared" si="31"/>
        <v>3.5319141033646755E-3</v>
      </c>
      <c r="F140" s="49">
        <f t="shared" si="32"/>
        <v>1.3686107021111144E-2</v>
      </c>
      <c r="G140" s="49">
        <f t="shared" si="33"/>
        <v>3.5319141033646755E-3</v>
      </c>
      <c r="H140" s="50">
        <f t="shared" si="34"/>
        <v>0.41783117490299038</v>
      </c>
      <c r="I140" s="49">
        <f t="shared" si="35"/>
        <v>2.4169077204010426E-5</v>
      </c>
    </row>
    <row r="141" spans="1:14" ht="12.75" customHeight="1" x14ac:dyDescent="0.25">
      <c r="B141" s="82" t="s">
        <v>195</v>
      </c>
      <c r="C141" s="29">
        <v>2.4789683273851866</v>
      </c>
      <c r="D141" s="29">
        <v>4549.0211045835586</v>
      </c>
      <c r="E141" s="49">
        <f t="shared" si="31"/>
        <v>1.1381029973350698E-2</v>
      </c>
      <c r="F141" s="49">
        <f t="shared" si="32"/>
        <v>8.3030863015460567E-3</v>
      </c>
      <c r="G141" s="49">
        <f t="shared" si="33"/>
        <v>1.4912944076715373E-2</v>
      </c>
      <c r="H141" s="50">
        <f t="shared" si="34"/>
        <v>0.42613426120453646</v>
      </c>
      <c r="I141" s="49">
        <f t="shared" si="35"/>
        <v>7.6574624644491421E-5</v>
      </c>
    </row>
    <row r="142" spans="1:14" ht="12.75" customHeight="1" x14ac:dyDescent="0.25">
      <c r="B142" s="82" t="s">
        <v>3</v>
      </c>
      <c r="C142" s="29">
        <v>2.9981638556920855</v>
      </c>
      <c r="D142" s="29">
        <v>4739.5256339269945</v>
      </c>
      <c r="E142" s="49">
        <f t="shared" si="31"/>
        <v>1.3764674735735885E-2</v>
      </c>
      <c r="F142" s="49">
        <f t="shared" si="32"/>
        <v>8.6508040877704764E-3</v>
      </c>
      <c r="G142" s="49">
        <f t="shared" si="33"/>
        <v>2.8677618812451258E-2</v>
      </c>
      <c r="H142" s="50">
        <f t="shared" si="34"/>
        <v>0.43478506529230693</v>
      </c>
      <c r="I142" s="49">
        <f t="shared" si="35"/>
        <v>1.8854670981490921E-4</v>
      </c>
    </row>
    <row r="143" spans="1:14" ht="12.75" customHeight="1" x14ac:dyDescent="0.25">
      <c r="B143" s="111" t="s">
        <v>6</v>
      </c>
      <c r="C143" s="29">
        <v>3.5310475475487979</v>
      </c>
      <c r="D143" s="29">
        <v>12709.055149886017</v>
      </c>
      <c r="E143" s="49">
        <f t="shared" si="31"/>
        <v>1.6211162333957089E-2</v>
      </c>
      <c r="F143" s="49">
        <f t="shared" si="32"/>
        <v>2.3197162487174745E-2</v>
      </c>
      <c r="G143" s="49">
        <f t="shared" si="33"/>
        <v>4.4888781146408346E-2</v>
      </c>
      <c r="H143" s="50">
        <f t="shared" si="34"/>
        <v>0.45798222777948167</v>
      </c>
      <c r="I143" s="49">
        <f t="shared" si="35"/>
        <v>8.5326586672107563E-4</v>
      </c>
    </row>
    <row r="144" spans="1:14" ht="12.75" customHeight="1" x14ac:dyDescent="0.25">
      <c r="B144" s="82" t="s">
        <v>5</v>
      </c>
      <c r="C144" s="29">
        <v>25.321354259396958</v>
      </c>
      <c r="D144" s="29">
        <v>34543.134541376516</v>
      </c>
      <c r="E144" s="49">
        <f t="shared" si="31"/>
        <v>0.11625121975479348</v>
      </c>
      <c r="F144" s="49">
        <f t="shared" si="32"/>
        <v>6.3049746446323052E-2</v>
      </c>
      <c r="G144" s="49">
        <f t="shared" si="33"/>
        <v>0.16114000090120184</v>
      </c>
      <c r="H144" s="50">
        <f t="shared" si="34"/>
        <v>0.52103197422580472</v>
      </c>
      <c r="I144" s="49">
        <f t="shared" si="35"/>
        <v>6.4950312343732882E-3</v>
      </c>
    </row>
    <row r="145" spans="1:14" ht="12.75" customHeight="1" x14ac:dyDescent="0.25">
      <c r="B145" s="82" t="s">
        <v>9</v>
      </c>
      <c r="C145" s="29">
        <v>26.214891117774812</v>
      </c>
      <c r="D145" s="29">
        <v>43226.930239887697</v>
      </c>
      <c r="E145" s="49">
        <f t="shared" si="31"/>
        <v>0.12035347860786184</v>
      </c>
      <c r="F145" s="49">
        <f t="shared" si="32"/>
        <v>7.8899816923481969E-2</v>
      </c>
      <c r="G145" s="49">
        <f t="shared" si="33"/>
        <v>0.28149347950906367</v>
      </c>
      <c r="H145" s="50">
        <f t="shared" si="34"/>
        <v>0.59993179114928674</v>
      </c>
      <c r="I145" s="49">
        <f t="shared" si="35"/>
        <v>1.7461850284286807E-2</v>
      </c>
    </row>
    <row r="146" spans="1:14" ht="12.75" customHeight="1" x14ac:dyDescent="0.25">
      <c r="B146" s="111" t="s">
        <v>10</v>
      </c>
      <c r="C146" s="29">
        <v>48.022346099497078</v>
      </c>
      <c r="D146" s="29">
        <v>69411.089457609574</v>
      </c>
      <c r="E146" s="49">
        <f t="shared" si="31"/>
        <v>0.22047226433324021</v>
      </c>
      <c r="F146" s="49">
        <f t="shared" si="32"/>
        <v>0.12669237024865945</v>
      </c>
      <c r="G146" s="49">
        <f t="shared" si="33"/>
        <v>0.50196574384230386</v>
      </c>
      <c r="H146" s="50">
        <f t="shared" si="34"/>
        <v>0.72662416139794617</v>
      </c>
      <c r="I146" s="49">
        <f t="shared" si="35"/>
        <v>4.9629152999779311E-2</v>
      </c>
    </row>
    <row r="147" spans="1:14" ht="12.75" customHeight="1" thickBot="1" x14ac:dyDescent="0.3">
      <c r="B147" s="86" t="s">
        <v>4</v>
      </c>
      <c r="C147" s="32">
        <v>108.47973776175608</v>
      </c>
      <c r="D147" s="32">
        <v>149774.72401466093</v>
      </c>
      <c r="E147" s="51">
        <f t="shared" si="31"/>
        <v>0.49803425615769614</v>
      </c>
      <c r="F147" s="51">
        <f t="shared" si="32"/>
        <v>0.273375838602054</v>
      </c>
      <c r="G147" s="51">
        <f t="shared" si="33"/>
        <v>1</v>
      </c>
      <c r="H147" s="52">
        <f t="shared" si="34"/>
        <v>1.0000000000000002</v>
      </c>
      <c r="I147" s="51">
        <f t="shared" si="35"/>
        <v>0.20530057238722388</v>
      </c>
    </row>
    <row r="148" spans="1:14" ht="12.75" customHeight="1" thickBot="1" x14ac:dyDescent="0.3">
      <c r="B148" s="38" t="s">
        <v>12</v>
      </c>
      <c r="C148" s="32">
        <f>SUM(C136:C147)</f>
        <v>217.81581572053022</v>
      </c>
      <c r="D148" s="32">
        <f>SUM(D136:D147)</f>
        <v>547871.10953387525</v>
      </c>
      <c r="E148" s="51">
        <f>SUM(E137:E147)</f>
        <v>1</v>
      </c>
      <c r="F148" s="51">
        <f>SUM(F137:F147)</f>
        <v>1.0000000000000002</v>
      </c>
      <c r="G148" s="52"/>
      <c r="H148" s="52"/>
      <c r="I148" s="51">
        <f>SUM(I136:I147)</f>
        <v>0.2800291631840478</v>
      </c>
    </row>
    <row r="149" spans="1:14" ht="12.75" customHeight="1" thickBot="1" x14ac:dyDescent="0.3">
      <c r="B149" s="4"/>
      <c r="C149" s="4"/>
      <c r="D149" s="4"/>
      <c r="E149" s="50"/>
      <c r="F149" s="50"/>
      <c r="G149" s="50"/>
      <c r="H149" s="53"/>
      <c r="I149" s="53"/>
    </row>
    <row r="150" spans="1:14" ht="12.75" customHeight="1" thickBot="1" x14ac:dyDescent="0.3">
      <c r="B150" s="4"/>
      <c r="C150" s="4"/>
      <c r="D150" s="4"/>
      <c r="E150" s="50"/>
      <c r="F150" s="50"/>
      <c r="G150" s="55"/>
      <c r="H150" s="56" t="s">
        <v>33</v>
      </c>
      <c r="I150" s="52">
        <f>1-(2*I148)</f>
        <v>0.4399416736319044</v>
      </c>
    </row>
    <row r="151" spans="1:14" ht="12.75" customHeight="1" x14ac:dyDescent="0.25"/>
    <row r="152" spans="1:14" ht="12.75" customHeight="1" x14ac:dyDescent="0.25"/>
    <row r="153" spans="1:14" ht="12.75" customHeight="1" x14ac:dyDescent="0.25"/>
    <row r="154" spans="1:14" ht="12.75" customHeight="1" x14ac:dyDescent="0.25"/>
    <row r="155" spans="1:14" ht="16.2" thickBot="1" x14ac:dyDescent="0.35">
      <c r="B155" s="256" t="s">
        <v>101</v>
      </c>
      <c r="C155" s="256"/>
      <c r="D155" s="256"/>
      <c r="E155" s="256"/>
      <c r="F155" s="256"/>
      <c r="G155" s="256"/>
      <c r="H155" s="256"/>
      <c r="I155" s="256"/>
    </row>
    <row r="156" spans="1:14" ht="27" thickBot="1" x14ac:dyDescent="0.3">
      <c r="A156" s="8"/>
      <c r="B156" s="30" t="s">
        <v>19</v>
      </c>
      <c r="C156" s="31" t="s">
        <v>39</v>
      </c>
      <c r="D156" s="31" t="s">
        <v>40</v>
      </c>
      <c r="E156" s="31" t="s">
        <v>15</v>
      </c>
      <c r="F156" s="31" t="s">
        <v>21</v>
      </c>
      <c r="G156" s="31" t="s">
        <v>17</v>
      </c>
      <c r="H156" s="31" t="s">
        <v>117</v>
      </c>
      <c r="I156" s="31" t="s">
        <v>20</v>
      </c>
      <c r="J156" s="8"/>
      <c r="K156" s="8"/>
      <c r="L156" s="8"/>
      <c r="M156" s="8"/>
      <c r="N156" s="8"/>
    </row>
    <row r="157" spans="1:14" ht="12.75" customHeight="1" x14ac:dyDescent="0.25">
      <c r="B157" s="4"/>
      <c r="C157" s="26">
        <v>0</v>
      </c>
      <c r="D157" s="26">
        <v>0</v>
      </c>
      <c r="E157" s="49">
        <v>0</v>
      </c>
      <c r="F157" s="49">
        <v>0</v>
      </c>
      <c r="G157" s="49">
        <v>0</v>
      </c>
      <c r="H157" s="50">
        <f>F157</f>
        <v>0</v>
      </c>
      <c r="I157" s="49">
        <v>0</v>
      </c>
    </row>
    <row r="158" spans="1:14" ht="12.75" customHeight="1" x14ac:dyDescent="0.25">
      <c r="B158" s="82" t="s">
        <v>1</v>
      </c>
      <c r="C158" s="29">
        <v>0.7693067514792219</v>
      </c>
      <c r="D158" s="29">
        <v>7498.2226388555227</v>
      </c>
      <c r="E158" s="49">
        <f t="shared" ref="E158:E168" si="36">C158/$C$169</f>
        <v>2.1578474714352507E-3</v>
      </c>
      <c r="F158" s="49">
        <f t="shared" ref="F158:F168" si="37">D158/$D$169</f>
        <v>1.3686107021111144E-2</v>
      </c>
      <c r="G158" s="49">
        <f t="shared" ref="G158:G168" si="38">G157+E158</f>
        <v>2.1578474714352507E-3</v>
      </c>
      <c r="H158" s="50">
        <f t="shared" ref="H158:H168" si="39">F158+H157</f>
        <v>1.3686107021111144E-2</v>
      </c>
      <c r="I158" s="49">
        <f t="shared" ref="I158:I168" si="40">(G157+G158)*0.5*(H158-H157)</f>
        <v>1.4766265714648456E-5</v>
      </c>
    </row>
    <row r="159" spans="1:14" ht="12.75" customHeight="1" x14ac:dyDescent="0.25">
      <c r="B159" s="82" t="s">
        <v>195</v>
      </c>
      <c r="C159" s="29">
        <v>2.4789683273851866</v>
      </c>
      <c r="D159" s="29">
        <v>4549.0211045835586</v>
      </c>
      <c r="E159" s="49">
        <f t="shared" si="36"/>
        <v>6.9533193706290694E-3</v>
      </c>
      <c r="F159" s="49">
        <f t="shared" si="37"/>
        <v>8.3030863015460567E-3</v>
      </c>
      <c r="G159" s="49">
        <f t="shared" si="38"/>
        <v>9.1111668420643197E-3</v>
      </c>
      <c r="H159" s="50">
        <f t="shared" si="39"/>
        <v>2.19891933226572E-2</v>
      </c>
      <c r="I159" s="49">
        <f t="shared" si="40"/>
        <v>4.6783799189172362E-5</v>
      </c>
    </row>
    <row r="160" spans="1:14" ht="12.75" customHeight="1" x14ac:dyDescent="0.25">
      <c r="B160" s="82" t="s">
        <v>3</v>
      </c>
      <c r="C160" s="29">
        <v>2.9981638556920855</v>
      </c>
      <c r="D160" s="29">
        <v>4739.5256339269945</v>
      </c>
      <c r="E160" s="49">
        <f t="shared" si="36"/>
        <v>8.40962370668661E-3</v>
      </c>
      <c r="F160" s="49">
        <f t="shared" si="37"/>
        <v>8.6508040877704764E-3</v>
      </c>
      <c r="G160" s="49">
        <f t="shared" si="38"/>
        <v>1.7520790548750928E-2</v>
      </c>
      <c r="H160" s="50">
        <f t="shared" si="39"/>
        <v>3.0639997410427677E-2</v>
      </c>
      <c r="I160" s="49">
        <f t="shared" si="40"/>
        <v>1.1519392293089683E-4</v>
      </c>
    </row>
    <row r="161" spans="1:9" ht="12.75" customHeight="1" x14ac:dyDescent="0.25">
      <c r="B161" s="111" t="s">
        <v>6</v>
      </c>
      <c r="C161" s="29">
        <v>7.3310475475487973</v>
      </c>
      <c r="D161" s="29">
        <v>12709.055149886017</v>
      </c>
      <c r="E161" s="49">
        <f t="shared" si="36"/>
        <v>2.0563035984062891E-2</v>
      </c>
      <c r="F161" s="49">
        <f t="shared" si="37"/>
        <v>2.3197162487174745E-2</v>
      </c>
      <c r="G161" s="49">
        <f t="shared" si="38"/>
        <v>3.8083826532813822E-2</v>
      </c>
      <c r="H161" s="50">
        <f t="shared" si="39"/>
        <v>5.3837159897602418E-2</v>
      </c>
      <c r="I161" s="49">
        <f t="shared" si="40"/>
        <v>6.4493466873909481E-4</v>
      </c>
    </row>
    <row r="162" spans="1:9" ht="12.75" customHeight="1" x14ac:dyDescent="0.25">
      <c r="B162" s="82" t="s">
        <v>8</v>
      </c>
      <c r="C162" s="29">
        <v>23.5</v>
      </c>
      <c r="D162" s="29">
        <v>8412.6065227973904</v>
      </c>
      <c r="E162" s="49">
        <f t="shared" si="36"/>
        <v>6.5915729299430167E-2</v>
      </c>
      <c r="F162" s="49">
        <f t="shared" si="37"/>
        <v>1.5355083296789959E-2</v>
      </c>
      <c r="G162" s="49">
        <f t="shared" si="38"/>
        <v>0.10399955583224399</v>
      </c>
      <c r="H162" s="50">
        <f t="shared" si="39"/>
        <v>6.9192243194392378E-2</v>
      </c>
      <c r="I162" s="49">
        <f t="shared" si="40"/>
        <v>1.09085108565256E-3</v>
      </c>
    </row>
    <row r="163" spans="1:9" ht="12.75" customHeight="1" x14ac:dyDescent="0.25">
      <c r="B163" s="82" t="s">
        <v>5</v>
      </c>
      <c r="C163" s="29">
        <v>25.321354259396958</v>
      </c>
      <c r="D163" s="29">
        <v>34543.134541376516</v>
      </c>
      <c r="E163" s="49">
        <f t="shared" si="36"/>
        <v>7.1024490759888634E-2</v>
      </c>
      <c r="F163" s="49">
        <f t="shared" si="37"/>
        <v>6.3049746446323052E-2</v>
      </c>
      <c r="G163" s="49">
        <f t="shared" si="38"/>
        <v>0.17502404659213261</v>
      </c>
      <c r="H163" s="50">
        <f t="shared" si="39"/>
        <v>0.13224198964071543</v>
      </c>
      <c r="I163" s="49">
        <f t="shared" si="40"/>
        <v>8.7961836926982988E-3</v>
      </c>
    </row>
    <row r="164" spans="1:9" ht="12.75" customHeight="1" x14ac:dyDescent="0.25">
      <c r="B164" s="82" t="s">
        <v>9</v>
      </c>
      <c r="C164" s="29">
        <v>26.214891117774812</v>
      </c>
      <c r="D164" s="29">
        <v>43226.930239887697</v>
      </c>
      <c r="E164" s="49">
        <f t="shared" si="36"/>
        <v>7.353079432056514E-2</v>
      </c>
      <c r="F164" s="49">
        <f t="shared" si="37"/>
        <v>7.8899816923481969E-2</v>
      </c>
      <c r="G164" s="49">
        <f t="shared" si="38"/>
        <v>0.24855484091269775</v>
      </c>
      <c r="H164" s="50">
        <f t="shared" si="39"/>
        <v>0.2111418065641974</v>
      </c>
      <c r="I164" s="49">
        <f t="shared" si="40"/>
        <v>1.6710148338391639E-2</v>
      </c>
    </row>
    <row r="165" spans="1:9" ht="12.75" customHeight="1" x14ac:dyDescent="0.25">
      <c r="B165" s="82" t="s">
        <v>7</v>
      </c>
      <c r="C165" s="29">
        <v>33.799999999999997</v>
      </c>
      <c r="D165" s="29">
        <v>179268.67227891536</v>
      </c>
      <c r="E165" s="49">
        <f t="shared" si="36"/>
        <v>9.480645320513785E-2</v>
      </c>
      <c r="F165" s="49">
        <f t="shared" si="37"/>
        <v>0.327209573856588</v>
      </c>
      <c r="G165" s="49">
        <f t="shared" si="38"/>
        <v>0.34336129411783561</v>
      </c>
      <c r="H165" s="50">
        <f t="shared" si="39"/>
        <v>0.53835138042078534</v>
      </c>
      <c r="I165" s="49">
        <f t="shared" si="40"/>
        <v>9.684031315108968E-2</v>
      </c>
    </row>
    <row r="166" spans="1:9" ht="12.75" customHeight="1" x14ac:dyDescent="0.25">
      <c r="B166" s="82" t="s">
        <v>2</v>
      </c>
      <c r="C166" s="29">
        <v>56.5</v>
      </c>
      <c r="D166" s="29">
        <v>33738.127951375733</v>
      </c>
      <c r="E166" s="49">
        <f t="shared" si="36"/>
        <v>0.15847824278373637</v>
      </c>
      <c r="F166" s="49">
        <f t="shared" si="37"/>
        <v>6.1580410728501248E-2</v>
      </c>
      <c r="G166" s="49">
        <f t="shared" si="38"/>
        <v>0.50183953690157201</v>
      </c>
      <c r="H166" s="50">
        <f t="shared" si="39"/>
        <v>0.59993179114928663</v>
      </c>
      <c r="I166" s="49">
        <f t="shared" si="40"/>
        <v>2.6023907161122867E-2</v>
      </c>
    </row>
    <row r="167" spans="1:9" ht="12.75" customHeight="1" x14ac:dyDescent="0.25">
      <c r="B167" s="111" t="s">
        <v>10</v>
      </c>
      <c r="C167" s="29">
        <v>69.122346099497079</v>
      </c>
      <c r="D167" s="29">
        <v>69411.089457609574</v>
      </c>
      <c r="E167" s="49">
        <f t="shared" si="36"/>
        <v>0.19388297251216904</v>
      </c>
      <c r="F167" s="49">
        <f t="shared" si="37"/>
        <v>0.12669237024865945</v>
      </c>
      <c r="G167" s="49">
        <f t="shared" si="38"/>
        <v>0.69572250941374103</v>
      </c>
      <c r="H167" s="50">
        <f t="shared" si="39"/>
        <v>0.72662416139794606</v>
      </c>
      <c r="I167" s="49">
        <f t="shared" si="40"/>
        <v>7.586098708376092E-2</v>
      </c>
    </row>
    <row r="168" spans="1:9" ht="12.75" customHeight="1" thickBot="1" x14ac:dyDescent="0.3">
      <c r="B168" s="86" t="s">
        <v>4</v>
      </c>
      <c r="C168" s="32">
        <v>108.47973776175608</v>
      </c>
      <c r="D168" s="32">
        <v>149774.72401466093</v>
      </c>
      <c r="E168" s="51">
        <f t="shared" si="36"/>
        <v>0.30427749058625903</v>
      </c>
      <c r="F168" s="51">
        <f t="shared" si="37"/>
        <v>0.273375838602054</v>
      </c>
      <c r="G168" s="51">
        <f t="shared" si="38"/>
        <v>1</v>
      </c>
      <c r="H168" s="52">
        <f t="shared" si="39"/>
        <v>1</v>
      </c>
      <c r="I168" s="51">
        <f t="shared" si="40"/>
        <v>0.23178478152368037</v>
      </c>
    </row>
    <row r="169" spans="1:9" ht="12.75" customHeight="1" thickBot="1" x14ac:dyDescent="0.3">
      <c r="B169" s="38" t="s">
        <v>12</v>
      </c>
      <c r="C169" s="32">
        <f>SUM(C157:C168)</f>
        <v>356.51581572053021</v>
      </c>
      <c r="D169" s="32">
        <f>SUM(D157:D168)</f>
        <v>547871.10953387525</v>
      </c>
      <c r="E169" s="51">
        <f>SUM(E158:E168)</f>
        <v>1</v>
      </c>
      <c r="F169" s="51">
        <f>SUM(F158:F168)</f>
        <v>1</v>
      </c>
      <c r="G169" s="52"/>
      <c r="H169" s="52"/>
      <c r="I169" s="51">
        <f>SUM(I157:I168)</f>
        <v>0.45792885069297018</v>
      </c>
    </row>
    <row r="170" spans="1:9" ht="12.75" customHeight="1" thickBot="1" x14ac:dyDescent="0.3">
      <c r="B170" s="4"/>
      <c r="C170" s="4"/>
      <c r="D170" s="4"/>
      <c r="E170" s="50"/>
      <c r="F170" s="50"/>
      <c r="G170" s="50"/>
      <c r="H170" s="53"/>
      <c r="I170" s="53"/>
    </row>
    <row r="171" spans="1:9" ht="12.75" customHeight="1" thickBot="1" x14ac:dyDescent="0.3">
      <c r="B171" s="4"/>
      <c r="C171" s="4"/>
      <c r="D171" s="4"/>
      <c r="E171" s="50"/>
      <c r="F171" s="50"/>
      <c r="G171" s="55"/>
      <c r="H171" s="57" t="s">
        <v>29</v>
      </c>
      <c r="I171" s="58">
        <f>1-(2*I169)</f>
        <v>8.4142298614059641E-2</v>
      </c>
    </row>
    <row r="172" spans="1:9" ht="12.75" customHeight="1" x14ac:dyDescent="0.25">
      <c r="B172" s="4"/>
      <c r="C172" s="4"/>
      <c r="D172" s="4"/>
      <c r="E172" s="50"/>
      <c r="F172" s="50"/>
      <c r="G172" s="55"/>
      <c r="H172" s="116"/>
      <c r="I172" s="108"/>
    </row>
    <row r="173" spans="1:9" ht="12.75" customHeight="1" x14ac:dyDescent="0.25">
      <c r="B173" s="4"/>
      <c r="C173" s="4"/>
      <c r="D173" s="4"/>
      <c r="E173" s="50"/>
      <c r="F173" s="50"/>
      <c r="G173" s="55"/>
      <c r="H173" s="116"/>
      <c r="I173" s="108"/>
    </row>
    <row r="174" spans="1:9" ht="28.2" customHeight="1" x14ac:dyDescent="0.25">
      <c r="A174" s="252" t="s">
        <v>94</v>
      </c>
      <c r="B174" s="252"/>
      <c r="C174" s="252"/>
      <c r="D174" s="252"/>
      <c r="E174" s="252"/>
      <c r="F174" s="252"/>
      <c r="G174" s="55"/>
      <c r="H174" s="116"/>
      <c r="I174" s="108"/>
    </row>
    <row r="175" spans="1:9" ht="12.75" customHeight="1" x14ac:dyDescent="0.25"/>
    <row r="176" spans="1:9" ht="16.2" thickBot="1" x14ac:dyDescent="0.35">
      <c r="B176" s="256" t="s">
        <v>114</v>
      </c>
      <c r="C176" s="256"/>
      <c r="D176" s="256"/>
      <c r="E176" s="256"/>
      <c r="F176" s="256"/>
      <c r="G176" s="256"/>
      <c r="H176" s="256"/>
      <c r="I176" s="256"/>
    </row>
    <row r="177" spans="1:14" ht="42.6" customHeight="1" thickBot="1" x14ac:dyDescent="0.3">
      <c r="A177" s="8"/>
      <c r="B177" s="36" t="s">
        <v>19</v>
      </c>
      <c r="C177" s="37" t="s">
        <v>42</v>
      </c>
      <c r="D177" s="37" t="s">
        <v>115</v>
      </c>
      <c r="E177" s="37" t="s">
        <v>27</v>
      </c>
      <c r="F177" s="37" t="s">
        <v>21</v>
      </c>
      <c r="G177" s="37" t="s">
        <v>28</v>
      </c>
      <c r="H177" s="37" t="s">
        <v>117</v>
      </c>
      <c r="I177" s="37" t="s">
        <v>20</v>
      </c>
      <c r="J177" s="8"/>
      <c r="K177" s="8"/>
      <c r="L177" s="8"/>
      <c r="M177" s="8"/>
      <c r="N177" s="8"/>
    </row>
    <row r="178" spans="1:14" ht="12.75" customHeight="1" x14ac:dyDescent="0.25">
      <c r="B178" s="4"/>
      <c r="C178" s="26">
        <v>0</v>
      </c>
      <c r="D178" s="26">
        <v>0</v>
      </c>
      <c r="E178" s="49">
        <v>0</v>
      </c>
      <c r="F178" s="49">
        <v>0</v>
      </c>
      <c r="G178" s="49">
        <v>0</v>
      </c>
      <c r="H178" s="50">
        <f>F178</f>
        <v>0</v>
      </c>
      <c r="I178" s="49">
        <v>0</v>
      </c>
    </row>
    <row r="179" spans="1:14" ht="12.75" customHeight="1" x14ac:dyDescent="0.25">
      <c r="B179" s="82" t="s">
        <v>2</v>
      </c>
      <c r="C179" s="84">
        <v>3.4774667730851241</v>
      </c>
      <c r="D179" s="29">
        <v>251430.37783690859</v>
      </c>
      <c r="E179" s="49">
        <f t="shared" ref="E179:E189" si="41">C179/$C$190</f>
        <v>1.572820191697484E-3</v>
      </c>
      <c r="F179" s="49">
        <f t="shared" ref="F179:F189" si="42">D179/$D$190</f>
        <v>8.2249727275718124E-2</v>
      </c>
      <c r="G179" s="49">
        <f t="shared" ref="G179:G189" si="43">G178+E179</f>
        <v>1.572820191697484E-3</v>
      </c>
      <c r="H179" s="50">
        <f t="shared" ref="H179:H189" si="44">F179+H178</f>
        <v>8.2249727275718124E-2</v>
      </c>
      <c r="I179" s="49">
        <f t="shared" ref="I179:I189" si="45">(G178+G179)*0.5*(H179-H178)</f>
        <v>6.4682015910430378E-5</v>
      </c>
    </row>
    <row r="180" spans="1:14" ht="12.75" customHeight="1" x14ac:dyDescent="0.25">
      <c r="B180" s="82" t="s">
        <v>3</v>
      </c>
      <c r="C180" s="84">
        <v>15.066778136817998</v>
      </c>
      <c r="D180" s="29">
        <v>24496.645034227455</v>
      </c>
      <c r="E180" s="49">
        <f t="shared" si="41"/>
        <v>6.8145389801639563E-3</v>
      </c>
      <c r="F180" s="49">
        <f t="shared" si="42"/>
        <v>8.0135200470573958E-3</v>
      </c>
      <c r="G180" s="49">
        <f t="shared" si="43"/>
        <v>8.3873591718614405E-3</v>
      </c>
      <c r="H180" s="50">
        <f t="shared" si="44"/>
        <v>9.0263247322775519E-2</v>
      </c>
      <c r="I180" s="49">
        <f t="shared" si="45"/>
        <v>3.9908048501083403E-5</v>
      </c>
    </row>
    <row r="181" spans="1:14" ht="12.75" customHeight="1" x14ac:dyDescent="0.25">
      <c r="B181" s="82" t="s">
        <v>1</v>
      </c>
      <c r="C181" s="84">
        <v>15.505046378301394</v>
      </c>
      <c r="D181" s="29">
        <v>13199.085501550475</v>
      </c>
      <c r="E181" s="49">
        <f t="shared" si="41"/>
        <v>7.0127629128611734E-3</v>
      </c>
      <c r="F181" s="49">
        <f t="shared" si="42"/>
        <v>4.3177805010323955E-3</v>
      </c>
      <c r="G181" s="49">
        <f t="shared" si="43"/>
        <v>1.5400122084722613E-2</v>
      </c>
      <c r="H181" s="50">
        <f t="shared" si="44"/>
        <v>9.4581027823807909E-2</v>
      </c>
      <c r="I181" s="49">
        <f t="shared" si="45"/>
        <v>5.1354561369176028E-5</v>
      </c>
    </row>
    <row r="182" spans="1:14" ht="12.75" customHeight="1" x14ac:dyDescent="0.25">
      <c r="B182" s="111" t="s">
        <v>6</v>
      </c>
      <c r="C182" s="84">
        <v>25.22714592864719</v>
      </c>
      <c r="D182" s="29">
        <v>20836.189535136225</v>
      </c>
      <c r="E182" s="49">
        <f t="shared" si="41"/>
        <v>1.1409962218064309E-2</v>
      </c>
      <c r="F182" s="49">
        <f t="shared" si="42"/>
        <v>6.8160853174303836E-3</v>
      </c>
      <c r="G182" s="49">
        <f t="shared" si="43"/>
        <v>2.6810084302786922E-2</v>
      </c>
      <c r="H182" s="50">
        <f t="shared" si="44"/>
        <v>0.1013971131412383</v>
      </c>
      <c r="I182" s="49">
        <f t="shared" si="45"/>
        <v>1.4385418400180504E-4</v>
      </c>
    </row>
    <row r="183" spans="1:14" ht="12.75" customHeight="1" x14ac:dyDescent="0.25">
      <c r="B183" s="82" t="s">
        <v>195</v>
      </c>
      <c r="C183" s="84">
        <v>27.810279358694004</v>
      </c>
      <c r="D183" s="29">
        <v>20450.034940117202</v>
      </c>
      <c r="E183" s="49">
        <f t="shared" si="41"/>
        <v>1.2578285219184457E-2</v>
      </c>
      <c r="F183" s="49">
        <f t="shared" si="42"/>
        <v>6.6897636279041406E-3</v>
      </c>
      <c r="G183" s="49">
        <f t="shared" si="43"/>
        <v>3.9388369521971375E-2</v>
      </c>
      <c r="H183" s="50">
        <f t="shared" si="44"/>
        <v>0.10808687676914244</v>
      </c>
      <c r="I183" s="49">
        <f t="shared" si="45"/>
        <v>2.2142600431018008E-4</v>
      </c>
    </row>
    <row r="184" spans="1:14" ht="12.75" customHeight="1" x14ac:dyDescent="0.25">
      <c r="B184" s="82" t="s">
        <v>5</v>
      </c>
      <c r="C184" s="84">
        <v>85.552170131890833</v>
      </c>
      <c r="D184" s="29">
        <v>49475.746319971244</v>
      </c>
      <c r="E184" s="49">
        <f t="shared" si="41"/>
        <v>3.8694310947391036E-2</v>
      </c>
      <c r="F184" s="49">
        <f t="shared" si="42"/>
        <v>1.6184864679397896E-2</v>
      </c>
      <c r="G184" s="49">
        <f t="shared" si="43"/>
        <v>7.8082680469362412E-2</v>
      </c>
      <c r="H184" s="50">
        <f t="shared" si="44"/>
        <v>0.12427174144854033</v>
      </c>
      <c r="I184" s="49">
        <f t="shared" si="45"/>
        <v>9.5062652392826112E-4</v>
      </c>
    </row>
    <row r="185" spans="1:14" ht="12.75" customHeight="1" x14ac:dyDescent="0.25">
      <c r="B185" s="82" t="s">
        <v>9</v>
      </c>
      <c r="C185" s="84">
        <v>147.33919010948145</v>
      </c>
      <c r="D185" s="29">
        <v>119784.51078433092</v>
      </c>
      <c r="E185" s="49">
        <f t="shared" si="41"/>
        <v>6.6639904376988274E-2</v>
      </c>
      <c r="F185" s="49">
        <f t="shared" si="42"/>
        <v>3.9184777227902166E-2</v>
      </c>
      <c r="G185" s="49">
        <f t="shared" si="43"/>
        <v>0.1447225848463507</v>
      </c>
      <c r="H185" s="50">
        <f t="shared" si="44"/>
        <v>0.16345651867644251</v>
      </c>
      <c r="I185" s="49">
        <f t="shared" si="45"/>
        <v>4.3652873432999282E-3</v>
      </c>
    </row>
    <row r="186" spans="1:14" ht="12.75" customHeight="1" x14ac:dyDescent="0.25">
      <c r="B186" s="111" t="s">
        <v>10</v>
      </c>
      <c r="C186" s="84">
        <v>339.88345704567735</v>
      </c>
      <c r="D186" s="29">
        <v>237021.44592026682</v>
      </c>
      <c r="E186" s="49">
        <f t="shared" si="41"/>
        <v>0.15372557063747969</v>
      </c>
      <c r="F186" s="49">
        <f t="shared" si="42"/>
        <v>7.7536173047808091E-2</v>
      </c>
      <c r="G186" s="49">
        <f t="shared" si="43"/>
        <v>0.29844815548383041</v>
      </c>
      <c r="H186" s="50">
        <f t="shared" si="44"/>
        <v>0.24099269172425059</v>
      </c>
      <c r="I186" s="49">
        <f t="shared" si="45"/>
        <v>1.7180881605983071E-2</v>
      </c>
    </row>
    <row r="187" spans="1:14" ht="12.75" customHeight="1" x14ac:dyDescent="0.25">
      <c r="B187" s="82" t="s">
        <v>7</v>
      </c>
      <c r="C187" s="84">
        <v>392.56604129317407</v>
      </c>
      <c r="D187" s="29">
        <v>1339764.2833351614</v>
      </c>
      <c r="E187" s="49">
        <f t="shared" si="41"/>
        <v>0.17755332735296805</v>
      </c>
      <c r="F187" s="49">
        <f t="shared" si="42"/>
        <v>0.43827340143259691</v>
      </c>
      <c r="G187" s="49">
        <f t="shared" si="43"/>
        <v>0.47600148283679844</v>
      </c>
      <c r="H187" s="50">
        <f t="shared" si="44"/>
        <v>0.67926609315684749</v>
      </c>
      <c r="I187" s="49">
        <f t="shared" si="45"/>
        <v>0.16971033861251322</v>
      </c>
    </row>
    <row r="188" spans="1:14" ht="12.75" customHeight="1" x14ac:dyDescent="0.25">
      <c r="B188" s="82" t="s">
        <v>4</v>
      </c>
      <c r="C188" s="84">
        <v>465.09746142377105</v>
      </c>
      <c r="D188" s="29">
        <v>363314.38569269452</v>
      </c>
      <c r="E188" s="49">
        <f t="shared" si="41"/>
        <v>0.21035849547041588</v>
      </c>
      <c r="F188" s="49">
        <f t="shared" si="42"/>
        <v>0.1188500347318915</v>
      </c>
      <c r="G188" s="49">
        <f t="shared" si="43"/>
        <v>0.68635997830721429</v>
      </c>
      <c r="H188" s="50">
        <f t="shared" si="44"/>
        <v>0.79811612788873898</v>
      </c>
      <c r="I188" s="49">
        <f t="shared" si="45"/>
        <v>6.9073350013989024E-2</v>
      </c>
    </row>
    <row r="189" spans="1:14" ht="12.75" customHeight="1" thickBot="1" x14ac:dyDescent="0.3">
      <c r="B189" s="86" t="s">
        <v>8</v>
      </c>
      <c r="C189" s="87">
        <v>693.45037652984286</v>
      </c>
      <c r="D189" s="32">
        <v>617141.72101696266</v>
      </c>
      <c r="E189" s="51">
        <f t="shared" si="41"/>
        <v>0.31364002169278571</v>
      </c>
      <c r="F189" s="51">
        <f t="shared" si="42"/>
        <v>0.20188387211126102</v>
      </c>
      <c r="G189" s="51">
        <f t="shared" si="43"/>
        <v>1</v>
      </c>
      <c r="H189" s="52">
        <f t="shared" si="44"/>
        <v>1</v>
      </c>
      <c r="I189" s="51">
        <f t="shared" si="45"/>
        <v>0.17022444109706128</v>
      </c>
    </row>
    <row r="190" spans="1:14" ht="12.75" customHeight="1" thickBot="1" x14ac:dyDescent="0.3">
      <c r="B190" s="38" t="s">
        <v>12</v>
      </c>
      <c r="C190" s="32">
        <f>SUM(C178:C189)</f>
        <v>2210.9754131093832</v>
      </c>
      <c r="D190" s="32">
        <f>SUM(D178:D189)</f>
        <v>3056914.4259173274</v>
      </c>
      <c r="E190" s="39">
        <f>SUM(E179:E189)</f>
        <v>1</v>
      </c>
      <c r="F190" s="33">
        <f>SUM(F179:F189)</f>
        <v>1</v>
      </c>
      <c r="G190" s="40"/>
      <c r="H190" s="40"/>
      <c r="I190" s="51">
        <f>SUM(I178:I189)</f>
        <v>0.43202615001086742</v>
      </c>
    </row>
    <row r="191" spans="1:14" ht="12.75" customHeight="1" thickBot="1" x14ac:dyDescent="0.3">
      <c r="B191" s="4"/>
      <c r="C191" s="4"/>
      <c r="D191" s="4"/>
      <c r="E191" s="4"/>
      <c r="F191" s="4"/>
      <c r="G191" s="4"/>
      <c r="H191" s="7"/>
      <c r="I191" s="53"/>
    </row>
    <row r="192" spans="1:14" ht="12.75" customHeight="1" thickBot="1" x14ac:dyDescent="0.3">
      <c r="B192" s="4"/>
      <c r="C192" s="4"/>
      <c r="D192" s="4"/>
      <c r="E192" s="4"/>
      <c r="F192" s="4"/>
      <c r="G192" s="5"/>
      <c r="H192" s="24" t="s">
        <v>29</v>
      </c>
      <c r="I192" s="52">
        <f>1-(2*I190)</f>
        <v>0.13594769997826517</v>
      </c>
    </row>
    <row r="193" spans="1:14" ht="12.75" customHeight="1" x14ac:dyDescent="0.25"/>
    <row r="194" spans="1:14" ht="12.75" customHeight="1" x14ac:dyDescent="0.25"/>
    <row r="195" spans="1:14" ht="12.75" customHeight="1" x14ac:dyDescent="0.25"/>
    <row r="196" spans="1:14" ht="12.75" customHeight="1" x14ac:dyDescent="0.25"/>
    <row r="197" spans="1:14" ht="16.2" thickBot="1" x14ac:dyDescent="0.35">
      <c r="B197" s="256" t="s">
        <v>120</v>
      </c>
      <c r="C197" s="256"/>
      <c r="D197" s="256"/>
      <c r="E197" s="256"/>
      <c r="F197" s="256"/>
      <c r="G197" s="256"/>
      <c r="H197" s="256"/>
      <c r="I197" s="256"/>
    </row>
    <row r="198" spans="1:14" ht="27" thickBot="1" x14ac:dyDescent="0.3">
      <c r="A198" s="8"/>
      <c r="B198" s="30" t="s">
        <v>19</v>
      </c>
      <c r="C198" s="31" t="s">
        <v>43</v>
      </c>
      <c r="D198" s="37" t="s">
        <v>115</v>
      </c>
      <c r="E198" s="31" t="s">
        <v>31</v>
      </c>
      <c r="F198" s="31" t="s">
        <v>21</v>
      </c>
      <c r="G198" s="31" t="s">
        <v>32</v>
      </c>
      <c r="H198" s="31" t="s">
        <v>117</v>
      </c>
      <c r="I198" s="31" t="s">
        <v>20</v>
      </c>
      <c r="J198" s="8"/>
      <c r="K198" s="8"/>
      <c r="L198" s="8"/>
      <c r="M198" s="8"/>
      <c r="N198" s="8"/>
    </row>
    <row r="199" spans="1:14" ht="12.75" customHeight="1" x14ac:dyDescent="0.25">
      <c r="B199" s="4"/>
      <c r="C199" s="26">
        <v>0</v>
      </c>
      <c r="D199" s="26">
        <v>0</v>
      </c>
      <c r="E199" s="49">
        <f>C199/$C$127</f>
        <v>0</v>
      </c>
      <c r="F199" s="49">
        <v>0</v>
      </c>
      <c r="G199" s="49">
        <v>0</v>
      </c>
      <c r="H199" s="50">
        <f>F199</f>
        <v>0</v>
      </c>
      <c r="I199" s="49">
        <v>0</v>
      </c>
    </row>
    <row r="200" spans="1:14" ht="12.75" customHeight="1" x14ac:dyDescent="0.25">
      <c r="B200" s="82" t="s">
        <v>3</v>
      </c>
      <c r="C200" s="84">
        <v>12.117680835667821</v>
      </c>
      <c r="D200" s="29">
        <v>24496.645034227455</v>
      </c>
      <c r="E200" s="49">
        <f t="shared" ref="E200:E210" si="46">C200/$C$211</f>
        <v>5.6800071776456134E-3</v>
      </c>
      <c r="F200" s="49">
        <f t="shared" ref="F200:F210" si="47">D200/$D$211</f>
        <v>8.0135200470573958E-3</v>
      </c>
      <c r="G200" s="49">
        <f t="shared" ref="G200:G210" si="48">G199+E200</f>
        <v>5.6800071776456134E-3</v>
      </c>
      <c r="H200" s="50">
        <f t="shared" ref="H200:H210" si="49">F200+H199</f>
        <v>8.0135200470573958E-3</v>
      </c>
      <c r="I200" s="49">
        <f t="shared" ref="I200:I210" si="50">(G199+G200)*0.5*(H200-H199)</f>
        <v>2.275842569274651E-5</v>
      </c>
    </row>
    <row r="201" spans="1:14" ht="12.75" customHeight="1" x14ac:dyDescent="0.25">
      <c r="B201" s="82" t="s">
        <v>1</v>
      </c>
      <c r="C201" s="84">
        <v>14.753958320027856</v>
      </c>
      <c r="D201" s="29">
        <v>13199.085501550475</v>
      </c>
      <c r="E201" s="49">
        <f t="shared" si="46"/>
        <v>6.9157283718658006E-3</v>
      </c>
      <c r="F201" s="49">
        <f t="shared" si="47"/>
        <v>4.3177805010323955E-3</v>
      </c>
      <c r="G201" s="49">
        <f t="shared" si="48"/>
        <v>1.2595735549511414E-2</v>
      </c>
      <c r="H201" s="50">
        <f t="shared" si="49"/>
        <v>1.2331300548089792E-2</v>
      </c>
      <c r="I201" s="49">
        <f t="shared" si="50"/>
        <v>3.9455322794601623E-5</v>
      </c>
    </row>
    <row r="202" spans="1:14" ht="12.75" customHeight="1" x14ac:dyDescent="0.25">
      <c r="B202" s="111" t="s">
        <v>6</v>
      </c>
      <c r="C202" s="84">
        <v>21.755018612897892</v>
      </c>
      <c r="D202" s="29">
        <v>20836.189535136225</v>
      </c>
      <c r="E202" s="49">
        <f t="shared" si="46"/>
        <v>1.019738541944061E-2</v>
      </c>
      <c r="F202" s="49">
        <f t="shared" si="47"/>
        <v>6.8160853174303836E-3</v>
      </c>
      <c r="G202" s="49">
        <f t="shared" si="48"/>
        <v>2.2793120968952023E-2</v>
      </c>
      <c r="H202" s="50">
        <f t="shared" si="49"/>
        <v>1.9147385865520176E-2</v>
      </c>
      <c r="I202" s="49">
        <f t="shared" si="50"/>
        <v>1.2060673265807457E-4</v>
      </c>
    </row>
    <row r="203" spans="1:14" ht="12.75" customHeight="1" x14ac:dyDescent="0.25">
      <c r="B203" s="82" t="s">
        <v>195</v>
      </c>
      <c r="C203" s="84">
        <v>25.458676695696266</v>
      </c>
      <c r="D203" s="29">
        <v>20450.034940117202</v>
      </c>
      <c r="E203" s="49">
        <f t="shared" si="46"/>
        <v>1.1933427553172926E-2</v>
      </c>
      <c r="F203" s="49">
        <f t="shared" si="47"/>
        <v>6.6897636279041406E-3</v>
      </c>
      <c r="G203" s="49">
        <f t="shared" si="48"/>
        <v>3.472654852212495E-2</v>
      </c>
      <c r="H203" s="50">
        <f t="shared" si="49"/>
        <v>2.5837149493424316E-2</v>
      </c>
      <c r="I203" s="49">
        <f t="shared" si="50"/>
        <v>1.9239649642523708E-4</v>
      </c>
    </row>
    <row r="204" spans="1:14" ht="12.75" customHeight="1" x14ac:dyDescent="0.25">
      <c r="B204" s="82" t="s">
        <v>2</v>
      </c>
      <c r="C204" s="84">
        <v>61.182552659450373</v>
      </c>
      <c r="D204" s="29">
        <v>251430.37783690859</v>
      </c>
      <c r="E204" s="49">
        <f t="shared" si="46"/>
        <v>2.8678535353849063E-2</v>
      </c>
      <c r="F204" s="49">
        <f t="shared" si="47"/>
        <v>8.2249727275718124E-2</v>
      </c>
      <c r="G204" s="49">
        <f t="shared" si="48"/>
        <v>6.3405083875974017E-2</v>
      </c>
      <c r="H204" s="50">
        <f t="shared" si="49"/>
        <v>0.10808687676914244</v>
      </c>
      <c r="I204" s="49">
        <f t="shared" si="50"/>
        <v>4.0356500009323323E-3</v>
      </c>
    </row>
    <row r="205" spans="1:14" ht="12.75" customHeight="1" x14ac:dyDescent="0.25">
      <c r="B205" s="82" t="s">
        <v>5</v>
      </c>
      <c r="C205" s="84">
        <v>61.374662151806149</v>
      </c>
      <c r="D205" s="29">
        <v>49475.746319971244</v>
      </c>
      <c r="E205" s="49">
        <f t="shared" si="46"/>
        <v>2.8768584209754131E-2</v>
      </c>
      <c r="F205" s="49">
        <f t="shared" si="47"/>
        <v>1.6184864679397896E-2</v>
      </c>
      <c r="G205" s="49">
        <f t="shared" si="48"/>
        <v>9.2173668085728147E-2</v>
      </c>
      <c r="H205" s="50">
        <f t="shared" si="49"/>
        <v>0.12427174144854033</v>
      </c>
      <c r="I205" s="49">
        <f t="shared" si="50"/>
        <v>1.2590105237448796E-3</v>
      </c>
    </row>
    <row r="206" spans="1:14" ht="12.75" customHeight="1" x14ac:dyDescent="0.25">
      <c r="B206" s="82" t="s">
        <v>9</v>
      </c>
      <c r="C206" s="84">
        <v>132.5381726843523</v>
      </c>
      <c r="D206" s="29">
        <v>119784.51078433092</v>
      </c>
      <c r="E206" s="49">
        <f t="shared" si="46"/>
        <v>6.212556530976384E-2</v>
      </c>
      <c r="F206" s="49">
        <f t="shared" si="47"/>
        <v>3.9184777227902166E-2</v>
      </c>
      <c r="G206" s="49">
        <f t="shared" si="48"/>
        <v>0.15429923339549198</v>
      </c>
      <c r="H206" s="50">
        <f t="shared" si="49"/>
        <v>0.16345651867644251</v>
      </c>
      <c r="I206" s="49">
        <f t="shared" si="50"/>
        <v>4.8289928686281458E-3</v>
      </c>
    </row>
    <row r="207" spans="1:14" ht="12.75" customHeight="1" x14ac:dyDescent="0.25">
      <c r="B207" s="111" t="s">
        <v>10</v>
      </c>
      <c r="C207" s="84">
        <v>298.67589123453513</v>
      </c>
      <c r="D207" s="29">
        <v>237021.44592026682</v>
      </c>
      <c r="E207" s="49">
        <f t="shared" si="46"/>
        <v>0.14000048598477258</v>
      </c>
      <c r="F207" s="49">
        <f t="shared" si="47"/>
        <v>7.7536173047808091E-2</v>
      </c>
      <c r="G207" s="49">
        <f t="shared" si="48"/>
        <v>0.29429971938026456</v>
      </c>
      <c r="H207" s="50">
        <f t="shared" si="49"/>
        <v>0.24099269172425059</v>
      </c>
      <c r="I207" s="49">
        <f t="shared" si="50"/>
        <v>1.7391323015743271E-2</v>
      </c>
    </row>
    <row r="208" spans="1:14" ht="12.75" customHeight="1" x14ac:dyDescent="0.25">
      <c r="B208" s="82" t="s">
        <v>4</v>
      </c>
      <c r="C208" s="84">
        <v>357.16725365795082</v>
      </c>
      <c r="D208" s="29">
        <v>363314.38569269452</v>
      </c>
      <c r="E208" s="49">
        <f t="shared" si="46"/>
        <v>0.16741756049769133</v>
      </c>
      <c r="F208" s="49">
        <f t="shared" si="47"/>
        <v>0.1188500347318915</v>
      </c>
      <c r="G208" s="49">
        <f t="shared" si="48"/>
        <v>0.46171727987795586</v>
      </c>
      <c r="H208" s="50">
        <f t="shared" si="49"/>
        <v>0.35984272645614207</v>
      </c>
      <c r="I208" s="49">
        <f t="shared" si="50"/>
        <v>4.4926323309869939E-2</v>
      </c>
    </row>
    <row r="209" spans="1:14" ht="12.75" customHeight="1" x14ac:dyDescent="0.25">
      <c r="B209" s="82" t="s">
        <v>7</v>
      </c>
      <c r="C209" s="84">
        <v>438.23592878076829</v>
      </c>
      <c r="D209" s="29">
        <v>1339764.2833351614</v>
      </c>
      <c r="E209" s="49">
        <f t="shared" si="46"/>
        <v>0.20541746021649313</v>
      </c>
      <c r="F209" s="49">
        <f t="shared" si="47"/>
        <v>0.43827340143259691</v>
      </c>
      <c r="G209" s="49">
        <f t="shared" si="48"/>
        <v>0.66713474009444895</v>
      </c>
      <c r="H209" s="50">
        <f t="shared" si="49"/>
        <v>0.79811612788873898</v>
      </c>
      <c r="I209" s="49">
        <f t="shared" si="50"/>
        <v>0.24737290725368183</v>
      </c>
    </row>
    <row r="210" spans="1:14" ht="12.75" customHeight="1" thickBot="1" x14ac:dyDescent="0.3">
      <c r="B210" s="86" t="s">
        <v>8</v>
      </c>
      <c r="C210" s="87">
        <v>710.13202178540371</v>
      </c>
      <c r="D210" s="32">
        <v>617141.72101696266</v>
      </c>
      <c r="E210" s="51">
        <f t="shared" si="46"/>
        <v>0.33286525990555105</v>
      </c>
      <c r="F210" s="51">
        <f t="shared" si="47"/>
        <v>0.20188387211126102</v>
      </c>
      <c r="G210" s="51">
        <f t="shared" si="48"/>
        <v>1</v>
      </c>
      <c r="H210" s="52">
        <f t="shared" si="49"/>
        <v>1</v>
      </c>
      <c r="I210" s="51">
        <f t="shared" si="50"/>
        <v>0.16828380833073406</v>
      </c>
    </row>
    <row r="211" spans="1:14" ht="12.75" customHeight="1" thickBot="1" x14ac:dyDescent="0.3">
      <c r="B211" s="38" t="s">
        <v>12</v>
      </c>
      <c r="C211" s="32">
        <f>SUM(C199:C210)</f>
        <v>2133.3918174185565</v>
      </c>
      <c r="D211" s="32">
        <f>SUM(D199:D210)</f>
        <v>3056914.4259173274</v>
      </c>
      <c r="E211" s="51">
        <f>SUM(E200:E210)</f>
        <v>1</v>
      </c>
      <c r="F211" s="51">
        <f>SUM(F200:F210)</f>
        <v>1</v>
      </c>
      <c r="G211" s="52"/>
      <c r="H211" s="52"/>
      <c r="I211" s="51">
        <f>SUM(I199:I210)</f>
        <v>0.48847323228090511</v>
      </c>
    </row>
    <row r="212" spans="1:14" ht="12.75" customHeight="1" thickBot="1" x14ac:dyDescent="0.3">
      <c r="B212" s="4"/>
      <c r="C212" s="4"/>
      <c r="D212" s="4"/>
      <c r="E212" s="50"/>
      <c r="F212" s="50"/>
      <c r="G212" s="50"/>
      <c r="H212" s="53"/>
      <c r="I212" s="53"/>
    </row>
    <row r="213" spans="1:14" ht="12.75" customHeight="1" thickBot="1" x14ac:dyDescent="0.3">
      <c r="B213" s="4"/>
      <c r="C213" s="4"/>
      <c r="D213" s="4"/>
      <c r="E213" s="50"/>
      <c r="F213" s="50"/>
      <c r="G213" s="55"/>
      <c r="H213" s="56" t="s">
        <v>29</v>
      </c>
      <c r="I213" s="52">
        <f>1-(2*I211)</f>
        <v>2.3053535438189776E-2</v>
      </c>
    </row>
    <row r="214" spans="1:14" ht="12.75" customHeight="1" x14ac:dyDescent="0.25"/>
    <row r="215" spans="1:14" ht="12.75" customHeight="1" x14ac:dyDescent="0.25"/>
    <row r="216" spans="1:14" ht="12.75" customHeight="1" x14ac:dyDescent="0.25"/>
    <row r="217" spans="1:14" ht="12.75" customHeight="1" x14ac:dyDescent="0.25"/>
    <row r="218" spans="1:14" ht="16.2" thickBot="1" x14ac:dyDescent="0.35">
      <c r="B218" s="256" t="s">
        <v>119</v>
      </c>
      <c r="C218" s="256"/>
      <c r="D218" s="256"/>
      <c r="E218" s="256"/>
      <c r="F218" s="256"/>
      <c r="G218" s="256"/>
      <c r="H218" s="256"/>
      <c r="I218" s="256"/>
    </row>
    <row r="219" spans="1:14" ht="27" thickBot="1" x14ac:dyDescent="0.3">
      <c r="A219" s="8"/>
      <c r="B219" s="30" t="s">
        <v>19</v>
      </c>
      <c r="C219" s="31" t="s">
        <v>38</v>
      </c>
      <c r="D219" s="37" t="s">
        <v>115</v>
      </c>
      <c r="E219" s="31" t="s">
        <v>15</v>
      </c>
      <c r="F219" s="31" t="s">
        <v>21</v>
      </c>
      <c r="G219" s="31" t="s">
        <v>17</v>
      </c>
      <c r="H219" s="31" t="s">
        <v>117</v>
      </c>
      <c r="I219" s="31" t="s">
        <v>20</v>
      </c>
      <c r="J219" s="8"/>
      <c r="K219" s="8"/>
      <c r="L219" s="8"/>
      <c r="M219" s="8"/>
      <c r="N219" s="8"/>
    </row>
    <row r="220" spans="1:14" ht="12.75" customHeight="1" x14ac:dyDescent="0.25">
      <c r="B220" s="4"/>
      <c r="C220" s="26">
        <v>0</v>
      </c>
      <c r="D220" s="26">
        <v>0</v>
      </c>
      <c r="E220" s="49">
        <v>0</v>
      </c>
      <c r="F220" s="49">
        <v>0</v>
      </c>
      <c r="G220" s="49">
        <v>0</v>
      </c>
      <c r="H220" s="50">
        <f>F220</f>
        <v>0</v>
      </c>
      <c r="I220" s="49">
        <v>0</v>
      </c>
    </row>
    <row r="221" spans="1:14" ht="12.75" customHeight="1" x14ac:dyDescent="0.25">
      <c r="B221" s="82" t="s">
        <v>2</v>
      </c>
      <c r="C221" s="84">
        <v>0</v>
      </c>
      <c r="D221" s="29">
        <v>251430.37783690859</v>
      </c>
      <c r="E221" s="49">
        <f t="shared" ref="E221:E231" si="51">C221/$C$232</f>
        <v>0</v>
      </c>
      <c r="F221" s="49">
        <f t="shared" ref="F221:F231" si="52">D221/$D$232</f>
        <v>8.2249727275718124E-2</v>
      </c>
      <c r="G221" s="49">
        <f t="shared" ref="G221:G231" si="53">G220+E221</f>
        <v>0</v>
      </c>
      <c r="H221" s="50">
        <f t="shared" ref="H221:H231" si="54">F221+H220</f>
        <v>8.2249727275718124E-2</v>
      </c>
      <c r="I221" s="49">
        <f t="shared" ref="I221:I231" si="55">(G220+G221)*0.5*(H221-H220)</f>
        <v>0</v>
      </c>
    </row>
    <row r="222" spans="1:14" ht="12.75" customHeight="1" x14ac:dyDescent="0.25">
      <c r="B222" s="82" t="s">
        <v>7</v>
      </c>
      <c r="C222" s="84">
        <v>0</v>
      </c>
      <c r="D222" s="29">
        <v>1339764.2833351614</v>
      </c>
      <c r="E222" s="49">
        <f t="shared" si="51"/>
        <v>0</v>
      </c>
      <c r="F222" s="49">
        <f t="shared" si="52"/>
        <v>0.43827340143259691</v>
      </c>
      <c r="G222" s="49">
        <f t="shared" si="53"/>
        <v>0</v>
      </c>
      <c r="H222" s="50">
        <f t="shared" si="54"/>
        <v>0.52052312870831507</v>
      </c>
      <c r="I222" s="49">
        <f t="shared" si="55"/>
        <v>0</v>
      </c>
    </row>
    <row r="223" spans="1:14" ht="12.75" customHeight="1" x14ac:dyDescent="0.25">
      <c r="B223" s="82" t="s">
        <v>8</v>
      </c>
      <c r="C223" s="84">
        <v>0</v>
      </c>
      <c r="D223" s="29">
        <v>617141.72101696266</v>
      </c>
      <c r="E223" s="49">
        <f t="shared" si="51"/>
        <v>0</v>
      </c>
      <c r="F223" s="49">
        <f t="shared" si="52"/>
        <v>0.20188387211126102</v>
      </c>
      <c r="G223" s="49">
        <f t="shared" si="53"/>
        <v>0</v>
      </c>
      <c r="H223" s="50">
        <f t="shared" si="54"/>
        <v>0.7224070008195761</v>
      </c>
      <c r="I223" s="49">
        <f t="shared" si="55"/>
        <v>0</v>
      </c>
    </row>
    <row r="224" spans="1:14" ht="12.75" customHeight="1" x14ac:dyDescent="0.25">
      <c r="B224" s="82" t="s">
        <v>1</v>
      </c>
      <c r="C224" s="84">
        <v>0.7693067514792219</v>
      </c>
      <c r="D224" s="29">
        <v>13199.085501550475</v>
      </c>
      <c r="E224" s="49">
        <f t="shared" si="51"/>
        <v>3.5319141033646755E-3</v>
      </c>
      <c r="F224" s="49">
        <f t="shared" si="52"/>
        <v>4.3177805010323955E-3</v>
      </c>
      <c r="G224" s="49">
        <f t="shared" si="53"/>
        <v>3.5319141033646755E-3</v>
      </c>
      <c r="H224" s="50">
        <f t="shared" si="54"/>
        <v>0.72672478132060847</v>
      </c>
      <c r="I224" s="49">
        <f t="shared" si="55"/>
        <v>7.6250149234146208E-6</v>
      </c>
    </row>
    <row r="225" spans="1:14" ht="12.75" customHeight="1" x14ac:dyDescent="0.25">
      <c r="B225" s="82" t="s">
        <v>195</v>
      </c>
      <c r="C225" s="84">
        <v>2.4789683273851866</v>
      </c>
      <c r="D225" s="29">
        <v>20450.034940117202</v>
      </c>
      <c r="E225" s="49">
        <f t="shared" si="51"/>
        <v>1.1381029973350698E-2</v>
      </c>
      <c r="F225" s="49">
        <f t="shared" si="52"/>
        <v>6.6897636279041406E-3</v>
      </c>
      <c r="G225" s="49">
        <f t="shared" si="53"/>
        <v>1.4912944076715373E-2</v>
      </c>
      <c r="H225" s="50">
        <f t="shared" si="54"/>
        <v>0.73341454494851266</v>
      </c>
      <c r="I225" s="49">
        <f t="shared" si="55"/>
        <v>6.1695870687475282E-5</v>
      </c>
    </row>
    <row r="226" spans="1:14" ht="12.75" customHeight="1" x14ac:dyDescent="0.25">
      <c r="B226" s="82" t="s">
        <v>3</v>
      </c>
      <c r="C226" s="84">
        <v>2.9981638556920855</v>
      </c>
      <c r="D226" s="29">
        <v>24496.645034227455</v>
      </c>
      <c r="E226" s="49">
        <f t="shared" si="51"/>
        <v>1.3764674735735885E-2</v>
      </c>
      <c r="F226" s="49">
        <f t="shared" si="52"/>
        <v>8.0135200470573958E-3</v>
      </c>
      <c r="G226" s="49">
        <f t="shared" si="53"/>
        <v>2.8677618812451258E-2</v>
      </c>
      <c r="H226" s="50">
        <f t="shared" si="54"/>
        <v>0.74142806499557001</v>
      </c>
      <c r="I226" s="49">
        <f t="shared" si="55"/>
        <v>1.7465692478742557E-4</v>
      </c>
    </row>
    <row r="227" spans="1:14" ht="12.75" customHeight="1" x14ac:dyDescent="0.25">
      <c r="B227" s="111" t="s">
        <v>6</v>
      </c>
      <c r="C227" s="84">
        <v>3.5310475475487979</v>
      </c>
      <c r="D227" s="29">
        <v>20836.189535136225</v>
      </c>
      <c r="E227" s="49">
        <f t="shared" si="51"/>
        <v>1.6211162333957089E-2</v>
      </c>
      <c r="F227" s="49">
        <f t="shared" si="52"/>
        <v>6.8160853174303836E-3</v>
      </c>
      <c r="G227" s="49">
        <f t="shared" si="53"/>
        <v>4.4888781146408346E-2</v>
      </c>
      <c r="H227" s="50">
        <f t="shared" si="54"/>
        <v>0.7482441503130004</v>
      </c>
      <c r="I227" s="49">
        <f t="shared" si="55"/>
        <v>2.5071742930789719E-4</v>
      </c>
    </row>
    <row r="228" spans="1:14" ht="12.75" customHeight="1" x14ac:dyDescent="0.25">
      <c r="B228" s="82" t="s">
        <v>5</v>
      </c>
      <c r="C228" s="84">
        <v>25.321354259396958</v>
      </c>
      <c r="D228" s="29">
        <v>49475.746319971244</v>
      </c>
      <c r="E228" s="49">
        <f t="shared" si="51"/>
        <v>0.11625121975479348</v>
      </c>
      <c r="F228" s="49">
        <f t="shared" si="52"/>
        <v>1.6184864679397896E-2</v>
      </c>
      <c r="G228" s="49">
        <f t="shared" si="53"/>
        <v>0.16114000090120184</v>
      </c>
      <c r="H228" s="50">
        <f t="shared" si="54"/>
        <v>0.76442901499239835</v>
      </c>
      <c r="I228" s="49">
        <f t="shared" si="55"/>
        <v>1.6672739787508722E-3</v>
      </c>
    </row>
    <row r="229" spans="1:14" ht="12.75" customHeight="1" x14ac:dyDescent="0.25">
      <c r="B229" s="82" t="s">
        <v>9</v>
      </c>
      <c r="C229" s="84">
        <v>26.214891117774812</v>
      </c>
      <c r="D229" s="29">
        <v>119784.51078433092</v>
      </c>
      <c r="E229" s="49">
        <f t="shared" si="51"/>
        <v>0.12035347860786184</v>
      </c>
      <c r="F229" s="49">
        <f t="shared" si="52"/>
        <v>3.9184777227902166E-2</v>
      </c>
      <c r="G229" s="49">
        <f t="shared" si="53"/>
        <v>0.28149347950906367</v>
      </c>
      <c r="H229" s="50">
        <f t="shared" si="54"/>
        <v>0.80361379222030049</v>
      </c>
      <c r="I229" s="49">
        <f t="shared" si="55"/>
        <v>8.6722471617436212E-3</v>
      </c>
    </row>
    <row r="230" spans="1:14" ht="12.75" customHeight="1" x14ac:dyDescent="0.25">
      <c r="B230" s="111" t="s">
        <v>10</v>
      </c>
      <c r="C230" s="84">
        <v>48.022346099497078</v>
      </c>
      <c r="D230" s="29">
        <v>237021.44592026682</v>
      </c>
      <c r="E230" s="49">
        <f t="shared" si="51"/>
        <v>0.22047226433324021</v>
      </c>
      <c r="F230" s="49">
        <f t="shared" si="52"/>
        <v>7.7536173047808091E-2</v>
      </c>
      <c r="G230" s="49">
        <f t="shared" si="53"/>
        <v>0.50196574384230386</v>
      </c>
      <c r="H230" s="50">
        <f t="shared" si="54"/>
        <v>0.88114996526810863</v>
      </c>
      <c r="I230" s="49">
        <f t="shared" si="55"/>
        <v>3.0373214958836499E-2</v>
      </c>
    </row>
    <row r="231" spans="1:14" ht="12.75" customHeight="1" thickBot="1" x14ac:dyDescent="0.3">
      <c r="B231" s="86" t="s">
        <v>4</v>
      </c>
      <c r="C231" s="87">
        <v>108.47973776175608</v>
      </c>
      <c r="D231" s="32">
        <v>363314.38569269452</v>
      </c>
      <c r="E231" s="51">
        <f t="shared" si="51"/>
        <v>0.49803425615769614</v>
      </c>
      <c r="F231" s="51">
        <f t="shared" si="52"/>
        <v>0.1188500347318915</v>
      </c>
      <c r="G231" s="51">
        <f t="shared" si="53"/>
        <v>1</v>
      </c>
      <c r="H231" s="52">
        <f t="shared" si="54"/>
        <v>1.0000000000000002</v>
      </c>
      <c r="I231" s="51">
        <f t="shared" si="55"/>
        <v>8.9254340410884606E-2</v>
      </c>
    </row>
    <row r="232" spans="1:14" ht="12.75" customHeight="1" thickBot="1" x14ac:dyDescent="0.3">
      <c r="B232" s="38" t="s">
        <v>12</v>
      </c>
      <c r="C232" s="32">
        <f>SUM(C220:C231)</f>
        <v>217.81581572053022</v>
      </c>
      <c r="D232" s="32">
        <f>SUM(D220:D231)</f>
        <v>3056914.4259173274</v>
      </c>
      <c r="E232" s="51">
        <f>SUM(E221:E231)</f>
        <v>1</v>
      </c>
      <c r="F232" s="51">
        <f>SUM(F221:F231)</f>
        <v>1.0000000000000002</v>
      </c>
      <c r="G232" s="52"/>
      <c r="H232" s="52"/>
      <c r="I232" s="51">
        <f>SUM(I220:I231)</f>
        <v>0.1304617717499218</v>
      </c>
    </row>
    <row r="233" spans="1:14" ht="12.75" customHeight="1" thickBot="1" x14ac:dyDescent="0.3">
      <c r="B233" s="4"/>
      <c r="C233" s="4"/>
      <c r="D233" s="4"/>
      <c r="E233" s="50"/>
      <c r="F233" s="50"/>
      <c r="G233" s="50"/>
      <c r="H233" s="53"/>
      <c r="I233" s="53"/>
    </row>
    <row r="234" spans="1:14" ht="12.75" customHeight="1" thickBot="1" x14ac:dyDescent="0.3">
      <c r="B234" s="4"/>
      <c r="C234" s="4"/>
      <c r="D234" s="4"/>
      <c r="E234" s="50"/>
      <c r="F234" s="50"/>
      <c r="G234" s="55"/>
      <c r="H234" s="56" t="s">
        <v>33</v>
      </c>
      <c r="I234" s="52">
        <f>1-(2*I232)</f>
        <v>0.73907645650015641</v>
      </c>
    </row>
    <row r="235" spans="1:14" ht="12.75" customHeight="1" x14ac:dyDescent="0.25"/>
    <row r="236" spans="1:14" ht="12.75" customHeight="1" x14ac:dyDescent="0.25"/>
    <row r="237" spans="1:14" ht="12.75" customHeight="1" x14ac:dyDescent="0.25"/>
    <row r="238" spans="1:14" ht="12.75" customHeight="1" x14ac:dyDescent="0.25"/>
    <row r="239" spans="1:14" ht="16.2" thickBot="1" x14ac:dyDescent="0.35">
      <c r="B239" s="256" t="s">
        <v>118</v>
      </c>
      <c r="C239" s="256"/>
      <c r="D239" s="256"/>
      <c r="E239" s="256"/>
      <c r="F239" s="256"/>
      <c r="G239" s="256"/>
      <c r="H239" s="256"/>
      <c r="I239" s="256"/>
    </row>
    <row r="240" spans="1:14" ht="27" thickBot="1" x14ac:dyDescent="0.3">
      <c r="A240" s="8"/>
      <c r="B240" s="30" t="s">
        <v>19</v>
      </c>
      <c r="C240" s="31" t="s">
        <v>39</v>
      </c>
      <c r="D240" s="37" t="s">
        <v>115</v>
      </c>
      <c r="E240" s="31" t="s">
        <v>15</v>
      </c>
      <c r="F240" s="31" t="s">
        <v>21</v>
      </c>
      <c r="G240" s="31" t="s">
        <v>17</v>
      </c>
      <c r="H240" s="31" t="s">
        <v>117</v>
      </c>
      <c r="I240" s="31" t="s">
        <v>20</v>
      </c>
      <c r="J240" s="8"/>
      <c r="K240" s="8"/>
      <c r="L240" s="8"/>
      <c r="M240" s="8"/>
      <c r="N240" s="8"/>
    </row>
    <row r="241" spans="2:9" ht="12.75" customHeight="1" x14ac:dyDescent="0.25">
      <c r="B241" s="4"/>
      <c r="C241" s="26">
        <v>0</v>
      </c>
      <c r="D241" s="26">
        <v>0</v>
      </c>
      <c r="E241" s="49">
        <v>0</v>
      </c>
      <c r="F241" s="49">
        <v>0</v>
      </c>
      <c r="G241" s="49">
        <v>0</v>
      </c>
      <c r="H241" s="50">
        <f>F241</f>
        <v>0</v>
      </c>
      <c r="I241" s="49">
        <v>0</v>
      </c>
    </row>
    <row r="242" spans="2:9" ht="12.75" customHeight="1" x14ac:dyDescent="0.25">
      <c r="B242" s="82" t="s">
        <v>1</v>
      </c>
      <c r="C242" s="29">
        <v>0.7693067514792219</v>
      </c>
      <c r="D242" s="29">
        <v>13199.085501550475</v>
      </c>
      <c r="E242" s="49">
        <f t="shared" ref="E242:E252" si="56">C242/$C$253</f>
        <v>2.1578474714352507E-3</v>
      </c>
      <c r="F242" s="49">
        <f t="shared" ref="F242:F252" si="57">D242/$D$253</f>
        <v>4.3177805010323946E-3</v>
      </c>
      <c r="G242" s="49">
        <f t="shared" ref="G242:G252" si="58">G241+E242</f>
        <v>2.1578474714352507E-3</v>
      </c>
      <c r="H242" s="50">
        <f t="shared" ref="H242:H252" si="59">F242+H241</f>
        <v>4.3177805010323946E-3</v>
      </c>
      <c r="I242" s="49">
        <f t="shared" ref="I242:I252" si="60">(G241+G242)*0.5*(H242-H241)</f>
        <v>4.6585558681825917E-6</v>
      </c>
    </row>
    <row r="243" spans="2:9" ht="12.75" customHeight="1" x14ac:dyDescent="0.25">
      <c r="B243" s="82" t="s">
        <v>195</v>
      </c>
      <c r="C243" s="29">
        <v>2.4789683273851866</v>
      </c>
      <c r="D243" s="29">
        <v>20450.034940117202</v>
      </c>
      <c r="E243" s="49">
        <f t="shared" si="56"/>
        <v>6.9533193706290694E-3</v>
      </c>
      <c r="F243" s="49">
        <f t="shared" si="57"/>
        <v>6.6897636279041389E-3</v>
      </c>
      <c r="G243" s="49">
        <f t="shared" si="58"/>
        <v>9.1111668420643197E-3</v>
      </c>
      <c r="H243" s="50">
        <f t="shared" si="59"/>
        <v>1.1007544128936533E-2</v>
      </c>
      <c r="I243" s="49">
        <f t="shared" si="60"/>
        <v>3.7693521038390276E-5</v>
      </c>
    </row>
    <row r="244" spans="2:9" ht="12.75" customHeight="1" x14ac:dyDescent="0.25">
      <c r="B244" s="82" t="s">
        <v>3</v>
      </c>
      <c r="C244" s="29">
        <v>2.9981638556920855</v>
      </c>
      <c r="D244" s="29">
        <v>24496.645034227455</v>
      </c>
      <c r="E244" s="49">
        <f t="shared" si="56"/>
        <v>8.40962370668661E-3</v>
      </c>
      <c r="F244" s="49">
        <f t="shared" si="57"/>
        <v>8.0135200470573941E-3</v>
      </c>
      <c r="G244" s="49">
        <f t="shared" si="58"/>
        <v>1.7520790548750928E-2</v>
      </c>
      <c r="H244" s="50">
        <f t="shared" si="59"/>
        <v>1.9021064175993925E-2</v>
      </c>
      <c r="I244" s="49">
        <f t="shared" si="60"/>
        <v>1.0670786222183812E-4</v>
      </c>
    </row>
    <row r="245" spans="2:9" ht="12.75" customHeight="1" x14ac:dyDescent="0.25">
      <c r="B245" s="111" t="s">
        <v>6</v>
      </c>
      <c r="C245" s="29">
        <v>7.3310475475487973</v>
      </c>
      <c r="D245" s="29">
        <v>20836.189535136225</v>
      </c>
      <c r="E245" s="49">
        <f t="shared" si="56"/>
        <v>2.0563035984062891E-2</v>
      </c>
      <c r="F245" s="49">
        <f t="shared" si="57"/>
        <v>6.8160853174303827E-3</v>
      </c>
      <c r="G245" s="49">
        <f t="shared" si="58"/>
        <v>3.8083826532813822E-2</v>
      </c>
      <c r="H245" s="50">
        <f t="shared" si="59"/>
        <v>2.5837149493424309E-2</v>
      </c>
      <c r="I245" s="49">
        <f t="shared" si="60"/>
        <v>1.8950290703549611E-4</v>
      </c>
    </row>
    <row r="246" spans="2:9" ht="12.75" customHeight="1" x14ac:dyDescent="0.25">
      <c r="B246" s="82" t="s">
        <v>8</v>
      </c>
      <c r="C246" s="29">
        <v>23.5</v>
      </c>
      <c r="D246" s="29">
        <v>617141.72101696266</v>
      </c>
      <c r="E246" s="49">
        <f t="shared" si="56"/>
        <v>6.5915729299430167E-2</v>
      </c>
      <c r="F246" s="49">
        <f t="shared" si="57"/>
        <v>0.20188387211126099</v>
      </c>
      <c r="G246" s="49">
        <f t="shared" si="58"/>
        <v>0.10399955583224399</v>
      </c>
      <c r="H246" s="50">
        <f t="shared" si="59"/>
        <v>0.2277210216046853</v>
      </c>
      <c r="I246" s="49">
        <f t="shared" si="60"/>
        <v>1.4342171697261362E-2</v>
      </c>
    </row>
    <row r="247" spans="2:9" ht="12.75" customHeight="1" x14ac:dyDescent="0.25">
      <c r="B247" s="82" t="s">
        <v>5</v>
      </c>
      <c r="C247" s="29">
        <v>25.321354259396958</v>
      </c>
      <c r="D247" s="29">
        <v>49475.746319971244</v>
      </c>
      <c r="E247" s="49">
        <f t="shared" si="56"/>
        <v>7.1024490759888634E-2</v>
      </c>
      <c r="F247" s="49">
        <f t="shared" si="57"/>
        <v>1.6184864679397892E-2</v>
      </c>
      <c r="G247" s="49">
        <f t="shared" si="58"/>
        <v>0.17502404659213261</v>
      </c>
      <c r="H247" s="50">
        <f t="shared" si="59"/>
        <v>0.24390588628408319</v>
      </c>
      <c r="I247" s="49">
        <f t="shared" si="60"/>
        <v>2.2579796237983266E-3</v>
      </c>
    </row>
    <row r="248" spans="2:9" ht="12.75" customHeight="1" x14ac:dyDescent="0.25">
      <c r="B248" s="82" t="s">
        <v>9</v>
      </c>
      <c r="C248" s="29">
        <v>26.214891117774812</v>
      </c>
      <c r="D248" s="29">
        <v>119784.51078433092</v>
      </c>
      <c r="E248" s="49">
        <f t="shared" si="56"/>
        <v>7.353079432056514E-2</v>
      </c>
      <c r="F248" s="49">
        <f t="shared" si="57"/>
        <v>3.9184777227902166E-2</v>
      </c>
      <c r="G248" s="49">
        <f t="shared" si="58"/>
        <v>0.24855484091269775</v>
      </c>
      <c r="H248" s="50">
        <f t="shared" si="59"/>
        <v>0.28309066351198536</v>
      </c>
      <c r="I248" s="49">
        <f t="shared" si="60"/>
        <v>8.2989221726597062E-3</v>
      </c>
    </row>
    <row r="249" spans="2:9" ht="12.75" customHeight="1" x14ac:dyDescent="0.25">
      <c r="B249" s="82" t="s">
        <v>7</v>
      </c>
      <c r="C249" s="29">
        <v>33.799999999999997</v>
      </c>
      <c r="D249" s="29">
        <v>1339764.2833351614</v>
      </c>
      <c r="E249" s="49">
        <f t="shared" si="56"/>
        <v>9.480645320513785E-2</v>
      </c>
      <c r="F249" s="49">
        <f t="shared" si="57"/>
        <v>0.43827340143259685</v>
      </c>
      <c r="G249" s="49">
        <f t="shared" si="58"/>
        <v>0.34336129411783561</v>
      </c>
      <c r="H249" s="50">
        <f t="shared" si="59"/>
        <v>0.72136406494458227</v>
      </c>
      <c r="I249" s="49">
        <f t="shared" si="60"/>
        <v>0.12971054893133407</v>
      </c>
    </row>
    <row r="250" spans="2:9" ht="12.75" customHeight="1" x14ac:dyDescent="0.25">
      <c r="B250" s="82" t="s">
        <v>2</v>
      </c>
      <c r="C250" s="29">
        <v>56.5</v>
      </c>
      <c r="D250" s="29">
        <v>251430.37783690859</v>
      </c>
      <c r="E250" s="49">
        <f t="shared" si="56"/>
        <v>0.15847824278373637</v>
      </c>
      <c r="F250" s="49">
        <f t="shared" si="57"/>
        <v>8.224972727571811E-2</v>
      </c>
      <c r="G250" s="49">
        <f t="shared" si="58"/>
        <v>0.50183953690157201</v>
      </c>
      <c r="H250" s="50">
        <f t="shared" si="59"/>
        <v>0.80361379222030038</v>
      </c>
      <c r="I250" s="49">
        <f t="shared" si="60"/>
        <v>3.4758768922278298E-2</v>
      </c>
    </row>
    <row r="251" spans="2:9" ht="12.75" customHeight="1" x14ac:dyDescent="0.25">
      <c r="B251" s="111" t="s">
        <v>10</v>
      </c>
      <c r="C251" s="29">
        <v>69.122346099497079</v>
      </c>
      <c r="D251" s="29">
        <v>237021.44592026682</v>
      </c>
      <c r="E251" s="49">
        <f t="shared" si="56"/>
        <v>0.19388297251216904</v>
      </c>
      <c r="F251" s="49">
        <f t="shared" si="57"/>
        <v>7.7536173047808077E-2</v>
      </c>
      <c r="G251" s="49">
        <f t="shared" si="58"/>
        <v>0.69572250941374103</v>
      </c>
      <c r="H251" s="50">
        <f t="shared" si="59"/>
        <v>0.88114996526810851</v>
      </c>
      <c r="I251" s="49">
        <f t="shared" si="60"/>
        <v>4.6427189029295664E-2</v>
      </c>
    </row>
    <row r="252" spans="2:9" ht="12.75" customHeight="1" thickBot="1" x14ac:dyDescent="0.3">
      <c r="B252" s="86" t="s">
        <v>4</v>
      </c>
      <c r="C252" s="32">
        <v>108.47973776175608</v>
      </c>
      <c r="D252" s="32">
        <v>363314.38569269452</v>
      </c>
      <c r="E252" s="51">
        <f t="shared" si="56"/>
        <v>0.30427749058625903</v>
      </c>
      <c r="F252" s="51">
        <f t="shared" si="57"/>
        <v>0.11885003473189147</v>
      </c>
      <c r="G252" s="51">
        <f t="shared" si="58"/>
        <v>1</v>
      </c>
      <c r="H252" s="52">
        <f t="shared" si="59"/>
        <v>1</v>
      </c>
      <c r="I252" s="51">
        <f t="shared" si="60"/>
        <v>0.10076833956973665</v>
      </c>
    </row>
    <row r="253" spans="2:9" ht="12.75" customHeight="1" thickBot="1" x14ac:dyDescent="0.3">
      <c r="B253" s="38" t="s">
        <v>12</v>
      </c>
      <c r="C253" s="32">
        <f>SUM(C241:C252)</f>
        <v>356.51581572053021</v>
      </c>
      <c r="D253" s="32">
        <f>SUM(D241:D252)</f>
        <v>3056914.4259173279</v>
      </c>
      <c r="E253" s="51">
        <f>SUM(E242:E252)</f>
        <v>1</v>
      </c>
      <c r="F253" s="51">
        <f>SUM(F242:F252)</f>
        <v>1</v>
      </c>
      <c r="G253" s="52"/>
      <c r="H253" s="52"/>
      <c r="I253" s="51">
        <f>SUM(I241:I252)</f>
        <v>0.33690248279252799</v>
      </c>
    </row>
    <row r="254" spans="2:9" ht="12.75" customHeight="1" thickBot="1" x14ac:dyDescent="0.3">
      <c r="B254" s="4"/>
      <c r="C254" s="4"/>
      <c r="D254" s="4"/>
      <c r="E254" s="50"/>
      <c r="F254" s="50"/>
      <c r="G254" s="50"/>
      <c r="H254" s="53"/>
      <c r="I254" s="53"/>
    </row>
    <row r="255" spans="2:9" ht="12.75" customHeight="1" thickBot="1" x14ac:dyDescent="0.3">
      <c r="B255" s="4"/>
      <c r="C255" s="4"/>
      <c r="D255" s="4"/>
      <c r="E255" s="50"/>
      <c r="F255" s="50"/>
      <c r="G255" s="55"/>
      <c r="H255" s="57" t="s">
        <v>29</v>
      </c>
      <c r="I255" s="58">
        <f>1-(2*I253)</f>
        <v>0.32619503441494402</v>
      </c>
    </row>
    <row r="256" spans="2:9" ht="12.6" customHeight="1" x14ac:dyDescent="0.25"/>
    <row r="257" ht="12.75" customHeight="1" x14ac:dyDescent="0.25"/>
    <row r="258" ht="12.75" customHeight="1" x14ac:dyDescent="0.25"/>
    <row r="259" ht="12.75" customHeight="1" x14ac:dyDescent="0.25"/>
    <row r="260" ht="12.75" customHeight="1" x14ac:dyDescent="0.25"/>
    <row r="261" ht="12.75" customHeight="1" x14ac:dyDescent="0.25"/>
    <row r="262" ht="12.75" customHeight="1" x14ac:dyDescent="0.25"/>
    <row r="263" ht="12.75" customHeight="1" x14ac:dyDescent="0.25"/>
    <row r="264" ht="12.75" customHeight="1" x14ac:dyDescent="0.25"/>
    <row r="265" ht="12.75" customHeight="1" x14ac:dyDescent="0.25"/>
    <row r="266" ht="12.75" customHeight="1" x14ac:dyDescent="0.25"/>
    <row r="267" ht="12.75" customHeight="1" x14ac:dyDescent="0.25"/>
    <row r="268" ht="12.75" customHeight="1" x14ac:dyDescent="0.25"/>
    <row r="269" ht="12.75" customHeight="1" x14ac:dyDescent="0.25"/>
    <row r="270" ht="12.75" customHeight="1" x14ac:dyDescent="0.25"/>
    <row r="271" ht="12.75" customHeight="1" x14ac:dyDescent="0.25"/>
    <row r="272" ht="12.75" customHeight="1" x14ac:dyDescent="0.25"/>
    <row r="273" ht="12.75" customHeight="1" x14ac:dyDescent="0.25"/>
    <row r="274" ht="12.75" customHeight="1" x14ac:dyDescent="0.25"/>
    <row r="275" ht="12.75" customHeight="1" x14ac:dyDescent="0.25"/>
    <row r="276" ht="12.75" customHeight="1" x14ac:dyDescent="0.25"/>
    <row r="277" ht="12.75" customHeight="1" x14ac:dyDescent="0.25"/>
    <row r="278" ht="12.75" customHeight="1" x14ac:dyDescent="0.25"/>
    <row r="279" ht="12.75" customHeight="1" x14ac:dyDescent="0.25"/>
    <row r="280" ht="12.75" customHeight="1" x14ac:dyDescent="0.25"/>
    <row r="281" ht="12.75" customHeight="1" x14ac:dyDescent="0.25"/>
    <row r="282" ht="12.75" customHeight="1" x14ac:dyDescent="0.25"/>
    <row r="283" ht="12.75" customHeight="1" x14ac:dyDescent="0.25"/>
    <row r="284" ht="12.75" customHeight="1" x14ac:dyDescent="0.25"/>
    <row r="285" ht="12.75" customHeight="1" x14ac:dyDescent="0.25"/>
    <row r="286" ht="12.75" customHeight="1" x14ac:dyDescent="0.25"/>
    <row r="287" ht="12.75" customHeight="1" x14ac:dyDescent="0.25"/>
    <row r="288" ht="12.75" customHeight="1" x14ac:dyDescent="0.25"/>
    <row r="289" ht="12.75" customHeight="1" x14ac:dyDescent="0.25"/>
    <row r="290" ht="12.75" customHeight="1" x14ac:dyDescent="0.25"/>
    <row r="291" ht="12.75" customHeight="1" x14ac:dyDescent="0.25"/>
    <row r="292" ht="12.75" customHeight="1" x14ac:dyDescent="0.25"/>
    <row r="293" ht="12.75" customHeight="1" x14ac:dyDescent="0.25"/>
    <row r="294" ht="12.75" customHeight="1" x14ac:dyDescent="0.25"/>
    <row r="295" ht="12.75" customHeight="1" x14ac:dyDescent="0.25"/>
    <row r="296" ht="12.75" customHeight="1" x14ac:dyDescent="0.25"/>
    <row r="297" ht="12.75" customHeight="1" x14ac:dyDescent="0.25"/>
    <row r="298" ht="12.75" customHeight="1" x14ac:dyDescent="0.25"/>
    <row r="299" ht="12.75" customHeight="1" x14ac:dyDescent="0.25"/>
    <row r="300" ht="12.75" customHeight="1" x14ac:dyDescent="0.25"/>
    <row r="301" ht="12.75" customHeight="1" x14ac:dyDescent="0.25"/>
    <row r="302" ht="12.75" customHeight="1" x14ac:dyDescent="0.25"/>
    <row r="303" ht="12.75" customHeight="1" x14ac:dyDescent="0.25"/>
    <row r="304" ht="12.75" customHeight="1" x14ac:dyDescent="0.25"/>
    <row r="305" ht="12.75" customHeight="1" x14ac:dyDescent="0.25"/>
    <row r="306" ht="12.75" customHeight="1" x14ac:dyDescent="0.25"/>
    <row r="307" ht="12.75" customHeight="1" x14ac:dyDescent="0.25"/>
    <row r="308" ht="12.75" customHeight="1" x14ac:dyDescent="0.25"/>
    <row r="309" ht="12.75" customHeight="1" x14ac:dyDescent="0.25"/>
    <row r="310" ht="12.75" customHeight="1" x14ac:dyDescent="0.25"/>
    <row r="311" ht="12.75" customHeight="1" x14ac:dyDescent="0.25"/>
    <row r="312" ht="12.75" customHeight="1" x14ac:dyDescent="0.25"/>
    <row r="313" ht="12.75" customHeight="1" x14ac:dyDescent="0.25"/>
    <row r="314" ht="12.75" customHeight="1" x14ac:dyDescent="0.25"/>
    <row r="315" ht="12.75" customHeight="1" x14ac:dyDescent="0.25"/>
    <row r="316" ht="12.75" customHeight="1" x14ac:dyDescent="0.25"/>
    <row r="317" ht="12.75" customHeight="1" x14ac:dyDescent="0.25"/>
    <row r="318" ht="12.75" customHeight="1" x14ac:dyDescent="0.25"/>
    <row r="319" ht="12.75" customHeight="1" x14ac:dyDescent="0.25"/>
    <row r="320" ht="12.75" customHeight="1" x14ac:dyDescent="0.25"/>
    <row r="321" ht="12.75" customHeight="1" x14ac:dyDescent="0.25"/>
    <row r="322" ht="12.75" customHeight="1" x14ac:dyDescent="0.25"/>
    <row r="323" ht="12.75" customHeight="1" x14ac:dyDescent="0.25"/>
    <row r="324" ht="12.75" customHeight="1" x14ac:dyDescent="0.25"/>
    <row r="325" ht="12.75" customHeight="1" x14ac:dyDescent="0.25"/>
    <row r="326" ht="12.75" customHeight="1" x14ac:dyDescent="0.25"/>
    <row r="327" ht="12.75" customHeight="1" x14ac:dyDescent="0.25"/>
    <row r="328" ht="12.75" customHeight="1" x14ac:dyDescent="0.25"/>
    <row r="329" ht="12.75" customHeight="1" x14ac:dyDescent="0.25"/>
    <row r="330" ht="12.75" customHeight="1" x14ac:dyDescent="0.25"/>
    <row r="331" ht="12.75" customHeight="1" x14ac:dyDescent="0.25"/>
    <row r="332" ht="12.75" customHeight="1" x14ac:dyDescent="0.25"/>
    <row r="333" ht="12.75" customHeight="1" x14ac:dyDescent="0.25"/>
    <row r="334" ht="12.75" customHeight="1" x14ac:dyDescent="0.25"/>
    <row r="335" ht="12.75" customHeight="1" x14ac:dyDescent="0.25"/>
    <row r="336" ht="12.75" customHeight="1" x14ac:dyDescent="0.25"/>
    <row r="337" ht="12.75" customHeight="1" x14ac:dyDescent="0.25"/>
    <row r="338" ht="12.75" customHeight="1" x14ac:dyDescent="0.25"/>
    <row r="339" ht="12.75" customHeight="1" x14ac:dyDescent="0.25"/>
    <row r="340" ht="12.75" customHeight="1" x14ac:dyDescent="0.25"/>
    <row r="341" ht="12.75" customHeight="1" x14ac:dyDescent="0.25"/>
    <row r="342" ht="12.75" customHeight="1" x14ac:dyDescent="0.25"/>
    <row r="343" ht="12.75" customHeight="1" x14ac:dyDescent="0.25"/>
    <row r="344" ht="12.75" customHeight="1" x14ac:dyDescent="0.25"/>
    <row r="345" ht="12.75" customHeight="1" x14ac:dyDescent="0.25"/>
    <row r="346" ht="12.75" customHeight="1" x14ac:dyDescent="0.25"/>
    <row r="347" ht="12.75" customHeight="1" x14ac:dyDescent="0.25"/>
    <row r="348" ht="12.75" customHeight="1" x14ac:dyDescent="0.25"/>
    <row r="349" ht="12.75" customHeight="1" x14ac:dyDescent="0.25"/>
    <row r="350" ht="12.75" customHeight="1" x14ac:dyDescent="0.25"/>
    <row r="351" ht="12.75" customHeight="1" x14ac:dyDescent="0.25"/>
    <row r="352" ht="12.75" customHeight="1" x14ac:dyDescent="0.25"/>
    <row r="353" ht="12.75" customHeight="1" x14ac:dyDescent="0.25"/>
    <row r="354" ht="12.75" customHeight="1" x14ac:dyDescent="0.25"/>
    <row r="355" ht="12.75" customHeight="1" x14ac:dyDescent="0.25"/>
    <row r="356" ht="12.75" customHeight="1" x14ac:dyDescent="0.25"/>
    <row r="357" ht="12.75" customHeight="1" x14ac:dyDescent="0.25"/>
    <row r="358" ht="12.75" customHeight="1" x14ac:dyDescent="0.25"/>
    <row r="359" ht="12.75" customHeight="1" x14ac:dyDescent="0.25"/>
    <row r="360" ht="12.75" customHeight="1" x14ac:dyDescent="0.25"/>
    <row r="361" ht="12.75" customHeight="1" x14ac:dyDescent="0.25"/>
    <row r="362" ht="12.75" customHeight="1" x14ac:dyDescent="0.25"/>
    <row r="363" ht="12.75" customHeight="1" x14ac:dyDescent="0.25"/>
    <row r="364" ht="12.75" customHeight="1" x14ac:dyDescent="0.25"/>
    <row r="365" ht="12.75" customHeight="1" x14ac:dyDescent="0.25"/>
    <row r="366" ht="12.75" customHeight="1" x14ac:dyDescent="0.25"/>
    <row r="367" ht="12.75" customHeight="1" x14ac:dyDescent="0.25"/>
    <row r="368" ht="12.75" customHeight="1" x14ac:dyDescent="0.25"/>
    <row r="369" ht="12.75" customHeight="1" x14ac:dyDescent="0.25"/>
    <row r="370" ht="12.75" customHeight="1" x14ac:dyDescent="0.25"/>
    <row r="371" ht="12.75" customHeight="1" x14ac:dyDescent="0.25"/>
    <row r="372" ht="12.75" customHeight="1" x14ac:dyDescent="0.25"/>
    <row r="373" ht="12.75" customHeight="1" x14ac:dyDescent="0.25"/>
    <row r="374" ht="12.75" customHeight="1" x14ac:dyDescent="0.25"/>
    <row r="375" ht="12.75" customHeight="1" x14ac:dyDescent="0.25"/>
    <row r="376" ht="12.75" customHeight="1" x14ac:dyDescent="0.25"/>
    <row r="377" ht="12.75" customHeight="1" x14ac:dyDescent="0.25"/>
    <row r="378" ht="12.75" customHeight="1" x14ac:dyDescent="0.25"/>
    <row r="379" ht="12.75" customHeight="1" x14ac:dyDescent="0.25"/>
    <row r="380" ht="12.75" customHeight="1" x14ac:dyDescent="0.25"/>
    <row r="381" ht="12.75" customHeight="1" x14ac:dyDescent="0.25"/>
    <row r="382" ht="12.75" customHeight="1" x14ac:dyDescent="0.25"/>
    <row r="383" ht="12.75" customHeight="1" x14ac:dyDescent="0.25"/>
    <row r="384" ht="12.75" customHeight="1" x14ac:dyDescent="0.25"/>
    <row r="385" ht="12.75" customHeight="1" x14ac:dyDescent="0.25"/>
    <row r="386" ht="12.75" customHeight="1" x14ac:dyDescent="0.25"/>
    <row r="387" ht="12.75" customHeight="1" x14ac:dyDescent="0.25"/>
    <row r="388" ht="12.75" customHeight="1" x14ac:dyDescent="0.25"/>
    <row r="389" ht="12.75" customHeight="1" x14ac:dyDescent="0.25"/>
    <row r="390" ht="12.75" customHeight="1" x14ac:dyDescent="0.25"/>
    <row r="391" ht="12.75" customHeight="1" x14ac:dyDescent="0.25"/>
    <row r="392" ht="12.75" customHeight="1" x14ac:dyDescent="0.25"/>
    <row r="393" ht="12.75" customHeight="1" x14ac:dyDescent="0.25"/>
    <row r="394" ht="12.75" customHeight="1" x14ac:dyDescent="0.25"/>
    <row r="395" ht="12.75" customHeight="1" x14ac:dyDescent="0.25"/>
    <row r="396" ht="12.75" customHeight="1" x14ac:dyDescent="0.25"/>
    <row r="397" ht="12.75" customHeight="1" x14ac:dyDescent="0.25"/>
    <row r="398" ht="12.75" customHeight="1" x14ac:dyDescent="0.25"/>
    <row r="399" ht="12.75" customHeight="1" x14ac:dyDescent="0.25"/>
    <row r="400" ht="12.75" customHeight="1" x14ac:dyDescent="0.25"/>
    <row r="401" ht="12.75" customHeight="1" x14ac:dyDescent="0.25"/>
    <row r="402" ht="12.75" customHeight="1" x14ac:dyDescent="0.25"/>
    <row r="403" ht="12.75" customHeight="1" x14ac:dyDescent="0.25"/>
    <row r="404" ht="12.75" customHeight="1" x14ac:dyDescent="0.25"/>
    <row r="405" ht="12.75" customHeight="1" x14ac:dyDescent="0.25"/>
    <row r="406" ht="12.75" customHeight="1" x14ac:dyDescent="0.25"/>
    <row r="407" ht="12.75" customHeight="1" x14ac:dyDescent="0.25"/>
    <row r="408" ht="12.75" customHeight="1" x14ac:dyDescent="0.25"/>
    <row r="409" ht="12.75" customHeight="1" x14ac:dyDescent="0.25"/>
    <row r="410" ht="12.75" customHeight="1" x14ac:dyDescent="0.25"/>
    <row r="411" ht="12.75" customHeight="1" x14ac:dyDescent="0.25"/>
    <row r="412" ht="12.75" customHeight="1" x14ac:dyDescent="0.25"/>
    <row r="413" ht="12.75" customHeight="1" x14ac:dyDescent="0.25"/>
    <row r="414" ht="12.75" customHeight="1" x14ac:dyDescent="0.25"/>
    <row r="415" ht="12.75" customHeight="1" x14ac:dyDescent="0.25"/>
    <row r="416" ht="12.75" customHeight="1" x14ac:dyDescent="0.25"/>
    <row r="417" ht="12.75" customHeight="1" x14ac:dyDescent="0.25"/>
    <row r="418" ht="12.75" customHeight="1" x14ac:dyDescent="0.25"/>
    <row r="419" ht="12.75" customHeight="1" x14ac:dyDescent="0.25"/>
    <row r="420" ht="12.75" customHeight="1" x14ac:dyDescent="0.25"/>
    <row r="421" ht="12.75" customHeight="1" x14ac:dyDescent="0.25"/>
    <row r="422" ht="12.75" customHeight="1" x14ac:dyDescent="0.25"/>
    <row r="423" ht="12.75" customHeight="1" x14ac:dyDescent="0.25"/>
    <row r="424" ht="12.75" customHeight="1" x14ac:dyDescent="0.25"/>
    <row r="425" ht="12.75" customHeight="1" x14ac:dyDescent="0.25"/>
    <row r="426" ht="12.75" customHeight="1" x14ac:dyDescent="0.25"/>
    <row r="427" ht="12.75" customHeight="1" x14ac:dyDescent="0.25"/>
    <row r="428" ht="12.75" customHeight="1" x14ac:dyDescent="0.25"/>
    <row r="429" ht="12.75" customHeight="1" x14ac:dyDescent="0.25"/>
    <row r="430" ht="12.75" customHeight="1" x14ac:dyDescent="0.25"/>
    <row r="431" ht="12.75" customHeight="1" x14ac:dyDescent="0.25"/>
    <row r="432" ht="12.75" customHeight="1" x14ac:dyDescent="0.25"/>
    <row r="433" ht="12.75" customHeight="1" x14ac:dyDescent="0.25"/>
    <row r="434" ht="12.75" customHeight="1" x14ac:dyDescent="0.25"/>
    <row r="435" ht="12.75" customHeight="1" x14ac:dyDescent="0.25"/>
    <row r="436" ht="12.75" customHeight="1" x14ac:dyDescent="0.25"/>
    <row r="437" ht="12.75" customHeight="1" x14ac:dyDescent="0.25"/>
    <row r="438" ht="12.75" customHeight="1" x14ac:dyDescent="0.25"/>
    <row r="439" ht="12.75" customHeight="1" x14ac:dyDescent="0.25"/>
    <row r="440" ht="12.75" customHeight="1" x14ac:dyDescent="0.25"/>
    <row r="441" ht="12.75" customHeight="1" x14ac:dyDescent="0.25"/>
    <row r="442" ht="12.75" customHeight="1" x14ac:dyDescent="0.25"/>
    <row r="443" ht="12.75" customHeight="1" x14ac:dyDescent="0.25"/>
    <row r="444" ht="12.75" customHeight="1" x14ac:dyDescent="0.25"/>
    <row r="445" ht="12.75" customHeight="1" x14ac:dyDescent="0.25"/>
    <row r="446" ht="12.75" customHeight="1" x14ac:dyDescent="0.25"/>
    <row r="447" ht="12.75" customHeight="1" x14ac:dyDescent="0.25"/>
    <row r="448" ht="12.75" customHeight="1" x14ac:dyDescent="0.25"/>
    <row r="449" ht="12.75" customHeight="1" x14ac:dyDescent="0.25"/>
    <row r="450" ht="12.75" customHeight="1" x14ac:dyDescent="0.25"/>
    <row r="451" ht="12.75" customHeight="1" x14ac:dyDescent="0.25"/>
    <row r="452" ht="12.75" customHeight="1" x14ac:dyDescent="0.25"/>
    <row r="453" ht="12.75" customHeight="1" x14ac:dyDescent="0.25"/>
    <row r="454" ht="12.75" customHeight="1" x14ac:dyDescent="0.25"/>
    <row r="455" ht="12.75" customHeight="1" x14ac:dyDescent="0.25"/>
    <row r="456" ht="12.75" customHeight="1" x14ac:dyDescent="0.25"/>
    <row r="457" ht="12.75" customHeight="1" x14ac:dyDescent="0.25"/>
    <row r="458" ht="12.75" customHeight="1" x14ac:dyDescent="0.25"/>
    <row r="459" ht="12.75" customHeight="1" x14ac:dyDescent="0.25"/>
    <row r="460" ht="12.75" customHeight="1" x14ac:dyDescent="0.25"/>
    <row r="461" ht="12.75" customHeight="1" x14ac:dyDescent="0.25"/>
    <row r="462" ht="12.75" customHeight="1" x14ac:dyDescent="0.25"/>
    <row r="463" ht="12.75" customHeight="1" x14ac:dyDescent="0.25"/>
    <row r="464" ht="12.75" customHeight="1" x14ac:dyDescent="0.25"/>
    <row r="465" ht="12.75" customHeight="1" x14ac:dyDescent="0.25"/>
    <row r="466" ht="12.75" customHeight="1" x14ac:dyDescent="0.25"/>
    <row r="467" ht="12.75" customHeight="1" x14ac:dyDescent="0.25"/>
    <row r="468" ht="12.75" customHeight="1" x14ac:dyDescent="0.25"/>
    <row r="469" ht="12.75" customHeight="1" x14ac:dyDescent="0.25"/>
    <row r="470" ht="12.75" customHeight="1" x14ac:dyDescent="0.25"/>
    <row r="471" ht="12.75" customHeight="1" x14ac:dyDescent="0.25"/>
    <row r="472" ht="12.75" customHeight="1" x14ac:dyDescent="0.25"/>
    <row r="473" ht="12.75" customHeight="1" x14ac:dyDescent="0.25"/>
    <row r="474" ht="12.75" customHeight="1" x14ac:dyDescent="0.25"/>
    <row r="475" ht="12.75" customHeight="1" x14ac:dyDescent="0.25"/>
    <row r="476" ht="12.75" customHeight="1" x14ac:dyDescent="0.25"/>
    <row r="477" ht="12.75" customHeight="1" x14ac:dyDescent="0.25"/>
    <row r="478" ht="12.75" customHeight="1" x14ac:dyDescent="0.25"/>
    <row r="479" ht="12.75" customHeight="1" x14ac:dyDescent="0.25"/>
    <row r="480" ht="12.75" customHeight="1" x14ac:dyDescent="0.25"/>
    <row r="481" ht="12.75" customHeight="1" x14ac:dyDescent="0.25"/>
    <row r="482" ht="12.75" customHeight="1" x14ac:dyDescent="0.25"/>
    <row r="483" ht="12.75" customHeight="1" x14ac:dyDescent="0.25"/>
    <row r="484" ht="12.75" customHeight="1" x14ac:dyDescent="0.25"/>
    <row r="485" ht="12.75" customHeight="1" x14ac:dyDescent="0.25"/>
    <row r="486" ht="12.75" customHeight="1" x14ac:dyDescent="0.25"/>
    <row r="487" ht="12.75" customHeight="1" x14ac:dyDescent="0.25"/>
    <row r="488" ht="12.75" customHeight="1" x14ac:dyDescent="0.25"/>
    <row r="489" ht="12.75" customHeight="1" x14ac:dyDescent="0.25"/>
    <row r="490" ht="12.75" customHeight="1" x14ac:dyDescent="0.25"/>
    <row r="491" ht="12.75" customHeight="1" x14ac:dyDescent="0.25"/>
    <row r="492" ht="12.75" customHeight="1" x14ac:dyDescent="0.25"/>
    <row r="493" ht="12.75" customHeight="1" x14ac:dyDescent="0.25"/>
    <row r="494" ht="12.75" customHeight="1" x14ac:dyDescent="0.25"/>
    <row r="495" ht="12.75" customHeight="1" x14ac:dyDescent="0.25"/>
    <row r="496" ht="12.75" customHeight="1" x14ac:dyDescent="0.25"/>
    <row r="497" ht="12.75" customHeight="1" x14ac:dyDescent="0.25"/>
    <row r="498" ht="12.75" customHeight="1" x14ac:dyDescent="0.25"/>
    <row r="499" ht="12.75" customHeight="1" x14ac:dyDescent="0.25"/>
    <row r="500" ht="12.75" customHeight="1" x14ac:dyDescent="0.25"/>
    <row r="501" ht="12.75" customHeight="1" x14ac:dyDescent="0.25"/>
    <row r="502" ht="12.75" customHeight="1" x14ac:dyDescent="0.25"/>
    <row r="503" ht="12.75" customHeight="1" x14ac:dyDescent="0.25"/>
    <row r="504" ht="12.75" customHeight="1" x14ac:dyDescent="0.25"/>
    <row r="505" ht="12.75" customHeight="1" x14ac:dyDescent="0.25"/>
    <row r="506" ht="12.75" customHeight="1" x14ac:dyDescent="0.25"/>
    <row r="507" ht="12.75" customHeight="1" x14ac:dyDescent="0.25"/>
    <row r="508" ht="12.75" customHeight="1" x14ac:dyDescent="0.25"/>
    <row r="509" ht="12.75" customHeight="1" x14ac:dyDescent="0.25"/>
    <row r="510" ht="12.75" customHeight="1" x14ac:dyDescent="0.25"/>
    <row r="511" ht="12.75" customHeight="1" x14ac:dyDescent="0.25"/>
    <row r="512" ht="12.75" customHeight="1" x14ac:dyDescent="0.25"/>
    <row r="513" ht="12.75" customHeight="1" x14ac:dyDescent="0.25"/>
    <row r="514" ht="12.75" customHeight="1" x14ac:dyDescent="0.25"/>
    <row r="515" ht="12.75" customHeight="1" x14ac:dyDescent="0.25"/>
    <row r="516" ht="12.75" customHeight="1" x14ac:dyDescent="0.25"/>
    <row r="517" ht="12.75" customHeight="1" x14ac:dyDescent="0.25"/>
    <row r="518" ht="12.75" customHeight="1" x14ac:dyDescent="0.25"/>
    <row r="519" ht="12.75" customHeight="1" x14ac:dyDescent="0.25"/>
    <row r="520" ht="12.75" customHeight="1" x14ac:dyDescent="0.25"/>
  </sheetData>
  <sortState ref="B241:I253">
    <sortCondition ref="C242"/>
  </sortState>
  <mergeCells count="15">
    <mergeCell ref="A1:F1"/>
    <mergeCell ref="B4:I4"/>
    <mergeCell ref="B25:I25"/>
    <mergeCell ref="B239:I239"/>
    <mergeCell ref="B47:I47"/>
    <mergeCell ref="B68:I68"/>
    <mergeCell ref="A89:F89"/>
    <mergeCell ref="B92:I92"/>
    <mergeCell ref="B113:I113"/>
    <mergeCell ref="B134:I134"/>
    <mergeCell ref="B155:I155"/>
    <mergeCell ref="A174:F174"/>
    <mergeCell ref="B176:I176"/>
    <mergeCell ref="B197:I197"/>
    <mergeCell ref="B218:I218"/>
  </mergeCells>
  <pageMargins left="0.7" right="0.7" top="0.75" bottom="0.75" header="0" footer="0"/>
  <pageSetup paperSize="9" orientation="portrait" r:id="rId1"/>
  <ignoredErrors>
    <ignoredError sqref="C106" formulaRange="1"/>
    <ignoredError sqref="D106" formula="1"/>
  </ignoredErrors>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A9CA1A-0D45-4E79-9374-C0B96344D4FD}">
  <dimension ref="A1:Y520"/>
  <sheetViews>
    <sheetView showGridLines="0" zoomScale="55" zoomScaleNormal="55" workbookViewId="0">
      <selection activeCell="W34" sqref="W34"/>
    </sheetView>
  </sheetViews>
  <sheetFormatPr defaultColWidth="12.6640625" defaultRowHeight="15" customHeight="1" x14ac:dyDescent="0.25"/>
  <cols>
    <col min="1" max="1" width="8.6640625" style="2" customWidth="1"/>
    <col min="2" max="2" width="15.109375" style="2" bestFit="1" customWidth="1"/>
    <col min="3" max="3" width="16.33203125" style="2" bestFit="1" customWidth="1"/>
    <col min="4" max="4" width="13.21875" style="2" customWidth="1"/>
    <col min="5" max="5" width="9.6640625" style="2" customWidth="1"/>
    <col min="6" max="6" width="13.33203125" style="2" customWidth="1"/>
    <col min="7" max="7" width="14" style="2" bestFit="1" customWidth="1"/>
    <col min="8" max="8" width="14.21875" style="2" bestFit="1" customWidth="1"/>
    <col min="9" max="9" width="20.21875" style="2" bestFit="1" customWidth="1"/>
    <col min="10" max="13" width="16.109375" style="2" customWidth="1"/>
    <col min="14" max="14" width="20" style="2" customWidth="1"/>
    <col min="15" max="15" width="12.6640625" style="2"/>
    <col min="16" max="16" width="27.77734375" style="2" customWidth="1"/>
    <col min="17" max="17" width="17.21875" style="2" bestFit="1" customWidth="1"/>
    <col min="18" max="18" width="12" style="2" bestFit="1" customWidth="1"/>
    <col min="19" max="20" width="12.44140625" style="2" bestFit="1" customWidth="1"/>
    <col min="21" max="21" width="17.21875" style="2" bestFit="1" customWidth="1"/>
    <col min="22" max="22" width="12" style="2" bestFit="1" customWidth="1"/>
    <col min="23" max="23" width="7.88671875" style="2" customWidth="1"/>
    <col min="24" max="24" width="13" style="2" customWidth="1"/>
    <col min="25" max="25" width="15.21875" style="2" customWidth="1"/>
    <col min="26" max="16384" width="12.6640625" style="2"/>
  </cols>
  <sheetData>
    <row r="1" spans="1:25" ht="25.05" customHeight="1" x14ac:dyDescent="0.25">
      <c r="A1" s="252" t="s">
        <v>81</v>
      </c>
      <c r="B1" s="252"/>
      <c r="C1" s="252"/>
      <c r="D1" s="252"/>
      <c r="E1" s="252"/>
      <c r="F1" s="252"/>
    </row>
    <row r="2" spans="1:25" ht="12.75" customHeight="1" x14ac:dyDescent="0.25">
      <c r="D2" s="1"/>
    </row>
    <row r="3" spans="1:25" ht="12.75" customHeight="1" x14ac:dyDescent="0.25"/>
    <row r="4" spans="1:25" ht="21" customHeight="1" thickBot="1" x14ac:dyDescent="0.35">
      <c r="B4" s="256" t="s">
        <v>95</v>
      </c>
      <c r="C4" s="256"/>
      <c r="D4" s="256"/>
      <c r="E4" s="256"/>
      <c r="F4" s="256"/>
      <c r="G4" s="256"/>
      <c r="H4" s="256"/>
      <c r="I4" s="256"/>
    </row>
    <row r="5" spans="1:25" s="8" customFormat="1" ht="40.200000000000003" customHeight="1" thickBot="1" x14ac:dyDescent="0.3">
      <c r="B5" s="36" t="s">
        <v>19</v>
      </c>
      <c r="C5" s="37" t="s">
        <v>42</v>
      </c>
      <c r="D5" s="37" t="s">
        <v>41</v>
      </c>
      <c r="E5" s="37" t="s">
        <v>27</v>
      </c>
      <c r="F5" s="37" t="s">
        <v>16</v>
      </c>
      <c r="G5" s="37" t="s">
        <v>28</v>
      </c>
      <c r="H5" s="37" t="s">
        <v>116</v>
      </c>
      <c r="I5" s="37" t="s">
        <v>20</v>
      </c>
      <c r="U5" s="23"/>
      <c r="V5" s="121" t="s">
        <v>131</v>
      </c>
      <c r="W5" s="127" t="s">
        <v>134</v>
      </c>
      <c r="X5" s="127" t="s">
        <v>132</v>
      </c>
      <c r="Y5" s="127" t="s">
        <v>133</v>
      </c>
    </row>
    <row r="6" spans="1:25" ht="12.75" customHeight="1" x14ac:dyDescent="0.25">
      <c r="B6" s="4"/>
      <c r="C6" s="26">
        <v>0</v>
      </c>
      <c r="D6" s="26">
        <v>0</v>
      </c>
      <c r="E6" s="49">
        <v>0</v>
      </c>
      <c r="F6" s="49">
        <v>0</v>
      </c>
      <c r="G6" s="49">
        <v>0</v>
      </c>
      <c r="H6" s="50">
        <f>F6</f>
        <v>0</v>
      </c>
      <c r="I6" s="49">
        <v>0</v>
      </c>
      <c r="P6" s="18"/>
      <c r="Q6" s="14"/>
      <c r="R6" s="15"/>
      <c r="U6" s="18" t="s">
        <v>0</v>
      </c>
      <c r="V6" s="60">
        <f>I20</f>
        <v>0.57343046446815871</v>
      </c>
      <c r="W6" s="60">
        <f>I41</f>
        <v>0.53819401904873732</v>
      </c>
      <c r="X6" s="60">
        <f>I63</f>
        <v>0.77272230485352333</v>
      </c>
      <c r="Y6" s="60">
        <f>I84</f>
        <v>0.19281049291228569</v>
      </c>
    </row>
    <row r="7" spans="1:25" ht="12.75" customHeight="1" x14ac:dyDescent="0.25">
      <c r="B7" s="82" t="s">
        <v>2</v>
      </c>
      <c r="C7" s="29">
        <v>2.9665622667677747</v>
      </c>
      <c r="D7" s="29">
        <v>73.382151788699886</v>
      </c>
      <c r="E7" s="49">
        <f t="shared" ref="E7:E17" si="0">C7/$C$18</f>
        <v>1.4667449147965441E-3</v>
      </c>
      <c r="F7" s="49">
        <f t="shared" ref="F7:F17" si="1">D7/$D$18</f>
        <v>0.32477645291984603</v>
      </c>
      <c r="G7" s="49">
        <f t="shared" ref="G7:G17" si="2">G6+E7</f>
        <v>1.4667449147965441E-3</v>
      </c>
      <c r="H7" s="50">
        <f t="shared" ref="H7:H17" si="3">F7+H6</f>
        <v>0.32477645291984603</v>
      </c>
      <c r="I7" s="49">
        <f t="shared" ref="I7:I17" si="4">(G6+G7)*0.5*(H7-H6)</f>
        <v>2.3818210538292169E-4</v>
      </c>
      <c r="P7" s="18"/>
      <c r="Q7" s="14"/>
      <c r="R7" s="15"/>
      <c r="U7" s="18" t="s">
        <v>130</v>
      </c>
      <c r="V7" s="60">
        <f>I108</f>
        <v>0.33884905094983941</v>
      </c>
      <c r="W7" s="60">
        <f>I129</f>
        <v>0.30520912675206635</v>
      </c>
      <c r="X7" s="60">
        <f>I150</f>
        <v>0.58645756045696618</v>
      </c>
      <c r="Y7" s="60">
        <f>I171</f>
        <v>0.12083632037965852</v>
      </c>
    </row>
    <row r="8" spans="1:25" ht="12.75" customHeight="1" thickBot="1" x14ac:dyDescent="0.3">
      <c r="B8" s="82" t="s">
        <v>3</v>
      </c>
      <c r="C8" s="29">
        <v>11.346117940002056</v>
      </c>
      <c r="D8" s="29">
        <v>1.1696643749086759</v>
      </c>
      <c r="E8" s="49">
        <f t="shared" si="0"/>
        <v>5.6098134118425357E-3</v>
      </c>
      <c r="F8" s="49">
        <f t="shared" si="1"/>
        <v>5.1767280943653977E-3</v>
      </c>
      <c r="G8" s="49">
        <f t="shared" si="2"/>
        <v>7.0765583266390797E-3</v>
      </c>
      <c r="H8" s="50">
        <f t="shared" si="3"/>
        <v>0.32995318101421145</v>
      </c>
      <c r="I8" s="49">
        <f t="shared" si="4"/>
        <v>2.2113178954311493E-5</v>
      </c>
      <c r="P8" s="18"/>
      <c r="Q8" s="14"/>
      <c r="R8" s="15"/>
      <c r="U8" s="125" t="s">
        <v>135</v>
      </c>
      <c r="V8" s="126">
        <f>I192</f>
        <v>0.15519517549832129</v>
      </c>
      <c r="W8" s="126">
        <f>I213</f>
        <v>2.8974707528406807E-2</v>
      </c>
      <c r="X8" s="126">
        <f>I234</f>
        <v>0.82012634284940666</v>
      </c>
      <c r="Y8" s="126">
        <f>I255</f>
        <v>0.23120443325583606</v>
      </c>
    </row>
    <row r="9" spans="1:25" ht="12.75" customHeight="1" x14ac:dyDescent="0.25">
      <c r="B9" s="82" t="s">
        <v>1</v>
      </c>
      <c r="C9" s="29">
        <v>17.511417826213687</v>
      </c>
      <c r="D9" s="29">
        <v>4.9757543348031366</v>
      </c>
      <c r="E9" s="49">
        <f t="shared" si="0"/>
        <v>8.6580967253592819E-3</v>
      </c>
      <c r="F9" s="49">
        <f t="shared" si="1"/>
        <v>2.2021810536588266E-2</v>
      </c>
      <c r="G9" s="49">
        <f t="shared" si="2"/>
        <v>1.5734655051998361E-2</v>
      </c>
      <c r="H9" s="50">
        <f t="shared" si="3"/>
        <v>0.3519749915507997</v>
      </c>
      <c r="I9" s="49">
        <f t="shared" si="4"/>
        <v>2.5117210956702041E-4</v>
      </c>
      <c r="P9" s="18"/>
      <c r="Q9" s="14"/>
      <c r="R9" s="15"/>
    </row>
    <row r="10" spans="1:25" ht="12.75" customHeight="1" x14ac:dyDescent="0.25">
      <c r="B10" s="111" t="s">
        <v>6</v>
      </c>
      <c r="C10" s="29">
        <v>23.334648738799025</v>
      </c>
      <c r="D10" s="29">
        <v>9.5603114874115178</v>
      </c>
      <c r="E10" s="49">
        <f t="shared" si="0"/>
        <v>1.1537252313765879E-2</v>
      </c>
      <c r="F10" s="49">
        <f t="shared" si="1"/>
        <v>4.2312251385472503E-2</v>
      </c>
      <c r="G10" s="49">
        <f t="shared" si="2"/>
        <v>2.727190736576424E-2</v>
      </c>
      <c r="H10" s="50">
        <f t="shared" si="3"/>
        <v>0.39428724293627221</v>
      </c>
      <c r="I10" s="49">
        <f t="shared" si="4"/>
        <v>9.0985224012269284E-4</v>
      </c>
      <c r="P10" s="18"/>
      <c r="Q10" s="14"/>
      <c r="R10" s="15"/>
    </row>
    <row r="11" spans="1:25" ht="12.75" customHeight="1" x14ac:dyDescent="0.25">
      <c r="B11" s="82" t="s">
        <v>195</v>
      </c>
      <c r="C11" s="29">
        <v>25.735679786065873</v>
      </c>
      <c r="D11" s="29">
        <v>3.1105895851824568</v>
      </c>
      <c r="E11" s="49">
        <f t="shared" si="0"/>
        <v>1.2724384004308262E-2</v>
      </c>
      <c r="F11" s="49">
        <f t="shared" si="1"/>
        <v>1.376692052958498E-2</v>
      </c>
      <c r="G11" s="49">
        <f t="shared" si="2"/>
        <v>3.9996291370072504E-2</v>
      </c>
      <c r="H11" s="50">
        <f t="shared" si="3"/>
        <v>0.40805416346585721</v>
      </c>
      <c r="I11" s="49">
        <f t="shared" si="4"/>
        <v>4.6303797308229738E-4</v>
      </c>
      <c r="P11" s="18"/>
      <c r="Q11" s="14"/>
      <c r="R11" s="15"/>
    </row>
    <row r="12" spans="1:25" ht="12.75" customHeight="1" x14ac:dyDescent="0.25">
      <c r="B12" s="82" t="s">
        <v>5</v>
      </c>
      <c r="C12" s="29">
        <v>77.23342386103532</v>
      </c>
      <c r="D12" s="29">
        <v>16.86054974048762</v>
      </c>
      <c r="E12" s="49">
        <f t="shared" si="0"/>
        <v>3.8186197191783879E-2</v>
      </c>
      <c r="F12" s="49">
        <f t="shared" si="1"/>
        <v>7.4621817506275889E-2</v>
      </c>
      <c r="G12" s="49">
        <f t="shared" si="2"/>
        <v>7.8182488561856389E-2</v>
      </c>
      <c r="H12" s="50">
        <f t="shared" si="3"/>
        <v>0.4826759809721331</v>
      </c>
      <c r="I12" s="49">
        <f t="shared" si="4"/>
        <v>4.4093576745973685E-3</v>
      </c>
      <c r="P12" s="18"/>
      <c r="Q12" s="14"/>
      <c r="R12" s="15"/>
    </row>
    <row r="13" spans="1:25" ht="12.75" customHeight="1" x14ac:dyDescent="0.25">
      <c r="B13" s="82" t="s">
        <v>9</v>
      </c>
      <c r="C13" s="29">
        <v>136.50672876525519</v>
      </c>
      <c r="D13" s="29">
        <v>9.7673050641508965</v>
      </c>
      <c r="E13" s="49">
        <f t="shared" si="0"/>
        <v>6.7492448243838807E-2</v>
      </c>
      <c r="F13" s="49">
        <f t="shared" si="1"/>
        <v>4.3228368424724536E-2</v>
      </c>
      <c r="G13" s="49">
        <f t="shared" si="2"/>
        <v>0.14567493680569521</v>
      </c>
      <c r="H13" s="50">
        <f t="shared" si="3"/>
        <v>0.5259043493968576</v>
      </c>
      <c r="I13" s="49">
        <f t="shared" si="4"/>
        <v>4.8384956291993939E-3</v>
      </c>
      <c r="P13" s="18"/>
      <c r="Q13" s="14"/>
      <c r="R13" s="15"/>
    </row>
    <row r="14" spans="1:25" ht="12.75" customHeight="1" x14ac:dyDescent="0.25">
      <c r="B14" s="111" t="s">
        <v>10</v>
      </c>
      <c r="C14" s="29">
        <v>292.00394015096231</v>
      </c>
      <c r="D14" s="29">
        <v>33.351521035795983</v>
      </c>
      <c r="E14" s="49">
        <f t="shared" si="0"/>
        <v>0.14437428100359026</v>
      </c>
      <c r="F14" s="49">
        <f t="shared" si="1"/>
        <v>0.14760794603948144</v>
      </c>
      <c r="G14" s="49">
        <f t="shared" si="2"/>
        <v>0.2900492178092855</v>
      </c>
      <c r="H14" s="50">
        <f t="shared" si="3"/>
        <v>0.67351229543633906</v>
      </c>
      <c r="I14" s="49">
        <f t="shared" si="4"/>
        <v>3.2158173751253377E-2</v>
      </c>
      <c r="P14" s="18"/>
      <c r="Q14" s="14"/>
      <c r="R14" s="15"/>
    </row>
    <row r="15" spans="1:25" ht="12.75" customHeight="1" x14ac:dyDescent="0.25">
      <c r="B15" s="82" t="s">
        <v>7</v>
      </c>
      <c r="C15" s="29">
        <v>335.61572301246139</v>
      </c>
      <c r="D15" s="29">
        <v>31.282876631198732</v>
      </c>
      <c r="E15" s="49">
        <f t="shared" si="0"/>
        <v>0.16593707152846626</v>
      </c>
      <c r="F15" s="49">
        <f t="shared" si="1"/>
        <v>0.13845249099079152</v>
      </c>
      <c r="G15" s="49">
        <f t="shared" si="2"/>
        <v>0.45598628933775176</v>
      </c>
      <c r="H15" s="50">
        <f t="shared" si="3"/>
        <v>0.81196478642713055</v>
      </c>
      <c r="I15" s="49">
        <f t="shared" si="4"/>
        <v>5.1645237166042871E-2</v>
      </c>
      <c r="P15" s="18"/>
      <c r="Q15" s="14"/>
      <c r="R15" s="15"/>
    </row>
    <row r="16" spans="1:25" ht="12.75" customHeight="1" x14ac:dyDescent="0.25">
      <c r="B16" s="82" t="s">
        <v>4</v>
      </c>
      <c r="C16" s="29">
        <v>441.48024978528468</v>
      </c>
      <c r="D16" s="29">
        <v>32.446858085974341</v>
      </c>
      <c r="E16" s="49">
        <f t="shared" si="0"/>
        <v>0.21827922461280477</v>
      </c>
      <c r="F16" s="49">
        <f t="shared" si="1"/>
        <v>0.14360406748360183</v>
      </c>
      <c r="G16" s="49">
        <f t="shared" si="2"/>
        <v>0.67426551395055656</v>
      </c>
      <c r="H16" s="50">
        <f t="shared" si="3"/>
        <v>0.95556885391073232</v>
      </c>
      <c r="I16" s="49">
        <f t="shared" si="4"/>
        <v>8.11543781164384E-2</v>
      </c>
      <c r="P16" s="18"/>
      <c r="Q16" s="14"/>
      <c r="R16" s="15"/>
    </row>
    <row r="17" spans="1:14" ht="12.75" customHeight="1" thickBot="1" x14ac:dyDescent="0.3">
      <c r="B17" s="86" t="s">
        <v>8</v>
      </c>
      <c r="C17" s="32">
        <v>658.81369388167457</v>
      </c>
      <c r="D17" s="32">
        <v>10.039068649084653</v>
      </c>
      <c r="E17" s="51">
        <f t="shared" si="0"/>
        <v>0.32573448604944349</v>
      </c>
      <c r="F17" s="51">
        <f t="shared" si="1"/>
        <v>4.4431146089267737E-2</v>
      </c>
      <c r="G17" s="49">
        <f t="shared" si="2"/>
        <v>1</v>
      </c>
      <c r="H17" s="52">
        <f t="shared" si="3"/>
        <v>1</v>
      </c>
      <c r="I17" s="51">
        <f t="shared" si="4"/>
        <v>3.7194767821280006E-2</v>
      </c>
    </row>
    <row r="18" spans="1:14" ht="12.75" customHeight="1" thickBot="1" x14ac:dyDescent="0.3">
      <c r="B18" s="35" t="s">
        <v>12</v>
      </c>
      <c r="C18" s="6">
        <f>SUM(C6:C17)</f>
        <v>2022.5481860145219</v>
      </c>
      <c r="D18" s="6">
        <f>SUM(D6:D17)</f>
        <v>225.94665077769787</v>
      </c>
      <c r="E18" s="59">
        <f>SUM(E7:E17)</f>
        <v>1</v>
      </c>
      <c r="F18" s="59">
        <f>SUM(F7:F17)</f>
        <v>1</v>
      </c>
      <c r="G18" s="53"/>
      <c r="H18" s="53"/>
      <c r="I18" s="59">
        <f>SUM(I6:I17)</f>
        <v>0.21328476776592065</v>
      </c>
    </row>
    <row r="19" spans="1:14" ht="12.75" customHeight="1" thickBot="1" x14ac:dyDescent="0.3">
      <c r="B19" s="4"/>
      <c r="C19" s="4"/>
      <c r="D19" s="4"/>
      <c r="E19" s="50"/>
      <c r="F19" s="50"/>
      <c r="G19" s="50"/>
      <c r="H19" s="53"/>
      <c r="I19" s="53"/>
    </row>
    <row r="20" spans="1:14" ht="12.75" customHeight="1" thickBot="1" x14ac:dyDescent="0.3">
      <c r="B20" s="4"/>
      <c r="C20" s="4"/>
      <c r="D20" s="4"/>
      <c r="E20" s="50"/>
      <c r="F20" s="50"/>
      <c r="G20" s="55"/>
      <c r="H20" s="56" t="s">
        <v>30</v>
      </c>
      <c r="I20" s="52">
        <f>1-(2*I18)</f>
        <v>0.57343046446815871</v>
      </c>
    </row>
    <row r="21" spans="1:14" ht="12.75" customHeight="1" x14ac:dyDescent="0.25"/>
    <row r="22" spans="1:14" ht="12.75" customHeight="1" x14ac:dyDescent="0.25"/>
    <row r="23" spans="1:14" ht="12.75" customHeight="1" x14ac:dyDescent="0.25"/>
    <row r="24" spans="1:14" ht="13.2" customHeight="1" x14ac:dyDescent="0.25"/>
    <row r="25" spans="1:14" ht="14.4" customHeight="1" thickBot="1" x14ac:dyDescent="0.35">
      <c r="B25" s="256" t="s">
        <v>96</v>
      </c>
      <c r="C25" s="256"/>
      <c r="D25" s="256"/>
      <c r="E25" s="256"/>
      <c r="F25" s="256"/>
      <c r="G25" s="256"/>
      <c r="H25" s="256"/>
      <c r="I25" s="256"/>
    </row>
    <row r="26" spans="1:14" ht="12.6" customHeight="1" thickBot="1" x14ac:dyDescent="0.3">
      <c r="B26" s="36" t="s">
        <v>19</v>
      </c>
      <c r="C26" s="37" t="s">
        <v>97</v>
      </c>
      <c r="D26" s="37" t="s">
        <v>41</v>
      </c>
      <c r="E26" s="37" t="s">
        <v>31</v>
      </c>
      <c r="F26" s="37" t="s">
        <v>16</v>
      </c>
      <c r="G26" s="37" t="s">
        <v>32</v>
      </c>
      <c r="H26" s="37" t="s">
        <v>116</v>
      </c>
      <c r="I26" s="37" t="s">
        <v>20</v>
      </c>
      <c r="J26" s="8"/>
      <c r="K26" s="8"/>
      <c r="L26" s="8"/>
      <c r="M26" s="8"/>
      <c r="N26" s="8"/>
    </row>
    <row r="27" spans="1:14" ht="12.75" customHeight="1" x14ac:dyDescent="0.25">
      <c r="B27" s="4"/>
      <c r="C27" s="26">
        <v>0</v>
      </c>
      <c r="D27" s="26">
        <v>0</v>
      </c>
      <c r="E27" s="49">
        <f t="shared" ref="E27:E38" si="5">C27/$C$39</f>
        <v>0</v>
      </c>
      <c r="F27" s="49">
        <f t="shared" ref="F27:F38" si="6">D27/$D$39</f>
        <v>0</v>
      </c>
      <c r="G27" s="49">
        <v>0</v>
      </c>
      <c r="H27" s="50">
        <f>F27</f>
        <v>0</v>
      </c>
      <c r="I27" s="49">
        <v>0</v>
      </c>
    </row>
    <row r="28" spans="1:14" ht="13.2" x14ac:dyDescent="0.25">
      <c r="A28" s="8"/>
      <c r="B28" s="82" t="s">
        <v>3</v>
      </c>
      <c r="C28" s="29">
        <v>10.93665848659211</v>
      </c>
      <c r="D28" s="29">
        <v>1.1696643749086759</v>
      </c>
      <c r="E28" s="49">
        <f t="shared" si="5"/>
        <v>5.1986633605847219E-3</v>
      </c>
      <c r="F28" s="49">
        <f t="shared" si="6"/>
        <v>5.1767280943653977E-3</v>
      </c>
      <c r="G28" s="49">
        <f t="shared" ref="G28:G38" si="7">G27+E28</f>
        <v>5.1986633605847219E-3</v>
      </c>
      <c r="H28" s="50">
        <f t="shared" ref="H28:H38" si="8">F28+H27</f>
        <v>5.1767280943653977E-3</v>
      </c>
      <c r="I28" s="49">
        <f t="shared" ref="I28:I38" si="9">(G27+G28)*0.5*(H28-H27)</f>
        <v>1.345603333594348E-5</v>
      </c>
    </row>
    <row r="29" spans="1:14" ht="12.75" customHeight="1" x14ac:dyDescent="0.25">
      <c r="B29" s="82" t="s">
        <v>1</v>
      </c>
      <c r="C29" s="29">
        <v>14.686677411069958</v>
      </c>
      <c r="D29" s="29">
        <v>4.9757543348031366</v>
      </c>
      <c r="E29" s="49">
        <f t="shared" si="5"/>
        <v>6.981208368100727E-3</v>
      </c>
      <c r="F29" s="49">
        <f t="shared" si="6"/>
        <v>2.2021810536588266E-2</v>
      </c>
      <c r="G29" s="49">
        <f t="shared" si="7"/>
        <v>1.2179871728685449E-2</v>
      </c>
      <c r="H29" s="50">
        <f t="shared" si="8"/>
        <v>2.7198538630953666E-2</v>
      </c>
      <c r="I29" s="49">
        <f t="shared" si="9"/>
        <v>1.9135340356967942E-4</v>
      </c>
    </row>
    <row r="30" spans="1:14" ht="12.75" customHeight="1" x14ac:dyDescent="0.25">
      <c r="B30" s="111" t="s">
        <v>6</v>
      </c>
      <c r="C30" s="29">
        <v>21.495318730714615</v>
      </c>
      <c r="D30" s="29">
        <v>9.5603114874115178</v>
      </c>
      <c r="E30" s="49">
        <f t="shared" si="5"/>
        <v>1.021764792659967E-2</v>
      </c>
      <c r="F30" s="49">
        <f t="shared" si="6"/>
        <v>4.2312251385472503E-2</v>
      </c>
      <c r="G30" s="49">
        <f t="shared" si="7"/>
        <v>2.2397519655285119E-2</v>
      </c>
      <c r="H30" s="50">
        <f t="shared" si="8"/>
        <v>6.9510790016426169E-2</v>
      </c>
      <c r="I30" s="49">
        <f t="shared" si="9"/>
        <v>7.3152363824621682E-4</v>
      </c>
    </row>
    <row r="31" spans="1:14" ht="12.75" customHeight="1" x14ac:dyDescent="0.25">
      <c r="B31" s="82" t="s">
        <v>195</v>
      </c>
      <c r="C31" s="29">
        <v>25.8803296101798</v>
      </c>
      <c r="D31" s="29">
        <v>3.1105895851824568</v>
      </c>
      <c r="E31" s="49">
        <f t="shared" si="5"/>
        <v>1.2302031874657317E-2</v>
      </c>
      <c r="F31" s="49">
        <f t="shared" si="6"/>
        <v>1.376692052958498E-2</v>
      </c>
      <c r="G31" s="49">
        <f t="shared" si="7"/>
        <v>3.4699551529942432E-2</v>
      </c>
      <c r="H31" s="50">
        <f t="shared" si="8"/>
        <v>8.3277710546011144E-2</v>
      </c>
      <c r="I31" s="49">
        <f t="shared" si="9"/>
        <v>3.9302542073954197E-4</v>
      </c>
    </row>
    <row r="32" spans="1:14" ht="12.75" customHeight="1" x14ac:dyDescent="0.25">
      <c r="B32" s="82" t="s">
        <v>2</v>
      </c>
      <c r="C32" s="29">
        <v>60.37746401341785</v>
      </c>
      <c r="D32" s="29">
        <v>73.382151788699886</v>
      </c>
      <c r="E32" s="49">
        <f t="shared" si="5"/>
        <v>2.8700001042949671E-2</v>
      </c>
      <c r="F32" s="49">
        <f t="shared" si="6"/>
        <v>0.32477645291984603</v>
      </c>
      <c r="G32" s="49">
        <f t="shared" si="7"/>
        <v>6.3399552572892107E-2</v>
      </c>
      <c r="H32" s="50">
        <f t="shared" si="8"/>
        <v>0.40805416346585716</v>
      </c>
      <c r="I32" s="49">
        <f t="shared" si="9"/>
        <v>1.5930139532566657E-2</v>
      </c>
    </row>
    <row r="33" spans="2:14" ht="12.75" customHeight="1" x14ac:dyDescent="0.25">
      <c r="B33" s="82" t="s">
        <v>5</v>
      </c>
      <c r="C33" s="29">
        <v>62.873233448578979</v>
      </c>
      <c r="D33" s="29">
        <v>16.86054974048762</v>
      </c>
      <c r="E33" s="49">
        <f t="shared" si="5"/>
        <v>2.9886347415102172E-2</v>
      </c>
      <c r="F33" s="49">
        <f t="shared" si="6"/>
        <v>7.4621817506275889E-2</v>
      </c>
      <c r="G33" s="49">
        <f t="shared" si="7"/>
        <v>9.3285899987994275E-2</v>
      </c>
      <c r="H33" s="50">
        <f t="shared" si="8"/>
        <v>0.48267598097213305</v>
      </c>
      <c r="I33" s="49">
        <f t="shared" si="9"/>
        <v>5.8460766234433564E-3</v>
      </c>
    </row>
    <row r="34" spans="2:14" ht="12.75" customHeight="1" x14ac:dyDescent="0.25">
      <c r="B34" s="82" t="s">
        <v>9</v>
      </c>
      <c r="C34" s="29">
        <v>124.60740401154084</v>
      </c>
      <c r="D34" s="29">
        <v>9.7673050641508965</v>
      </c>
      <c r="E34" s="49">
        <f t="shared" si="5"/>
        <v>5.9231249333289604E-2</v>
      </c>
      <c r="F34" s="49">
        <f t="shared" si="6"/>
        <v>4.3228368424724536E-2</v>
      </c>
      <c r="G34" s="49">
        <f t="shared" si="7"/>
        <v>0.15251714932128388</v>
      </c>
      <c r="H34" s="50">
        <f t="shared" si="8"/>
        <v>0.5259043493968576</v>
      </c>
      <c r="I34" s="49">
        <f t="shared" si="9"/>
        <v>5.3128323877311059E-3</v>
      </c>
    </row>
    <row r="35" spans="2:14" ht="12.75" customHeight="1" x14ac:dyDescent="0.25">
      <c r="B35" s="111" t="s">
        <v>10</v>
      </c>
      <c r="C35" s="29">
        <v>309.465301544748</v>
      </c>
      <c r="D35" s="29">
        <v>33.351521035795983</v>
      </c>
      <c r="E35" s="49">
        <f t="shared" si="5"/>
        <v>0.14710214518313006</v>
      </c>
      <c r="F35" s="49">
        <f t="shared" si="6"/>
        <v>0.14760794603948144</v>
      </c>
      <c r="G35" s="49">
        <f t="shared" si="7"/>
        <v>0.29961929450441394</v>
      </c>
      <c r="H35" s="50">
        <f t="shared" si="8"/>
        <v>0.67351229543633906</v>
      </c>
      <c r="I35" s="49">
        <f t="shared" si="9"/>
        <v>3.3369465901353326E-2</v>
      </c>
    </row>
    <row r="36" spans="2:14" ht="12.75" customHeight="1" x14ac:dyDescent="0.25">
      <c r="B36" s="82" t="s">
        <v>4</v>
      </c>
      <c r="C36" s="29">
        <v>349.17735064884971</v>
      </c>
      <c r="D36" s="29">
        <v>32.446858085974341</v>
      </c>
      <c r="E36" s="49">
        <f t="shared" si="5"/>
        <v>0.16597898721896151</v>
      </c>
      <c r="F36" s="49">
        <f t="shared" si="6"/>
        <v>0.14360406748360183</v>
      </c>
      <c r="G36" s="49">
        <f t="shared" si="7"/>
        <v>0.46559828172337547</v>
      </c>
      <c r="H36" s="50">
        <f t="shared" si="8"/>
        <v>0.81711636291994094</v>
      </c>
      <c r="I36" s="49">
        <f t="shared" si="9"/>
        <v>5.4944178228126868E-2</v>
      </c>
    </row>
    <row r="37" spans="2:14" ht="12.75" customHeight="1" x14ac:dyDescent="0.25">
      <c r="B37" s="82" t="s">
        <v>7</v>
      </c>
      <c r="C37" s="29">
        <v>394.52684671849278</v>
      </c>
      <c r="D37" s="29">
        <v>31.282876631198732</v>
      </c>
      <c r="E37" s="49">
        <f t="shared" si="5"/>
        <v>0.1875355498497927</v>
      </c>
      <c r="F37" s="49">
        <f t="shared" si="6"/>
        <v>0.13845249099079152</v>
      </c>
      <c r="G37" s="49">
        <f t="shared" si="7"/>
        <v>0.65313383157316818</v>
      </c>
      <c r="H37" s="50">
        <f t="shared" si="8"/>
        <v>0.95556885391073243</v>
      </c>
      <c r="I37" s="49">
        <f t="shared" si="9"/>
        <v>7.7445623918649426E-2</v>
      </c>
    </row>
    <row r="38" spans="2:14" ht="12.75" customHeight="1" thickBot="1" x14ac:dyDescent="0.3">
      <c r="B38" s="86" t="s">
        <v>8</v>
      </c>
      <c r="C38" s="32">
        <v>729.71772963778074</v>
      </c>
      <c r="D38" s="32">
        <v>10.039068649084653</v>
      </c>
      <c r="E38" s="51">
        <f t="shared" si="5"/>
        <v>0.34686616842683182</v>
      </c>
      <c r="F38" s="49">
        <f t="shared" si="6"/>
        <v>4.4431146089267737E-2</v>
      </c>
      <c r="G38" s="51">
        <f t="shared" si="7"/>
        <v>1</v>
      </c>
      <c r="H38" s="52">
        <f t="shared" si="8"/>
        <v>1.0000000000000002</v>
      </c>
      <c r="I38" s="51">
        <f t="shared" si="9"/>
        <v>3.6725315387869224E-2</v>
      </c>
    </row>
    <row r="39" spans="2:14" ht="12.75" customHeight="1" thickBot="1" x14ac:dyDescent="0.3">
      <c r="B39" s="35" t="s">
        <v>12</v>
      </c>
      <c r="C39" s="6">
        <f>SUM(C27:C38)</f>
        <v>2103.7443142619654</v>
      </c>
      <c r="D39" s="6">
        <f>SUM(D27:D38)</f>
        <v>225.94665077769787</v>
      </c>
      <c r="E39" s="51">
        <f>SUM(E28:E38)</f>
        <v>1</v>
      </c>
      <c r="F39" s="59">
        <f>SUM(F28:F38)</f>
        <v>1.0000000000000002</v>
      </c>
      <c r="G39" s="53"/>
      <c r="H39" s="53"/>
      <c r="I39" s="59">
        <f>SUM(I27:I38)</f>
        <v>0.23090299047563134</v>
      </c>
    </row>
    <row r="40" spans="2:14" ht="12.75" customHeight="1" thickBot="1" x14ac:dyDescent="0.3">
      <c r="B40" s="4"/>
      <c r="C40" s="4"/>
      <c r="D40" s="4"/>
      <c r="E40" s="50"/>
      <c r="F40" s="50"/>
      <c r="G40" s="50"/>
      <c r="H40" s="53"/>
      <c r="I40" s="53"/>
    </row>
    <row r="41" spans="2:14" ht="12.75" customHeight="1" thickBot="1" x14ac:dyDescent="0.3">
      <c r="B41" s="4"/>
      <c r="C41" s="4"/>
      <c r="D41" s="4"/>
      <c r="E41" s="50"/>
      <c r="F41" s="50"/>
      <c r="G41" s="55"/>
      <c r="H41" s="56" t="s">
        <v>29</v>
      </c>
      <c r="I41" s="52">
        <f>1-(2*I39)</f>
        <v>0.53819401904873732</v>
      </c>
    </row>
    <row r="42" spans="2:14" ht="12.75" customHeight="1" x14ac:dyDescent="0.25">
      <c r="E42" s="60"/>
      <c r="F42" s="60"/>
      <c r="G42" s="60"/>
      <c r="H42" s="60"/>
      <c r="I42" s="60"/>
    </row>
    <row r="43" spans="2:14" ht="12.75" customHeight="1" x14ac:dyDescent="0.25"/>
    <row r="44" spans="2:14" ht="12.75" customHeight="1" x14ac:dyDescent="0.25"/>
    <row r="45" spans="2:14" ht="12.75" customHeight="1" x14ac:dyDescent="0.25"/>
    <row r="46" spans="2:14" ht="12.75" customHeight="1" x14ac:dyDescent="0.25"/>
    <row r="47" spans="2:14" ht="16.2" thickBot="1" x14ac:dyDescent="0.35">
      <c r="B47" s="257" t="s">
        <v>104</v>
      </c>
      <c r="C47" s="257"/>
      <c r="D47" s="257"/>
      <c r="E47" s="257"/>
      <c r="F47" s="257"/>
      <c r="G47" s="257"/>
      <c r="H47" s="257"/>
      <c r="I47" s="257"/>
      <c r="J47" s="122"/>
    </row>
    <row r="48" spans="2:14" ht="27" thickBot="1" x14ac:dyDescent="0.3">
      <c r="B48" s="30" t="s">
        <v>19</v>
      </c>
      <c r="C48" s="31" t="s">
        <v>38</v>
      </c>
      <c r="D48" s="31" t="s">
        <v>41</v>
      </c>
      <c r="E48" s="31" t="s">
        <v>15</v>
      </c>
      <c r="F48" s="31" t="s">
        <v>16</v>
      </c>
      <c r="G48" s="31" t="s">
        <v>17</v>
      </c>
      <c r="H48" s="31" t="s">
        <v>116</v>
      </c>
      <c r="I48" s="31" t="s">
        <v>20</v>
      </c>
      <c r="J48" s="25"/>
      <c r="K48" s="8"/>
      <c r="L48" s="8"/>
      <c r="M48" s="8"/>
      <c r="N48" s="8"/>
    </row>
    <row r="49" spans="1:10" ht="12.75" customHeight="1" x14ac:dyDescent="0.25">
      <c r="B49" s="4"/>
      <c r="C49" s="26">
        <v>0</v>
      </c>
      <c r="D49" s="26">
        <v>0</v>
      </c>
      <c r="E49" s="49">
        <f t="shared" ref="E49:E60" si="10">C49/$C$61</f>
        <v>0</v>
      </c>
      <c r="F49" s="49">
        <f t="shared" ref="F49:F60" si="11">D49/$D$61</f>
        <v>0</v>
      </c>
      <c r="G49" s="49">
        <v>0</v>
      </c>
      <c r="H49" s="50">
        <f>F49</f>
        <v>0</v>
      </c>
      <c r="I49" s="49">
        <v>0</v>
      </c>
      <c r="J49" s="28"/>
    </row>
    <row r="50" spans="1:10" ht="12.75" customHeight="1" x14ac:dyDescent="0.25">
      <c r="B50" s="82" t="s">
        <v>2</v>
      </c>
      <c r="C50" s="29">
        <v>0</v>
      </c>
      <c r="D50" s="29">
        <v>73.382151788699886</v>
      </c>
      <c r="E50" s="49">
        <f t="shared" si="10"/>
        <v>0</v>
      </c>
      <c r="F50" s="49">
        <f t="shared" si="11"/>
        <v>0.32477645291984603</v>
      </c>
      <c r="G50" s="49">
        <f t="shared" ref="G50:G60" si="12">G49+E50</f>
        <v>0</v>
      </c>
      <c r="H50" s="50">
        <f t="shared" ref="H50:H60" si="13">F50+H49</f>
        <v>0.32477645291984603</v>
      </c>
      <c r="I50" s="49">
        <f t="shared" ref="I50:I60" si="14">(G49+G50)*0.5*(H50-H49)</f>
        <v>0</v>
      </c>
      <c r="J50" s="28"/>
    </row>
    <row r="51" spans="1:10" ht="12.75" customHeight="1" x14ac:dyDescent="0.25">
      <c r="A51" s="8"/>
      <c r="B51" s="82" t="s">
        <v>7</v>
      </c>
      <c r="C51" s="29">
        <v>0</v>
      </c>
      <c r="D51" s="29">
        <v>31.282876631198732</v>
      </c>
      <c r="E51" s="49">
        <f t="shared" si="10"/>
        <v>0</v>
      </c>
      <c r="F51" s="49">
        <f t="shared" si="11"/>
        <v>0.13845249099079152</v>
      </c>
      <c r="G51" s="49">
        <f t="shared" si="12"/>
        <v>0</v>
      </c>
      <c r="H51" s="50">
        <f t="shared" si="13"/>
        <v>0.46322894391063751</v>
      </c>
      <c r="I51" s="49">
        <f t="shared" si="14"/>
        <v>0</v>
      </c>
      <c r="J51" s="28"/>
    </row>
    <row r="52" spans="1:10" ht="12.75" customHeight="1" x14ac:dyDescent="0.25">
      <c r="B52" s="82" t="s">
        <v>8</v>
      </c>
      <c r="C52" s="29">
        <v>0</v>
      </c>
      <c r="D52" s="29">
        <v>10.039068649084653</v>
      </c>
      <c r="E52" s="49">
        <f t="shared" si="10"/>
        <v>0</v>
      </c>
      <c r="F52" s="49">
        <f t="shared" si="11"/>
        <v>4.4431146089267737E-2</v>
      </c>
      <c r="G52" s="49">
        <f t="shared" si="12"/>
        <v>0</v>
      </c>
      <c r="H52" s="50">
        <f t="shared" si="13"/>
        <v>0.50766008999990531</v>
      </c>
      <c r="I52" s="49">
        <f t="shared" si="14"/>
        <v>0</v>
      </c>
      <c r="J52" s="28"/>
    </row>
    <row r="53" spans="1:10" ht="12.75" customHeight="1" x14ac:dyDescent="0.25">
      <c r="B53" s="111" t="s">
        <v>10</v>
      </c>
      <c r="C53" s="29">
        <v>0</v>
      </c>
      <c r="D53" s="29">
        <v>33.351521035795983</v>
      </c>
      <c r="E53" s="49">
        <f t="shared" si="10"/>
        <v>0</v>
      </c>
      <c r="F53" s="49">
        <f t="shared" si="11"/>
        <v>0.14760794603948144</v>
      </c>
      <c r="G53" s="49">
        <f t="shared" si="12"/>
        <v>0</v>
      </c>
      <c r="H53" s="50">
        <f t="shared" si="13"/>
        <v>0.65526803603938677</v>
      </c>
      <c r="I53" s="49">
        <f t="shared" si="14"/>
        <v>0</v>
      </c>
      <c r="J53" s="28"/>
    </row>
    <row r="54" spans="1:10" ht="12.75" customHeight="1" x14ac:dyDescent="0.25">
      <c r="B54" s="82" t="s">
        <v>195</v>
      </c>
      <c r="C54" s="29">
        <v>4.4267135247947871E-3</v>
      </c>
      <c r="D54" s="29">
        <v>3.1105895851824568</v>
      </c>
      <c r="E54" s="49">
        <f t="shared" si="10"/>
        <v>3.2068255804301324E-5</v>
      </c>
      <c r="F54" s="49">
        <f t="shared" si="11"/>
        <v>1.376692052958498E-2</v>
      </c>
      <c r="G54" s="49">
        <f t="shared" si="12"/>
        <v>3.2068255804301324E-5</v>
      </c>
      <c r="H54" s="50">
        <f t="shared" si="13"/>
        <v>0.66903495656897172</v>
      </c>
      <c r="I54" s="49">
        <f t="shared" si="14"/>
        <v>2.2074056459010878E-7</v>
      </c>
      <c r="J54" s="28"/>
    </row>
    <row r="55" spans="1:10" ht="12.75" customHeight="1" x14ac:dyDescent="0.25">
      <c r="B55" s="82" t="s">
        <v>3</v>
      </c>
      <c r="C55" s="29">
        <v>0.45743447564730311</v>
      </c>
      <c r="D55" s="29">
        <v>1.1696643749086759</v>
      </c>
      <c r="E55" s="49">
        <f t="shared" si="10"/>
        <v>3.3137734566738627E-3</v>
      </c>
      <c r="F55" s="49">
        <f t="shared" si="11"/>
        <v>5.1767280943653977E-3</v>
      </c>
      <c r="G55" s="49">
        <f t="shared" si="12"/>
        <v>3.3458417124781641E-3</v>
      </c>
      <c r="H55" s="50">
        <f t="shared" si="13"/>
        <v>0.67421168466333714</v>
      </c>
      <c r="I55" s="49">
        <f t="shared" si="14"/>
        <v>8.7432607165224279E-6</v>
      </c>
      <c r="J55" s="28"/>
    </row>
    <row r="56" spans="1:10" ht="12.75" customHeight="1" x14ac:dyDescent="0.25">
      <c r="B56" s="111" t="s">
        <v>6</v>
      </c>
      <c r="C56" s="29">
        <v>1.9083911264401188</v>
      </c>
      <c r="D56" s="29">
        <v>9.5603114874115178</v>
      </c>
      <c r="E56" s="49">
        <f t="shared" si="10"/>
        <v>1.3824878089480056E-2</v>
      </c>
      <c r="F56" s="49">
        <f t="shared" si="11"/>
        <v>4.2312251385472503E-2</v>
      </c>
      <c r="G56" s="49">
        <f t="shared" si="12"/>
        <v>1.717071980195822E-2</v>
      </c>
      <c r="H56" s="50">
        <f t="shared" si="13"/>
        <v>0.7165239360488096</v>
      </c>
      <c r="I56" s="49">
        <f t="shared" si="14"/>
        <v>4.3405095418217089E-4</v>
      </c>
      <c r="J56" s="28"/>
    </row>
    <row r="57" spans="1:10" ht="12.75" customHeight="1" x14ac:dyDescent="0.25">
      <c r="B57" s="82" t="s">
        <v>1</v>
      </c>
      <c r="C57" s="29">
        <v>2.8482081257467033</v>
      </c>
      <c r="D57" s="29">
        <v>4.9757543348031366</v>
      </c>
      <c r="E57" s="49">
        <f t="shared" si="10"/>
        <v>2.063315510451269E-2</v>
      </c>
      <c r="F57" s="49">
        <f t="shared" si="11"/>
        <v>2.2021810536588266E-2</v>
      </c>
      <c r="G57" s="49">
        <f t="shared" si="12"/>
        <v>3.7803874906470913E-2</v>
      </c>
      <c r="H57" s="50">
        <f t="shared" si="13"/>
        <v>0.73854574658539784</v>
      </c>
      <c r="I57" s="49">
        <f t="shared" si="14"/>
        <v>6.0532005449737668E-4</v>
      </c>
      <c r="J57" s="28"/>
    </row>
    <row r="58" spans="1:10" ht="12.75" customHeight="1" x14ac:dyDescent="0.25">
      <c r="B58" s="82" t="s">
        <v>5</v>
      </c>
      <c r="C58" s="29">
        <v>15.369887542025644</v>
      </c>
      <c r="D58" s="29">
        <v>16.86054974048762</v>
      </c>
      <c r="E58" s="49">
        <f t="shared" si="10"/>
        <v>0.11134343404430527</v>
      </c>
      <c r="F58" s="49">
        <f t="shared" si="11"/>
        <v>7.4621817506275889E-2</v>
      </c>
      <c r="G58" s="49">
        <f t="shared" si="12"/>
        <v>0.14914730895077619</v>
      </c>
      <c r="H58" s="50">
        <f t="shared" si="13"/>
        <v>0.81316756409167379</v>
      </c>
      <c r="I58" s="49">
        <f t="shared" si="14"/>
        <v>6.975318562188867E-3</v>
      </c>
      <c r="J58" s="28"/>
    </row>
    <row r="59" spans="1:10" ht="12.75" customHeight="1" x14ac:dyDescent="0.25">
      <c r="B59" s="82" t="s">
        <v>9</v>
      </c>
      <c r="C59" s="29">
        <v>24.613443607903758</v>
      </c>
      <c r="D59" s="29">
        <v>9.7673050641508965</v>
      </c>
      <c r="E59" s="49">
        <f t="shared" si="10"/>
        <v>0.17830614098290756</v>
      </c>
      <c r="F59" s="49">
        <f t="shared" si="11"/>
        <v>4.3228368424724536E-2</v>
      </c>
      <c r="G59" s="49">
        <f t="shared" si="12"/>
        <v>0.32745344993368375</v>
      </c>
      <c r="H59" s="50">
        <f t="shared" si="13"/>
        <v>0.85639593251639834</v>
      </c>
      <c r="I59" s="49">
        <f t="shared" si="14"/>
        <v>1.0301336598280374E-2</v>
      </c>
      <c r="J59" s="28"/>
    </row>
    <row r="60" spans="1:10" ht="12.75" customHeight="1" thickBot="1" x14ac:dyDescent="0.3">
      <c r="B60" s="86" t="s">
        <v>4</v>
      </c>
      <c r="C60" s="32">
        <v>92.838566818258556</v>
      </c>
      <c r="D60" s="32">
        <v>32.446858085974341</v>
      </c>
      <c r="E60" s="49">
        <f t="shared" si="10"/>
        <v>0.67254655006631625</v>
      </c>
      <c r="F60" s="49">
        <f t="shared" si="11"/>
        <v>0.14360406748360183</v>
      </c>
      <c r="G60" s="51">
        <f t="shared" si="12"/>
        <v>1</v>
      </c>
      <c r="H60" s="52">
        <f t="shared" si="13"/>
        <v>1.0000000000000002</v>
      </c>
      <c r="I60" s="51">
        <f t="shared" si="14"/>
        <v>9.5313857402808441E-2</v>
      </c>
      <c r="J60" s="28"/>
    </row>
    <row r="61" spans="1:10" ht="12.75" customHeight="1" thickBot="1" x14ac:dyDescent="0.3">
      <c r="B61" s="35" t="s">
        <v>12</v>
      </c>
      <c r="C61" s="6">
        <f t="shared" ref="C61:I61" si="15">SUM(C49:C60)</f>
        <v>138.04035840954688</v>
      </c>
      <c r="D61" s="6">
        <f t="shared" si="15"/>
        <v>225.94665077769787</v>
      </c>
      <c r="E61" s="6">
        <f t="shared" si="15"/>
        <v>1</v>
      </c>
      <c r="F61" s="6">
        <f t="shared" si="15"/>
        <v>1.0000000000000002</v>
      </c>
      <c r="G61" s="6">
        <f t="shared" si="15"/>
        <v>1.5349532635611716</v>
      </c>
      <c r="H61" s="6">
        <f t="shared" si="15"/>
        <v>7.4188133433443646</v>
      </c>
      <c r="I61" s="106">
        <f t="shared" si="15"/>
        <v>0.11363884757323835</v>
      </c>
      <c r="J61" s="28"/>
    </row>
    <row r="62" spans="1:10" ht="12.75" customHeight="1" thickBot="1" x14ac:dyDescent="0.3">
      <c r="B62" s="4"/>
      <c r="C62" s="4"/>
      <c r="D62" s="4"/>
      <c r="E62" s="50"/>
      <c r="F62" s="50"/>
      <c r="G62" s="50"/>
      <c r="H62" s="53"/>
      <c r="I62" s="53"/>
      <c r="J62" s="9"/>
    </row>
    <row r="63" spans="1:10" ht="12.75" customHeight="1" thickBot="1" x14ac:dyDescent="0.3">
      <c r="B63" s="4"/>
      <c r="C63" s="4"/>
      <c r="D63" s="4"/>
      <c r="E63" s="50"/>
      <c r="F63" s="50"/>
      <c r="G63" s="55"/>
      <c r="H63" s="56" t="s">
        <v>29</v>
      </c>
      <c r="I63" s="52">
        <f>1-(2*I61)</f>
        <v>0.77272230485352333</v>
      </c>
      <c r="J63" s="9"/>
    </row>
    <row r="64" spans="1:10" ht="12.75" customHeight="1" x14ac:dyDescent="0.25"/>
    <row r="65" spans="2:14" ht="12.75" customHeight="1" x14ac:dyDescent="0.25"/>
    <row r="66" spans="2:14" ht="12.75" customHeight="1" x14ac:dyDescent="0.25"/>
    <row r="67" spans="2:14" ht="12.75" customHeight="1" x14ac:dyDescent="0.25"/>
    <row r="68" spans="2:14" ht="16.2" thickBot="1" x14ac:dyDescent="0.35">
      <c r="B68" s="256" t="s">
        <v>98</v>
      </c>
      <c r="C68" s="256"/>
      <c r="D68" s="256"/>
      <c r="E68" s="256"/>
      <c r="F68" s="256"/>
      <c r="G68" s="256"/>
      <c r="H68" s="256"/>
      <c r="I68" s="256"/>
    </row>
    <row r="69" spans="2:14" ht="37.200000000000003" customHeight="1" thickBot="1" x14ac:dyDescent="0.3">
      <c r="B69" s="36" t="s">
        <v>19</v>
      </c>
      <c r="C69" s="37" t="s">
        <v>93</v>
      </c>
      <c r="D69" s="37" t="s">
        <v>41</v>
      </c>
      <c r="E69" s="37" t="s">
        <v>91</v>
      </c>
      <c r="F69" s="37" t="s">
        <v>16</v>
      </c>
      <c r="G69" s="37" t="s">
        <v>92</v>
      </c>
      <c r="H69" s="37" t="s">
        <v>116</v>
      </c>
      <c r="I69" s="37" t="s">
        <v>20</v>
      </c>
      <c r="J69" s="8"/>
      <c r="K69" s="8"/>
      <c r="L69" s="8"/>
      <c r="M69" s="8"/>
      <c r="N69" s="8"/>
    </row>
    <row r="70" spans="2:14" ht="12.75" customHeight="1" x14ac:dyDescent="0.25">
      <c r="B70" s="4"/>
      <c r="C70" s="26">
        <v>0</v>
      </c>
      <c r="D70" s="26">
        <v>0</v>
      </c>
      <c r="E70" s="49">
        <f t="shared" ref="E70:E81" si="16">C70/$C$82</f>
        <v>0</v>
      </c>
      <c r="F70" s="49">
        <v>0</v>
      </c>
      <c r="G70" s="49">
        <v>0</v>
      </c>
      <c r="H70" s="50">
        <f>F70</f>
        <v>0</v>
      </c>
      <c r="I70" s="49">
        <v>0</v>
      </c>
    </row>
    <row r="71" spans="2:14" ht="12.75" customHeight="1" x14ac:dyDescent="0.25">
      <c r="B71" s="82" t="s">
        <v>195</v>
      </c>
      <c r="C71" s="29">
        <v>4.4267135247947871E-3</v>
      </c>
      <c r="D71" s="29">
        <v>3.1105895851824568</v>
      </c>
      <c r="E71" s="49">
        <f t="shared" si="16"/>
        <v>1.5995908765297303E-5</v>
      </c>
      <c r="F71" s="49">
        <f t="shared" ref="F71:F81" si="17">D71/$D$82</f>
        <v>1.3766920529584977E-2</v>
      </c>
      <c r="G71" s="49">
        <f t="shared" ref="G71:G81" si="18">G70+E71</f>
        <v>1.5995908765297303E-5</v>
      </c>
      <c r="H71" s="50">
        <f t="shared" ref="H71:H81" si="19">F71+H70</f>
        <v>1.3766920529584977E-2</v>
      </c>
      <c r="I71" s="49">
        <f t="shared" ref="I71:I81" si="20">(G70+G71)*0.5*(H71-H70)</f>
        <v>1.1010720238516986E-7</v>
      </c>
    </row>
    <row r="72" spans="2:14" ht="12.75" customHeight="1" x14ac:dyDescent="0.25">
      <c r="B72" s="82" t="s">
        <v>3</v>
      </c>
      <c r="C72" s="29">
        <v>0.45743447564730311</v>
      </c>
      <c r="D72" s="29">
        <v>1.1696643749086759</v>
      </c>
      <c r="E72" s="49">
        <f t="shared" si="16"/>
        <v>1.652937353540418E-3</v>
      </c>
      <c r="F72" s="49">
        <f t="shared" si="17"/>
        <v>5.1767280943653968E-3</v>
      </c>
      <c r="G72" s="49">
        <f t="shared" si="18"/>
        <v>1.6689332623057154E-3</v>
      </c>
      <c r="H72" s="50">
        <f t="shared" si="19"/>
        <v>1.8943648623950374E-2</v>
      </c>
      <c r="I72" s="49">
        <f t="shared" si="20"/>
        <v>4.3612100884495568E-6</v>
      </c>
    </row>
    <row r="73" spans="2:14" ht="12.75" customHeight="1" x14ac:dyDescent="0.25">
      <c r="B73" s="82" t="s">
        <v>1</v>
      </c>
      <c r="C73" s="29">
        <v>2.8482081257467033</v>
      </c>
      <c r="D73" s="29">
        <v>4.9757543348031366</v>
      </c>
      <c r="E73" s="49">
        <f t="shared" si="16"/>
        <v>1.0291986836020688E-2</v>
      </c>
      <c r="F73" s="49">
        <f t="shared" si="17"/>
        <v>2.2021810536588263E-2</v>
      </c>
      <c r="G73" s="49">
        <f t="shared" si="18"/>
        <v>1.1960920098326402E-2</v>
      </c>
      <c r="H73" s="50">
        <f t="shared" si="19"/>
        <v>4.0965459160538634E-2</v>
      </c>
      <c r="I73" s="49">
        <f t="shared" si="20"/>
        <v>1.5007702417466065E-4</v>
      </c>
    </row>
    <row r="74" spans="2:14" ht="12.75" customHeight="1" x14ac:dyDescent="0.25">
      <c r="B74" s="111" t="s">
        <v>6</v>
      </c>
      <c r="C74" s="29">
        <v>5.7083911264401186</v>
      </c>
      <c r="D74" s="29">
        <v>9.5603114874115178</v>
      </c>
      <c r="E74" s="49">
        <f t="shared" si="16"/>
        <v>2.0627244827053002E-2</v>
      </c>
      <c r="F74" s="49">
        <f t="shared" si="17"/>
        <v>4.2312251385472489E-2</v>
      </c>
      <c r="G74" s="49">
        <f t="shared" si="18"/>
        <v>3.2588164925379401E-2</v>
      </c>
      <c r="H74" s="50">
        <f t="shared" si="19"/>
        <v>8.327771054601113E-2</v>
      </c>
      <c r="I74" s="49">
        <f t="shared" si="20"/>
        <v>9.4248604225791394E-4</v>
      </c>
    </row>
    <row r="75" spans="2:14" ht="12.75" customHeight="1" x14ac:dyDescent="0.25">
      <c r="B75" s="82" t="s">
        <v>5</v>
      </c>
      <c r="C75" s="29">
        <v>15.369887542025644</v>
      </c>
      <c r="D75" s="29">
        <v>16.86054974048762</v>
      </c>
      <c r="E75" s="49">
        <f t="shared" si="16"/>
        <v>5.5539017259202267E-2</v>
      </c>
      <c r="F75" s="49">
        <f t="shared" si="17"/>
        <v>7.4621817506275875E-2</v>
      </c>
      <c r="G75" s="49">
        <f t="shared" si="18"/>
        <v>8.8127182184581668E-2</v>
      </c>
      <c r="H75" s="50">
        <f t="shared" si="19"/>
        <v>0.15789952805228702</v>
      </c>
      <c r="I75" s="49">
        <f t="shared" si="20"/>
        <v>4.5039993011231315E-3</v>
      </c>
    </row>
    <row r="76" spans="2:14" ht="12.75" customHeight="1" x14ac:dyDescent="0.25">
      <c r="B76" s="111" t="s">
        <v>10</v>
      </c>
      <c r="C76" s="29">
        <v>21.1</v>
      </c>
      <c r="D76" s="29">
        <v>33.351521035795983</v>
      </c>
      <c r="E76" s="49">
        <f t="shared" si="16"/>
        <v>7.6244752016885825E-2</v>
      </c>
      <c r="F76" s="49">
        <f t="shared" si="17"/>
        <v>0.14760794603948141</v>
      </c>
      <c r="G76" s="49">
        <f t="shared" si="18"/>
        <v>0.16437193420146751</v>
      </c>
      <c r="H76" s="50">
        <f t="shared" si="19"/>
        <v>0.30550747409176843</v>
      </c>
      <c r="I76" s="49">
        <f t="shared" si="20"/>
        <v>1.8635437973264342E-2</v>
      </c>
    </row>
    <row r="77" spans="2:14" ht="12.75" customHeight="1" x14ac:dyDescent="0.25">
      <c r="B77" s="82" t="s">
        <v>8</v>
      </c>
      <c r="C77" s="29">
        <v>23.5</v>
      </c>
      <c r="D77" s="29">
        <v>10.039068649084653</v>
      </c>
      <c r="E77" s="49">
        <f t="shared" si="16"/>
        <v>8.4917140871887051E-2</v>
      </c>
      <c r="F77" s="49">
        <f t="shared" si="17"/>
        <v>4.4431146089267723E-2</v>
      </c>
      <c r="G77" s="49">
        <f t="shared" si="18"/>
        <v>0.24928907507335457</v>
      </c>
      <c r="H77" s="50">
        <f t="shared" si="19"/>
        <v>0.34993862018103616</v>
      </c>
      <c r="I77" s="49">
        <f t="shared" si="20"/>
        <v>9.1897163672617788E-3</v>
      </c>
    </row>
    <row r="78" spans="2:14" ht="12.75" customHeight="1" x14ac:dyDescent="0.25">
      <c r="B78" s="82" t="s">
        <v>9</v>
      </c>
      <c r="C78" s="29">
        <v>24.613443607903758</v>
      </c>
      <c r="D78" s="29">
        <v>9.7673050641508965</v>
      </c>
      <c r="E78" s="49">
        <f t="shared" si="16"/>
        <v>8.8940564178494094E-2</v>
      </c>
      <c r="F78" s="49">
        <f t="shared" si="17"/>
        <v>4.322836842472453E-2</v>
      </c>
      <c r="G78" s="49">
        <f t="shared" si="18"/>
        <v>0.33822963925184868</v>
      </c>
      <c r="H78" s="50">
        <f t="shared" si="19"/>
        <v>0.39316698860576071</v>
      </c>
      <c r="I78" s="49">
        <f t="shared" si="20"/>
        <v>1.2698737719635188E-2</v>
      </c>
    </row>
    <row r="79" spans="2:14" ht="12.75" customHeight="1" x14ac:dyDescent="0.25">
      <c r="B79" s="82" t="s">
        <v>7</v>
      </c>
      <c r="C79" s="29">
        <v>33.799999999999997</v>
      </c>
      <c r="D79" s="29">
        <v>31.282876631198732</v>
      </c>
      <c r="E79" s="49">
        <f t="shared" si="16"/>
        <v>0.12213614304126731</v>
      </c>
      <c r="F79" s="49">
        <f t="shared" si="17"/>
        <v>0.13845249099079149</v>
      </c>
      <c r="G79" s="49">
        <f t="shared" si="18"/>
        <v>0.46036578229311598</v>
      </c>
      <c r="H79" s="50">
        <f t="shared" si="19"/>
        <v>0.5316194795965522</v>
      </c>
      <c r="I79" s="49">
        <f t="shared" si="20"/>
        <v>5.5283762703370772E-2</v>
      </c>
    </row>
    <row r="80" spans="2:14" ht="12.75" customHeight="1" x14ac:dyDescent="0.25">
      <c r="B80" s="82" t="s">
        <v>2</v>
      </c>
      <c r="C80" s="29">
        <v>56.5</v>
      </c>
      <c r="D80" s="29">
        <v>73.382151788699886</v>
      </c>
      <c r="E80" s="49">
        <f t="shared" si="16"/>
        <v>0.20416248762815395</v>
      </c>
      <c r="F80" s="49">
        <f t="shared" si="17"/>
        <v>0.32477645291984597</v>
      </c>
      <c r="G80" s="49">
        <f t="shared" si="18"/>
        <v>0.6645282699212699</v>
      </c>
      <c r="H80" s="50">
        <f t="shared" si="19"/>
        <v>0.85639593251639812</v>
      </c>
      <c r="I80" s="49">
        <f t="shared" si="20"/>
        <v>0.1826695500944101</v>
      </c>
    </row>
    <row r="81" spans="1:14" ht="12.75" customHeight="1" thickBot="1" x14ac:dyDescent="0.3">
      <c r="B81" s="86" t="s">
        <v>4</v>
      </c>
      <c r="C81" s="32">
        <v>92.838566818258556</v>
      </c>
      <c r="D81" s="32">
        <v>32.446858085974341</v>
      </c>
      <c r="E81" s="51">
        <f t="shared" si="16"/>
        <v>0.33547173007873021</v>
      </c>
      <c r="F81" s="51">
        <f t="shared" si="17"/>
        <v>0.1436040674836018</v>
      </c>
      <c r="G81" s="51">
        <f t="shared" si="18"/>
        <v>1</v>
      </c>
      <c r="H81" s="52">
        <f t="shared" si="19"/>
        <v>0.99999999999999989</v>
      </c>
      <c r="I81" s="51">
        <f t="shared" si="20"/>
        <v>0.11951651500106848</v>
      </c>
    </row>
    <row r="82" spans="1:14" ht="12.75" customHeight="1" thickBot="1" x14ac:dyDescent="0.3">
      <c r="B82" s="38" t="s">
        <v>12</v>
      </c>
      <c r="C82" s="32">
        <f>SUM(C70:C81)</f>
        <v>276.74035840954684</v>
      </c>
      <c r="D82" s="32">
        <f>SUM(D70:D81)</f>
        <v>225.94665077769793</v>
      </c>
      <c r="E82" s="51">
        <f>SUM(E71:E81)</f>
        <v>1</v>
      </c>
      <c r="F82" s="51">
        <f>SUM(F71:F81)</f>
        <v>0.99999999999999989</v>
      </c>
      <c r="G82" s="52"/>
      <c r="H82" s="52"/>
      <c r="I82" s="51">
        <f>SUM(I70:I81)</f>
        <v>0.40359475354385715</v>
      </c>
    </row>
    <row r="83" spans="1:14" ht="12.75" customHeight="1" thickBot="1" x14ac:dyDescent="0.3">
      <c r="B83" s="47"/>
      <c r="C83" s="29"/>
      <c r="D83" s="29"/>
      <c r="E83" s="26"/>
      <c r="F83" s="27"/>
      <c r="G83" s="4"/>
      <c r="H83" s="40"/>
      <c r="I83" s="34"/>
    </row>
    <row r="84" spans="1:14" ht="12.75" customHeight="1" thickBot="1" x14ac:dyDescent="0.3">
      <c r="B84" s="4"/>
      <c r="C84" s="4"/>
      <c r="D84" s="4"/>
      <c r="E84" s="4"/>
      <c r="F84" s="4"/>
      <c r="G84" s="5"/>
      <c r="H84" s="48" t="s">
        <v>37</v>
      </c>
      <c r="I84" s="61">
        <f>1-(2*I82)</f>
        <v>0.19281049291228569</v>
      </c>
    </row>
    <row r="85" spans="1:14" ht="12.75" customHeight="1" x14ac:dyDescent="0.25">
      <c r="B85" s="4"/>
      <c r="C85" s="4"/>
      <c r="D85" s="4"/>
      <c r="E85" s="4"/>
      <c r="F85" s="4"/>
      <c r="G85" s="5"/>
      <c r="H85" s="107"/>
      <c r="I85" s="108"/>
    </row>
    <row r="86" spans="1:14" ht="12.75" customHeight="1" x14ac:dyDescent="0.25">
      <c r="B86" s="4"/>
      <c r="C86" s="4"/>
      <c r="D86" s="4"/>
      <c r="E86" s="4"/>
      <c r="F86" s="4"/>
      <c r="G86" s="5"/>
      <c r="H86" s="107"/>
      <c r="I86" s="108"/>
    </row>
    <row r="87" spans="1:14" ht="12.75" customHeight="1" x14ac:dyDescent="0.25"/>
    <row r="88" spans="1:14" ht="12.75" customHeight="1" x14ac:dyDescent="0.25"/>
    <row r="89" spans="1:14" ht="23.55" customHeight="1" x14ac:dyDescent="0.25">
      <c r="A89" s="252" t="s">
        <v>113</v>
      </c>
      <c r="B89" s="252"/>
      <c r="C89" s="252"/>
      <c r="D89" s="252"/>
      <c r="E89" s="252"/>
      <c r="F89" s="252"/>
    </row>
    <row r="90" spans="1:14" ht="12.75" customHeight="1" x14ac:dyDescent="0.25">
      <c r="D90" s="1"/>
    </row>
    <row r="91" spans="1:14" ht="12.75" customHeight="1" x14ac:dyDescent="0.25"/>
    <row r="92" spans="1:14" ht="16.2" thickBot="1" x14ac:dyDescent="0.35">
      <c r="B92" s="256" t="s">
        <v>99</v>
      </c>
      <c r="C92" s="256"/>
      <c r="D92" s="256"/>
      <c r="E92" s="256"/>
      <c r="F92" s="256"/>
      <c r="G92" s="256"/>
      <c r="H92" s="256"/>
      <c r="I92" s="256"/>
    </row>
    <row r="93" spans="1:14" ht="27" thickBot="1" x14ac:dyDescent="0.3">
      <c r="A93" s="8"/>
      <c r="B93" s="36" t="s">
        <v>19</v>
      </c>
      <c r="C93" s="37" t="s">
        <v>42</v>
      </c>
      <c r="D93" s="37" t="s">
        <v>44</v>
      </c>
      <c r="E93" s="37" t="s">
        <v>27</v>
      </c>
      <c r="F93" s="37" t="s">
        <v>21</v>
      </c>
      <c r="G93" s="37" t="s">
        <v>28</v>
      </c>
      <c r="H93" s="37" t="s">
        <v>117</v>
      </c>
      <c r="I93" s="37" t="s">
        <v>20</v>
      </c>
      <c r="J93" s="8"/>
      <c r="K93" s="8"/>
      <c r="L93" s="8"/>
      <c r="M93" s="8"/>
      <c r="N93" s="8"/>
    </row>
    <row r="94" spans="1:14" ht="12.75" customHeight="1" x14ac:dyDescent="0.25">
      <c r="B94" s="4"/>
      <c r="C94" s="26">
        <v>0</v>
      </c>
      <c r="D94" s="26">
        <v>0</v>
      </c>
      <c r="E94" s="49">
        <v>0</v>
      </c>
      <c r="F94" s="49">
        <v>0</v>
      </c>
      <c r="G94" s="49">
        <v>0</v>
      </c>
      <c r="H94" s="50">
        <f>F94</f>
        <v>0</v>
      </c>
      <c r="I94" s="49">
        <v>0</v>
      </c>
    </row>
    <row r="95" spans="1:14" ht="12.75" customHeight="1" x14ac:dyDescent="0.25">
      <c r="B95" s="82" t="s">
        <v>2</v>
      </c>
      <c r="C95" s="29">
        <v>2.9665622667677747</v>
      </c>
      <c r="D95" s="29">
        <v>33738.127951375733</v>
      </c>
      <c r="E95" s="49">
        <f t="shared" ref="E95:E105" si="21">C95/$C$106</f>
        <v>1.4667449147965441E-3</v>
      </c>
      <c r="F95" s="49">
        <f t="shared" ref="F95:F105" si="22">D95/$D$106</f>
        <v>6.1580410728501248E-2</v>
      </c>
      <c r="G95" s="49">
        <f t="shared" ref="G95:G105" si="23">G94+E95</f>
        <v>1.4667449147965441E-3</v>
      </c>
      <c r="H95" s="50">
        <f t="shared" ref="H95:H105" si="24">F95+H94</f>
        <v>6.1580410728501248E-2</v>
      </c>
      <c r="I95" s="49">
        <f t="shared" ref="I95:I105" si="25">(G94+G95)*0.5*(H95-H94)</f>
        <v>4.5161377143555877E-5</v>
      </c>
    </row>
    <row r="96" spans="1:14" ht="12.75" customHeight="1" x14ac:dyDescent="0.25">
      <c r="B96" s="82" t="s">
        <v>3</v>
      </c>
      <c r="C96" s="29">
        <v>11.346117940002056</v>
      </c>
      <c r="D96" s="29">
        <v>4739.5256339269945</v>
      </c>
      <c r="E96" s="49">
        <f t="shared" si="21"/>
        <v>5.6098134118425357E-3</v>
      </c>
      <c r="F96" s="49">
        <f t="shared" si="22"/>
        <v>8.6508040877704764E-3</v>
      </c>
      <c r="G96" s="49">
        <f t="shared" si="23"/>
        <v>7.0765583266390797E-3</v>
      </c>
      <c r="H96" s="50">
        <f t="shared" si="24"/>
        <v>7.0231214816271731E-2</v>
      </c>
      <c r="I96" s="49">
        <f t="shared" si="25"/>
        <v>3.6953221302037056E-5</v>
      </c>
    </row>
    <row r="97" spans="2:9" ht="12.75" customHeight="1" x14ac:dyDescent="0.25">
      <c r="B97" s="82" t="s">
        <v>1</v>
      </c>
      <c r="C97" s="29">
        <v>17.511417826213687</v>
      </c>
      <c r="D97" s="29">
        <v>7498.2226388555227</v>
      </c>
      <c r="E97" s="49">
        <f t="shared" si="21"/>
        <v>8.6580967253592819E-3</v>
      </c>
      <c r="F97" s="49">
        <f t="shared" si="22"/>
        <v>1.3686107021111144E-2</v>
      </c>
      <c r="G97" s="49">
        <f t="shared" si="23"/>
        <v>1.5734655051998361E-2</v>
      </c>
      <c r="H97" s="50">
        <f t="shared" si="24"/>
        <v>8.3917321837382874E-2</v>
      </c>
      <c r="I97" s="49">
        <f t="shared" si="25"/>
        <v>1.5609835379071718E-4</v>
      </c>
    </row>
    <row r="98" spans="2:9" ht="12.75" customHeight="1" x14ac:dyDescent="0.25">
      <c r="B98" s="111" t="s">
        <v>6</v>
      </c>
      <c r="C98" s="29">
        <v>23.334648738799025</v>
      </c>
      <c r="D98" s="29">
        <v>12709.055149886017</v>
      </c>
      <c r="E98" s="49">
        <f t="shared" si="21"/>
        <v>1.1537252313765879E-2</v>
      </c>
      <c r="F98" s="49">
        <f t="shared" si="22"/>
        <v>2.3197162487174745E-2</v>
      </c>
      <c r="G98" s="49">
        <f t="shared" si="23"/>
        <v>2.727190736576424E-2</v>
      </c>
      <c r="H98" s="50">
        <f t="shared" si="24"/>
        <v>0.10711448432455761</v>
      </c>
      <c r="I98" s="49">
        <f t="shared" si="25"/>
        <v>4.9881510820983074E-4</v>
      </c>
    </row>
    <row r="99" spans="2:9" ht="12.75" customHeight="1" x14ac:dyDescent="0.25">
      <c r="B99" s="82" t="s">
        <v>195</v>
      </c>
      <c r="C99" s="29">
        <v>25.735679786065873</v>
      </c>
      <c r="D99" s="29">
        <v>4549.0211045835586</v>
      </c>
      <c r="E99" s="49">
        <f t="shared" si="21"/>
        <v>1.2724384004308262E-2</v>
      </c>
      <c r="F99" s="49">
        <f t="shared" si="22"/>
        <v>8.3030863015460567E-3</v>
      </c>
      <c r="G99" s="49">
        <f t="shared" si="23"/>
        <v>3.9996291370072504E-2</v>
      </c>
      <c r="H99" s="50">
        <f t="shared" si="24"/>
        <v>0.11541757062610367</v>
      </c>
      <c r="I99" s="49">
        <f t="shared" si="25"/>
        <v>2.7926682972660179E-4</v>
      </c>
    </row>
    <row r="100" spans="2:9" ht="12.75" customHeight="1" x14ac:dyDescent="0.25">
      <c r="B100" s="82" t="s">
        <v>5</v>
      </c>
      <c r="C100" s="29">
        <v>77.23342386103532</v>
      </c>
      <c r="D100" s="29">
        <v>34543.134541376516</v>
      </c>
      <c r="E100" s="49">
        <f t="shared" si="21"/>
        <v>3.8186197191783879E-2</v>
      </c>
      <c r="F100" s="49">
        <f t="shared" si="22"/>
        <v>6.3049746446323052E-2</v>
      </c>
      <c r="G100" s="49">
        <f t="shared" si="23"/>
        <v>7.8182488561856389E-2</v>
      </c>
      <c r="H100" s="50">
        <f t="shared" si="24"/>
        <v>0.17846731707242672</v>
      </c>
      <c r="I100" s="49">
        <f t="shared" si="25"/>
        <v>3.725571055021964E-3</v>
      </c>
    </row>
    <row r="101" spans="2:9" ht="12.75" customHeight="1" x14ac:dyDescent="0.25">
      <c r="B101" s="82" t="s">
        <v>9</v>
      </c>
      <c r="C101" s="29">
        <v>136.50672876525519</v>
      </c>
      <c r="D101" s="29">
        <v>43226.930239887697</v>
      </c>
      <c r="E101" s="49">
        <f t="shared" si="21"/>
        <v>6.7492448243838807E-2</v>
      </c>
      <c r="F101" s="49">
        <f t="shared" si="22"/>
        <v>7.8899816923481969E-2</v>
      </c>
      <c r="G101" s="49">
        <f t="shared" si="23"/>
        <v>0.14567493680569521</v>
      </c>
      <c r="H101" s="50">
        <f t="shared" si="24"/>
        <v>0.25736713399590871</v>
      </c>
      <c r="I101" s="49">
        <f t="shared" si="25"/>
        <v>8.8311549392309282E-3</v>
      </c>
    </row>
    <row r="102" spans="2:9" ht="12.75" customHeight="1" x14ac:dyDescent="0.25">
      <c r="B102" s="111" t="s">
        <v>10</v>
      </c>
      <c r="C102" s="29">
        <v>292.00394015096231</v>
      </c>
      <c r="D102" s="29">
        <v>69411.089457609574</v>
      </c>
      <c r="E102" s="49">
        <f t="shared" si="21"/>
        <v>0.14437428100359026</v>
      </c>
      <c r="F102" s="49">
        <f t="shared" si="22"/>
        <v>0.12669237024865945</v>
      </c>
      <c r="G102" s="49">
        <f t="shared" si="23"/>
        <v>0.2900492178092855</v>
      </c>
      <c r="H102" s="50">
        <f t="shared" si="24"/>
        <v>0.38405950424456814</v>
      </c>
      <c r="I102" s="49">
        <f t="shared" si="25"/>
        <v>2.760146296138263E-2</v>
      </c>
    </row>
    <row r="103" spans="2:9" ht="12.75" customHeight="1" x14ac:dyDescent="0.25">
      <c r="B103" s="82" t="s">
        <v>7</v>
      </c>
      <c r="C103" s="29">
        <v>335.61572301246139</v>
      </c>
      <c r="D103" s="29">
        <v>179268.67227891536</v>
      </c>
      <c r="E103" s="49">
        <f t="shared" si="21"/>
        <v>0.16593707152846626</v>
      </c>
      <c r="F103" s="49">
        <f t="shared" si="22"/>
        <v>0.327209573856588</v>
      </c>
      <c r="G103" s="49">
        <f t="shared" si="23"/>
        <v>0.45598628933775176</v>
      </c>
      <c r="H103" s="50">
        <f t="shared" si="24"/>
        <v>0.71126907810115614</v>
      </c>
      <c r="I103" s="49">
        <f t="shared" si="25"/>
        <v>0.12205498018773278</v>
      </c>
    </row>
    <row r="104" spans="2:9" ht="12.75" customHeight="1" x14ac:dyDescent="0.25">
      <c r="B104" s="82" t="s">
        <v>4</v>
      </c>
      <c r="C104" s="29">
        <v>441.48024978528468</v>
      </c>
      <c r="D104" s="29">
        <v>149774.72401466093</v>
      </c>
      <c r="E104" s="49">
        <f t="shared" si="21"/>
        <v>0.21827922461280477</v>
      </c>
      <c r="F104" s="49">
        <f t="shared" si="22"/>
        <v>0.273375838602054</v>
      </c>
      <c r="G104" s="49">
        <f t="shared" si="23"/>
        <v>0.67426551395055656</v>
      </c>
      <c r="H104" s="50">
        <f t="shared" si="24"/>
        <v>0.98464491670321008</v>
      </c>
      <c r="I104" s="49">
        <f t="shared" si="25"/>
        <v>0.15449176727771249</v>
      </c>
    </row>
    <row r="105" spans="2:9" ht="12.75" customHeight="1" thickBot="1" x14ac:dyDescent="0.3">
      <c r="B105" s="86" t="s">
        <v>8</v>
      </c>
      <c r="C105" s="32">
        <v>658.81369388167457</v>
      </c>
      <c r="D105" s="32">
        <v>8412.6065227973904</v>
      </c>
      <c r="E105" s="51">
        <f t="shared" si="21"/>
        <v>0.32573448604944349</v>
      </c>
      <c r="F105" s="51">
        <f t="shared" si="22"/>
        <v>1.5355083296789959E-2</v>
      </c>
      <c r="G105" s="51">
        <f t="shared" si="23"/>
        <v>1</v>
      </c>
      <c r="H105" s="52">
        <f t="shared" si="24"/>
        <v>1</v>
      </c>
      <c r="I105" s="51">
        <f t="shared" si="25"/>
        <v>1.2854243213826787E-2</v>
      </c>
    </row>
    <row r="106" spans="2:9" ht="12.75" customHeight="1" thickBot="1" x14ac:dyDescent="0.3">
      <c r="B106" s="38" t="s">
        <v>12</v>
      </c>
      <c r="C106" s="32">
        <f>SUM(C95:C105)</f>
        <v>2022.5481860145219</v>
      </c>
      <c r="D106" s="32">
        <f>SUM(D94:D105)</f>
        <v>547871.10953387525</v>
      </c>
      <c r="E106" s="39">
        <f>SUM(E95:E105)</f>
        <v>1</v>
      </c>
      <c r="F106" s="33">
        <f>SUM(F95:F105)</f>
        <v>1</v>
      </c>
      <c r="G106" s="40"/>
      <c r="H106" s="40"/>
      <c r="I106" s="51">
        <f>SUM(I94:I105)</f>
        <v>0.33057547452508029</v>
      </c>
    </row>
    <row r="107" spans="2:9" ht="12.75" customHeight="1" thickBot="1" x14ac:dyDescent="0.3">
      <c r="B107" s="4"/>
      <c r="C107" s="4"/>
      <c r="D107" s="4"/>
      <c r="E107" s="4"/>
      <c r="F107" s="4"/>
      <c r="G107" s="4"/>
      <c r="H107" s="7"/>
      <c r="I107" s="53"/>
    </row>
    <row r="108" spans="2:9" ht="12.75" customHeight="1" thickBot="1" x14ac:dyDescent="0.3">
      <c r="B108" s="4"/>
      <c r="C108" s="4"/>
      <c r="D108" s="4"/>
      <c r="E108" s="4"/>
      <c r="F108" s="4"/>
      <c r="G108" s="5"/>
      <c r="H108" s="24" t="s">
        <v>29</v>
      </c>
      <c r="I108" s="52">
        <f>1-(2*I106)</f>
        <v>0.33884905094983941</v>
      </c>
    </row>
    <row r="109" spans="2:9" ht="12.75" customHeight="1" x14ac:dyDescent="0.25"/>
    <row r="110" spans="2:9" ht="12.75" customHeight="1" x14ac:dyDescent="0.25"/>
    <row r="111" spans="2:9" ht="12.75" customHeight="1" x14ac:dyDescent="0.25"/>
    <row r="112" spans="2:9" ht="12.75" customHeight="1" x14ac:dyDescent="0.25"/>
    <row r="113" spans="1:14" ht="16.2" thickBot="1" x14ac:dyDescent="0.35">
      <c r="B113" s="256" t="s">
        <v>100</v>
      </c>
      <c r="C113" s="256"/>
      <c r="D113" s="256"/>
      <c r="E113" s="256"/>
      <c r="F113" s="256"/>
      <c r="G113" s="256"/>
      <c r="H113" s="256"/>
      <c r="I113" s="256"/>
    </row>
    <row r="114" spans="1:14" ht="27" thickBot="1" x14ac:dyDescent="0.3">
      <c r="A114" s="8"/>
      <c r="B114" s="30" t="s">
        <v>19</v>
      </c>
      <c r="C114" s="31" t="s">
        <v>43</v>
      </c>
      <c r="D114" s="31" t="s">
        <v>44</v>
      </c>
      <c r="E114" s="31" t="s">
        <v>31</v>
      </c>
      <c r="F114" s="31" t="s">
        <v>21</v>
      </c>
      <c r="G114" s="31" t="s">
        <v>32</v>
      </c>
      <c r="H114" s="31" t="s">
        <v>117</v>
      </c>
      <c r="I114" s="31" t="s">
        <v>20</v>
      </c>
      <c r="J114" s="8"/>
      <c r="K114" s="8"/>
      <c r="L114" s="8"/>
      <c r="M114" s="8"/>
      <c r="N114" s="8"/>
    </row>
    <row r="115" spans="1:14" ht="12.75" customHeight="1" x14ac:dyDescent="0.25">
      <c r="B115" s="4"/>
      <c r="C115" s="26">
        <v>0</v>
      </c>
      <c r="D115" s="26">
        <v>0</v>
      </c>
      <c r="E115" s="49">
        <f t="shared" ref="E115:E126" si="26">C115/$C$127</f>
        <v>0</v>
      </c>
      <c r="F115" s="49">
        <v>0</v>
      </c>
      <c r="G115" s="49">
        <v>0</v>
      </c>
      <c r="H115" s="50">
        <f>F115</f>
        <v>0</v>
      </c>
      <c r="I115" s="49">
        <v>0</v>
      </c>
    </row>
    <row r="116" spans="1:14" ht="12.75" customHeight="1" x14ac:dyDescent="0.25">
      <c r="B116" s="82" t="s">
        <v>3</v>
      </c>
      <c r="C116" s="29">
        <v>10.93665848659211</v>
      </c>
      <c r="D116" s="29">
        <v>4739.5256339269945</v>
      </c>
      <c r="E116" s="49">
        <f t="shared" si="26"/>
        <v>5.1986633605847219E-3</v>
      </c>
      <c r="F116" s="49">
        <f t="shared" ref="F116:F126" si="27">D116/$D$127</f>
        <v>8.6508040877704764E-3</v>
      </c>
      <c r="G116" s="49">
        <f t="shared" ref="G116:G126" si="28">G115+E116</f>
        <v>5.1986633605847219E-3</v>
      </c>
      <c r="H116" s="50">
        <f t="shared" ref="H116:H126" si="29">F116+H115</f>
        <v>8.6508040877704764E-3</v>
      </c>
      <c r="I116" s="49">
        <f t="shared" ref="I116:I126" si="30">(G115+G116)*0.5*(H116-H115)</f>
        <v>2.2486309125344457E-5</v>
      </c>
    </row>
    <row r="117" spans="1:14" ht="12.75" customHeight="1" x14ac:dyDescent="0.25">
      <c r="B117" s="82" t="s">
        <v>1</v>
      </c>
      <c r="C117" s="29">
        <v>14.686677411069958</v>
      </c>
      <c r="D117" s="29">
        <v>7498.2226388555227</v>
      </c>
      <c r="E117" s="49">
        <f t="shared" si="26"/>
        <v>6.981208368100727E-3</v>
      </c>
      <c r="F117" s="49">
        <f t="shared" si="27"/>
        <v>1.3686107021111144E-2</v>
      </c>
      <c r="G117" s="49">
        <f t="shared" si="28"/>
        <v>1.2179871728685449E-2</v>
      </c>
      <c r="H117" s="50">
        <f t="shared" si="29"/>
        <v>2.233691110888162E-2</v>
      </c>
      <c r="I117" s="49">
        <f t="shared" si="30"/>
        <v>1.1892224555094344E-4</v>
      </c>
    </row>
    <row r="118" spans="1:14" ht="12.75" customHeight="1" x14ac:dyDescent="0.25">
      <c r="B118" s="111" t="s">
        <v>6</v>
      </c>
      <c r="C118" s="29">
        <v>21.495318730714615</v>
      </c>
      <c r="D118" s="29">
        <v>12709.055149886017</v>
      </c>
      <c r="E118" s="49">
        <f t="shared" si="26"/>
        <v>1.021764792659967E-2</v>
      </c>
      <c r="F118" s="49">
        <f t="shared" si="27"/>
        <v>2.3197162487174745E-2</v>
      </c>
      <c r="G118" s="49">
        <f t="shared" si="28"/>
        <v>2.2397519655285119E-2</v>
      </c>
      <c r="H118" s="50">
        <f t="shared" si="29"/>
        <v>4.5534073596056365E-2</v>
      </c>
      <c r="I118" s="49">
        <f t="shared" si="30"/>
        <v>4.0104868315830069E-4</v>
      </c>
    </row>
    <row r="119" spans="1:14" ht="12.75" customHeight="1" x14ac:dyDescent="0.25">
      <c r="B119" s="82" t="s">
        <v>195</v>
      </c>
      <c r="C119" s="29">
        <v>25.8803296101798</v>
      </c>
      <c r="D119" s="29">
        <v>4549.0211045835586</v>
      </c>
      <c r="E119" s="49">
        <f t="shared" si="26"/>
        <v>1.2302031874657317E-2</v>
      </c>
      <c r="F119" s="49">
        <f t="shared" si="27"/>
        <v>8.3030863015460567E-3</v>
      </c>
      <c r="G119" s="49">
        <f t="shared" si="28"/>
        <v>3.4699551529942432E-2</v>
      </c>
      <c r="H119" s="50">
        <f t="shared" si="29"/>
        <v>5.3837159897602418E-2</v>
      </c>
      <c r="I119" s="49">
        <f t="shared" si="30"/>
        <v>2.3704095480823139E-4</v>
      </c>
    </row>
    <row r="120" spans="1:14" ht="12.75" customHeight="1" x14ac:dyDescent="0.25">
      <c r="B120" s="82" t="s">
        <v>2</v>
      </c>
      <c r="C120" s="29">
        <v>60.37746401341785</v>
      </c>
      <c r="D120" s="29">
        <v>33738.127951375733</v>
      </c>
      <c r="E120" s="49">
        <f t="shared" si="26"/>
        <v>2.8700001042949671E-2</v>
      </c>
      <c r="F120" s="49">
        <f t="shared" si="27"/>
        <v>6.1580410728501248E-2</v>
      </c>
      <c r="G120" s="49">
        <f t="shared" si="28"/>
        <v>6.3399552572892107E-2</v>
      </c>
      <c r="H120" s="50">
        <f t="shared" si="29"/>
        <v>0.11541757062610367</v>
      </c>
      <c r="I120" s="49">
        <f t="shared" si="30"/>
        <v>3.0204915613752763E-3</v>
      </c>
    </row>
    <row r="121" spans="1:14" ht="12.75" customHeight="1" x14ac:dyDescent="0.25">
      <c r="B121" s="82" t="s">
        <v>5</v>
      </c>
      <c r="C121" s="29">
        <v>62.873233448578979</v>
      </c>
      <c r="D121" s="29">
        <v>34543.134541376516</v>
      </c>
      <c r="E121" s="49">
        <f t="shared" si="26"/>
        <v>2.9886347415102172E-2</v>
      </c>
      <c r="F121" s="49">
        <f t="shared" si="27"/>
        <v>6.3049746446323052E-2</v>
      </c>
      <c r="G121" s="49">
        <f t="shared" si="28"/>
        <v>9.3285899987994275E-2</v>
      </c>
      <c r="H121" s="50">
        <f t="shared" si="29"/>
        <v>0.17846731707242672</v>
      </c>
      <c r="I121" s="49">
        <f t="shared" si="30"/>
        <v>4.9394890278956329E-3</v>
      </c>
    </row>
    <row r="122" spans="1:14" ht="12.75" customHeight="1" x14ac:dyDescent="0.25">
      <c r="B122" s="82" t="s">
        <v>9</v>
      </c>
      <c r="C122" s="29">
        <v>124.60740401154084</v>
      </c>
      <c r="D122" s="29">
        <v>43226.930239887697</v>
      </c>
      <c r="E122" s="49">
        <f t="shared" si="26"/>
        <v>5.9231249333289604E-2</v>
      </c>
      <c r="F122" s="49">
        <f t="shared" si="27"/>
        <v>7.8899816923481969E-2</v>
      </c>
      <c r="G122" s="49">
        <f t="shared" si="28"/>
        <v>0.15251714932128388</v>
      </c>
      <c r="H122" s="50">
        <f t="shared" si="29"/>
        <v>0.25736713399590871</v>
      </c>
      <c r="I122" s="49">
        <f t="shared" si="30"/>
        <v>9.6969077948678324E-3</v>
      </c>
    </row>
    <row r="123" spans="1:14" ht="12.75" customHeight="1" x14ac:dyDescent="0.25">
      <c r="B123" s="111" t="s">
        <v>10</v>
      </c>
      <c r="C123" s="29">
        <v>309.465301544748</v>
      </c>
      <c r="D123" s="29">
        <v>69411.089457609574</v>
      </c>
      <c r="E123" s="49">
        <f t="shared" si="26"/>
        <v>0.14710214518313006</v>
      </c>
      <c r="F123" s="49">
        <f t="shared" si="27"/>
        <v>0.12669237024865945</v>
      </c>
      <c r="G123" s="49">
        <f t="shared" si="28"/>
        <v>0.29961929450441394</v>
      </c>
      <c r="H123" s="50">
        <f t="shared" si="29"/>
        <v>0.38405950424456814</v>
      </c>
      <c r="I123" s="49">
        <f t="shared" si="30"/>
        <v>2.8641118872038757E-2</v>
      </c>
    </row>
    <row r="124" spans="1:14" ht="12.75" customHeight="1" x14ac:dyDescent="0.25">
      <c r="B124" s="82" t="s">
        <v>4</v>
      </c>
      <c r="C124" s="29">
        <v>349.17735064884971</v>
      </c>
      <c r="D124" s="29">
        <v>149774.72401466093</v>
      </c>
      <c r="E124" s="49">
        <f t="shared" si="26"/>
        <v>0.16597898721896151</v>
      </c>
      <c r="F124" s="49">
        <f t="shared" si="27"/>
        <v>0.273375838602054</v>
      </c>
      <c r="G124" s="49">
        <f t="shared" si="28"/>
        <v>0.46559828172337547</v>
      </c>
      <c r="H124" s="50">
        <f t="shared" si="29"/>
        <v>0.65743534284662219</v>
      </c>
      <c r="I124" s="49">
        <f t="shared" si="30"/>
        <v>0.10459599830715158</v>
      </c>
    </row>
    <row r="125" spans="1:14" ht="12.75" customHeight="1" x14ac:dyDescent="0.25">
      <c r="B125" s="82" t="s">
        <v>7</v>
      </c>
      <c r="C125" s="29">
        <v>394.52684671849278</v>
      </c>
      <c r="D125" s="29">
        <v>179268.67227891536</v>
      </c>
      <c r="E125" s="49">
        <f t="shared" si="26"/>
        <v>0.1875355498497927</v>
      </c>
      <c r="F125" s="49">
        <f t="shared" si="27"/>
        <v>0.327209573856588</v>
      </c>
      <c r="G125" s="49">
        <f t="shared" si="28"/>
        <v>0.65313383157316818</v>
      </c>
      <c r="H125" s="50">
        <f t="shared" si="29"/>
        <v>0.98464491670321019</v>
      </c>
      <c r="I125" s="49">
        <f t="shared" si="30"/>
        <v>0.1830299290257211</v>
      </c>
    </row>
    <row r="126" spans="1:14" ht="12.75" customHeight="1" thickBot="1" x14ac:dyDescent="0.3">
      <c r="B126" s="86" t="s">
        <v>8</v>
      </c>
      <c r="C126" s="32">
        <v>729.71772963778074</v>
      </c>
      <c r="D126" s="32">
        <v>8412.6065227973904</v>
      </c>
      <c r="E126" s="51">
        <f t="shared" si="26"/>
        <v>0.34686616842683182</v>
      </c>
      <c r="F126" s="51">
        <f t="shared" si="27"/>
        <v>1.5355083296789959E-2</v>
      </c>
      <c r="G126" s="51">
        <f t="shared" si="28"/>
        <v>1</v>
      </c>
      <c r="H126" s="52">
        <f t="shared" si="29"/>
        <v>1.0000000000000002</v>
      </c>
      <c r="I126" s="51">
        <f t="shared" si="30"/>
        <v>1.2692003842273827E-2</v>
      </c>
    </row>
    <row r="127" spans="1:14" ht="12.75" customHeight="1" thickBot="1" x14ac:dyDescent="0.3">
      <c r="B127" s="38" t="s">
        <v>12</v>
      </c>
      <c r="C127" s="32">
        <f>SUM(C115:C126)</f>
        <v>2103.7443142619654</v>
      </c>
      <c r="D127" s="32">
        <f>SUM(D115:D126)</f>
        <v>547871.10953387525</v>
      </c>
      <c r="E127" s="51">
        <f>SUM(E116:E126)</f>
        <v>1</v>
      </c>
      <c r="F127" s="51">
        <f>SUM(F116:F126)</f>
        <v>1.0000000000000002</v>
      </c>
      <c r="G127" s="52"/>
      <c r="H127" s="52"/>
      <c r="I127" s="51">
        <f>SUM(I115:I126)</f>
        <v>0.34739543662396682</v>
      </c>
    </row>
    <row r="128" spans="1:14" ht="12.75" customHeight="1" thickBot="1" x14ac:dyDescent="0.3">
      <c r="B128" s="4"/>
      <c r="C128" s="4"/>
      <c r="D128" s="4"/>
      <c r="E128" s="50"/>
      <c r="F128" s="50"/>
      <c r="G128" s="50"/>
      <c r="H128" s="53"/>
      <c r="I128" s="53"/>
    </row>
    <row r="129" spans="1:14" ht="12.75" customHeight="1" thickBot="1" x14ac:dyDescent="0.3">
      <c r="B129" s="4"/>
      <c r="C129" s="4"/>
      <c r="D129" s="4"/>
      <c r="E129" s="50"/>
      <c r="F129" s="50"/>
      <c r="G129" s="55"/>
      <c r="H129" s="56" t="s">
        <v>29</v>
      </c>
      <c r="I129" s="52">
        <f>1-(2*I127)</f>
        <v>0.30520912675206635</v>
      </c>
    </row>
    <row r="130" spans="1:14" ht="12.75" customHeight="1" x14ac:dyDescent="0.25"/>
    <row r="131" spans="1:14" ht="12.75" customHeight="1" x14ac:dyDescent="0.25"/>
    <row r="132" spans="1:14" ht="12.75" customHeight="1" x14ac:dyDescent="0.25"/>
    <row r="133" spans="1:14" ht="12.75" customHeight="1" x14ac:dyDescent="0.25"/>
    <row r="134" spans="1:14" ht="16.2" thickBot="1" x14ac:dyDescent="0.35">
      <c r="B134" s="256" t="s">
        <v>105</v>
      </c>
      <c r="C134" s="256"/>
      <c r="D134" s="256"/>
      <c r="E134" s="256"/>
      <c r="F134" s="256"/>
      <c r="G134" s="256"/>
      <c r="H134" s="256"/>
      <c r="I134" s="256"/>
    </row>
    <row r="135" spans="1:14" ht="27" thickBot="1" x14ac:dyDescent="0.3">
      <c r="A135" s="8"/>
      <c r="B135" s="30" t="s">
        <v>19</v>
      </c>
      <c r="C135" s="31" t="s">
        <v>38</v>
      </c>
      <c r="D135" s="31" t="s">
        <v>34</v>
      </c>
      <c r="E135" s="31" t="s">
        <v>15</v>
      </c>
      <c r="F135" s="31" t="s">
        <v>21</v>
      </c>
      <c r="G135" s="31" t="s">
        <v>17</v>
      </c>
      <c r="H135" s="31" t="s">
        <v>117</v>
      </c>
      <c r="I135" s="31" t="s">
        <v>20</v>
      </c>
      <c r="J135" s="8"/>
      <c r="K135" s="8"/>
      <c r="L135" s="8"/>
      <c r="M135" s="8"/>
      <c r="N135" s="8"/>
    </row>
    <row r="136" spans="1:14" ht="12.75" customHeight="1" x14ac:dyDescent="0.25">
      <c r="B136" s="4"/>
      <c r="C136" s="26">
        <v>0</v>
      </c>
      <c r="D136" s="26">
        <v>0</v>
      </c>
      <c r="E136" s="49">
        <v>0</v>
      </c>
      <c r="F136" s="49">
        <v>0</v>
      </c>
      <c r="G136" s="49">
        <v>0</v>
      </c>
      <c r="H136" s="50">
        <f>F136</f>
        <v>0</v>
      </c>
      <c r="I136" s="49">
        <v>0</v>
      </c>
    </row>
    <row r="137" spans="1:14" ht="12.75" customHeight="1" x14ac:dyDescent="0.25">
      <c r="B137" s="82" t="s">
        <v>2</v>
      </c>
      <c r="C137" s="29">
        <v>0</v>
      </c>
      <c r="D137" s="29">
        <v>33738.127951375733</v>
      </c>
      <c r="E137" s="49">
        <f t="shared" ref="E137:E147" si="31">C137/$C$148</f>
        <v>0</v>
      </c>
      <c r="F137" s="49">
        <f t="shared" ref="F137:F147" si="32">D137/$D$148</f>
        <v>6.1580410728501248E-2</v>
      </c>
      <c r="G137" s="49">
        <f t="shared" ref="G137:G147" si="33">G136+E137</f>
        <v>0</v>
      </c>
      <c r="H137" s="50">
        <f t="shared" ref="H137:H147" si="34">F137+H136</f>
        <v>6.1580410728501248E-2</v>
      </c>
      <c r="I137" s="49">
        <f t="shared" ref="I137:I147" si="35">(G136+G137)*0.5*(H137-H136)</f>
        <v>0</v>
      </c>
    </row>
    <row r="138" spans="1:14" ht="12.75" customHeight="1" x14ac:dyDescent="0.25">
      <c r="B138" s="82" t="s">
        <v>7</v>
      </c>
      <c r="C138" s="29">
        <v>0</v>
      </c>
      <c r="D138" s="29">
        <v>179268.67227891536</v>
      </c>
      <c r="E138" s="49">
        <f t="shared" si="31"/>
        <v>0</v>
      </c>
      <c r="F138" s="49">
        <f t="shared" si="32"/>
        <v>0.327209573856588</v>
      </c>
      <c r="G138" s="49">
        <f t="shared" si="33"/>
        <v>0</v>
      </c>
      <c r="H138" s="50">
        <f t="shared" si="34"/>
        <v>0.38878998458508923</v>
      </c>
      <c r="I138" s="49">
        <f t="shared" si="35"/>
        <v>0</v>
      </c>
    </row>
    <row r="139" spans="1:14" ht="12.75" customHeight="1" x14ac:dyDescent="0.25">
      <c r="B139" s="82" t="s">
        <v>8</v>
      </c>
      <c r="C139" s="29">
        <v>0</v>
      </c>
      <c r="D139" s="29">
        <v>8412.6065227973904</v>
      </c>
      <c r="E139" s="49">
        <f t="shared" si="31"/>
        <v>0</v>
      </c>
      <c r="F139" s="49">
        <f t="shared" si="32"/>
        <v>1.5355083296789959E-2</v>
      </c>
      <c r="G139" s="49">
        <f t="shared" si="33"/>
        <v>0</v>
      </c>
      <c r="H139" s="50">
        <f t="shared" si="34"/>
        <v>0.40414506788187921</v>
      </c>
      <c r="I139" s="49">
        <f t="shared" si="35"/>
        <v>0</v>
      </c>
    </row>
    <row r="140" spans="1:14" ht="12.75" customHeight="1" x14ac:dyDescent="0.25">
      <c r="B140" s="111" t="s">
        <v>10</v>
      </c>
      <c r="C140" s="29">
        <v>0</v>
      </c>
      <c r="D140" s="29">
        <v>69411.089457609574</v>
      </c>
      <c r="E140" s="49">
        <f t="shared" si="31"/>
        <v>0</v>
      </c>
      <c r="F140" s="49">
        <f t="shared" si="32"/>
        <v>0.12669237024865945</v>
      </c>
      <c r="G140" s="49">
        <f t="shared" si="33"/>
        <v>0</v>
      </c>
      <c r="H140" s="50">
        <f t="shared" si="34"/>
        <v>0.53083743813053863</v>
      </c>
      <c r="I140" s="49">
        <f t="shared" si="35"/>
        <v>0</v>
      </c>
    </row>
    <row r="141" spans="1:14" ht="12.75" customHeight="1" x14ac:dyDescent="0.25">
      <c r="B141" s="82" t="s">
        <v>195</v>
      </c>
      <c r="C141" s="29">
        <v>4.4267135247947871E-3</v>
      </c>
      <c r="D141" s="29">
        <v>4549.0211045835586</v>
      </c>
      <c r="E141" s="49">
        <f t="shared" si="31"/>
        <v>3.2068255804301324E-5</v>
      </c>
      <c r="F141" s="49">
        <f t="shared" si="32"/>
        <v>8.3030863015460567E-3</v>
      </c>
      <c r="G141" s="49">
        <f t="shared" si="33"/>
        <v>3.2068255804301324E-5</v>
      </c>
      <c r="H141" s="50">
        <f t="shared" si="34"/>
        <v>0.53914052443208471</v>
      </c>
      <c r="I141" s="49">
        <f t="shared" si="35"/>
        <v>1.3313274774158496E-7</v>
      </c>
    </row>
    <row r="142" spans="1:14" ht="12.75" customHeight="1" x14ac:dyDescent="0.25">
      <c r="B142" s="82" t="s">
        <v>3</v>
      </c>
      <c r="C142" s="29">
        <v>0.45743447564730311</v>
      </c>
      <c r="D142" s="29">
        <v>4739.5256339269945</v>
      </c>
      <c r="E142" s="49">
        <f t="shared" si="31"/>
        <v>3.3137734566738627E-3</v>
      </c>
      <c r="F142" s="49">
        <f t="shared" si="32"/>
        <v>8.6508040877704764E-3</v>
      </c>
      <c r="G142" s="49">
        <f t="shared" si="33"/>
        <v>3.3458417124781641E-3</v>
      </c>
      <c r="H142" s="50">
        <f t="shared" si="34"/>
        <v>0.54779132851985524</v>
      </c>
      <c r="I142" s="49">
        <f t="shared" si="35"/>
        <v>1.4610818680869379E-5</v>
      </c>
    </row>
    <row r="143" spans="1:14" ht="12.75" customHeight="1" x14ac:dyDescent="0.25">
      <c r="B143" s="111" t="s">
        <v>6</v>
      </c>
      <c r="C143" s="29">
        <v>1.9083911264401188</v>
      </c>
      <c r="D143" s="29">
        <v>12709.055149886017</v>
      </c>
      <c r="E143" s="49">
        <f t="shared" si="31"/>
        <v>1.3824878089480056E-2</v>
      </c>
      <c r="F143" s="49">
        <f t="shared" si="32"/>
        <v>2.3197162487174745E-2</v>
      </c>
      <c r="G143" s="49">
        <f t="shared" si="33"/>
        <v>1.717071980195822E-2</v>
      </c>
      <c r="H143" s="50">
        <f t="shared" si="34"/>
        <v>0.57098849100702997</v>
      </c>
      <c r="I143" s="49">
        <f t="shared" si="35"/>
        <v>2.3796300556424833E-4</v>
      </c>
    </row>
    <row r="144" spans="1:14" ht="12.75" customHeight="1" x14ac:dyDescent="0.25">
      <c r="B144" s="82" t="s">
        <v>1</v>
      </c>
      <c r="C144" s="29">
        <v>2.8482081257467033</v>
      </c>
      <c r="D144" s="29">
        <v>7498.2226388555227</v>
      </c>
      <c r="E144" s="49">
        <f t="shared" si="31"/>
        <v>2.063315510451269E-2</v>
      </c>
      <c r="F144" s="49">
        <f t="shared" si="32"/>
        <v>1.3686107021111144E-2</v>
      </c>
      <c r="G144" s="49">
        <f t="shared" si="33"/>
        <v>3.7803874906470913E-2</v>
      </c>
      <c r="H144" s="50">
        <f t="shared" si="34"/>
        <v>0.58467459802814115</v>
      </c>
      <c r="I144" s="49">
        <f t="shared" si="35"/>
        <v>3.7619409331088652E-4</v>
      </c>
    </row>
    <row r="145" spans="1:14" ht="12.75" customHeight="1" x14ac:dyDescent="0.25">
      <c r="B145" s="82" t="s">
        <v>5</v>
      </c>
      <c r="C145" s="29">
        <v>15.369887542025644</v>
      </c>
      <c r="D145" s="29">
        <v>34543.134541376516</v>
      </c>
      <c r="E145" s="49">
        <f t="shared" si="31"/>
        <v>0.11134343404430527</v>
      </c>
      <c r="F145" s="49">
        <f t="shared" si="32"/>
        <v>6.3049746446323052E-2</v>
      </c>
      <c r="G145" s="49">
        <f t="shared" si="33"/>
        <v>0.14914730895077619</v>
      </c>
      <c r="H145" s="50">
        <f t="shared" si="34"/>
        <v>0.64772434447446425</v>
      </c>
      <c r="I145" s="49">
        <f t="shared" si="35"/>
        <v>5.8936123700196819E-3</v>
      </c>
    </row>
    <row r="146" spans="1:14" ht="12.75" customHeight="1" x14ac:dyDescent="0.25">
      <c r="B146" s="82" t="s">
        <v>9</v>
      </c>
      <c r="C146" s="29">
        <v>24.613443607903758</v>
      </c>
      <c r="D146" s="29">
        <v>43226.930239887697</v>
      </c>
      <c r="E146" s="49">
        <f t="shared" si="31"/>
        <v>0.17830614098290756</v>
      </c>
      <c r="F146" s="49">
        <f t="shared" si="32"/>
        <v>7.8899816923481969E-2</v>
      </c>
      <c r="G146" s="49">
        <f t="shared" si="33"/>
        <v>0.32745344993368375</v>
      </c>
      <c r="H146" s="50">
        <f t="shared" si="34"/>
        <v>0.72662416139794628</v>
      </c>
      <c r="I146" s="49">
        <f t="shared" si="35"/>
        <v>1.8801856310788245E-2</v>
      </c>
    </row>
    <row r="147" spans="1:14" ht="12.75" customHeight="1" thickBot="1" x14ac:dyDescent="0.3">
      <c r="B147" s="86" t="s">
        <v>4</v>
      </c>
      <c r="C147" s="32">
        <v>92.838566818258556</v>
      </c>
      <c r="D147" s="32">
        <v>149774.72401466093</v>
      </c>
      <c r="E147" s="51">
        <f t="shared" si="31"/>
        <v>0.67254655006631625</v>
      </c>
      <c r="F147" s="51">
        <f t="shared" si="32"/>
        <v>0.273375838602054</v>
      </c>
      <c r="G147" s="51">
        <f t="shared" si="33"/>
        <v>1</v>
      </c>
      <c r="H147" s="52">
        <f t="shared" si="34"/>
        <v>1.0000000000000002</v>
      </c>
      <c r="I147" s="51">
        <f t="shared" si="35"/>
        <v>0.18144685004040523</v>
      </c>
    </row>
    <row r="148" spans="1:14" ht="12.75" customHeight="1" thickBot="1" x14ac:dyDescent="0.3">
      <c r="B148" s="38" t="s">
        <v>12</v>
      </c>
      <c r="C148" s="32">
        <f>SUM(C136:C147)</f>
        <v>138.04035840954688</v>
      </c>
      <c r="D148" s="32">
        <f>SUM(D136:D147)</f>
        <v>547871.10953387525</v>
      </c>
      <c r="E148" s="51">
        <f>SUM(E137:E147)</f>
        <v>1</v>
      </c>
      <c r="F148" s="51">
        <f>SUM(F137:F147)</f>
        <v>1.0000000000000002</v>
      </c>
      <c r="G148" s="52"/>
      <c r="H148" s="52"/>
      <c r="I148" s="51">
        <f>SUM(I136:I147)</f>
        <v>0.20677121977151691</v>
      </c>
    </row>
    <row r="149" spans="1:14" ht="12.75" customHeight="1" thickBot="1" x14ac:dyDescent="0.3">
      <c r="B149" s="4"/>
      <c r="C149" s="4"/>
      <c r="D149" s="4"/>
      <c r="E149" s="50"/>
      <c r="F149" s="50"/>
      <c r="G149" s="50"/>
      <c r="H149" s="53"/>
      <c r="I149" s="53"/>
    </row>
    <row r="150" spans="1:14" ht="12.75" customHeight="1" thickBot="1" x14ac:dyDescent="0.3">
      <c r="B150" s="4"/>
      <c r="C150" s="4"/>
      <c r="D150" s="4"/>
      <c r="E150" s="50"/>
      <c r="F150" s="50"/>
      <c r="G150" s="55"/>
      <c r="H150" s="56" t="s">
        <v>33</v>
      </c>
      <c r="I150" s="52">
        <f>1-(2*I148)</f>
        <v>0.58645756045696618</v>
      </c>
    </row>
    <row r="151" spans="1:14" ht="12.75" customHeight="1" x14ac:dyDescent="0.25"/>
    <row r="152" spans="1:14" ht="12.75" customHeight="1" x14ac:dyDescent="0.25"/>
    <row r="153" spans="1:14" ht="12.75" customHeight="1" x14ac:dyDescent="0.25"/>
    <row r="154" spans="1:14" ht="12.75" customHeight="1" x14ac:dyDescent="0.25"/>
    <row r="155" spans="1:14" ht="16.2" thickBot="1" x14ac:dyDescent="0.35">
      <c r="B155" s="256" t="s">
        <v>101</v>
      </c>
      <c r="C155" s="256"/>
      <c r="D155" s="256"/>
      <c r="E155" s="256"/>
      <c r="F155" s="256"/>
      <c r="G155" s="256"/>
      <c r="H155" s="256"/>
      <c r="I155" s="256"/>
    </row>
    <row r="156" spans="1:14" ht="27" thickBot="1" x14ac:dyDescent="0.3">
      <c r="A156" s="8"/>
      <c r="B156" s="30" t="s">
        <v>19</v>
      </c>
      <c r="C156" s="31" t="s">
        <v>39</v>
      </c>
      <c r="D156" s="31" t="s">
        <v>40</v>
      </c>
      <c r="E156" s="31" t="s">
        <v>15</v>
      </c>
      <c r="F156" s="31" t="s">
        <v>21</v>
      </c>
      <c r="G156" s="31" t="s">
        <v>17</v>
      </c>
      <c r="H156" s="31" t="s">
        <v>117</v>
      </c>
      <c r="I156" s="31" t="s">
        <v>20</v>
      </c>
      <c r="J156" s="8"/>
      <c r="K156" s="8"/>
      <c r="L156" s="8"/>
      <c r="M156" s="8"/>
      <c r="N156" s="8"/>
    </row>
    <row r="157" spans="1:14" ht="12.75" customHeight="1" x14ac:dyDescent="0.25">
      <c r="B157" s="4"/>
      <c r="C157" s="26">
        <v>0</v>
      </c>
      <c r="D157" s="26">
        <v>0</v>
      </c>
      <c r="E157" s="49">
        <v>0</v>
      </c>
      <c r="F157" s="49">
        <v>0</v>
      </c>
      <c r="G157" s="49">
        <v>0</v>
      </c>
      <c r="H157" s="50">
        <f>F157</f>
        <v>0</v>
      </c>
      <c r="I157" s="49">
        <v>0</v>
      </c>
    </row>
    <row r="158" spans="1:14" ht="12.75" customHeight="1" x14ac:dyDescent="0.25">
      <c r="B158" s="82" t="s">
        <v>195</v>
      </c>
      <c r="C158" s="29">
        <v>4.4267135247947871E-3</v>
      </c>
      <c r="D158" s="29">
        <v>4549.0211045835586</v>
      </c>
      <c r="E158" s="49">
        <f t="shared" ref="E158:E168" si="36">C158/$C$169</f>
        <v>1.5995908765297303E-5</v>
      </c>
      <c r="F158" s="49">
        <f t="shared" ref="F158:F168" si="37">D158/$D$169</f>
        <v>8.3030863015460567E-3</v>
      </c>
      <c r="G158" s="49">
        <f t="shared" ref="G158:G168" si="38">G157+E158</f>
        <v>1.5995908765297303E-5</v>
      </c>
      <c r="H158" s="50">
        <f t="shared" ref="H158:H168" si="39">F158+H157</f>
        <v>8.3030863015460567E-3</v>
      </c>
      <c r="I158" s="49">
        <f t="shared" ref="I158:I168" si="40">(G157+G158)*0.5*(H158-H157)</f>
        <v>6.6407705474960262E-8</v>
      </c>
    </row>
    <row r="159" spans="1:14" ht="12.75" customHeight="1" x14ac:dyDescent="0.25">
      <c r="B159" s="82" t="s">
        <v>3</v>
      </c>
      <c r="C159" s="29">
        <v>0.45743447564730311</v>
      </c>
      <c r="D159" s="29">
        <v>4739.5256339269945</v>
      </c>
      <c r="E159" s="49">
        <f t="shared" si="36"/>
        <v>1.652937353540418E-3</v>
      </c>
      <c r="F159" s="49">
        <f t="shared" si="37"/>
        <v>8.6508040877704764E-3</v>
      </c>
      <c r="G159" s="49">
        <f t="shared" si="38"/>
        <v>1.6689332623057154E-3</v>
      </c>
      <c r="H159" s="50">
        <f t="shared" si="39"/>
        <v>1.6953890389316533E-2</v>
      </c>
      <c r="I159" s="49">
        <f t="shared" si="40"/>
        <v>7.2879960803524188E-6</v>
      </c>
    </row>
    <row r="160" spans="1:14" ht="12.75" customHeight="1" x14ac:dyDescent="0.25">
      <c r="B160" s="82" t="s">
        <v>1</v>
      </c>
      <c r="C160" s="29">
        <v>2.8482081257467033</v>
      </c>
      <c r="D160" s="29">
        <v>7498.2226388555227</v>
      </c>
      <c r="E160" s="49">
        <f t="shared" si="36"/>
        <v>1.0291986836020688E-2</v>
      </c>
      <c r="F160" s="49">
        <f t="shared" si="37"/>
        <v>1.3686107021111144E-2</v>
      </c>
      <c r="G160" s="49">
        <f t="shared" si="38"/>
        <v>1.1960920098326402E-2</v>
      </c>
      <c r="H160" s="50">
        <f t="shared" si="39"/>
        <v>3.0639997410427677E-2</v>
      </c>
      <c r="I160" s="49">
        <f t="shared" si="40"/>
        <v>9.3269815887831272E-5</v>
      </c>
    </row>
    <row r="161" spans="1:9" ht="12.75" customHeight="1" x14ac:dyDescent="0.25">
      <c r="B161" s="111" t="s">
        <v>6</v>
      </c>
      <c r="C161" s="29">
        <v>5.7083911264401186</v>
      </c>
      <c r="D161" s="29">
        <v>12709.055149886017</v>
      </c>
      <c r="E161" s="49">
        <f t="shared" si="36"/>
        <v>2.0627244827053002E-2</v>
      </c>
      <c r="F161" s="49">
        <f t="shared" si="37"/>
        <v>2.3197162487174745E-2</v>
      </c>
      <c r="G161" s="49">
        <f t="shared" si="38"/>
        <v>3.2588164925379401E-2</v>
      </c>
      <c r="H161" s="50">
        <f t="shared" si="39"/>
        <v>5.3837159897602418E-2</v>
      </c>
      <c r="I161" s="49">
        <f t="shared" si="40"/>
        <v>5.1670618197493319E-4</v>
      </c>
    </row>
    <row r="162" spans="1:9" ht="12.75" customHeight="1" x14ac:dyDescent="0.25">
      <c r="B162" s="82" t="s">
        <v>5</v>
      </c>
      <c r="C162" s="29">
        <v>15.369887542025644</v>
      </c>
      <c r="D162" s="29">
        <v>34543.134541376516</v>
      </c>
      <c r="E162" s="49">
        <f t="shared" si="36"/>
        <v>5.5539017259202267E-2</v>
      </c>
      <c r="F162" s="49">
        <f t="shared" si="37"/>
        <v>6.3049746446323052E-2</v>
      </c>
      <c r="G162" s="49">
        <f t="shared" si="38"/>
        <v>8.8127182184581668E-2</v>
      </c>
      <c r="H162" s="50">
        <f t="shared" si="39"/>
        <v>0.11688690634392547</v>
      </c>
      <c r="I162" s="49">
        <f t="shared" si="40"/>
        <v>3.8055360137314608E-3</v>
      </c>
    </row>
    <row r="163" spans="1:9" ht="12.75" customHeight="1" x14ac:dyDescent="0.25">
      <c r="B163" s="111" t="s">
        <v>10</v>
      </c>
      <c r="C163" s="29">
        <v>21.1</v>
      </c>
      <c r="D163" s="29">
        <v>69411.089457609574</v>
      </c>
      <c r="E163" s="49">
        <f t="shared" si="36"/>
        <v>7.6244752016885825E-2</v>
      </c>
      <c r="F163" s="49">
        <f t="shared" si="37"/>
        <v>0.12669237024865945</v>
      </c>
      <c r="G163" s="49">
        <f t="shared" si="38"/>
        <v>0.16437193420146751</v>
      </c>
      <c r="H163" s="50">
        <f t="shared" si="39"/>
        <v>0.24357927659258494</v>
      </c>
      <c r="I163" s="49">
        <f t="shared" si="40"/>
        <v>1.5994855770320351E-2</v>
      </c>
    </row>
    <row r="164" spans="1:9" ht="12.75" customHeight="1" x14ac:dyDescent="0.25">
      <c r="B164" s="82" t="s">
        <v>8</v>
      </c>
      <c r="C164" s="29">
        <v>23.5</v>
      </c>
      <c r="D164" s="29">
        <v>8412.6065227973904</v>
      </c>
      <c r="E164" s="49">
        <f t="shared" si="36"/>
        <v>8.4917140871887051E-2</v>
      </c>
      <c r="F164" s="49">
        <f t="shared" si="37"/>
        <v>1.5355083296789959E-2</v>
      </c>
      <c r="G164" s="49">
        <f t="shared" si="38"/>
        <v>0.24928907507335457</v>
      </c>
      <c r="H164" s="50">
        <f t="shared" si="39"/>
        <v>0.25893435988937491</v>
      </c>
      <c r="I164" s="49">
        <f t="shared" si="40"/>
        <v>3.1758996270245515E-3</v>
      </c>
    </row>
    <row r="165" spans="1:9" ht="12.75" customHeight="1" x14ac:dyDescent="0.25">
      <c r="B165" s="82" t="s">
        <v>9</v>
      </c>
      <c r="C165" s="29">
        <v>24.613443607903758</v>
      </c>
      <c r="D165" s="29">
        <v>43226.930239887697</v>
      </c>
      <c r="E165" s="49">
        <f t="shared" si="36"/>
        <v>8.8940564178494094E-2</v>
      </c>
      <c r="F165" s="49">
        <f t="shared" si="37"/>
        <v>7.8899816923481969E-2</v>
      </c>
      <c r="G165" s="49">
        <f t="shared" si="38"/>
        <v>0.33822963925184868</v>
      </c>
      <c r="H165" s="50">
        <f t="shared" si="39"/>
        <v>0.33783417681285688</v>
      </c>
      <c r="I165" s="49">
        <f t="shared" si="40"/>
        <v>2.3177559499689016E-2</v>
      </c>
    </row>
    <row r="166" spans="1:9" ht="12.75" customHeight="1" x14ac:dyDescent="0.25">
      <c r="B166" s="82" t="s">
        <v>7</v>
      </c>
      <c r="C166" s="29">
        <v>33.799999999999997</v>
      </c>
      <c r="D166" s="29">
        <v>179268.67227891536</v>
      </c>
      <c r="E166" s="49">
        <f t="shared" si="36"/>
        <v>0.12213614304126731</v>
      </c>
      <c r="F166" s="49">
        <f t="shared" si="37"/>
        <v>0.327209573856588</v>
      </c>
      <c r="G166" s="49">
        <f t="shared" si="38"/>
        <v>0.46036578229311598</v>
      </c>
      <c r="H166" s="50">
        <f t="shared" si="39"/>
        <v>0.66504375066944488</v>
      </c>
      <c r="I166" s="49">
        <f t="shared" si="40"/>
        <v>0.13065403378377508</v>
      </c>
    </row>
    <row r="167" spans="1:9" ht="12.75" customHeight="1" x14ac:dyDescent="0.25">
      <c r="B167" s="82" t="s">
        <v>2</v>
      </c>
      <c r="C167" s="29">
        <v>56.5</v>
      </c>
      <c r="D167" s="29">
        <v>33738.127951375733</v>
      </c>
      <c r="E167" s="49">
        <f t="shared" si="36"/>
        <v>0.20416248762815395</v>
      </c>
      <c r="F167" s="49">
        <f t="shared" si="37"/>
        <v>6.1580410728501248E-2</v>
      </c>
      <c r="G167" s="49">
        <f t="shared" si="38"/>
        <v>0.6645282699212699</v>
      </c>
      <c r="H167" s="50">
        <f t="shared" si="39"/>
        <v>0.72662416139794617</v>
      </c>
      <c r="I167" s="49">
        <f t="shared" si="40"/>
        <v>3.4635718880705033E-2</v>
      </c>
    </row>
    <row r="168" spans="1:9" ht="12.75" customHeight="1" thickBot="1" x14ac:dyDescent="0.3">
      <c r="B168" s="86" t="s">
        <v>4</v>
      </c>
      <c r="C168" s="32">
        <v>92.838566818258556</v>
      </c>
      <c r="D168" s="32">
        <v>149774.72401466093</v>
      </c>
      <c r="E168" s="51">
        <f t="shared" si="36"/>
        <v>0.33547173007873021</v>
      </c>
      <c r="F168" s="51">
        <f t="shared" si="37"/>
        <v>0.273375838602054</v>
      </c>
      <c r="G168" s="51">
        <f t="shared" si="38"/>
        <v>1</v>
      </c>
      <c r="H168" s="52">
        <f t="shared" si="39"/>
        <v>1.0000000000000002</v>
      </c>
      <c r="I168" s="51">
        <f t="shared" si="40"/>
        <v>0.22752090583327669</v>
      </c>
    </row>
    <row r="169" spans="1:9" ht="12.75" customHeight="1" thickBot="1" x14ac:dyDescent="0.3">
      <c r="B169" s="38" t="s">
        <v>12</v>
      </c>
      <c r="C169" s="32">
        <f>SUM(C157:C168)</f>
        <v>276.74035840954684</v>
      </c>
      <c r="D169" s="32">
        <f>SUM(D157:D168)</f>
        <v>547871.10953387525</v>
      </c>
      <c r="E169" s="51">
        <f>SUM(E158:E168)</f>
        <v>1</v>
      </c>
      <c r="F169" s="51">
        <f>SUM(F158:F168)</f>
        <v>1.0000000000000002</v>
      </c>
      <c r="G169" s="52"/>
      <c r="H169" s="52"/>
      <c r="I169" s="51">
        <f>SUM(I157:I168)</f>
        <v>0.43958183981017074</v>
      </c>
    </row>
    <row r="170" spans="1:9" ht="12.75" customHeight="1" thickBot="1" x14ac:dyDescent="0.3">
      <c r="B170" s="4"/>
      <c r="C170" s="4"/>
      <c r="D170" s="4"/>
      <c r="E170" s="50"/>
      <c r="F170" s="50"/>
      <c r="G170" s="50"/>
      <c r="H170" s="53"/>
      <c r="I170" s="53"/>
    </row>
    <row r="171" spans="1:9" ht="12.75" customHeight="1" thickBot="1" x14ac:dyDescent="0.3">
      <c r="B171" s="4"/>
      <c r="C171" s="4"/>
      <c r="D171" s="4"/>
      <c r="E171" s="50"/>
      <c r="F171" s="50"/>
      <c r="G171" s="55"/>
      <c r="H171" s="57" t="s">
        <v>29</v>
      </c>
      <c r="I171" s="58">
        <f>1-(2*I169)</f>
        <v>0.12083632037965852</v>
      </c>
    </row>
    <row r="172" spans="1:9" ht="12.75" customHeight="1" x14ac:dyDescent="0.25">
      <c r="B172" s="4"/>
      <c r="C172" s="4"/>
      <c r="D172" s="4"/>
      <c r="E172" s="50"/>
      <c r="F172" s="50"/>
      <c r="G172" s="55"/>
      <c r="H172" s="116"/>
      <c r="I172" s="108"/>
    </row>
    <row r="173" spans="1:9" ht="12.75" customHeight="1" x14ac:dyDescent="0.25">
      <c r="B173" s="4"/>
      <c r="C173" s="4"/>
      <c r="D173" s="4"/>
      <c r="E173" s="50"/>
      <c r="F173" s="50"/>
      <c r="G173" s="55"/>
      <c r="H173" s="116"/>
      <c r="I173" s="108"/>
    </row>
    <row r="174" spans="1:9" ht="28.2" customHeight="1" x14ac:dyDescent="0.25">
      <c r="A174" s="252" t="s">
        <v>94</v>
      </c>
      <c r="B174" s="252"/>
      <c r="C174" s="252"/>
      <c r="D174" s="252"/>
      <c r="E174" s="252"/>
      <c r="F174" s="252"/>
      <c r="G174" s="55"/>
      <c r="H174" s="116"/>
      <c r="I174" s="108"/>
    </row>
    <row r="175" spans="1:9" ht="12.75" customHeight="1" x14ac:dyDescent="0.25"/>
    <row r="176" spans="1:9" ht="16.2" thickBot="1" x14ac:dyDescent="0.35">
      <c r="B176" s="256" t="s">
        <v>114</v>
      </c>
      <c r="C176" s="256"/>
      <c r="D176" s="256"/>
      <c r="E176" s="256"/>
      <c r="F176" s="256"/>
      <c r="G176" s="256"/>
      <c r="H176" s="256"/>
      <c r="I176" s="256"/>
    </row>
    <row r="177" spans="1:14" ht="42.6" customHeight="1" thickBot="1" x14ac:dyDescent="0.3">
      <c r="A177" s="8"/>
      <c r="B177" s="36" t="s">
        <v>19</v>
      </c>
      <c r="C177" s="37" t="s">
        <v>42</v>
      </c>
      <c r="D177" s="37" t="s">
        <v>115</v>
      </c>
      <c r="E177" s="37" t="s">
        <v>27</v>
      </c>
      <c r="F177" s="37" t="s">
        <v>21</v>
      </c>
      <c r="G177" s="37" t="s">
        <v>28</v>
      </c>
      <c r="H177" s="37" t="s">
        <v>117</v>
      </c>
      <c r="I177" s="37" t="s">
        <v>20</v>
      </c>
      <c r="J177" s="8"/>
      <c r="K177" s="8"/>
      <c r="L177" s="8"/>
      <c r="M177" s="8"/>
      <c r="N177" s="8"/>
    </row>
    <row r="178" spans="1:14" ht="12.75" customHeight="1" x14ac:dyDescent="0.25">
      <c r="B178" s="4"/>
      <c r="C178" s="26">
        <v>0</v>
      </c>
      <c r="D178" s="26">
        <v>0</v>
      </c>
      <c r="E178" s="49">
        <v>0</v>
      </c>
      <c r="F178" s="49">
        <v>0</v>
      </c>
      <c r="G178" s="49">
        <v>0</v>
      </c>
      <c r="H178" s="50">
        <f>F178</f>
        <v>0</v>
      </c>
      <c r="I178" s="49">
        <v>0</v>
      </c>
    </row>
    <row r="179" spans="1:14" ht="12.75" customHeight="1" x14ac:dyDescent="0.25">
      <c r="B179" s="82" t="s">
        <v>2</v>
      </c>
      <c r="C179" s="84">
        <v>2.9665622667677747</v>
      </c>
      <c r="D179" s="29">
        <v>251430.37783690859</v>
      </c>
      <c r="E179" s="49">
        <f t="shared" ref="E179:E189" si="41">C179/$C$190</f>
        <v>1.4667449147965441E-3</v>
      </c>
      <c r="F179" s="49">
        <f t="shared" ref="F179:F189" si="42">D179/$D$190</f>
        <v>8.2249727275718124E-2</v>
      </c>
      <c r="G179" s="49">
        <f t="shared" ref="G179:G189" si="43">G178+E179</f>
        <v>1.4667449147965441E-3</v>
      </c>
      <c r="H179" s="50">
        <f t="shared" ref="H179:H189" si="44">F179+H178</f>
        <v>8.2249727275718124E-2</v>
      </c>
      <c r="I179" s="49">
        <f t="shared" ref="I179:I189" si="45">(G178+G179)*0.5*(H179-H178)</f>
        <v>6.0319684612531084E-5</v>
      </c>
    </row>
    <row r="180" spans="1:14" ht="12.75" customHeight="1" x14ac:dyDescent="0.25">
      <c r="B180" s="82" t="s">
        <v>3</v>
      </c>
      <c r="C180" s="84">
        <v>11.346117940002056</v>
      </c>
      <c r="D180" s="29">
        <v>24496.645034227455</v>
      </c>
      <c r="E180" s="49">
        <f t="shared" si="41"/>
        <v>5.6098134118425357E-3</v>
      </c>
      <c r="F180" s="49">
        <f t="shared" si="42"/>
        <v>8.0135200470573958E-3</v>
      </c>
      <c r="G180" s="49">
        <f t="shared" si="43"/>
        <v>7.0765583266390797E-3</v>
      </c>
      <c r="H180" s="50">
        <f t="shared" si="44"/>
        <v>9.0263247322775519E-2</v>
      </c>
      <c r="I180" s="49">
        <f t="shared" si="45"/>
        <v>3.42309658966674E-5</v>
      </c>
    </row>
    <row r="181" spans="1:14" ht="12.75" customHeight="1" x14ac:dyDescent="0.25">
      <c r="B181" s="82" t="s">
        <v>1</v>
      </c>
      <c r="C181" s="84">
        <v>17.511417826213687</v>
      </c>
      <c r="D181" s="29">
        <v>13199.085501550475</v>
      </c>
      <c r="E181" s="49">
        <f t="shared" si="41"/>
        <v>8.6580967253592819E-3</v>
      </c>
      <c r="F181" s="49">
        <f t="shared" si="42"/>
        <v>4.3177805010323955E-3</v>
      </c>
      <c r="G181" s="49">
        <f t="shared" si="43"/>
        <v>1.5734655051998361E-2</v>
      </c>
      <c r="H181" s="50">
        <f t="shared" si="44"/>
        <v>9.4581027823807909E-2</v>
      </c>
      <c r="I181" s="49">
        <f t="shared" si="45"/>
        <v>4.9246906165584961E-5</v>
      </c>
    </row>
    <row r="182" spans="1:14" ht="12.75" customHeight="1" x14ac:dyDescent="0.25">
      <c r="B182" s="111" t="s">
        <v>6</v>
      </c>
      <c r="C182" s="84">
        <v>23.334648738799025</v>
      </c>
      <c r="D182" s="29">
        <v>20836.189535136225</v>
      </c>
      <c r="E182" s="49">
        <f t="shared" si="41"/>
        <v>1.1537252313765879E-2</v>
      </c>
      <c r="F182" s="49">
        <f t="shared" si="42"/>
        <v>6.8160853174303836E-3</v>
      </c>
      <c r="G182" s="49">
        <f t="shared" si="43"/>
        <v>2.727190736576424E-2</v>
      </c>
      <c r="H182" s="50">
        <f t="shared" si="44"/>
        <v>0.1013971131412383</v>
      </c>
      <c r="I182" s="49">
        <f t="shared" si="45"/>
        <v>1.4656819932443258E-4</v>
      </c>
    </row>
    <row r="183" spans="1:14" ht="12.75" customHeight="1" x14ac:dyDescent="0.25">
      <c r="B183" s="82" t="s">
        <v>195</v>
      </c>
      <c r="C183" s="84">
        <v>25.735679786065873</v>
      </c>
      <c r="D183" s="29">
        <v>20450.034940117202</v>
      </c>
      <c r="E183" s="49">
        <f t="shared" si="41"/>
        <v>1.2724384004308262E-2</v>
      </c>
      <c r="F183" s="49">
        <f t="shared" si="42"/>
        <v>6.6897636279041406E-3</v>
      </c>
      <c r="G183" s="49">
        <f t="shared" si="43"/>
        <v>3.9996291370072504E-2</v>
      </c>
      <c r="H183" s="50">
        <f t="shared" si="44"/>
        <v>0.10808687676914244</v>
      </c>
      <c r="I183" s="49">
        <f t="shared" si="45"/>
        <v>2.2500417460881417E-4</v>
      </c>
    </row>
    <row r="184" spans="1:14" ht="12.75" customHeight="1" x14ac:dyDescent="0.25">
      <c r="B184" s="82" t="s">
        <v>5</v>
      </c>
      <c r="C184" s="84">
        <v>77.23342386103532</v>
      </c>
      <c r="D184" s="29">
        <v>49475.746319971244</v>
      </c>
      <c r="E184" s="49">
        <f t="shared" si="41"/>
        <v>3.8186197191783879E-2</v>
      </c>
      <c r="F184" s="49">
        <f t="shared" si="42"/>
        <v>1.6184864679397896E-2</v>
      </c>
      <c r="G184" s="49">
        <f t="shared" si="43"/>
        <v>7.8182488561856389E-2</v>
      </c>
      <c r="H184" s="50">
        <f t="shared" si="44"/>
        <v>0.12427174144854033</v>
      </c>
      <c r="I184" s="49">
        <f t="shared" si="45"/>
        <v>9.5635378058730623E-4</v>
      </c>
    </row>
    <row r="185" spans="1:14" ht="12.75" customHeight="1" x14ac:dyDescent="0.25">
      <c r="B185" s="82" t="s">
        <v>9</v>
      </c>
      <c r="C185" s="84">
        <v>136.50672876525519</v>
      </c>
      <c r="D185" s="29">
        <v>119784.51078433092</v>
      </c>
      <c r="E185" s="49">
        <f t="shared" si="41"/>
        <v>6.7492448243838807E-2</v>
      </c>
      <c r="F185" s="49">
        <f t="shared" si="42"/>
        <v>3.9184777227902166E-2</v>
      </c>
      <c r="G185" s="49">
        <f t="shared" si="43"/>
        <v>0.14567493680569521</v>
      </c>
      <c r="H185" s="50">
        <f t="shared" si="44"/>
        <v>0.16345651867644251</v>
      </c>
      <c r="I185" s="49">
        <f t="shared" si="45"/>
        <v>4.3859016719196234E-3</v>
      </c>
    </row>
    <row r="186" spans="1:14" ht="12.75" customHeight="1" x14ac:dyDescent="0.25">
      <c r="B186" s="111" t="s">
        <v>10</v>
      </c>
      <c r="C186" s="84">
        <v>292.00394015096231</v>
      </c>
      <c r="D186" s="29">
        <v>237021.44592026682</v>
      </c>
      <c r="E186" s="49">
        <f t="shared" si="41"/>
        <v>0.14437428100359026</v>
      </c>
      <c r="F186" s="49">
        <f t="shared" si="42"/>
        <v>7.7536173047808091E-2</v>
      </c>
      <c r="G186" s="49">
        <f t="shared" si="43"/>
        <v>0.2900492178092855</v>
      </c>
      <c r="H186" s="50">
        <f t="shared" si="44"/>
        <v>0.24099269172425059</v>
      </c>
      <c r="I186" s="49">
        <f t="shared" si="45"/>
        <v>1.6892191726668514E-2</v>
      </c>
    </row>
    <row r="187" spans="1:14" ht="12.75" customHeight="1" x14ac:dyDescent="0.25">
      <c r="B187" s="82" t="s">
        <v>7</v>
      </c>
      <c r="C187" s="84">
        <v>335.61572301246139</v>
      </c>
      <c r="D187" s="29">
        <v>1339764.2833351614</v>
      </c>
      <c r="E187" s="49">
        <f t="shared" si="41"/>
        <v>0.16593707152846626</v>
      </c>
      <c r="F187" s="49">
        <f t="shared" si="42"/>
        <v>0.43827340143259691</v>
      </c>
      <c r="G187" s="49">
        <f t="shared" si="43"/>
        <v>0.45598628933775176</v>
      </c>
      <c r="H187" s="50">
        <f t="shared" si="44"/>
        <v>0.67926609315684749</v>
      </c>
      <c r="I187" s="49">
        <f t="shared" si="45"/>
        <v>0.16348375965341225</v>
      </c>
    </row>
    <row r="188" spans="1:14" ht="12.75" customHeight="1" x14ac:dyDescent="0.25">
      <c r="B188" s="82" t="s">
        <v>4</v>
      </c>
      <c r="C188" s="84">
        <v>441.48024978528468</v>
      </c>
      <c r="D188" s="29">
        <v>363314.38569269452</v>
      </c>
      <c r="E188" s="49">
        <f t="shared" si="41"/>
        <v>0.21827922461280477</v>
      </c>
      <c r="F188" s="49">
        <f t="shared" si="42"/>
        <v>0.1188500347318915</v>
      </c>
      <c r="G188" s="49">
        <f t="shared" si="43"/>
        <v>0.67426551395055656</v>
      </c>
      <c r="H188" s="50">
        <f t="shared" si="44"/>
        <v>0.79811612788873898</v>
      </c>
      <c r="I188" s="49">
        <f t="shared" si="45"/>
        <v>6.7165233038299202E-2</v>
      </c>
    </row>
    <row r="189" spans="1:14" ht="12.75" customHeight="1" thickBot="1" x14ac:dyDescent="0.3">
      <c r="B189" s="86" t="s">
        <v>8</v>
      </c>
      <c r="C189" s="87">
        <v>658.81369388167457</v>
      </c>
      <c r="D189" s="32">
        <v>617141.72101696266</v>
      </c>
      <c r="E189" s="51">
        <f t="shared" si="41"/>
        <v>0.32573448604944349</v>
      </c>
      <c r="F189" s="51">
        <f t="shared" si="42"/>
        <v>0.20188387211126102</v>
      </c>
      <c r="G189" s="51">
        <f t="shared" si="43"/>
        <v>1</v>
      </c>
      <c r="H189" s="52">
        <f t="shared" si="44"/>
        <v>1</v>
      </c>
      <c r="I189" s="51">
        <f t="shared" si="45"/>
        <v>0.16900360244934443</v>
      </c>
    </row>
    <row r="190" spans="1:14" ht="12.75" customHeight="1" thickBot="1" x14ac:dyDescent="0.3">
      <c r="B190" s="38" t="s">
        <v>12</v>
      </c>
      <c r="C190" s="32">
        <f>SUM(C178:C189)</f>
        <v>2022.5481860145219</v>
      </c>
      <c r="D190" s="32">
        <f>SUM(D178:D189)</f>
        <v>3056914.4259173274</v>
      </c>
      <c r="E190" s="39">
        <f>SUM(E179:E189)</f>
        <v>1</v>
      </c>
      <c r="F190" s="33">
        <f>SUM(F179:F189)</f>
        <v>1</v>
      </c>
      <c r="G190" s="40"/>
      <c r="H190" s="40"/>
      <c r="I190" s="51">
        <f>SUM(I178:I189)</f>
        <v>0.42240241225083935</v>
      </c>
    </row>
    <row r="191" spans="1:14" ht="12.75" customHeight="1" thickBot="1" x14ac:dyDescent="0.3">
      <c r="B191" s="4"/>
      <c r="C191" s="4"/>
      <c r="D191" s="4"/>
      <c r="E191" s="4"/>
      <c r="F191" s="4"/>
      <c r="G191" s="4"/>
      <c r="H191" s="7"/>
      <c r="I191" s="53"/>
    </row>
    <row r="192" spans="1:14" ht="12.75" customHeight="1" thickBot="1" x14ac:dyDescent="0.3">
      <c r="B192" s="4"/>
      <c r="C192" s="4"/>
      <c r="D192" s="4"/>
      <c r="E192" s="4"/>
      <c r="F192" s="4"/>
      <c r="G192" s="5"/>
      <c r="H192" s="24" t="s">
        <v>29</v>
      </c>
      <c r="I192" s="52">
        <f>1-(2*I190)</f>
        <v>0.15519517549832129</v>
      </c>
    </row>
    <row r="193" spans="1:14" ht="12.75" customHeight="1" x14ac:dyDescent="0.25"/>
    <row r="194" spans="1:14" ht="12.75" customHeight="1" x14ac:dyDescent="0.25"/>
    <row r="195" spans="1:14" ht="12.75" customHeight="1" x14ac:dyDescent="0.25"/>
    <row r="196" spans="1:14" ht="12.75" customHeight="1" x14ac:dyDescent="0.25"/>
    <row r="197" spans="1:14" ht="16.2" thickBot="1" x14ac:dyDescent="0.35">
      <c r="B197" s="256" t="s">
        <v>120</v>
      </c>
      <c r="C197" s="256"/>
      <c r="D197" s="256"/>
      <c r="E197" s="256"/>
      <c r="F197" s="256"/>
      <c r="G197" s="256"/>
      <c r="H197" s="256"/>
      <c r="I197" s="256"/>
    </row>
    <row r="198" spans="1:14" ht="27" thickBot="1" x14ac:dyDescent="0.3">
      <c r="A198" s="8"/>
      <c r="B198" s="30" t="s">
        <v>19</v>
      </c>
      <c r="C198" s="31" t="s">
        <v>43</v>
      </c>
      <c r="D198" s="37" t="s">
        <v>115</v>
      </c>
      <c r="E198" s="31" t="s">
        <v>31</v>
      </c>
      <c r="F198" s="31" t="s">
        <v>21</v>
      </c>
      <c r="G198" s="31" t="s">
        <v>32</v>
      </c>
      <c r="H198" s="31" t="s">
        <v>117</v>
      </c>
      <c r="I198" s="31" t="s">
        <v>20</v>
      </c>
      <c r="J198" s="8"/>
      <c r="K198" s="8"/>
      <c r="L198" s="8"/>
      <c r="M198" s="8"/>
      <c r="N198" s="8"/>
    </row>
    <row r="199" spans="1:14" ht="12.75" customHeight="1" x14ac:dyDescent="0.25">
      <c r="B199" s="4"/>
      <c r="C199" s="26">
        <v>0</v>
      </c>
      <c r="D199" s="26">
        <v>0</v>
      </c>
      <c r="E199" s="49">
        <f>C199/$C$127</f>
        <v>0</v>
      </c>
      <c r="F199" s="49">
        <v>0</v>
      </c>
      <c r="G199" s="49">
        <v>0</v>
      </c>
      <c r="H199" s="50">
        <f>F199</f>
        <v>0</v>
      </c>
      <c r="I199" s="49">
        <v>0</v>
      </c>
    </row>
    <row r="200" spans="1:14" ht="12.75" customHeight="1" x14ac:dyDescent="0.25">
      <c r="B200" s="82" t="s">
        <v>3</v>
      </c>
      <c r="C200" s="84">
        <v>10.93665848659211</v>
      </c>
      <c r="D200" s="29">
        <v>24496.645034227455</v>
      </c>
      <c r="E200" s="49">
        <f t="shared" ref="E200:E210" si="46">C200/$C$211</f>
        <v>5.1986633605847219E-3</v>
      </c>
      <c r="F200" s="49">
        <f t="shared" ref="F200:F210" si="47">D200/$D$211</f>
        <v>8.0135200470573958E-3</v>
      </c>
      <c r="G200" s="49">
        <f t="shared" ref="G200:G210" si="48">G199+E200</f>
        <v>5.1986633605847219E-3</v>
      </c>
      <c r="H200" s="50">
        <f t="shared" ref="H200:H210" si="49">F200+H199</f>
        <v>8.0135200470573958E-3</v>
      </c>
      <c r="I200" s="49">
        <f t="shared" ref="I200:I210" si="50">(G199+G200)*0.5*(H200-H199)</f>
        <v>2.0829796528974221E-5</v>
      </c>
    </row>
    <row r="201" spans="1:14" ht="12.75" customHeight="1" x14ac:dyDescent="0.25">
      <c r="B201" s="82" t="s">
        <v>1</v>
      </c>
      <c r="C201" s="84">
        <v>14.686677411069958</v>
      </c>
      <c r="D201" s="29">
        <v>13199.085501550475</v>
      </c>
      <c r="E201" s="49">
        <f t="shared" si="46"/>
        <v>6.981208368100727E-3</v>
      </c>
      <c r="F201" s="49">
        <f t="shared" si="47"/>
        <v>4.3177805010323955E-3</v>
      </c>
      <c r="G201" s="49">
        <f t="shared" si="48"/>
        <v>1.2179871728685449E-2</v>
      </c>
      <c r="H201" s="50">
        <f t="shared" si="49"/>
        <v>1.2331300548089792E-2</v>
      </c>
      <c r="I201" s="49">
        <f t="shared" si="50"/>
        <v>3.7518349972479018E-5</v>
      </c>
    </row>
    <row r="202" spans="1:14" ht="12.75" customHeight="1" x14ac:dyDescent="0.25">
      <c r="B202" s="111" t="s">
        <v>6</v>
      </c>
      <c r="C202" s="84">
        <v>21.495318730714615</v>
      </c>
      <c r="D202" s="29">
        <v>20836.189535136225</v>
      </c>
      <c r="E202" s="49">
        <f t="shared" si="46"/>
        <v>1.021764792659967E-2</v>
      </c>
      <c r="F202" s="49">
        <f t="shared" si="47"/>
        <v>6.8160853174303836E-3</v>
      </c>
      <c r="G202" s="49">
        <f t="shared" si="48"/>
        <v>2.2397519655285119E-2</v>
      </c>
      <c r="H202" s="50">
        <f t="shared" si="49"/>
        <v>1.9147385865520176E-2</v>
      </c>
      <c r="I202" s="49">
        <f t="shared" si="50"/>
        <v>1.1784122486366283E-4</v>
      </c>
    </row>
    <row r="203" spans="1:14" ht="12.75" customHeight="1" x14ac:dyDescent="0.25">
      <c r="B203" s="82" t="s">
        <v>195</v>
      </c>
      <c r="C203" s="84">
        <v>25.8803296101798</v>
      </c>
      <c r="D203" s="29">
        <v>20450.034940117202</v>
      </c>
      <c r="E203" s="49">
        <f t="shared" si="46"/>
        <v>1.2302031874657317E-2</v>
      </c>
      <c r="F203" s="49">
        <f t="shared" si="47"/>
        <v>6.6897636279041406E-3</v>
      </c>
      <c r="G203" s="49">
        <f t="shared" si="48"/>
        <v>3.4699551529942432E-2</v>
      </c>
      <c r="H203" s="50">
        <f t="shared" si="49"/>
        <v>2.5837149493424316E-2</v>
      </c>
      <c r="I203" s="49">
        <f t="shared" si="50"/>
        <v>1.9098295503739441E-4</v>
      </c>
    </row>
    <row r="204" spans="1:14" ht="12.75" customHeight="1" x14ac:dyDescent="0.25">
      <c r="B204" s="82" t="s">
        <v>2</v>
      </c>
      <c r="C204" s="84">
        <v>60.37746401341785</v>
      </c>
      <c r="D204" s="29">
        <v>251430.37783690859</v>
      </c>
      <c r="E204" s="49">
        <f t="shared" si="46"/>
        <v>2.8700001042949671E-2</v>
      </c>
      <c r="F204" s="49">
        <f t="shared" si="47"/>
        <v>8.2249727275718124E-2</v>
      </c>
      <c r="G204" s="49">
        <f t="shared" si="48"/>
        <v>6.3399552572892107E-2</v>
      </c>
      <c r="H204" s="50">
        <f t="shared" si="49"/>
        <v>0.10808687676914244</v>
      </c>
      <c r="I204" s="49">
        <f t="shared" si="50"/>
        <v>4.0343122792252106E-3</v>
      </c>
    </row>
    <row r="205" spans="1:14" ht="12.75" customHeight="1" x14ac:dyDescent="0.25">
      <c r="B205" s="82" t="s">
        <v>5</v>
      </c>
      <c r="C205" s="84">
        <v>62.873233448578979</v>
      </c>
      <c r="D205" s="29">
        <v>49475.746319971244</v>
      </c>
      <c r="E205" s="49">
        <f t="shared" si="46"/>
        <v>2.9886347415102172E-2</v>
      </c>
      <c r="F205" s="49">
        <f t="shared" si="47"/>
        <v>1.6184864679397896E-2</v>
      </c>
      <c r="G205" s="49">
        <f t="shared" si="48"/>
        <v>9.3285899987994275E-2</v>
      </c>
      <c r="H205" s="50">
        <f t="shared" si="49"/>
        <v>0.12427174144854033</v>
      </c>
      <c r="I205" s="49">
        <f t="shared" si="50"/>
        <v>1.2679664234640821E-3</v>
      </c>
    </row>
    <row r="206" spans="1:14" ht="12.75" customHeight="1" x14ac:dyDescent="0.25">
      <c r="B206" s="82" t="s">
        <v>9</v>
      </c>
      <c r="C206" s="84">
        <v>124.60740401154084</v>
      </c>
      <c r="D206" s="29">
        <v>119784.51078433092</v>
      </c>
      <c r="E206" s="49">
        <f t="shared" si="46"/>
        <v>5.9231249333289604E-2</v>
      </c>
      <c r="F206" s="49">
        <f t="shared" si="47"/>
        <v>3.9184777227902166E-2</v>
      </c>
      <c r="G206" s="49">
        <f t="shared" si="48"/>
        <v>0.15251714932128388</v>
      </c>
      <c r="H206" s="50">
        <f t="shared" si="49"/>
        <v>0.16345651867644251</v>
      </c>
      <c r="I206" s="49">
        <f t="shared" si="50"/>
        <v>4.8158688645615587E-3</v>
      </c>
    </row>
    <row r="207" spans="1:14" ht="12.75" customHeight="1" x14ac:dyDescent="0.25">
      <c r="B207" s="111" t="s">
        <v>10</v>
      </c>
      <c r="C207" s="84">
        <v>309.465301544748</v>
      </c>
      <c r="D207" s="29">
        <v>237021.44592026682</v>
      </c>
      <c r="E207" s="49">
        <f t="shared" si="46"/>
        <v>0.14710214518313006</v>
      </c>
      <c r="F207" s="49">
        <f t="shared" si="47"/>
        <v>7.7536173047808091E-2</v>
      </c>
      <c r="G207" s="49">
        <f t="shared" si="48"/>
        <v>0.29961929450441394</v>
      </c>
      <c r="H207" s="50">
        <f t="shared" si="49"/>
        <v>0.24099269172425059</v>
      </c>
      <c r="I207" s="49">
        <f t="shared" si="50"/>
        <v>1.7528464774844932E-2</v>
      </c>
    </row>
    <row r="208" spans="1:14" ht="12.75" customHeight="1" x14ac:dyDescent="0.25">
      <c r="B208" s="82" t="s">
        <v>4</v>
      </c>
      <c r="C208" s="84">
        <v>349.17735064884971</v>
      </c>
      <c r="D208" s="29">
        <v>363314.38569269452</v>
      </c>
      <c r="E208" s="49">
        <f t="shared" si="46"/>
        <v>0.16597898721896151</v>
      </c>
      <c r="F208" s="49">
        <f t="shared" si="47"/>
        <v>0.1188500347318915</v>
      </c>
      <c r="G208" s="49">
        <f t="shared" si="48"/>
        <v>0.46559828172337547</v>
      </c>
      <c r="H208" s="50">
        <f t="shared" si="49"/>
        <v>0.35984272645614207</v>
      </c>
      <c r="I208" s="49">
        <f t="shared" si="50"/>
        <v>4.5473067756063294E-2</v>
      </c>
    </row>
    <row r="209" spans="1:14" ht="12.75" customHeight="1" x14ac:dyDescent="0.25">
      <c r="B209" s="82" t="s">
        <v>7</v>
      </c>
      <c r="C209" s="84">
        <v>394.52684671849278</v>
      </c>
      <c r="D209" s="29">
        <v>1339764.2833351614</v>
      </c>
      <c r="E209" s="49">
        <f t="shared" si="46"/>
        <v>0.1875355498497927</v>
      </c>
      <c r="F209" s="49">
        <f t="shared" si="47"/>
        <v>0.43827340143259691</v>
      </c>
      <c r="G209" s="49">
        <f t="shared" si="48"/>
        <v>0.65313383157316818</v>
      </c>
      <c r="H209" s="50">
        <f t="shared" si="49"/>
        <v>0.79811612788873898</v>
      </c>
      <c r="I209" s="49">
        <f t="shared" si="50"/>
        <v>0.2451552642931768</v>
      </c>
    </row>
    <row r="210" spans="1:14" ht="12.75" customHeight="1" thickBot="1" x14ac:dyDescent="0.3">
      <c r="B210" s="86" t="s">
        <v>8</v>
      </c>
      <c r="C210" s="87">
        <v>729.71772963778074</v>
      </c>
      <c r="D210" s="32">
        <v>617141.72101696266</v>
      </c>
      <c r="E210" s="51">
        <f t="shared" si="46"/>
        <v>0.34686616842683182</v>
      </c>
      <c r="F210" s="51">
        <f t="shared" si="47"/>
        <v>0.20188387211126102</v>
      </c>
      <c r="G210" s="51">
        <f t="shared" si="48"/>
        <v>1</v>
      </c>
      <c r="H210" s="52">
        <f t="shared" si="49"/>
        <v>1</v>
      </c>
      <c r="I210" s="51">
        <f t="shared" si="50"/>
        <v>0.1668705295180582</v>
      </c>
    </row>
    <row r="211" spans="1:14" ht="12.75" customHeight="1" thickBot="1" x14ac:dyDescent="0.3">
      <c r="B211" s="38" t="s">
        <v>12</v>
      </c>
      <c r="C211" s="32">
        <f>SUM(C199:C210)</f>
        <v>2103.7443142619654</v>
      </c>
      <c r="D211" s="32">
        <f>SUM(D199:D210)</f>
        <v>3056914.4259173274</v>
      </c>
      <c r="E211" s="51">
        <f>SUM(E200:E210)</f>
        <v>1</v>
      </c>
      <c r="F211" s="51">
        <f>SUM(F200:F210)</f>
        <v>1</v>
      </c>
      <c r="G211" s="52"/>
      <c r="H211" s="52"/>
      <c r="I211" s="51">
        <f>SUM(I199:I210)</f>
        <v>0.4855126462357966</v>
      </c>
    </row>
    <row r="212" spans="1:14" ht="12.75" customHeight="1" thickBot="1" x14ac:dyDescent="0.3">
      <c r="B212" s="4"/>
      <c r="C212" s="4"/>
      <c r="D212" s="4"/>
      <c r="E212" s="50"/>
      <c r="F212" s="50"/>
      <c r="G212" s="50"/>
      <c r="H212" s="53"/>
      <c r="I212" s="53"/>
    </row>
    <row r="213" spans="1:14" ht="12.75" customHeight="1" thickBot="1" x14ac:dyDescent="0.3">
      <c r="B213" s="4"/>
      <c r="C213" s="4"/>
      <c r="D213" s="4"/>
      <c r="E213" s="50"/>
      <c r="F213" s="50"/>
      <c r="G213" s="55"/>
      <c r="H213" s="56" t="s">
        <v>29</v>
      </c>
      <c r="I213" s="52">
        <f>1-(2*I211)</f>
        <v>2.8974707528406807E-2</v>
      </c>
    </row>
    <row r="214" spans="1:14" ht="12.75" customHeight="1" x14ac:dyDescent="0.25"/>
    <row r="215" spans="1:14" ht="12.75" customHeight="1" x14ac:dyDescent="0.25"/>
    <row r="216" spans="1:14" ht="12.75" customHeight="1" x14ac:dyDescent="0.25"/>
    <row r="217" spans="1:14" ht="12.75" customHeight="1" x14ac:dyDescent="0.25"/>
    <row r="218" spans="1:14" ht="16.2" thickBot="1" x14ac:dyDescent="0.35">
      <c r="B218" s="256" t="s">
        <v>119</v>
      </c>
      <c r="C218" s="256"/>
      <c r="D218" s="256"/>
      <c r="E218" s="256"/>
      <c r="F218" s="256"/>
      <c r="G218" s="256"/>
      <c r="H218" s="256"/>
      <c r="I218" s="256"/>
    </row>
    <row r="219" spans="1:14" ht="27" thickBot="1" x14ac:dyDescent="0.3">
      <c r="A219" s="8"/>
      <c r="B219" s="30" t="s">
        <v>19</v>
      </c>
      <c r="C219" s="31" t="s">
        <v>38</v>
      </c>
      <c r="D219" s="37" t="s">
        <v>115</v>
      </c>
      <c r="E219" s="31" t="s">
        <v>15</v>
      </c>
      <c r="F219" s="31" t="s">
        <v>21</v>
      </c>
      <c r="G219" s="31" t="s">
        <v>17</v>
      </c>
      <c r="H219" s="31" t="s">
        <v>117</v>
      </c>
      <c r="I219" s="31" t="s">
        <v>20</v>
      </c>
      <c r="J219" s="8"/>
      <c r="K219" s="8"/>
      <c r="L219" s="8"/>
      <c r="M219" s="8"/>
      <c r="N219" s="8"/>
    </row>
    <row r="220" spans="1:14" ht="12.75" customHeight="1" x14ac:dyDescent="0.25">
      <c r="B220" s="4"/>
      <c r="C220" s="26">
        <v>0</v>
      </c>
      <c r="D220" s="26">
        <v>0</v>
      </c>
      <c r="E220" s="49">
        <v>0</v>
      </c>
      <c r="F220" s="49">
        <v>0</v>
      </c>
      <c r="G220" s="49">
        <v>0</v>
      </c>
      <c r="H220" s="50">
        <f>F220</f>
        <v>0</v>
      </c>
      <c r="I220" s="49">
        <v>0</v>
      </c>
    </row>
    <row r="221" spans="1:14" ht="12.75" customHeight="1" x14ac:dyDescent="0.25">
      <c r="B221" s="82" t="s">
        <v>2</v>
      </c>
      <c r="C221" s="84">
        <v>0</v>
      </c>
      <c r="D221" s="29">
        <v>251430.37783690859</v>
      </c>
      <c r="E221" s="49">
        <f t="shared" ref="E221:E231" si="51">C221/$C$232</f>
        <v>0</v>
      </c>
      <c r="F221" s="49">
        <f t="shared" ref="F221:F231" si="52">D221/$D$232</f>
        <v>8.2249727275718124E-2</v>
      </c>
      <c r="G221" s="49">
        <f t="shared" ref="G221:G231" si="53">G220+E221</f>
        <v>0</v>
      </c>
      <c r="H221" s="50">
        <f t="shared" ref="H221:H231" si="54">F221+H220</f>
        <v>8.2249727275718124E-2</v>
      </c>
      <c r="I221" s="49">
        <f t="shared" ref="I221:I231" si="55">(G220+G221)*0.5*(H221-H220)</f>
        <v>0</v>
      </c>
    </row>
    <row r="222" spans="1:14" ht="12.75" customHeight="1" x14ac:dyDescent="0.25">
      <c r="B222" s="82" t="s">
        <v>7</v>
      </c>
      <c r="C222" s="84">
        <v>0</v>
      </c>
      <c r="D222" s="29">
        <v>1339764.2833351614</v>
      </c>
      <c r="E222" s="49">
        <f t="shared" si="51"/>
        <v>0</v>
      </c>
      <c r="F222" s="49">
        <f t="shared" si="52"/>
        <v>0.43827340143259691</v>
      </c>
      <c r="G222" s="49">
        <f t="shared" si="53"/>
        <v>0</v>
      </c>
      <c r="H222" s="50">
        <f t="shared" si="54"/>
        <v>0.52052312870831507</v>
      </c>
      <c r="I222" s="49">
        <f t="shared" si="55"/>
        <v>0</v>
      </c>
    </row>
    <row r="223" spans="1:14" ht="12.75" customHeight="1" x14ac:dyDescent="0.25">
      <c r="B223" s="82" t="s">
        <v>8</v>
      </c>
      <c r="C223" s="84">
        <v>0</v>
      </c>
      <c r="D223" s="29">
        <v>617141.72101696266</v>
      </c>
      <c r="E223" s="49">
        <f t="shared" si="51"/>
        <v>0</v>
      </c>
      <c r="F223" s="49">
        <f t="shared" si="52"/>
        <v>0.20188387211126102</v>
      </c>
      <c r="G223" s="49">
        <f t="shared" si="53"/>
        <v>0</v>
      </c>
      <c r="H223" s="50">
        <f t="shared" si="54"/>
        <v>0.7224070008195761</v>
      </c>
      <c r="I223" s="49">
        <f t="shared" si="55"/>
        <v>0</v>
      </c>
    </row>
    <row r="224" spans="1:14" ht="12.75" customHeight="1" x14ac:dyDescent="0.25">
      <c r="B224" s="111" t="s">
        <v>10</v>
      </c>
      <c r="C224" s="84">
        <v>0</v>
      </c>
      <c r="D224" s="29">
        <v>237021.44592026682</v>
      </c>
      <c r="E224" s="49">
        <f t="shared" si="51"/>
        <v>0</v>
      </c>
      <c r="F224" s="49">
        <f t="shared" si="52"/>
        <v>7.7536173047808091E-2</v>
      </c>
      <c r="G224" s="49">
        <f t="shared" si="53"/>
        <v>0</v>
      </c>
      <c r="H224" s="50">
        <f t="shared" si="54"/>
        <v>0.79994317386738423</v>
      </c>
      <c r="I224" s="49">
        <f t="shared" si="55"/>
        <v>0</v>
      </c>
    </row>
    <row r="225" spans="1:14" ht="12.75" customHeight="1" x14ac:dyDescent="0.25">
      <c r="B225" s="82" t="s">
        <v>195</v>
      </c>
      <c r="C225" s="84">
        <v>4.4267135247947871E-3</v>
      </c>
      <c r="D225" s="29">
        <v>20450.034940117202</v>
      </c>
      <c r="E225" s="49">
        <f t="shared" si="51"/>
        <v>3.2068255804301324E-5</v>
      </c>
      <c r="F225" s="49">
        <f t="shared" si="52"/>
        <v>6.6897636279041406E-3</v>
      </c>
      <c r="G225" s="49">
        <f t="shared" si="53"/>
        <v>3.2068255804301324E-5</v>
      </c>
      <c r="H225" s="50">
        <f t="shared" si="54"/>
        <v>0.80663293749528842</v>
      </c>
      <c r="I225" s="49">
        <f t="shared" si="55"/>
        <v>1.0726452564497119E-7</v>
      </c>
    </row>
    <row r="226" spans="1:14" ht="12.75" customHeight="1" x14ac:dyDescent="0.25">
      <c r="B226" s="82" t="s">
        <v>3</v>
      </c>
      <c r="C226" s="84">
        <v>0.45743447564730311</v>
      </c>
      <c r="D226" s="29">
        <v>24496.645034227455</v>
      </c>
      <c r="E226" s="49">
        <f t="shared" si="51"/>
        <v>3.3137734566738627E-3</v>
      </c>
      <c r="F226" s="49">
        <f t="shared" si="52"/>
        <v>8.0135200470573958E-3</v>
      </c>
      <c r="G226" s="49">
        <f t="shared" si="53"/>
        <v>3.3458417124781641E-3</v>
      </c>
      <c r="H226" s="50">
        <f t="shared" si="54"/>
        <v>0.81464645754234577</v>
      </c>
      <c r="I226" s="49">
        <f t="shared" si="55"/>
        <v>1.3534474623993205E-5</v>
      </c>
    </row>
    <row r="227" spans="1:14" ht="12.75" customHeight="1" x14ac:dyDescent="0.25">
      <c r="B227" s="111" t="s">
        <v>6</v>
      </c>
      <c r="C227" s="84">
        <v>1.9083911264401188</v>
      </c>
      <c r="D227" s="29">
        <v>20836.189535136225</v>
      </c>
      <c r="E227" s="49">
        <f t="shared" si="51"/>
        <v>1.3824878089480056E-2</v>
      </c>
      <c r="F227" s="49">
        <f t="shared" si="52"/>
        <v>6.8160853174303836E-3</v>
      </c>
      <c r="G227" s="49">
        <f t="shared" si="53"/>
        <v>1.717071980195822E-2</v>
      </c>
      <c r="H227" s="50">
        <f t="shared" si="54"/>
        <v>0.82146254285977616</v>
      </c>
      <c r="I227" s="49">
        <f t="shared" si="55"/>
        <v>6.9921316851353596E-5</v>
      </c>
    </row>
    <row r="228" spans="1:14" ht="12.75" customHeight="1" x14ac:dyDescent="0.25">
      <c r="B228" s="82" t="s">
        <v>1</v>
      </c>
      <c r="C228" s="84">
        <v>2.8482081257467033</v>
      </c>
      <c r="D228" s="29">
        <v>13199.085501550475</v>
      </c>
      <c r="E228" s="49">
        <f t="shared" si="51"/>
        <v>2.063315510451269E-2</v>
      </c>
      <c r="F228" s="49">
        <f t="shared" si="52"/>
        <v>4.3177805010323955E-3</v>
      </c>
      <c r="G228" s="49">
        <f t="shared" si="53"/>
        <v>3.7803874906470913E-2</v>
      </c>
      <c r="H228" s="50">
        <f t="shared" si="54"/>
        <v>0.82578032336080853</v>
      </c>
      <c r="I228" s="49">
        <f t="shared" si="55"/>
        <v>1.1868411654210647E-4</v>
      </c>
    </row>
    <row r="229" spans="1:14" ht="12.75" customHeight="1" x14ac:dyDescent="0.25">
      <c r="B229" s="82" t="s">
        <v>5</v>
      </c>
      <c r="C229" s="84">
        <v>15.369887542025644</v>
      </c>
      <c r="D229" s="29">
        <v>49475.746319971244</v>
      </c>
      <c r="E229" s="49">
        <f t="shared" si="51"/>
        <v>0.11134343404430527</v>
      </c>
      <c r="F229" s="49">
        <f t="shared" si="52"/>
        <v>1.6184864679397896E-2</v>
      </c>
      <c r="G229" s="49">
        <f t="shared" si="53"/>
        <v>0.14914730895077619</v>
      </c>
      <c r="H229" s="50">
        <f t="shared" si="54"/>
        <v>0.84196518804020648</v>
      </c>
      <c r="I229" s="49">
        <f t="shared" si="55"/>
        <v>1.5128898061913952E-3</v>
      </c>
    </row>
    <row r="230" spans="1:14" ht="12.75" customHeight="1" x14ac:dyDescent="0.25">
      <c r="B230" s="82" t="s">
        <v>9</v>
      </c>
      <c r="C230" s="84">
        <v>24.613443607903758</v>
      </c>
      <c r="D230" s="29">
        <v>119784.51078433092</v>
      </c>
      <c r="E230" s="49">
        <f t="shared" si="51"/>
        <v>0.17830614098290756</v>
      </c>
      <c r="F230" s="49">
        <f t="shared" si="52"/>
        <v>3.9184777227902166E-2</v>
      </c>
      <c r="G230" s="49">
        <f t="shared" si="53"/>
        <v>0.32745344993368375</v>
      </c>
      <c r="H230" s="50">
        <f t="shared" si="54"/>
        <v>0.88114996526810863</v>
      </c>
      <c r="I230" s="49">
        <f t="shared" si="55"/>
        <v>9.3377472817683348E-3</v>
      </c>
    </row>
    <row r="231" spans="1:14" ht="12.75" customHeight="1" thickBot="1" x14ac:dyDescent="0.3">
      <c r="B231" s="86" t="s">
        <v>4</v>
      </c>
      <c r="C231" s="87">
        <v>92.838566818258556</v>
      </c>
      <c r="D231" s="32">
        <v>363314.38569269452</v>
      </c>
      <c r="E231" s="51">
        <f t="shared" si="51"/>
        <v>0.67254655006631625</v>
      </c>
      <c r="F231" s="51">
        <f t="shared" si="52"/>
        <v>0.1188500347318915</v>
      </c>
      <c r="G231" s="51">
        <f t="shared" si="53"/>
        <v>1</v>
      </c>
      <c r="H231" s="52">
        <f t="shared" si="54"/>
        <v>1.0000000000000002</v>
      </c>
      <c r="I231" s="51">
        <f t="shared" si="55"/>
        <v>7.8883944314793827E-2</v>
      </c>
    </row>
    <row r="232" spans="1:14" ht="12.75" customHeight="1" thickBot="1" x14ac:dyDescent="0.3">
      <c r="B232" s="38" t="s">
        <v>12</v>
      </c>
      <c r="C232" s="32">
        <f>SUM(C220:C231)</f>
        <v>138.04035840954688</v>
      </c>
      <c r="D232" s="32">
        <f>SUM(D220:D231)</f>
        <v>3056914.4259173274</v>
      </c>
      <c r="E232" s="51">
        <f>SUM(E221:E231)</f>
        <v>1</v>
      </c>
      <c r="F232" s="51">
        <f>SUM(F221:F231)</f>
        <v>1.0000000000000002</v>
      </c>
      <c r="G232" s="52"/>
      <c r="H232" s="52"/>
      <c r="I232" s="51">
        <f>SUM(I220:I231)</f>
        <v>8.9936828575296654E-2</v>
      </c>
    </row>
    <row r="233" spans="1:14" ht="12.75" customHeight="1" thickBot="1" x14ac:dyDescent="0.3">
      <c r="B233" s="4"/>
      <c r="C233" s="4"/>
      <c r="D233" s="4"/>
      <c r="E233" s="50"/>
      <c r="F233" s="50"/>
      <c r="G233" s="50"/>
      <c r="H233" s="53"/>
      <c r="I233" s="53"/>
    </row>
    <row r="234" spans="1:14" ht="12.75" customHeight="1" thickBot="1" x14ac:dyDescent="0.3">
      <c r="B234" s="4"/>
      <c r="C234" s="4"/>
      <c r="D234" s="4"/>
      <c r="E234" s="50"/>
      <c r="F234" s="50"/>
      <c r="G234" s="55"/>
      <c r="H234" s="56" t="s">
        <v>33</v>
      </c>
      <c r="I234" s="52">
        <f>1-(2*I232)</f>
        <v>0.82012634284940666</v>
      </c>
    </row>
    <row r="235" spans="1:14" ht="12.75" customHeight="1" x14ac:dyDescent="0.25"/>
    <row r="236" spans="1:14" ht="12.75" customHeight="1" x14ac:dyDescent="0.25"/>
    <row r="237" spans="1:14" ht="12.75" customHeight="1" x14ac:dyDescent="0.25"/>
    <row r="238" spans="1:14" ht="12.75" customHeight="1" x14ac:dyDescent="0.25"/>
    <row r="239" spans="1:14" ht="16.2" thickBot="1" x14ac:dyDescent="0.35">
      <c r="B239" s="256" t="s">
        <v>118</v>
      </c>
      <c r="C239" s="256"/>
      <c r="D239" s="256"/>
      <c r="E239" s="256"/>
      <c r="F239" s="256"/>
      <c r="G239" s="256"/>
      <c r="H239" s="256"/>
      <c r="I239" s="256"/>
    </row>
    <row r="240" spans="1:14" ht="27" thickBot="1" x14ac:dyDescent="0.3">
      <c r="A240" s="8"/>
      <c r="B240" s="30" t="s">
        <v>19</v>
      </c>
      <c r="C240" s="31" t="s">
        <v>39</v>
      </c>
      <c r="D240" s="37" t="s">
        <v>115</v>
      </c>
      <c r="E240" s="31" t="s">
        <v>15</v>
      </c>
      <c r="F240" s="31" t="s">
        <v>21</v>
      </c>
      <c r="G240" s="31" t="s">
        <v>17</v>
      </c>
      <c r="H240" s="31" t="s">
        <v>117</v>
      </c>
      <c r="I240" s="31" t="s">
        <v>20</v>
      </c>
      <c r="J240" s="8"/>
      <c r="K240" s="8"/>
      <c r="L240" s="8"/>
      <c r="M240" s="8"/>
      <c r="N240" s="8"/>
    </row>
    <row r="241" spans="2:9" ht="12.75" customHeight="1" x14ac:dyDescent="0.25">
      <c r="B241" s="4"/>
      <c r="C241" s="26">
        <v>0</v>
      </c>
      <c r="D241" s="26">
        <v>0</v>
      </c>
      <c r="E241" s="49">
        <v>0</v>
      </c>
      <c r="F241" s="49">
        <v>0</v>
      </c>
      <c r="G241" s="49">
        <v>0</v>
      </c>
      <c r="H241" s="50">
        <f>F241</f>
        <v>0</v>
      </c>
      <c r="I241" s="49">
        <v>0</v>
      </c>
    </row>
    <row r="242" spans="2:9" ht="12.75" customHeight="1" x14ac:dyDescent="0.25">
      <c r="B242" s="82" t="s">
        <v>195</v>
      </c>
      <c r="C242" s="29">
        <v>4.4267135247947871E-3</v>
      </c>
      <c r="D242" s="29">
        <v>20450.034940117202</v>
      </c>
      <c r="E242" s="49">
        <f t="shared" ref="E242:E252" si="56">C242/$C$253</f>
        <v>1.5995908765297303E-5</v>
      </c>
      <c r="F242" s="49">
        <f t="shared" ref="F242:F252" si="57">D242/$D$253</f>
        <v>6.6897636279041389E-3</v>
      </c>
      <c r="G242" s="49">
        <f t="shared" ref="G242:G252" si="58">G241+E242</f>
        <v>1.5995908765297303E-5</v>
      </c>
      <c r="H242" s="50">
        <f t="shared" ref="H242:H252" si="59">F242+H241</f>
        <v>6.6897636279041389E-3</v>
      </c>
      <c r="I242" s="49">
        <f t="shared" ref="I242:I252" si="60">(G241+G242)*0.5*(H242-H241)</f>
        <v>5.3504424326679449E-8</v>
      </c>
    </row>
    <row r="243" spans="2:9" ht="12.75" customHeight="1" x14ac:dyDescent="0.25">
      <c r="B243" s="82" t="s">
        <v>3</v>
      </c>
      <c r="C243" s="29">
        <v>0.45743447564730311</v>
      </c>
      <c r="D243" s="29">
        <v>24496.645034227455</v>
      </c>
      <c r="E243" s="49">
        <f t="shared" si="56"/>
        <v>1.652937353540418E-3</v>
      </c>
      <c r="F243" s="49">
        <f t="shared" si="57"/>
        <v>8.0135200470573941E-3</v>
      </c>
      <c r="G243" s="49">
        <f t="shared" si="58"/>
        <v>1.6689332623057154E-3</v>
      </c>
      <c r="H243" s="50">
        <f t="shared" si="59"/>
        <v>1.4703283674961532E-2</v>
      </c>
      <c r="I243" s="49">
        <f t="shared" si="60"/>
        <v>6.7511068451246779E-6</v>
      </c>
    </row>
    <row r="244" spans="2:9" ht="12.75" customHeight="1" x14ac:dyDescent="0.25">
      <c r="B244" s="82" t="s">
        <v>1</v>
      </c>
      <c r="C244" s="29">
        <v>2.8482081257467033</v>
      </c>
      <c r="D244" s="29">
        <v>13199.085501550475</v>
      </c>
      <c r="E244" s="49">
        <f t="shared" si="56"/>
        <v>1.0291986836020688E-2</v>
      </c>
      <c r="F244" s="49">
        <f t="shared" si="57"/>
        <v>4.3177805010323946E-3</v>
      </c>
      <c r="G244" s="49">
        <f t="shared" si="58"/>
        <v>1.1960920098326402E-2</v>
      </c>
      <c r="H244" s="50">
        <f t="shared" si="59"/>
        <v>1.9021064175993925E-2</v>
      </c>
      <c r="I244" s="49">
        <f t="shared" si="60"/>
        <v>2.9425357536234096E-5</v>
      </c>
    </row>
    <row r="245" spans="2:9" ht="12.75" customHeight="1" x14ac:dyDescent="0.25">
      <c r="B245" s="111" t="s">
        <v>6</v>
      </c>
      <c r="C245" s="29">
        <v>5.7083911264401186</v>
      </c>
      <c r="D245" s="29">
        <v>20836.189535136225</v>
      </c>
      <c r="E245" s="49">
        <f t="shared" si="56"/>
        <v>2.0627244827053002E-2</v>
      </c>
      <c r="F245" s="49">
        <f t="shared" si="57"/>
        <v>6.8160853174303827E-3</v>
      </c>
      <c r="G245" s="49">
        <f t="shared" si="58"/>
        <v>3.2588164925379401E-2</v>
      </c>
      <c r="H245" s="50">
        <f t="shared" si="59"/>
        <v>2.5837149493424309E-2</v>
      </c>
      <c r="I245" s="49">
        <f t="shared" si="60"/>
        <v>1.5182518216751945E-4</v>
      </c>
    </row>
    <row r="246" spans="2:9" ht="12.75" customHeight="1" x14ac:dyDescent="0.25">
      <c r="B246" s="82" t="s">
        <v>5</v>
      </c>
      <c r="C246" s="29">
        <v>15.369887542025644</v>
      </c>
      <c r="D246" s="29">
        <v>49475.746319971244</v>
      </c>
      <c r="E246" s="49">
        <f t="shared" si="56"/>
        <v>5.5539017259202267E-2</v>
      </c>
      <c r="F246" s="49">
        <f t="shared" si="57"/>
        <v>1.6184864679397892E-2</v>
      </c>
      <c r="G246" s="49">
        <f t="shared" si="58"/>
        <v>8.8127182184581668E-2</v>
      </c>
      <c r="H246" s="50">
        <f t="shared" si="59"/>
        <v>4.2022014172822197E-2</v>
      </c>
      <c r="I246" s="49">
        <f t="shared" si="60"/>
        <v>9.7688077885063249E-4</v>
      </c>
    </row>
    <row r="247" spans="2:9" ht="12.75" customHeight="1" x14ac:dyDescent="0.25">
      <c r="B247" s="111" t="s">
        <v>10</v>
      </c>
      <c r="C247" s="29">
        <v>21.1</v>
      </c>
      <c r="D247" s="29">
        <v>237021.44592026682</v>
      </c>
      <c r="E247" s="49">
        <f t="shared" si="56"/>
        <v>7.6244752016885825E-2</v>
      </c>
      <c r="F247" s="49">
        <f t="shared" si="57"/>
        <v>7.7536173047808077E-2</v>
      </c>
      <c r="G247" s="49">
        <f t="shared" si="58"/>
        <v>0.16437193420146751</v>
      </c>
      <c r="H247" s="50">
        <f t="shared" si="59"/>
        <v>0.11955818722063027</v>
      </c>
      <c r="I247" s="49">
        <f t="shared" si="60"/>
        <v>9.7889075912636694E-3</v>
      </c>
    </row>
    <row r="248" spans="2:9" ht="12.75" customHeight="1" x14ac:dyDescent="0.25">
      <c r="B248" s="82" t="s">
        <v>8</v>
      </c>
      <c r="C248" s="29">
        <v>23.5</v>
      </c>
      <c r="D248" s="29">
        <v>617141.72101696266</v>
      </c>
      <c r="E248" s="49">
        <f t="shared" si="56"/>
        <v>8.4917140871887051E-2</v>
      </c>
      <c r="F248" s="49">
        <f t="shared" si="57"/>
        <v>0.20188387211126099</v>
      </c>
      <c r="G248" s="49">
        <f t="shared" si="58"/>
        <v>0.24928907507335457</v>
      </c>
      <c r="H248" s="50">
        <f t="shared" si="59"/>
        <v>0.32144205933189129</v>
      </c>
      <c r="I248" s="49">
        <f t="shared" si="60"/>
        <v>4.175574314692667E-2</v>
      </c>
    </row>
    <row r="249" spans="2:9" ht="12.75" customHeight="1" x14ac:dyDescent="0.25">
      <c r="B249" s="82" t="s">
        <v>9</v>
      </c>
      <c r="C249" s="29">
        <v>24.613443607903758</v>
      </c>
      <c r="D249" s="29">
        <v>119784.51078433092</v>
      </c>
      <c r="E249" s="49">
        <f t="shared" si="56"/>
        <v>8.8940564178494094E-2</v>
      </c>
      <c r="F249" s="49">
        <f t="shared" si="57"/>
        <v>3.9184777227902166E-2</v>
      </c>
      <c r="G249" s="49">
        <f t="shared" si="58"/>
        <v>0.33822963925184868</v>
      </c>
      <c r="H249" s="50">
        <f t="shared" si="59"/>
        <v>0.36062683655979344</v>
      </c>
      <c r="I249" s="49">
        <f t="shared" si="60"/>
        <v>1.1510894969028284E-2</v>
      </c>
    </row>
    <row r="250" spans="2:9" ht="12.75" customHeight="1" x14ac:dyDescent="0.25">
      <c r="B250" s="82" t="s">
        <v>7</v>
      </c>
      <c r="C250" s="29">
        <v>33.799999999999997</v>
      </c>
      <c r="D250" s="29">
        <v>1339764.2833351614</v>
      </c>
      <c r="E250" s="49">
        <f t="shared" si="56"/>
        <v>0.12213614304126731</v>
      </c>
      <c r="F250" s="49">
        <f t="shared" si="57"/>
        <v>0.43827340143259685</v>
      </c>
      <c r="G250" s="49">
        <f t="shared" si="58"/>
        <v>0.46036578229311598</v>
      </c>
      <c r="H250" s="50">
        <f t="shared" si="59"/>
        <v>0.79890023799239029</v>
      </c>
      <c r="I250" s="49">
        <f t="shared" si="60"/>
        <v>0.17500156588450511</v>
      </c>
    </row>
    <row r="251" spans="2:9" ht="12.75" customHeight="1" x14ac:dyDescent="0.25">
      <c r="B251" s="82" t="s">
        <v>2</v>
      </c>
      <c r="C251" s="29">
        <v>56.5</v>
      </c>
      <c r="D251" s="29">
        <v>251430.37783690859</v>
      </c>
      <c r="E251" s="49">
        <f t="shared" si="56"/>
        <v>0.20416248762815395</v>
      </c>
      <c r="F251" s="49">
        <f t="shared" si="57"/>
        <v>8.224972727571811E-2</v>
      </c>
      <c r="G251" s="49">
        <f t="shared" si="58"/>
        <v>0.6645282699212699</v>
      </c>
      <c r="H251" s="50">
        <f t="shared" si="59"/>
        <v>0.8811499652681084</v>
      </c>
      <c r="I251" s="49">
        <f t="shared" si="60"/>
        <v>4.6261114504355327E-2</v>
      </c>
    </row>
    <row r="252" spans="2:9" ht="12.75" customHeight="1" thickBot="1" x14ac:dyDescent="0.3">
      <c r="B252" s="86" t="s">
        <v>4</v>
      </c>
      <c r="C252" s="32">
        <v>92.838566818258556</v>
      </c>
      <c r="D252" s="32">
        <v>363314.38569269452</v>
      </c>
      <c r="E252" s="51">
        <f t="shared" si="56"/>
        <v>0.33547173007873021</v>
      </c>
      <c r="F252" s="51">
        <f t="shared" si="57"/>
        <v>0.11885003473189147</v>
      </c>
      <c r="G252" s="51">
        <f t="shared" si="58"/>
        <v>1</v>
      </c>
      <c r="H252" s="52">
        <f t="shared" si="59"/>
        <v>0.99999999999999989</v>
      </c>
      <c r="I252" s="51">
        <f t="shared" si="60"/>
        <v>9.8914621346179094E-2</v>
      </c>
    </row>
    <row r="253" spans="2:9" ht="12.75" customHeight="1" thickBot="1" x14ac:dyDescent="0.3">
      <c r="B253" s="38" t="s">
        <v>12</v>
      </c>
      <c r="C253" s="32">
        <f>SUM(C241:C252)</f>
        <v>276.74035840954684</v>
      </c>
      <c r="D253" s="32">
        <f>SUM(D241:D252)</f>
        <v>3056914.4259173279</v>
      </c>
      <c r="E253" s="51">
        <f>SUM(E242:E252)</f>
        <v>1</v>
      </c>
      <c r="F253" s="51">
        <f>SUM(F242:F252)</f>
        <v>0.99999999999999989</v>
      </c>
      <c r="G253" s="52"/>
      <c r="H253" s="52"/>
      <c r="I253" s="51">
        <f>SUM(I241:I252)</f>
        <v>0.38439778337208197</v>
      </c>
    </row>
    <row r="254" spans="2:9" ht="12.75" customHeight="1" thickBot="1" x14ac:dyDescent="0.3">
      <c r="B254" s="4"/>
      <c r="C254" s="4"/>
      <c r="D254" s="4"/>
      <c r="E254" s="50"/>
      <c r="F254" s="50"/>
      <c r="G254" s="50"/>
      <c r="H254" s="53"/>
      <c r="I254" s="53"/>
    </row>
    <row r="255" spans="2:9" ht="12.75" customHeight="1" thickBot="1" x14ac:dyDescent="0.3">
      <c r="B255" s="4"/>
      <c r="C255" s="4"/>
      <c r="D255" s="4"/>
      <c r="E255" s="50"/>
      <c r="F255" s="50"/>
      <c r="G255" s="55"/>
      <c r="H255" s="57" t="s">
        <v>29</v>
      </c>
      <c r="I255" s="58">
        <f>1-(2*I253)</f>
        <v>0.23120443325583606</v>
      </c>
    </row>
    <row r="256" spans="2:9" ht="12.6" customHeight="1" x14ac:dyDescent="0.25"/>
    <row r="257" ht="12.75" customHeight="1" x14ac:dyDescent="0.25"/>
    <row r="258" ht="12.75" customHeight="1" x14ac:dyDescent="0.25"/>
    <row r="259" ht="12.75" customHeight="1" x14ac:dyDescent="0.25"/>
    <row r="260" ht="12.75" customHeight="1" x14ac:dyDescent="0.25"/>
    <row r="261" ht="12.75" customHeight="1" x14ac:dyDescent="0.25"/>
    <row r="262" ht="12.75" customHeight="1" x14ac:dyDescent="0.25"/>
    <row r="263" ht="12.75" customHeight="1" x14ac:dyDescent="0.25"/>
    <row r="264" ht="12.75" customHeight="1" x14ac:dyDescent="0.25"/>
    <row r="265" ht="12.75" customHeight="1" x14ac:dyDescent="0.25"/>
    <row r="266" ht="12.75" customHeight="1" x14ac:dyDescent="0.25"/>
    <row r="267" ht="12.75" customHeight="1" x14ac:dyDescent="0.25"/>
    <row r="268" ht="12.75" customHeight="1" x14ac:dyDescent="0.25"/>
    <row r="269" ht="12.75" customHeight="1" x14ac:dyDescent="0.25"/>
    <row r="270" ht="12.75" customHeight="1" x14ac:dyDescent="0.25"/>
    <row r="271" ht="12.75" customHeight="1" x14ac:dyDescent="0.25"/>
    <row r="272" ht="12.75" customHeight="1" x14ac:dyDescent="0.25"/>
    <row r="273" ht="12.75" customHeight="1" x14ac:dyDescent="0.25"/>
    <row r="274" ht="12.75" customHeight="1" x14ac:dyDescent="0.25"/>
    <row r="275" ht="12.75" customHeight="1" x14ac:dyDescent="0.25"/>
    <row r="276" ht="12.75" customHeight="1" x14ac:dyDescent="0.25"/>
    <row r="277" ht="12.75" customHeight="1" x14ac:dyDescent="0.25"/>
    <row r="278" ht="12.75" customHeight="1" x14ac:dyDescent="0.25"/>
    <row r="279" ht="12.75" customHeight="1" x14ac:dyDescent="0.25"/>
    <row r="280" ht="12.75" customHeight="1" x14ac:dyDescent="0.25"/>
    <row r="281" ht="12.75" customHeight="1" x14ac:dyDescent="0.25"/>
    <row r="282" ht="12.75" customHeight="1" x14ac:dyDescent="0.25"/>
    <row r="283" ht="12.75" customHeight="1" x14ac:dyDescent="0.25"/>
    <row r="284" ht="12.75" customHeight="1" x14ac:dyDescent="0.25"/>
    <row r="285" ht="12.75" customHeight="1" x14ac:dyDescent="0.25"/>
    <row r="286" ht="12.75" customHeight="1" x14ac:dyDescent="0.25"/>
    <row r="287" ht="12.75" customHeight="1" x14ac:dyDescent="0.25"/>
    <row r="288" ht="12.75" customHeight="1" x14ac:dyDescent="0.25"/>
    <row r="289" ht="12.75" customHeight="1" x14ac:dyDescent="0.25"/>
    <row r="290" ht="12.75" customHeight="1" x14ac:dyDescent="0.25"/>
    <row r="291" ht="12.75" customHeight="1" x14ac:dyDescent="0.25"/>
    <row r="292" ht="12.75" customHeight="1" x14ac:dyDescent="0.25"/>
    <row r="293" ht="12.75" customHeight="1" x14ac:dyDescent="0.25"/>
    <row r="294" ht="12.75" customHeight="1" x14ac:dyDescent="0.25"/>
    <row r="295" ht="12.75" customHeight="1" x14ac:dyDescent="0.25"/>
    <row r="296" ht="12.75" customHeight="1" x14ac:dyDescent="0.25"/>
    <row r="297" ht="12.75" customHeight="1" x14ac:dyDescent="0.25"/>
    <row r="298" ht="12.75" customHeight="1" x14ac:dyDescent="0.25"/>
    <row r="299" ht="12.75" customHeight="1" x14ac:dyDescent="0.25"/>
    <row r="300" ht="12.75" customHeight="1" x14ac:dyDescent="0.25"/>
    <row r="301" ht="12.75" customHeight="1" x14ac:dyDescent="0.25"/>
    <row r="302" ht="12.75" customHeight="1" x14ac:dyDescent="0.25"/>
    <row r="303" ht="12.75" customHeight="1" x14ac:dyDescent="0.25"/>
    <row r="304" ht="12.75" customHeight="1" x14ac:dyDescent="0.25"/>
    <row r="305" ht="12.75" customHeight="1" x14ac:dyDescent="0.25"/>
    <row r="306" ht="12.75" customHeight="1" x14ac:dyDescent="0.25"/>
    <row r="307" ht="12.75" customHeight="1" x14ac:dyDescent="0.25"/>
    <row r="308" ht="12.75" customHeight="1" x14ac:dyDescent="0.25"/>
    <row r="309" ht="12.75" customHeight="1" x14ac:dyDescent="0.25"/>
    <row r="310" ht="12.75" customHeight="1" x14ac:dyDescent="0.25"/>
    <row r="311" ht="12.75" customHeight="1" x14ac:dyDescent="0.25"/>
    <row r="312" ht="12.75" customHeight="1" x14ac:dyDescent="0.25"/>
    <row r="313" ht="12.75" customHeight="1" x14ac:dyDescent="0.25"/>
    <row r="314" ht="12.75" customHeight="1" x14ac:dyDescent="0.25"/>
    <row r="315" ht="12.75" customHeight="1" x14ac:dyDescent="0.25"/>
    <row r="316" ht="12.75" customHeight="1" x14ac:dyDescent="0.25"/>
    <row r="317" ht="12.75" customHeight="1" x14ac:dyDescent="0.25"/>
    <row r="318" ht="12.75" customHeight="1" x14ac:dyDescent="0.25"/>
    <row r="319" ht="12.75" customHeight="1" x14ac:dyDescent="0.25"/>
    <row r="320" ht="12.75" customHeight="1" x14ac:dyDescent="0.25"/>
    <row r="321" ht="12.75" customHeight="1" x14ac:dyDescent="0.25"/>
    <row r="322" ht="12.75" customHeight="1" x14ac:dyDescent="0.25"/>
    <row r="323" ht="12.75" customHeight="1" x14ac:dyDescent="0.25"/>
    <row r="324" ht="12.75" customHeight="1" x14ac:dyDescent="0.25"/>
    <row r="325" ht="12.75" customHeight="1" x14ac:dyDescent="0.25"/>
    <row r="326" ht="12.75" customHeight="1" x14ac:dyDescent="0.25"/>
    <row r="327" ht="12.75" customHeight="1" x14ac:dyDescent="0.25"/>
    <row r="328" ht="12.75" customHeight="1" x14ac:dyDescent="0.25"/>
    <row r="329" ht="12.75" customHeight="1" x14ac:dyDescent="0.25"/>
    <row r="330" ht="12.75" customHeight="1" x14ac:dyDescent="0.25"/>
    <row r="331" ht="12.75" customHeight="1" x14ac:dyDescent="0.25"/>
    <row r="332" ht="12.75" customHeight="1" x14ac:dyDescent="0.25"/>
    <row r="333" ht="12.75" customHeight="1" x14ac:dyDescent="0.25"/>
    <row r="334" ht="12.75" customHeight="1" x14ac:dyDescent="0.25"/>
    <row r="335" ht="12.75" customHeight="1" x14ac:dyDescent="0.25"/>
    <row r="336" ht="12.75" customHeight="1" x14ac:dyDescent="0.25"/>
    <row r="337" ht="12.75" customHeight="1" x14ac:dyDescent="0.25"/>
    <row r="338" ht="12.75" customHeight="1" x14ac:dyDescent="0.25"/>
    <row r="339" ht="12.75" customHeight="1" x14ac:dyDescent="0.25"/>
    <row r="340" ht="12.75" customHeight="1" x14ac:dyDescent="0.25"/>
    <row r="341" ht="12.75" customHeight="1" x14ac:dyDescent="0.25"/>
    <row r="342" ht="12.75" customHeight="1" x14ac:dyDescent="0.25"/>
    <row r="343" ht="12.75" customHeight="1" x14ac:dyDescent="0.25"/>
    <row r="344" ht="12.75" customHeight="1" x14ac:dyDescent="0.25"/>
    <row r="345" ht="12.75" customHeight="1" x14ac:dyDescent="0.25"/>
    <row r="346" ht="12.75" customHeight="1" x14ac:dyDescent="0.25"/>
    <row r="347" ht="12.75" customHeight="1" x14ac:dyDescent="0.25"/>
    <row r="348" ht="12.75" customHeight="1" x14ac:dyDescent="0.25"/>
    <row r="349" ht="12.75" customHeight="1" x14ac:dyDescent="0.25"/>
    <row r="350" ht="12.75" customHeight="1" x14ac:dyDescent="0.25"/>
    <row r="351" ht="12.75" customHeight="1" x14ac:dyDescent="0.25"/>
    <row r="352" ht="12.75" customHeight="1" x14ac:dyDescent="0.25"/>
    <row r="353" ht="12.75" customHeight="1" x14ac:dyDescent="0.25"/>
    <row r="354" ht="12.75" customHeight="1" x14ac:dyDescent="0.25"/>
    <row r="355" ht="12.75" customHeight="1" x14ac:dyDescent="0.25"/>
    <row r="356" ht="12.75" customHeight="1" x14ac:dyDescent="0.25"/>
    <row r="357" ht="12.75" customHeight="1" x14ac:dyDescent="0.25"/>
    <row r="358" ht="12.75" customHeight="1" x14ac:dyDescent="0.25"/>
    <row r="359" ht="12.75" customHeight="1" x14ac:dyDescent="0.25"/>
    <row r="360" ht="12.75" customHeight="1" x14ac:dyDescent="0.25"/>
    <row r="361" ht="12.75" customHeight="1" x14ac:dyDescent="0.25"/>
    <row r="362" ht="12.75" customHeight="1" x14ac:dyDescent="0.25"/>
    <row r="363" ht="12.75" customHeight="1" x14ac:dyDescent="0.25"/>
    <row r="364" ht="12.75" customHeight="1" x14ac:dyDescent="0.25"/>
    <row r="365" ht="12.75" customHeight="1" x14ac:dyDescent="0.25"/>
    <row r="366" ht="12.75" customHeight="1" x14ac:dyDescent="0.25"/>
    <row r="367" ht="12.75" customHeight="1" x14ac:dyDescent="0.25"/>
    <row r="368" ht="12.75" customHeight="1" x14ac:dyDescent="0.25"/>
    <row r="369" ht="12.75" customHeight="1" x14ac:dyDescent="0.25"/>
    <row r="370" ht="12.75" customHeight="1" x14ac:dyDescent="0.25"/>
    <row r="371" ht="12.75" customHeight="1" x14ac:dyDescent="0.25"/>
    <row r="372" ht="12.75" customHeight="1" x14ac:dyDescent="0.25"/>
    <row r="373" ht="12.75" customHeight="1" x14ac:dyDescent="0.25"/>
    <row r="374" ht="12.75" customHeight="1" x14ac:dyDescent="0.25"/>
    <row r="375" ht="12.75" customHeight="1" x14ac:dyDescent="0.25"/>
    <row r="376" ht="12.75" customHeight="1" x14ac:dyDescent="0.25"/>
    <row r="377" ht="12.75" customHeight="1" x14ac:dyDescent="0.25"/>
    <row r="378" ht="12.75" customHeight="1" x14ac:dyDescent="0.25"/>
    <row r="379" ht="12.75" customHeight="1" x14ac:dyDescent="0.25"/>
    <row r="380" ht="12.75" customHeight="1" x14ac:dyDescent="0.25"/>
    <row r="381" ht="12.75" customHeight="1" x14ac:dyDescent="0.25"/>
    <row r="382" ht="12.75" customHeight="1" x14ac:dyDescent="0.25"/>
    <row r="383" ht="12.75" customHeight="1" x14ac:dyDescent="0.25"/>
    <row r="384" ht="12.75" customHeight="1" x14ac:dyDescent="0.25"/>
    <row r="385" ht="12.75" customHeight="1" x14ac:dyDescent="0.25"/>
    <row r="386" ht="12.75" customHeight="1" x14ac:dyDescent="0.25"/>
    <row r="387" ht="12.75" customHeight="1" x14ac:dyDescent="0.25"/>
    <row r="388" ht="12.75" customHeight="1" x14ac:dyDescent="0.25"/>
    <row r="389" ht="12.75" customHeight="1" x14ac:dyDescent="0.25"/>
    <row r="390" ht="12.75" customHeight="1" x14ac:dyDescent="0.25"/>
    <row r="391" ht="12.75" customHeight="1" x14ac:dyDescent="0.25"/>
    <row r="392" ht="12.75" customHeight="1" x14ac:dyDescent="0.25"/>
    <row r="393" ht="12.75" customHeight="1" x14ac:dyDescent="0.25"/>
    <row r="394" ht="12.75" customHeight="1" x14ac:dyDescent="0.25"/>
    <row r="395" ht="12.75" customHeight="1" x14ac:dyDescent="0.25"/>
    <row r="396" ht="12.75" customHeight="1" x14ac:dyDescent="0.25"/>
    <row r="397" ht="12.75" customHeight="1" x14ac:dyDescent="0.25"/>
    <row r="398" ht="12.75" customHeight="1" x14ac:dyDescent="0.25"/>
    <row r="399" ht="12.75" customHeight="1" x14ac:dyDescent="0.25"/>
    <row r="400" ht="12.75" customHeight="1" x14ac:dyDescent="0.25"/>
    <row r="401" ht="12.75" customHeight="1" x14ac:dyDescent="0.25"/>
    <row r="402" ht="12.75" customHeight="1" x14ac:dyDescent="0.25"/>
    <row r="403" ht="12.75" customHeight="1" x14ac:dyDescent="0.25"/>
    <row r="404" ht="12.75" customHeight="1" x14ac:dyDescent="0.25"/>
    <row r="405" ht="12.75" customHeight="1" x14ac:dyDescent="0.25"/>
    <row r="406" ht="12.75" customHeight="1" x14ac:dyDescent="0.25"/>
    <row r="407" ht="12.75" customHeight="1" x14ac:dyDescent="0.25"/>
    <row r="408" ht="12.75" customHeight="1" x14ac:dyDescent="0.25"/>
    <row r="409" ht="12.75" customHeight="1" x14ac:dyDescent="0.25"/>
    <row r="410" ht="12.75" customHeight="1" x14ac:dyDescent="0.25"/>
    <row r="411" ht="12.75" customHeight="1" x14ac:dyDescent="0.25"/>
    <row r="412" ht="12.75" customHeight="1" x14ac:dyDescent="0.25"/>
    <row r="413" ht="12.75" customHeight="1" x14ac:dyDescent="0.25"/>
    <row r="414" ht="12.75" customHeight="1" x14ac:dyDescent="0.25"/>
    <row r="415" ht="12.75" customHeight="1" x14ac:dyDescent="0.25"/>
    <row r="416" ht="12.75" customHeight="1" x14ac:dyDescent="0.25"/>
    <row r="417" ht="12.75" customHeight="1" x14ac:dyDescent="0.25"/>
    <row r="418" ht="12.75" customHeight="1" x14ac:dyDescent="0.25"/>
    <row r="419" ht="12.75" customHeight="1" x14ac:dyDescent="0.25"/>
    <row r="420" ht="12.75" customHeight="1" x14ac:dyDescent="0.25"/>
    <row r="421" ht="12.75" customHeight="1" x14ac:dyDescent="0.25"/>
    <row r="422" ht="12.75" customHeight="1" x14ac:dyDescent="0.25"/>
    <row r="423" ht="12.75" customHeight="1" x14ac:dyDescent="0.25"/>
    <row r="424" ht="12.75" customHeight="1" x14ac:dyDescent="0.25"/>
    <row r="425" ht="12.75" customHeight="1" x14ac:dyDescent="0.25"/>
    <row r="426" ht="12.75" customHeight="1" x14ac:dyDescent="0.25"/>
    <row r="427" ht="12.75" customHeight="1" x14ac:dyDescent="0.25"/>
    <row r="428" ht="12.75" customHeight="1" x14ac:dyDescent="0.25"/>
    <row r="429" ht="12.75" customHeight="1" x14ac:dyDescent="0.25"/>
    <row r="430" ht="12.75" customHeight="1" x14ac:dyDescent="0.25"/>
    <row r="431" ht="12.75" customHeight="1" x14ac:dyDescent="0.25"/>
    <row r="432" ht="12.75" customHeight="1" x14ac:dyDescent="0.25"/>
    <row r="433" ht="12.75" customHeight="1" x14ac:dyDescent="0.25"/>
    <row r="434" ht="12.75" customHeight="1" x14ac:dyDescent="0.25"/>
    <row r="435" ht="12.75" customHeight="1" x14ac:dyDescent="0.25"/>
    <row r="436" ht="12.75" customHeight="1" x14ac:dyDescent="0.25"/>
    <row r="437" ht="12.75" customHeight="1" x14ac:dyDescent="0.25"/>
    <row r="438" ht="12.75" customHeight="1" x14ac:dyDescent="0.25"/>
    <row r="439" ht="12.75" customHeight="1" x14ac:dyDescent="0.25"/>
    <row r="440" ht="12.75" customHeight="1" x14ac:dyDescent="0.25"/>
    <row r="441" ht="12.75" customHeight="1" x14ac:dyDescent="0.25"/>
    <row r="442" ht="12.75" customHeight="1" x14ac:dyDescent="0.25"/>
    <row r="443" ht="12.75" customHeight="1" x14ac:dyDescent="0.25"/>
    <row r="444" ht="12.75" customHeight="1" x14ac:dyDescent="0.25"/>
    <row r="445" ht="12.75" customHeight="1" x14ac:dyDescent="0.25"/>
    <row r="446" ht="12.75" customHeight="1" x14ac:dyDescent="0.25"/>
    <row r="447" ht="12.75" customHeight="1" x14ac:dyDescent="0.25"/>
    <row r="448" ht="12.75" customHeight="1" x14ac:dyDescent="0.25"/>
    <row r="449" ht="12.75" customHeight="1" x14ac:dyDescent="0.25"/>
    <row r="450" ht="12.75" customHeight="1" x14ac:dyDescent="0.25"/>
    <row r="451" ht="12.75" customHeight="1" x14ac:dyDescent="0.25"/>
    <row r="452" ht="12.75" customHeight="1" x14ac:dyDescent="0.25"/>
    <row r="453" ht="12.75" customHeight="1" x14ac:dyDescent="0.25"/>
    <row r="454" ht="12.75" customHeight="1" x14ac:dyDescent="0.25"/>
    <row r="455" ht="12.75" customHeight="1" x14ac:dyDescent="0.25"/>
    <row r="456" ht="12.75" customHeight="1" x14ac:dyDescent="0.25"/>
    <row r="457" ht="12.75" customHeight="1" x14ac:dyDescent="0.25"/>
    <row r="458" ht="12.75" customHeight="1" x14ac:dyDescent="0.25"/>
    <row r="459" ht="12.75" customHeight="1" x14ac:dyDescent="0.25"/>
    <row r="460" ht="12.75" customHeight="1" x14ac:dyDescent="0.25"/>
    <row r="461" ht="12.75" customHeight="1" x14ac:dyDescent="0.25"/>
    <row r="462" ht="12.75" customHeight="1" x14ac:dyDescent="0.25"/>
    <row r="463" ht="12.75" customHeight="1" x14ac:dyDescent="0.25"/>
    <row r="464" ht="12.75" customHeight="1" x14ac:dyDescent="0.25"/>
    <row r="465" ht="12.75" customHeight="1" x14ac:dyDescent="0.25"/>
    <row r="466" ht="12.75" customHeight="1" x14ac:dyDescent="0.25"/>
    <row r="467" ht="12.75" customHeight="1" x14ac:dyDescent="0.25"/>
    <row r="468" ht="12.75" customHeight="1" x14ac:dyDescent="0.25"/>
    <row r="469" ht="12.75" customHeight="1" x14ac:dyDescent="0.25"/>
    <row r="470" ht="12.75" customHeight="1" x14ac:dyDescent="0.25"/>
    <row r="471" ht="12.75" customHeight="1" x14ac:dyDescent="0.25"/>
    <row r="472" ht="12.75" customHeight="1" x14ac:dyDescent="0.25"/>
    <row r="473" ht="12.75" customHeight="1" x14ac:dyDescent="0.25"/>
    <row r="474" ht="12.75" customHeight="1" x14ac:dyDescent="0.25"/>
    <row r="475" ht="12.75" customHeight="1" x14ac:dyDescent="0.25"/>
    <row r="476" ht="12.75" customHeight="1" x14ac:dyDescent="0.25"/>
    <row r="477" ht="12.75" customHeight="1" x14ac:dyDescent="0.25"/>
    <row r="478" ht="12.75" customHeight="1" x14ac:dyDescent="0.25"/>
    <row r="479" ht="12.75" customHeight="1" x14ac:dyDescent="0.25"/>
    <row r="480" ht="12.75" customHeight="1" x14ac:dyDescent="0.25"/>
    <row r="481" ht="12.75" customHeight="1" x14ac:dyDescent="0.25"/>
    <row r="482" ht="12.75" customHeight="1" x14ac:dyDescent="0.25"/>
    <row r="483" ht="12.75" customHeight="1" x14ac:dyDescent="0.25"/>
    <row r="484" ht="12.75" customHeight="1" x14ac:dyDescent="0.25"/>
    <row r="485" ht="12.75" customHeight="1" x14ac:dyDescent="0.25"/>
    <row r="486" ht="12.75" customHeight="1" x14ac:dyDescent="0.25"/>
    <row r="487" ht="12.75" customHeight="1" x14ac:dyDescent="0.25"/>
    <row r="488" ht="12.75" customHeight="1" x14ac:dyDescent="0.25"/>
    <row r="489" ht="12.75" customHeight="1" x14ac:dyDescent="0.25"/>
    <row r="490" ht="12.75" customHeight="1" x14ac:dyDescent="0.25"/>
    <row r="491" ht="12.75" customHeight="1" x14ac:dyDescent="0.25"/>
    <row r="492" ht="12.75" customHeight="1" x14ac:dyDescent="0.25"/>
    <row r="493" ht="12.75" customHeight="1" x14ac:dyDescent="0.25"/>
    <row r="494" ht="12.75" customHeight="1" x14ac:dyDescent="0.25"/>
    <row r="495" ht="12.75" customHeight="1" x14ac:dyDescent="0.25"/>
    <row r="496" ht="12.75" customHeight="1" x14ac:dyDescent="0.25"/>
    <row r="497" ht="12.75" customHeight="1" x14ac:dyDescent="0.25"/>
    <row r="498" ht="12.75" customHeight="1" x14ac:dyDescent="0.25"/>
    <row r="499" ht="12.75" customHeight="1" x14ac:dyDescent="0.25"/>
    <row r="500" ht="12.75" customHeight="1" x14ac:dyDescent="0.25"/>
    <row r="501" ht="12.75" customHeight="1" x14ac:dyDescent="0.25"/>
    <row r="502" ht="12.75" customHeight="1" x14ac:dyDescent="0.25"/>
    <row r="503" ht="12.75" customHeight="1" x14ac:dyDescent="0.25"/>
    <row r="504" ht="12.75" customHeight="1" x14ac:dyDescent="0.25"/>
    <row r="505" ht="12.75" customHeight="1" x14ac:dyDescent="0.25"/>
    <row r="506" ht="12.75" customHeight="1" x14ac:dyDescent="0.25"/>
    <row r="507" ht="12.75" customHeight="1" x14ac:dyDescent="0.25"/>
    <row r="508" ht="12.75" customHeight="1" x14ac:dyDescent="0.25"/>
    <row r="509" ht="12.75" customHeight="1" x14ac:dyDescent="0.25"/>
    <row r="510" ht="12.75" customHeight="1" x14ac:dyDescent="0.25"/>
    <row r="511" ht="12.75" customHeight="1" x14ac:dyDescent="0.25"/>
    <row r="512" ht="12.75" customHeight="1" x14ac:dyDescent="0.25"/>
    <row r="513" ht="12.75" customHeight="1" x14ac:dyDescent="0.25"/>
    <row r="514" ht="12.75" customHeight="1" x14ac:dyDescent="0.25"/>
    <row r="515" ht="12.75" customHeight="1" x14ac:dyDescent="0.25"/>
    <row r="516" ht="12.75" customHeight="1" x14ac:dyDescent="0.25"/>
    <row r="517" ht="12.75" customHeight="1" x14ac:dyDescent="0.25"/>
    <row r="518" ht="12.75" customHeight="1" x14ac:dyDescent="0.25"/>
    <row r="519" ht="12.75" customHeight="1" x14ac:dyDescent="0.25"/>
    <row r="520" ht="12.75" customHeight="1" x14ac:dyDescent="0.25"/>
  </sheetData>
  <sortState ref="B241:I253">
    <sortCondition ref="C242"/>
  </sortState>
  <mergeCells count="15">
    <mergeCell ref="B197:I197"/>
    <mergeCell ref="B218:I218"/>
    <mergeCell ref="B239:I239"/>
    <mergeCell ref="B92:I92"/>
    <mergeCell ref="B113:I113"/>
    <mergeCell ref="B134:I134"/>
    <mergeCell ref="B155:I155"/>
    <mergeCell ref="A174:F174"/>
    <mergeCell ref="B176:I176"/>
    <mergeCell ref="A89:F89"/>
    <mergeCell ref="A1:F1"/>
    <mergeCell ref="B4:I4"/>
    <mergeCell ref="B25:I25"/>
    <mergeCell ref="B47:I47"/>
    <mergeCell ref="B68:I68"/>
  </mergeCells>
  <pageMargins left="0.7" right="0.7" top="0.75" bottom="0.75" header="0" footer="0"/>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C505B3-620B-4826-943B-AB1CBF7C1316}">
  <dimension ref="A1:Y520"/>
  <sheetViews>
    <sheetView showGridLines="0" zoomScale="55" zoomScaleNormal="55" workbookViewId="0">
      <selection activeCell="X24" sqref="X24"/>
    </sheetView>
  </sheetViews>
  <sheetFormatPr defaultColWidth="12.6640625" defaultRowHeight="15" customHeight="1" x14ac:dyDescent="0.25"/>
  <cols>
    <col min="1" max="1" width="8.6640625" style="2" customWidth="1"/>
    <col min="2" max="2" width="15.109375" style="2" bestFit="1" customWidth="1"/>
    <col min="3" max="3" width="16.33203125" style="2" bestFit="1" customWidth="1"/>
    <col min="4" max="4" width="13.21875" style="2" customWidth="1"/>
    <col min="5" max="5" width="9.6640625" style="2" customWidth="1"/>
    <col min="6" max="6" width="13.33203125" style="2" customWidth="1"/>
    <col min="7" max="7" width="14" style="2" bestFit="1" customWidth="1"/>
    <col min="8" max="8" width="14.21875" style="2" bestFit="1" customWidth="1"/>
    <col min="9" max="9" width="20.21875" style="2" bestFit="1" customWidth="1"/>
    <col min="10" max="13" width="16.109375" style="2" customWidth="1"/>
    <col min="14" max="14" width="20" style="2" customWidth="1"/>
    <col min="15" max="15" width="12.6640625" style="2"/>
    <col min="16" max="16" width="27.77734375" style="2" customWidth="1"/>
    <col min="17" max="17" width="17.21875" style="2" bestFit="1" customWidth="1"/>
    <col min="18" max="18" width="12" style="2" bestFit="1" customWidth="1"/>
    <col min="19" max="20" width="12.44140625" style="2" bestFit="1" customWidth="1"/>
    <col min="21" max="21" width="17.21875" style="2" bestFit="1" customWidth="1"/>
    <col min="22" max="22" width="12" style="2" bestFit="1" customWidth="1"/>
    <col min="23" max="23" width="7.88671875" style="2" customWidth="1"/>
    <col min="24" max="24" width="13" style="2" customWidth="1"/>
    <col min="25" max="25" width="15.21875" style="2" customWidth="1"/>
    <col min="26" max="16384" width="12.6640625" style="2"/>
  </cols>
  <sheetData>
    <row r="1" spans="1:25" ht="25.05" customHeight="1" x14ac:dyDescent="0.25">
      <c r="A1" s="252" t="s">
        <v>81</v>
      </c>
      <c r="B1" s="252"/>
      <c r="C1" s="252"/>
      <c r="D1" s="252"/>
      <c r="E1" s="252"/>
      <c r="F1" s="252"/>
    </row>
    <row r="2" spans="1:25" ht="12.75" customHeight="1" x14ac:dyDescent="0.25">
      <c r="D2" s="1"/>
    </row>
    <row r="3" spans="1:25" ht="12.75" customHeight="1" x14ac:dyDescent="0.25"/>
    <row r="4" spans="1:25" ht="21" customHeight="1" thickBot="1" x14ac:dyDescent="0.35">
      <c r="B4" s="256" t="s">
        <v>95</v>
      </c>
      <c r="C4" s="256"/>
      <c r="D4" s="256"/>
      <c r="E4" s="256"/>
      <c r="F4" s="256"/>
      <c r="G4" s="256"/>
      <c r="H4" s="256"/>
      <c r="I4" s="256"/>
    </row>
    <row r="5" spans="1:25" s="8" customFormat="1" ht="40.200000000000003" customHeight="1" thickBot="1" x14ac:dyDescent="0.3">
      <c r="B5" s="36" t="s">
        <v>19</v>
      </c>
      <c r="C5" s="37" t="s">
        <v>42</v>
      </c>
      <c r="D5" s="37" t="s">
        <v>41</v>
      </c>
      <c r="E5" s="37" t="s">
        <v>27</v>
      </c>
      <c r="F5" s="37" t="s">
        <v>16</v>
      </c>
      <c r="G5" s="37" t="s">
        <v>28</v>
      </c>
      <c r="H5" s="37" t="s">
        <v>116</v>
      </c>
      <c r="I5" s="37" t="s">
        <v>20</v>
      </c>
      <c r="U5" s="23"/>
      <c r="V5" s="121" t="s">
        <v>131</v>
      </c>
      <c r="W5" s="127" t="s">
        <v>134</v>
      </c>
      <c r="X5" s="127" t="s">
        <v>132</v>
      </c>
      <c r="Y5" s="127" t="s">
        <v>133</v>
      </c>
    </row>
    <row r="6" spans="1:25" ht="12.75" customHeight="1" x14ac:dyDescent="0.25">
      <c r="B6" s="4"/>
      <c r="C6" s="26">
        <v>0</v>
      </c>
      <c r="D6" s="26">
        <v>0</v>
      </c>
      <c r="E6" s="49">
        <v>0</v>
      </c>
      <c r="F6" s="49">
        <v>0</v>
      </c>
      <c r="G6" s="49">
        <v>0</v>
      </c>
      <c r="H6" s="50">
        <f>F6</f>
        <v>0</v>
      </c>
      <c r="I6" s="49">
        <v>0</v>
      </c>
      <c r="P6" s="18"/>
      <c r="Q6" s="14"/>
      <c r="R6" s="15"/>
      <c r="U6" s="18" t="s">
        <v>0</v>
      </c>
      <c r="V6" s="60">
        <f>I20</f>
        <v>0.57796679610589363</v>
      </c>
      <c r="W6" s="60">
        <f>I41</f>
        <v>0.54546033089357993</v>
      </c>
      <c r="X6" s="60">
        <f>I63</f>
        <v>0.70577545877381986</v>
      </c>
      <c r="Y6" s="60">
        <f>I84</f>
        <v>0.19502901363355241</v>
      </c>
    </row>
    <row r="7" spans="1:25" ht="12.75" customHeight="1" x14ac:dyDescent="0.25">
      <c r="B7" s="82" t="s">
        <v>2</v>
      </c>
      <c r="C7" s="29">
        <v>2.5774285991231953</v>
      </c>
      <c r="D7" s="29">
        <v>74.805765533400674</v>
      </c>
      <c r="E7" s="49">
        <f t="shared" ref="E7:E17" si="0">C7/$C$18</f>
        <v>1.2413939287946071E-3</v>
      </c>
      <c r="F7" s="49">
        <f t="shared" ref="F7:F17" si="1">D7/$D$18</f>
        <v>0.32321960996108823</v>
      </c>
      <c r="G7" s="49">
        <f t="shared" ref="G7:G17" si="2">G6+E7</f>
        <v>1.2413939287946071E-3</v>
      </c>
      <c r="H7" s="50">
        <f t="shared" ref="H7:H17" si="3">F7+H6</f>
        <v>0.32321960996108823</v>
      </c>
      <c r="I7" s="49">
        <f t="shared" ref="I7:I17" si="4">(G6+G7)*0.5*(H7-H6)</f>
        <v>2.0062143073652791E-4</v>
      </c>
      <c r="P7" s="18"/>
      <c r="Q7" s="14"/>
      <c r="R7" s="15"/>
      <c r="U7" s="18" t="s">
        <v>130</v>
      </c>
      <c r="V7" s="60">
        <f>I108</f>
        <v>0.34302652507457276</v>
      </c>
      <c r="W7" s="60">
        <f>I129</f>
        <v>0.33776958966280091</v>
      </c>
      <c r="X7" s="60">
        <f>I150</f>
        <v>0.53688260843512148</v>
      </c>
      <c r="Y7" s="60">
        <f>I171</f>
        <v>0.19024738902909166</v>
      </c>
    </row>
    <row r="8" spans="1:25" ht="12.75" customHeight="1" thickBot="1" x14ac:dyDescent="0.3">
      <c r="B8" s="82" t="s">
        <v>3</v>
      </c>
      <c r="C8" s="29">
        <v>14.219727103909346</v>
      </c>
      <c r="D8" s="29">
        <v>1.1861566425948882</v>
      </c>
      <c r="E8" s="49">
        <f t="shared" si="0"/>
        <v>6.8487960837845287E-3</v>
      </c>
      <c r="F8" s="49">
        <f t="shared" si="1"/>
        <v>5.1251275170907913E-3</v>
      </c>
      <c r="G8" s="49">
        <f t="shared" si="2"/>
        <v>8.0901900125791362E-3</v>
      </c>
      <c r="H8" s="50">
        <f t="shared" si="3"/>
        <v>0.32834473747817899</v>
      </c>
      <c r="I8" s="49">
        <f t="shared" si="4"/>
        <v>2.3912778817988441E-5</v>
      </c>
      <c r="P8" s="18"/>
      <c r="Q8" s="14"/>
      <c r="R8" s="15"/>
      <c r="U8" s="125" t="s">
        <v>135</v>
      </c>
      <c r="V8" s="126">
        <f>I192</f>
        <v>0.15825086185160275</v>
      </c>
      <c r="W8" s="126">
        <f>I213</f>
        <v>5.3860595391504562E-2</v>
      </c>
      <c r="X8" s="126">
        <f>I234</f>
        <v>0.7866061246519489</v>
      </c>
      <c r="Y8" s="126">
        <f>I255</f>
        <v>0.35276320012000117</v>
      </c>
    </row>
    <row r="9" spans="1:25" ht="12.75" customHeight="1" x14ac:dyDescent="0.25">
      <c r="B9" s="82" t="s">
        <v>1</v>
      </c>
      <c r="C9" s="29">
        <v>14.485042097694823</v>
      </c>
      <c r="D9" s="29">
        <v>5.1309978700489935</v>
      </c>
      <c r="E9" s="49">
        <f t="shared" si="0"/>
        <v>6.9765825228018941E-3</v>
      </c>
      <c r="F9" s="49">
        <f t="shared" si="1"/>
        <v>2.2169937282814373E-2</v>
      </c>
      <c r="G9" s="49">
        <f t="shared" si="2"/>
        <v>1.506677253538103E-2</v>
      </c>
      <c r="H9" s="50">
        <f t="shared" si="3"/>
        <v>0.35051467476099335</v>
      </c>
      <c r="I9" s="49">
        <f t="shared" si="4"/>
        <v>2.5669420367437892E-4</v>
      </c>
      <c r="P9" s="18"/>
      <c r="Q9" s="14"/>
      <c r="R9" s="15"/>
    </row>
    <row r="10" spans="1:25" ht="12.75" customHeight="1" x14ac:dyDescent="0.25">
      <c r="B10" s="111" t="s">
        <v>6</v>
      </c>
      <c r="C10" s="29">
        <v>19.997784471413798</v>
      </c>
      <c r="D10" s="29">
        <v>9.8069675237867351</v>
      </c>
      <c r="E10" s="49">
        <f t="shared" si="0"/>
        <v>9.6317423654728278E-3</v>
      </c>
      <c r="F10" s="49">
        <f t="shared" si="1"/>
        <v>4.237379559365774E-2</v>
      </c>
      <c r="G10" s="49">
        <f t="shared" si="2"/>
        <v>2.4698514900853858E-2</v>
      </c>
      <c r="H10" s="50">
        <f t="shared" si="3"/>
        <v>0.39288847035465108</v>
      </c>
      <c r="I10" s="49">
        <f t="shared" si="4"/>
        <v>8.4250308077303147E-4</v>
      </c>
      <c r="P10" s="18"/>
      <c r="Q10" s="14"/>
      <c r="R10" s="15"/>
    </row>
    <row r="11" spans="1:25" ht="12.75" customHeight="1" x14ac:dyDescent="0.25">
      <c r="B11" s="82" t="s">
        <v>195</v>
      </c>
      <c r="C11" s="29">
        <v>24.394037238039431</v>
      </c>
      <c r="D11" s="29">
        <v>3.2098173929497773</v>
      </c>
      <c r="E11" s="49">
        <f t="shared" si="0"/>
        <v>1.1749155626034968E-2</v>
      </c>
      <c r="F11" s="49">
        <f t="shared" si="1"/>
        <v>1.3868930000219201E-2</v>
      </c>
      <c r="G11" s="49">
        <f t="shared" si="2"/>
        <v>3.6447670526888826E-2</v>
      </c>
      <c r="H11" s="50">
        <f t="shared" si="3"/>
        <v>0.40675740035487029</v>
      </c>
      <c r="I11" s="49">
        <f t="shared" si="4"/>
        <v>4.2401608273889374E-4</v>
      </c>
      <c r="P11" s="18"/>
      <c r="Q11" s="14"/>
      <c r="R11" s="15"/>
    </row>
    <row r="12" spans="1:25" ht="12.75" customHeight="1" x14ac:dyDescent="0.25">
      <c r="B12" s="82" t="s">
        <v>5</v>
      </c>
      <c r="C12" s="29">
        <v>70.667525010358531</v>
      </c>
      <c r="D12" s="29">
        <v>17.244970274570736</v>
      </c>
      <c r="E12" s="49">
        <f t="shared" si="0"/>
        <v>3.4036340149497593E-2</v>
      </c>
      <c r="F12" s="49">
        <f t="shared" si="1"/>
        <v>7.4511804353483549E-2</v>
      </c>
      <c r="G12" s="49">
        <f t="shared" si="2"/>
        <v>7.0484010676386419E-2</v>
      </c>
      <c r="H12" s="50">
        <f t="shared" si="3"/>
        <v>0.48126920470835383</v>
      </c>
      <c r="I12" s="49">
        <f t="shared" si="4"/>
        <v>3.9838362545037594E-3</v>
      </c>
      <c r="P12" s="18"/>
      <c r="Q12" s="14"/>
      <c r="R12" s="15"/>
    </row>
    <row r="13" spans="1:25" ht="12.75" customHeight="1" x14ac:dyDescent="0.25">
      <c r="B13" s="82" t="s">
        <v>9</v>
      </c>
      <c r="C13" s="29">
        <v>127.04984350751562</v>
      </c>
      <c r="D13" s="29">
        <v>10.058370755062594</v>
      </c>
      <c r="E13" s="49">
        <f t="shared" si="0"/>
        <v>6.119234668156804E-2</v>
      </c>
      <c r="F13" s="49">
        <f t="shared" si="1"/>
        <v>4.3460054838202984E-2</v>
      </c>
      <c r="G13" s="49">
        <f t="shared" si="2"/>
        <v>0.13167635735795447</v>
      </c>
      <c r="H13" s="50">
        <f t="shared" si="3"/>
        <v>0.5247292595465568</v>
      </c>
      <c r="I13" s="49">
        <f t="shared" si="4"/>
        <v>4.3929503404418757E-3</v>
      </c>
      <c r="P13" s="18"/>
      <c r="Q13" s="14"/>
      <c r="R13" s="15"/>
    </row>
    <row r="14" spans="1:25" ht="12.75" customHeight="1" x14ac:dyDescent="0.25">
      <c r="B14" s="111" t="s">
        <v>10</v>
      </c>
      <c r="C14" s="29">
        <v>293.96487321639268</v>
      </c>
      <c r="D14" s="29">
        <v>34.458791534184407</v>
      </c>
      <c r="E14" s="49">
        <f t="shared" si="0"/>
        <v>0.14158538048885197</v>
      </c>
      <c r="F14" s="49">
        <f t="shared" si="1"/>
        <v>0.14888902051856603</v>
      </c>
      <c r="G14" s="49">
        <f t="shared" si="2"/>
        <v>0.27326173784680641</v>
      </c>
      <c r="H14" s="50">
        <f t="shared" si="3"/>
        <v>0.67361828006512281</v>
      </c>
      <c r="I14" s="49">
        <f t="shared" si="4"/>
        <v>3.014541818284534E-2</v>
      </c>
      <c r="P14" s="18"/>
      <c r="Q14" s="14"/>
      <c r="R14" s="15"/>
    </row>
    <row r="15" spans="1:25" ht="12.75" customHeight="1" x14ac:dyDescent="0.25">
      <c r="B15" s="82" t="s">
        <v>7</v>
      </c>
      <c r="C15" s="29">
        <v>395.06257474079706</v>
      </c>
      <c r="D15" s="29">
        <v>32.039922245673743</v>
      </c>
      <c r="E15" s="49">
        <f t="shared" si="0"/>
        <v>0.19027812523847526</v>
      </c>
      <c r="F15" s="49">
        <f t="shared" si="1"/>
        <v>0.13843760701581687</v>
      </c>
      <c r="G15" s="49">
        <f t="shared" si="2"/>
        <v>0.46353986308528167</v>
      </c>
      <c r="H15" s="50">
        <f t="shared" si="3"/>
        <v>0.81205588708093968</v>
      </c>
      <c r="I15" s="49">
        <f t="shared" si="4"/>
        <v>5.1000525239230571E-2</v>
      </c>
      <c r="P15" s="18"/>
      <c r="Q15" s="14"/>
      <c r="R15" s="15"/>
    </row>
    <row r="16" spans="1:25" ht="12.75" customHeight="1" x14ac:dyDescent="0.25">
      <c r="B16" s="82" t="s">
        <v>4</v>
      </c>
      <c r="C16" s="29">
        <v>460.73384450513942</v>
      </c>
      <c r="D16" s="29">
        <v>33.33914668333864</v>
      </c>
      <c r="E16" s="49">
        <f t="shared" si="0"/>
        <v>0.22190806664962462</v>
      </c>
      <c r="F16" s="49">
        <f t="shared" si="1"/>
        <v>0.14405127613609961</v>
      </c>
      <c r="G16" s="49">
        <f t="shared" si="2"/>
        <v>0.68544792973490631</v>
      </c>
      <c r="H16" s="50">
        <f t="shared" si="3"/>
        <v>0.95610716321703926</v>
      </c>
      <c r="I16" s="49">
        <f t="shared" si="4"/>
        <v>8.2756578910274228E-2</v>
      </c>
      <c r="P16" s="18"/>
      <c r="Q16" s="14"/>
      <c r="R16" s="15"/>
    </row>
    <row r="17" spans="1:14" ht="12.75" customHeight="1" thickBot="1" x14ac:dyDescent="0.3">
      <c r="B17" s="86" t="s">
        <v>8</v>
      </c>
      <c r="C17" s="32">
        <v>653.08479686370424</v>
      </c>
      <c r="D17" s="32">
        <v>10.15853356600876</v>
      </c>
      <c r="E17" s="51">
        <f t="shared" si="0"/>
        <v>0.31455207026509385</v>
      </c>
      <c r="F17" s="51">
        <f t="shared" si="1"/>
        <v>4.3892836782960583E-2</v>
      </c>
      <c r="G17" s="49">
        <f t="shared" si="2"/>
        <v>1.0000000000000002</v>
      </c>
      <c r="H17" s="52">
        <f t="shared" si="3"/>
        <v>0.99999999999999989</v>
      </c>
      <c r="I17" s="51">
        <f t="shared" si="4"/>
        <v>3.6989545443016573E-2</v>
      </c>
    </row>
    <row r="18" spans="1:14" ht="12.75" customHeight="1" thickBot="1" x14ac:dyDescent="0.3">
      <c r="B18" s="35" t="s">
        <v>12</v>
      </c>
      <c r="C18" s="6">
        <f>SUM(C6:C17)</f>
        <v>2076.2374773540878</v>
      </c>
      <c r="D18" s="6">
        <f>SUM(D6:D17)</f>
        <v>231.43944002161996</v>
      </c>
      <c r="E18" s="59">
        <f>SUM(E7:E17)</f>
        <v>1.0000000000000002</v>
      </c>
      <c r="F18" s="59">
        <f>SUM(F7:F17)</f>
        <v>0.99999999999999989</v>
      </c>
      <c r="G18" s="53"/>
      <c r="H18" s="53"/>
      <c r="I18" s="59">
        <f>SUM(I6:I17)</f>
        <v>0.21101660194705318</v>
      </c>
    </row>
    <row r="19" spans="1:14" ht="12.75" customHeight="1" thickBot="1" x14ac:dyDescent="0.3">
      <c r="B19" s="4"/>
      <c r="C19" s="4"/>
      <c r="D19" s="4"/>
      <c r="E19" s="50"/>
      <c r="F19" s="50"/>
      <c r="G19" s="50"/>
      <c r="H19" s="53"/>
      <c r="I19" s="53"/>
    </row>
    <row r="20" spans="1:14" ht="12.75" customHeight="1" thickBot="1" x14ac:dyDescent="0.3">
      <c r="B20" s="4"/>
      <c r="C20" s="4"/>
      <c r="D20" s="4"/>
      <c r="E20" s="50"/>
      <c r="F20" s="50"/>
      <c r="G20" s="55"/>
      <c r="H20" s="56" t="s">
        <v>30</v>
      </c>
      <c r="I20" s="52">
        <f>1-(2*I18)</f>
        <v>0.57796679610589363</v>
      </c>
    </row>
    <row r="21" spans="1:14" ht="12.75" customHeight="1" x14ac:dyDescent="0.25"/>
    <row r="22" spans="1:14" ht="12.75" customHeight="1" x14ac:dyDescent="0.25"/>
    <row r="23" spans="1:14" ht="12.75" customHeight="1" x14ac:dyDescent="0.25"/>
    <row r="24" spans="1:14" ht="13.2" customHeight="1" x14ac:dyDescent="0.25"/>
    <row r="25" spans="1:14" ht="14.4" customHeight="1" thickBot="1" x14ac:dyDescent="0.35">
      <c r="B25" s="256" t="s">
        <v>96</v>
      </c>
      <c r="C25" s="256"/>
      <c r="D25" s="256"/>
      <c r="E25" s="256"/>
      <c r="F25" s="256"/>
      <c r="G25" s="256"/>
      <c r="H25" s="256"/>
      <c r="I25" s="256"/>
    </row>
    <row r="26" spans="1:14" ht="12.6" customHeight="1" thickBot="1" x14ac:dyDescent="0.3">
      <c r="B26" s="36" t="s">
        <v>19</v>
      </c>
      <c r="C26" s="37" t="s">
        <v>97</v>
      </c>
      <c r="D26" s="37" t="s">
        <v>41</v>
      </c>
      <c r="E26" s="37" t="s">
        <v>31</v>
      </c>
      <c r="F26" s="37" t="s">
        <v>16</v>
      </c>
      <c r="G26" s="37" t="s">
        <v>32</v>
      </c>
      <c r="H26" s="37" t="s">
        <v>116</v>
      </c>
      <c r="I26" s="37" t="s">
        <v>20</v>
      </c>
      <c r="J26" s="8"/>
      <c r="K26" s="8"/>
      <c r="L26" s="8"/>
      <c r="M26" s="8"/>
      <c r="N26" s="8"/>
    </row>
    <row r="27" spans="1:14" ht="12.75" customHeight="1" x14ac:dyDescent="0.25">
      <c r="B27" s="4"/>
      <c r="C27" s="26">
        <v>0</v>
      </c>
      <c r="D27" s="26">
        <v>0</v>
      </c>
      <c r="E27" s="49">
        <f t="shared" ref="E27:E38" si="5">C27/$C$39</f>
        <v>0</v>
      </c>
      <c r="F27" s="49">
        <f t="shared" ref="F27:F38" si="6">D27/$D$39</f>
        <v>0</v>
      </c>
      <c r="G27" s="49">
        <v>0</v>
      </c>
      <c r="H27" s="50">
        <f>F27</f>
        <v>0</v>
      </c>
      <c r="I27" s="49">
        <v>0</v>
      </c>
    </row>
    <row r="28" spans="1:14" ht="13.2" x14ac:dyDescent="0.25">
      <c r="A28" s="8"/>
      <c r="B28" s="82" t="s">
        <v>3</v>
      </c>
      <c r="C28" s="29">
        <v>11.785866162319815</v>
      </c>
      <c r="D28" s="29">
        <v>1.1861566425948882</v>
      </c>
      <c r="E28" s="49">
        <f t="shared" si="5"/>
        <v>5.4935138917268584E-3</v>
      </c>
      <c r="F28" s="49">
        <f t="shared" si="6"/>
        <v>5.1251275170907913E-3</v>
      </c>
      <c r="G28" s="49">
        <f t="shared" ref="G28:G38" si="7">G27+E28</f>
        <v>5.4935138917268584E-3</v>
      </c>
      <c r="H28" s="50">
        <f t="shared" ref="H28:H38" si="8">F28+H27</f>
        <v>5.1251275170907913E-3</v>
      </c>
      <c r="I28" s="49">
        <f t="shared" ref="I28:I38" si="9">(G27+G28)*0.5*(H28-H27)</f>
        <v>1.4077479606004922E-5</v>
      </c>
    </row>
    <row r="29" spans="1:14" ht="12.75" customHeight="1" x14ac:dyDescent="0.25">
      <c r="B29" s="82" t="s">
        <v>1</v>
      </c>
      <c r="C29" s="29">
        <v>12.976974245152407</v>
      </c>
      <c r="D29" s="29">
        <v>5.1309978700489935</v>
      </c>
      <c r="E29" s="49">
        <f t="shared" si="5"/>
        <v>6.0487016657496586E-3</v>
      </c>
      <c r="F29" s="49">
        <f t="shared" si="6"/>
        <v>2.2169937282814373E-2</v>
      </c>
      <c r="G29" s="49">
        <f t="shared" si="7"/>
        <v>1.1542215557476518E-2</v>
      </c>
      <c r="H29" s="50">
        <f t="shared" si="8"/>
        <v>2.7295064799905164E-2</v>
      </c>
      <c r="I29" s="49">
        <f t="shared" si="9"/>
        <v>1.8884052672791634E-4</v>
      </c>
    </row>
    <row r="30" spans="1:14" ht="12.75" customHeight="1" x14ac:dyDescent="0.25">
      <c r="B30" s="111" t="s">
        <v>6</v>
      </c>
      <c r="C30" s="29">
        <v>19.792696191969906</v>
      </c>
      <c r="D30" s="29">
        <v>9.8069675237867351</v>
      </c>
      <c r="E30" s="49">
        <f t="shared" si="5"/>
        <v>9.2255800284698226E-3</v>
      </c>
      <c r="F30" s="49">
        <f t="shared" si="6"/>
        <v>4.237379559365774E-2</v>
      </c>
      <c r="G30" s="49">
        <f t="shared" si="7"/>
        <v>2.0767795585946339E-2</v>
      </c>
      <c r="H30" s="50">
        <f t="shared" si="8"/>
        <v>6.9668860393562904E-2</v>
      </c>
      <c r="I30" s="49">
        <f t="shared" si="9"/>
        <v>6.8454890391010193E-4</v>
      </c>
    </row>
    <row r="31" spans="1:14" ht="12.75" customHeight="1" x14ac:dyDescent="0.25">
      <c r="B31" s="82" t="s">
        <v>195</v>
      </c>
      <c r="C31" s="29">
        <v>25.851856014840443</v>
      </c>
      <c r="D31" s="29">
        <v>3.2098173929497773</v>
      </c>
      <c r="E31" s="49">
        <f t="shared" si="5"/>
        <v>1.2049816974715685E-2</v>
      </c>
      <c r="F31" s="49">
        <f t="shared" si="6"/>
        <v>1.3868930000219201E-2</v>
      </c>
      <c r="G31" s="49">
        <f t="shared" si="7"/>
        <v>3.2817612560662027E-2</v>
      </c>
      <c r="H31" s="50">
        <f t="shared" si="8"/>
        <v>8.3537790393782105E-2</v>
      </c>
      <c r="I31" s="49">
        <f t="shared" si="9"/>
        <v>3.715861373092436E-4</v>
      </c>
    </row>
    <row r="32" spans="1:14" ht="12.75" customHeight="1" x14ac:dyDescent="0.25">
      <c r="B32" s="82" t="s">
        <v>5</v>
      </c>
      <c r="C32" s="29">
        <v>57.802867186538556</v>
      </c>
      <c r="D32" s="29">
        <v>17.244970274570736</v>
      </c>
      <c r="E32" s="49">
        <f t="shared" si="5"/>
        <v>2.6942513133747521E-2</v>
      </c>
      <c r="F32" s="49">
        <f t="shared" si="6"/>
        <v>7.4511804353483549E-2</v>
      </c>
      <c r="G32" s="49">
        <f t="shared" si="7"/>
        <v>5.9760125694409548E-2</v>
      </c>
      <c r="H32" s="50">
        <f t="shared" si="8"/>
        <v>0.15804959474726565</v>
      </c>
      <c r="I32" s="49">
        <f t="shared" si="9"/>
        <v>3.4490671601749511E-3</v>
      </c>
    </row>
    <row r="33" spans="2:14" ht="12.75" customHeight="1" x14ac:dyDescent="0.25">
      <c r="B33" s="82" t="s">
        <v>2</v>
      </c>
      <c r="C33" s="29">
        <v>61.705572489772123</v>
      </c>
      <c r="D33" s="29">
        <v>74.805765533400674</v>
      </c>
      <c r="E33" s="49">
        <f t="shared" si="5"/>
        <v>2.8761604365851734E-2</v>
      </c>
      <c r="F33" s="49">
        <f t="shared" si="6"/>
        <v>0.32321960996108823</v>
      </c>
      <c r="G33" s="49">
        <f t="shared" si="7"/>
        <v>8.8521730060261289E-2</v>
      </c>
      <c r="H33" s="50">
        <f t="shared" si="8"/>
        <v>0.48126920470835388</v>
      </c>
      <c r="I33" s="49">
        <f t="shared" si="9"/>
        <v>2.3963801790665529E-2</v>
      </c>
    </row>
    <row r="34" spans="2:14" ht="12.75" customHeight="1" x14ac:dyDescent="0.25">
      <c r="B34" s="82" t="s">
        <v>9</v>
      </c>
      <c r="C34" s="29">
        <v>119.82902293645873</v>
      </c>
      <c r="D34" s="29">
        <v>10.058370755062594</v>
      </c>
      <c r="E34" s="49">
        <f t="shared" si="5"/>
        <v>5.5853544666752131E-2</v>
      </c>
      <c r="F34" s="49">
        <f t="shared" si="6"/>
        <v>4.3460054838202984E-2</v>
      </c>
      <c r="G34" s="49">
        <f t="shared" si="7"/>
        <v>0.14437527472701342</v>
      </c>
      <c r="H34" s="50">
        <f t="shared" si="8"/>
        <v>0.52472925954655691</v>
      </c>
      <c r="I34" s="49">
        <f t="shared" si="9"/>
        <v>5.060858299854097E-3</v>
      </c>
    </row>
    <row r="35" spans="2:14" ht="12.75" customHeight="1" x14ac:dyDescent="0.25">
      <c r="B35" s="111" t="s">
        <v>10</v>
      </c>
      <c r="C35" s="29">
        <v>280.10860119837031</v>
      </c>
      <c r="D35" s="29">
        <v>34.458791534184407</v>
      </c>
      <c r="E35" s="49">
        <f t="shared" si="5"/>
        <v>0.13056151076914546</v>
      </c>
      <c r="F35" s="49">
        <f t="shared" si="6"/>
        <v>0.14888902051856603</v>
      </c>
      <c r="G35" s="49">
        <f t="shared" si="7"/>
        <v>0.27493678549615885</v>
      </c>
      <c r="H35" s="50">
        <f t="shared" si="8"/>
        <v>0.67361828006512292</v>
      </c>
      <c r="I35" s="49">
        <f t="shared" si="9"/>
        <v>3.1215480969125037E-2</v>
      </c>
    </row>
    <row r="36" spans="2:14" ht="12.75" customHeight="1" x14ac:dyDescent="0.25">
      <c r="B36" s="82" t="s">
        <v>4</v>
      </c>
      <c r="C36" s="29">
        <v>353.34728636509686</v>
      </c>
      <c r="D36" s="29">
        <v>33.33914668333864</v>
      </c>
      <c r="E36" s="49">
        <f t="shared" si="5"/>
        <v>0.16469881801785002</v>
      </c>
      <c r="F36" s="49">
        <f t="shared" si="6"/>
        <v>0.14405127613609961</v>
      </c>
      <c r="G36" s="49">
        <f t="shared" si="7"/>
        <v>0.43963560351400888</v>
      </c>
      <c r="H36" s="50">
        <f t="shared" si="8"/>
        <v>0.8176695562012225</v>
      </c>
      <c r="I36" s="49">
        <f t="shared" si="9"/>
        <v>5.1467532264268021E-2</v>
      </c>
    </row>
    <row r="37" spans="2:14" ht="12.75" customHeight="1" x14ac:dyDescent="0.25">
      <c r="B37" s="82" t="s">
        <v>7</v>
      </c>
      <c r="C37" s="29">
        <v>432.94360737323967</v>
      </c>
      <c r="D37" s="29">
        <v>32.039922245673743</v>
      </c>
      <c r="E37" s="49">
        <f t="shared" si="5"/>
        <v>0.20179948496641448</v>
      </c>
      <c r="F37" s="49">
        <f t="shared" si="6"/>
        <v>0.13843760701581687</v>
      </c>
      <c r="G37" s="49">
        <f t="shared" si="7"/>
        <v>0.64143508848042341</v>
      </c>
      <c r="H37" s="50">
        <f t="shared" si="8"/>
        <v>0.95610716321703937</v>
      </c>
      <c r="I37" s="49">
        <f t="shared" si="9"/>
        <v>7.4830419807321219E-2</v>
      </c>
    </row>
    <row r="38" spans="2:14" ht="12.75" customHeight="1" thickBot="1" x14ac:dyDescent="0.3">
      <c r="B38" s="86" t="s">
        <v>8</v>
      </c>
      <c r="C38" s="32">
        <v>769.27047805195491</v>
      </c>
      <c r="D38" s="32">
        <v>10.15853356600876</v>
      </c>
      <c r="E38" s="51">
        <f t="shared" si="5"/>
        <v>0.35856491151957653</v>
      </c>
      <c r="F38" s="49">
        <f t="shared" si="6"/>
        <v>4.3892836782960583E-2</v>
      </c>
      <c r="G38" s="51">
        <f t="shared" si="7"/>
        <v>1</v>
      </c>
      <c r="H38" s="52">
        <f t="shared" si="8"/>
        <v>1</v>
      </c>
      <c r="I38" s="51">
        <f t="shared" si="9"/>
        <v>3.6023621214247882E-2</v>
      </c>
    </row>
    <row r="39" spans="2:14" ht="12.75" customHeight="1" thickBot="1" x14ac:dyDescent="0.3">
      <c r="B39" s="35" t="s">
        <v>12</v>
      </c>
      <c r="C39" s="6">
        <f>SUM(C27:C38)</f>
        <v>2145.4148282157139</v>
      </c>
      <c r="D39" s="6">
        <f>SUM(D27:D38)</f>
        <v>231.43944002161996</v>
      </c>
      <c r="E39" s="51">
        <f>SUM(E28:E38)</f>
        <v>1</v>
      </c>
      <c r="F39" s="59">
        <f>SUM(F28:F38)</f>
        <v>1</v>
      </c>
      <c r="G39" s="53"/>
      <c r="H39" s="53"/>
      <c r="I39" s="59">
        <f>SUM(I27:I38)</f>
        <v>0.22726983455321001</v>
      </c>
    </row>
    <row r="40" spans="2:14" ht="12.75" customHeight="1" thickBot="1" x14ac:dyDescent="0.3">
      <c r="B40" s="4"/>
      <c r="C40" s="4"/>
      <c r="D40" s="4"/>
      <c r="E40" s="50"/>
      <c r="F40" s="50"/>
      <c r="G40" s="50"/>
      <c r="H40" s="53"/>
      <c r="I40" s="53"/>
    </row>
    <row r="41" spans="2:14" ht="12.75" customHeight="1" thickBot="1" x14ac:dyDescent="0.3">
      <c r="B41" s="4"/>
      <c r="C41" s="4"/>
      <c r="D41" s="4"/>
      <c r="E41" s="50"/>
      <c r="F41" s="50"/>
      <c r="G41" s="55"/>
      <c r="H41" s="56" t="s">
        <v>29</v>
      </c>
      <c r="I41" s="52">
        <f>1-(2*I39)</f>
        <v>0.54546033089357993</v>
      </c>
    </row>
    <row r="42" spans="2:14" ht="12.75" customHeight="1" x14ac:dyDescent="0.25">
      <c r="E42" s="60"/>
      <c r="F42" s="60"/>
      <c r="G42" s="60"/>
      <c r="H42" s="60"/>
      <c r="I42" s="60"/>
    </row>
    <row r="43" spans="2:14" ht="12.75" customHeight="1" x14ac:dyDescent="0.25"/>
    <row r="44" spans="2:14" ht="12.75" customHeight="1" x14ac:dyDescent="0.25"/>
    <row r="45" spans="2:14" ht="12.75" customHeight="1" x14ac:dyDescent="0.25"/>
    <row r="46" spans="2:14" ht="12.75" customHeight="1" x14ac:dyDescent="0.25"/>
    <row r="47" spans="2:14" ht="16.2" thickBot="1" x14ac:dyDescent="0.35">
      <c r="B47" s="257" t="s">
        <v>104</v>
      </c>
      <c r="C47" s="257"/>
      <c r="D47" s="257"/>
      <c r="E47" s="257"/>
      <c r="F47" s="257"/>
      <c r="G47" s="257"/>
      <c r="H47" s="257"/>
      <c r="I47" s="257"/>
      <c r="J47" s="122"/>
    </row>
    <row r="48" spans="2:14" ht="27" thickBot="1" x14ac:dyDescent="0.3">
      <c r="B48" s="30" t="s">
        <v>19</v>
      </c>
      <c r="C48" s="31" t="s">
        <v>38</v>
      </c>
      <c r="D48" s="31" t="s">
        <v>41</v>
      </c>
      <c r="E48" s="31" t="s">
        <v>15</v>
      </c>
      <c r="F48" s="31" t="s">
        <v>16</v>
      </c>
      <c r="G48" s="31" t="s">
        <v>17</v>
      </c>
      <c r="H48" s="31" t="s">
        <v>116</v>
      </c>
      <c r="I48" s="31" t="s">
        <v>20</v>
      </c>
      <c r="J48" s="25"/>
      <c r="K48" s="8"/>
      <c r="L48" s="8"/>
      <c r="M48" s="8"/>
      <c r="N48" s="8"/>
    </row>
    <row r="49" spans="1:10" ht="12.75" customHeight="1" x14ac:dyDescent="0.25">
      <c r="B49" s="4"/>
      <c r="C49" s="26">
        <v>0</v>
      </c>
      <c r="D49" s="26">
        <v>0</v>
      </c>
      <c r="E49" s="49">
        <f t="shared" ref="E49:E60" si="10">C49/$C$61</f>
        <v>0</v>
      </c>
      <c r="F49" s="49">
        <f t="shared" ref="F49:F60" si="11">D49/$D$61</f>
        <v>0</v>
      </c>
      <c r="G49" s="49">
        <v>0</v>
      </c>
      <c r="H49" s="50">
        <f>F49</f>
        <v>0</v>
      </c>
      <c r="I49" s="49">
        <v>0</v>
      </c>
      <c r="J49" s="28"/>
    </row>
    <row r="50" spans="1:10" ht="12.75" customHeight="1" x14ac:dyDescent="0.25">
      <c r="B50" s="82" t="s">
        <v>195</v>
      </c>
      <c r="C50" s="29">
        <v>0</v>
      </c>
      <c r="D50" s="29">
        <v>3.2098173929497773</v>
      </c>
      <c r="E50" s="49">
        <f t="shared" si="10"/>
        <v>0</v>
      </c>
      <c r="F50" s="49">
        <f t="shared" si="11"/>
        <v>1.3868930000219203E-2</v>
      </c>
      <c r="G50" s="49">
        <f t="shared" ref="G50:G60" si="12">G49+E50</f>
        <v>0</v>
      </c>
      <c r="H50" s="50">
        <f t="shared" ref="H50:H60" si="13">F50+H49</f>
        <v>1.3868930000219203E-2</v>
      </c>
      <c r="I50" s="49">
        <f t="shared" ref="I50:I60" si="14">(G49+G50)*0.5*(H50-H49)</f>
        <v>0</v>
      </c>
      <c r="J50" s="28"/>
    </row>
    <row r="51" spans="1:10" ht="12.75" customHeight="1" x14ac:dyDescent="0.25">
      <c r="A51" s="8"/>
      <c r="B51" s="82" t="s">
        <v>2</v>
      </c>
      <c r="C51" s="29">
        <v>0</v>
      </c>
      <c r="D51" s="29">
        <v>74.805765533400674</v>
      </c>
      <c r="E51" s="49">
        <f t="shared" si="10"/>
        <v>0</v>
      </c>
      <c r="F51" s="49">
        <f t="shared" si="11"/>
        <v>0.32321960996108828</v>
      </c>
      <c r="G51" s="49">
        <f t="shared" si="12"/>
        <v>0</v>
      </c>
      <c r="H51" s="50">
        <f t="shared" si="13"/>
        <v>0.3370885399613075</v>
      </c>
      <c r="I51" s="49">
        <f t="shared" si="14"/>
        <v>0</v>
      </c>
      <c r="J51" s="28"/>
    </row>
    <row r="52" spans="1:10" ht="12.75" customHeight="1" x14ac:dyDescent="0.25">
      <c r="B52" s="82" t="s">
        <v>7</v>
      </c>
      <c r="C52" s="29">
        <v>0</v>
      </c>
      <c r="D52" s="29">
        <v>32.039922245673743</v>
      </c>
      <c r="E52" s="49">
        <f t="shared" si="10"/>
        <v>0</v>
      </c>
      <c r="F52" s="49">
        <f t="shared" si="11"/>
        <v>0.13843760701581689</v>
      </c>
      <c r="G52" s="49">
        <f t="shared" si="12"/>
        <v>0</v>
      </c>
      <c r="H52" s="50">
        <f t="shared" si="13"/>
        <v>0.47552614697712436</v>
      </c>
      <c r="I52" s="49">
        <f t="shared" si="14"/>
        <v>0</v>
      </c>
      <c r="J52" s="28"/>
    </row>
    <row r="53" spans="1:10" ht="12.75" customHeight="1" x14ac:dyDescent="0.25">
      <c r="B53" s="82" t="s">
        <v>8</v>
      </c>
      <c r="C53" s="29">
        <v>0</v>
      </c>
      <c r="D53" s="29">
        <v>10.15853356600876</v>
      </c>
      <c r="E53" s="49">
        <f t="shared" si="10"/>
        <v>0</v>
      </c>
      <c r="F53" s="49">
        <f t="shared" si="11"/>
        <v>4.3892836782960597E-2</v>
      </c>
      <c r="G53" s="49">
        <f t="shared" si="12"/>
        <v>0</v>
      </c>
      <c r="H53" s="50">
        <f t="shared" si="13"/>
        <v>0.519418983760085</v>
      </c>
      <c r="I53" s="49">
        <f t="shared" si="14"/>
        <v>0</v>
      </c>
      <c r="J53" s="28"/>
    </row>
    <row r="54" spans="1:10" ht="12.75" customHeight="1" x14ac:dyDescent="0.25">
      <c r="B54" s="111" t="s">
        <v>6</v>
      </c>
      <c r="C54" s="29">
        <v>0.27700287506185706</v>
      </c>
      <c r="D54" s="29">
        <v>9.8069675237867351</v>
      </c>
      <c r="E54" s="49">
        <f t="shared" si="10"/>
        <v>1.7434689669939504E-3</v>
      </c>
      <c r="F54" s="49">
        <f t="shared" si="11"/>
        <v>4.2373795593657754E-2</v>
      </c>
      <c r="G54" s="49">
        <f t="shared" si="12"/>
        <v>1.7434689669939504E-3</v>
      </c>
      <c r="H54" s="50">
        <f t="shared" si="13"/>
        <v>0.56179277935374272</v>
      </c>
      <c r="I54" s="49">
        <f t="shared" si="14"/>
        <v>3.6938698815643621E-5</v>
      </c>
      <c r="J54" s="28"/>
    </row>
    <row r="55" spans="1:10" ht="12.75" customHeight="1" x14ac:dyDescent="0.25">
      <c r="B55" s="82" t="s">
        <v>1</v>
      </c>
      <c r="C55" s="29">
        <v>1.522812179266253</v>
      </c>
      <c r="D55" s="29">
        <v>5.1309978700489935</v>
      </c>
      <c r="E55" s="49">
        <f t="shared" si="10"/>
        <v>9.5846506160568272E-3</v>
      </c>
      <c r="F55" s="49">
        <f t="shared" si="11"/>
        <v>2.216993728281438E-2</v>
      </c>
      <c r="G55" s="49">
        <f t="shared" si="12"/>
        <v>1.1328119583050777E-2</v>
      </c>
      <c r="H55" s="50">
        <f t="shared" si="13"/>
        <v>0.58396271663655708</v>
      </c>
      <c r="I55" s="49">
        <f t="shared" si="14"/>
        <v>1.4489814917062292E-4</v>
      </c>
      <c r="J55" s="28"/>
    </row>
    <row r="56" spans="1:10" ht="12.75" customHeight="1" x14ac:dyDescent="0.25">
      <c r="B56" s="82" t="s">
        <v>3</v>
      </c>
      <c r="C56" s="29">
        <v>2.4776537634861127</v>
      </c>
      <c r="D56" s="29">
        <v>1.1861566425948882</v>
      </c>
      <c r="E56" s="49">
        <f t="shared" si="10"/>
        <v>1.5594467915284916E-2</v>
      </c>
      <c r="F56" s="49">
        <f t="shared" si="11"/>
        <v>5.1251275170907922E-3</v>
      </c>
      <c r="G56" s="49">
        <f t="shared" si="12"/>
        <v>2.6922587498335693E-2</v>
      </c>
      <c r="H56" s="50">
        <f t="shared" si="13"/>
        <v>0.5890878441536479</v>
      </c>
      <c r="I56" s="49">
        <f t="shared" si="14"/>
        <v>9.8019875705497277E-5</v>
      </c>
      <c r="J56" s="28"/>
    </row>
    <row r="57" spans="1:10" ht="12.75" customHeight="1" x14ac:dyDescent="0.25">
      <c r="B57" s="82" t="s">
        <v>5</v>
      </c>
      <c r="C57" s="29">
        <v>13.574455320634533</v>
      </c>
      <c r="D57" s="29">
        <v>17.244970274570736</v>
      </c>
      <c r="E57" s="49">
        <f t="shared" si="10"/>
        <v>8.5438252545527782E-2</v>
      </c>
      <c r="F57" s="49">
        <f t="shared" si="11"/>
        <v>7.4511804353483563E-2</v>
      </c>
      <c r="G57" s="49">
        <f t="shared" si="12"/>
        <v>0.11236084004386347</v>
      </c>
      <c r="H57" s="50">
        <f t="shared" si="13"/>
        <v>0.66359964850713149</v>
      </c>
      <c r="I57" s="49">
        <f t="shared" si="14"/>
        <v>5.1891297513534758E-3</v>
      </c>
      <c r="J57" s="28"/>
    </row>
    <row r="58" spans="1:10" ht="12.75" customHeight="1" x14ac:dyDescent="0.25">
      <c r="B58" s="82" t="s">
        <v>9</v>
      </c>
      <c r="C58" s="29">
        <v>15.372343482549196</v>
      </c>
      <c r="D58" s="29">
        <v>10.058370755062594</v>
      </c>
      <c r="E58" s="49">
        <f t="shared" si="10"/>
        <v>9.6754244178192381E-2</v>
      </c>
      <c r="F58" s="49">
        <f t="shared" si="11"/>
        <v>4.3460054838202998E-2</v>
      </c>
      <c r="G58" s="49">
        <f t="shared" si="12"/>
        <v>0.20911508422205585</v>
      </c>
      <c r="H58" s="50">
        <f t="shared" si="13"/>
        <v>0.70705970334533452</v>
      </c>
      <c r="I58" s="49">
        <f t="shared" si="14"/>
        <v>6.9856806488794295E-3</v>
      </c>
      <c r="J58" s="28"/>
    </row>
    <row r="59" spans="1:10" ht="12.75" customHeight="1" x14ac:dyDescent="0.25">
      <c r="B59" s="111" t="s">
        <v>10</v>
      </c>
      <c r="C59" s="29">
        <v>17.827918102531729</v>
      </c>
      <c r="D59" s="29">
        <v>34.458791534184407</v>
      </c>
      <c r="E59" s="49">
        <f t="shared" si="10"/>
        <v>0.1122097449383252</v>
      </c>
      <c r="F59" s="49">
        <f t="shared" si="11"/>
        <v>0.14888902051856606</v>
      </c>
      <c r="G59" s="49">
        <f t="shared" si="12"/>
        <v>0.32132482916038108</v>
      </c>
      <c r="H59" s="50">
        <f t="shared" si="13"/>
        <v>0.85594872386390053</v>
      </c>
      <c r="I59" s="49">
        <f t="shared" si="14"/>
        <v>3.9488339573732011E-2</v>
      </c>
      <c r="J59" s="28"/>
    </row>
    <row r="60" spans="1:10" ht="12.75" customHeight="1" thickBot="1" x14ac:dyDescent="0.3">
      <c r="B60" s="86" t="s">
        <v>4</v>
      </c>
      <c r="C60" s="32">
        <v>107.82811573630022</v>
      </c>
      <c r="D60" s="32">
        <v>33.33914668333864</v>
      </c>
      <c r="E60" s="49">
        <f t="shared" si="10"/>
        <v>0.67867517083961904</v>
      </c>
      <c r="F60" s="49">
        <f t="shared" si="11"/>
        <v>0.14405127613609964</v>
      </c>
      <c r="G60" s="51">
        <f t="shared" si="12"/>
        <v>1</v>
      </c>
      <c r="H60" s="52">
        <f t="shared" si="13"/>
        <v>1.0000000000000002</v>
      </c>
      <c r="I60" s="51">
        <f t="shared" si="14"/>
        <v>9.51692639154334E-2</v>
      </c>
      <c r="J60" s="28"/>
    </row>
    <row r="61" spans="1:10" ht="12.75" customHeight="1" thickBot="1" x14ac:dyDescent="0.3">
      <c r="B61" s="35" t="s">
        <v>12</v>
      </c>
      <c r="C61" s="6">
        <f t="shared" ref="C61:I61" si="15">SUM(C49:C60)</f>
        <v>158.88030145982989</v>
      </c>
      <c r="D61" s="6">
        <f t="shared" si="15"/>
        <v>231.4394400216199</v>
      </c>
      <c r="E61" s="6">
        <f t="shared" si="15"/>
        <v>1</v>
      </c>
      <c r="F61" s="6">
        <f t="shared" si="15"/>
        <v>1.0000000000000002</v>
      </c>
      <c r="G61" s="6">
        <f t="shared" si="15"/>
        <v>1.6827949294746807</v>
      </c>
      <c r="H61" s="6">
        <f t="shared" si="15"/>
        <v>6.3073540165590511</v>
      </c>
      <c r="I61" s="106">
        <f t="shared" si="15"/>
        <v>0.14711227061309007</v>
      </c>
      <c r="J61" s="28"/>
    </row>
    <row r="62" spans="1:10" ht="12.75" customHeight="1" thickBot="1" x14ac:dyDescent="0.3">
      <c r="B62" s="4"/>
      <c r="C62" s="4"/>
      <c r="D62" s="4"/>
      <c r="E62" s="50"/>
      <c r="F62" s="50"/>
      <c r="G62" s="50"/>
      <c r="H62" s="53"/>
      <c r="I62" s="53"/>
      <c r="J62" s="9"/>
    </row>
    <row r="63" spans="1:10" ht="12.75" customHeight="1" thickBot="1" x14ac:dyDescent="0.3">
      <c r="B63" s="4"/>
      <c r="C63" s="4"/>
      <c r="D63" s="4"/>
      <c r="E63" s="50"/>
      <c r="F63" s="50"/>
      <c r="G63" s="55"/>
      <c r="H63" s="56" t="s">
        <v>29</v>
      </c>
      <c r="I63" s="52">
        <f>1-(2*I61)</f>
        <v>0.70577545877381986</v>
      </c>
      <c r="J63" s="9"/>
    </row>
    <row r="64" spans="1:10" ht="12.75" customHeight="1" x14ac:dyDescent="0.25"/>
    <row r="65" spans="2:14" ht="12.75" customHeight="1" x14ac:dyDescent="0.25"/>
    <row r="66" spans="2:14" ht="12.75" customHeight="1" x14ac:dyDescent="0.25"/>
    <row r="67" spans="2:14" ht="12.75" customHeight="1" x14ac:dyDescent="0.25"/>
    <row r="68" spans="2:14" ht="16.2" thickBot="1" x14ac:dyDescent="0.35">
      <c r="B68" s="256" t="s">
        <v>98</v>
      </c>
      <c r="C68" s="256"/>
      <c r="D68" s="256"/>
      <c r="E68" s="256"/>
      <c r="F68" s="256"/>
      <c r="G68" s="256"/>
      <c r="H68" s="256"/>
      <c r="I68" s="256"/>
    </row>
    <row r="69" spans="2:14" ht="37.200000000000003" customHeight="1" thickBot="1" x14ac:dyDescent="0.3">
      <c r="B69" s="36" t="s">
        <v>19</v>
      </c>
      <c r="C69" s="37" t="s">
        <v>93</v>
      </c>
      <c r="D69" s="37" t="s">
        <v>41</v>
      </c>
      <c r="E69" s="37" t="s">
        <v>91</v>
      </c>
      <c r="F69" s="37" t="s">
        <v>16</v>
      </c>
      <c r="G69" s="37" t="s">
        <v>92</v>
      </c>
      <c r="H69" s="37" t="s">
        <v>116</v>
      </c>
      <c r="I69" s="37" t="s">
        <v>20</v>
      </c>
      <c r="J69" s="8"/>
      <c r="K69" s="8"/>
      <c r="L69" s="8"/>
      <c r="M69" s="8"/>
      <c r="N69" s="8"/>
    </row>
    <row r="70" spans="2:14" ht="12.75" customHeight="1" x14ac:dyDescent="0.25">
      <c r="B70" s="4"/>
      <c r="C70" s="26">
        <v>0</v>
      </c>
      <c r="D70" s="26">
        <v>0</v>
      </c>
      <c r="E70" s="49">
        <f t="shared" ref="E70:E81" si="16">C70/$C$82</f>
        <v>0</v>
      </c>
      <c r="F70" s="49">
        <v>0</v>
      </c>
      <c r="G70" s="49">
        <v>0</v>
      </c>
      <c r="H70" s="50">
        <f>F70</f>
        <v>0</v>
      </c>
      <c r="I70" s="49">
        <v>0</v>
      </c>
    </row>
    <row r="71" spans="2:14" ht="12.75" customHeight="1" x14ac:dyDescent="0.25">
      <c r="B71" s="82" t="s">
        <v>195</v>
      </c>
      <c r="C71" s="29">
        <v>0</v>
      </c>
      <c r="D71" s="29">
        <v>3.2098173929497773</v>
      </c>
      <c r="E71" s="49">
        <f t="shared" si="16"/>
        <v>0</v>
      </c>
      <c r="F71" s="49">
        <f t="shared" ref="F71:F81" si="17">D71/$D$82</f>
        <v>1.3868930000219203E-2</v>
      </c>
      <c r="G71" s="49">
        <f t="shared" ref="G71:G81" si="18">G70+E71</f>
        <v>0</v>
      </c>
      <c r="H71" s="50">
        <f t="shared" ref="H71:H81" si="19">F71+H70</f>
        <v>1.3868930000219203E-2</v>
      </c>
      <c r="I71" s="49">
        <f t="shared" ref="I71:I81" si="20">(G70+G71)*0.5*(H71-H70)</f>
        <v>0</v>
      </c>
    </row>
    <row r="72" spans="2:14" ht="12.75" customHeight="1" x14ac:dyDescent="0.25">
      <c r="B72" s="82" t="s">
        <v>1</v>
      </c>
      <c r="C72" s="29">
        <v>1.522812179266253</v>
      </c>
      <c r="D72" s="29">
        <v>5.1309978700489935</v>
      </c>
      <c r="E72" s="49">
        <f t="shared" si="16"/>
        <v>5.1173151307255327E-3</v>
      </c>
      <c r="F72" s="49">
        <f t="shared" si="17"/>
        <v>2.2169937282814377E-2</v>
      </c>
      <c r="G72" s="49">
        <f t="shared" si="18"/>
        <v>5.1173151307255327E-3</v>
      </c>
      <c r="H72" s="50">
        <f t="shared" si="19"/>
        <v>3.6038867283033578E-2</v>
      </c>
      <c r="I72" s="49">
        <f t="shared" si="20"/>
        <v>5.6725277752291059E-5</v>
      </c>
    </row>
    <row r="73" spans="2:14" ht="12.75" customHeight="1" x14ac:dyDescent="0.25">
      <c r="B73" s="82" t="s">
        <v>3</v>
      </c>
      <c r="C73" s="29">
        <v>2.4776537634861127</v>
      </c>
      <c r="D73" s="29">
        <v>1.1861566425948882</v>
      </c>
      <c r="E73" s="49">
        <f t="shared" si="16"/>
        <v>8.3260005831419896E-3</v>
      </c>
      <c r="F73" s="49">
        <f t="shared" si="17"/>
        <v>5.1251275170907913E-3</v>
      </c>
      <c r="G73" s="49">
        <f t="shared" si="18"/>
        <v>1.3443315713867521E-2</v>
      </c>
      <c r="H73" s="50">
        <f t="shared" si="19"/>
        <v>4.1163994800124372E-2</v>
      </c>
      <c r="I73" s="49">
        <f t="shared" si="20"/>
        <v>4.7562799938093999E-5</v>
      </c>
    </row>
    <row r="74" spans="2:14" ht="12.75" customHeight="1" x14ac:dyDescent="0.25">
      <c r="B74" s="111" t="s">
        <v>6</v>
      </c>
      <c r="C74" s="29">
        <v>4.077002875061857</v>
      </c>
      <c r="D74" s="29">
        <v>9.8069675237867351</v>
      </c>
      <c r="E74" s="49">
        <f t="shared" si="16"/>
        <v>1.3700513290232714E-2</v>
      </c>
      <c r="F74" s="49">
        <f t="shared" si="17"/>
        <v>4.2373795593657747E-2</v>
      </c>
      <c r="G74" s="49">
        <f t="shared" si="18"/>
        <v>2.7143829004100235E-2</v>
      </c>
      <c r="H74" s="50">
        <f t="shared" si="19"/>
        <v>8.3537790393782119E-2</v>
      </c>
      <c r="I74" s="49">
        <f t="shared" si="20"/>
        <v>8.5991568700468583E-4</v>
      </c>
    </row>
    <row r="75" spans="2:14" ht="12.75" customHeight="1" x14ac:dyDescent="0.25">
      <c r="B75" s="82" t="s">
        <v>5</v>
      </c>
      <c r="C75" s="29">
        <v>13.574455320634533</v>
      </c>
      <c r="D75" s="29">
        <v>17.244970274570736</v>
      </c>
      <c r="E75" s="49">
        <f t="shared" si="16"/>
        <v>4.5616108505982328E-2</v>
      </c>
      <c r="F75" s="49">
        <f t="shared" si="17"/>
        <v>7.4511804353483563E-2</v>
      </c>
      <c r="G75" s="49">
        <f t="shared" si="18"/>
        <v>7.2759937510082556E-2</v>
      </c>
      <c r="H75" s="50">
        <f t="shared" si="19"/>
        <v>0.15804959474726568</v>
      </c>
      <c r="I75" s="49">
        <f t="shared" si="20"/>
        <v>3.7220049523404449E-3</v>
      </c>
    </row>
    <row r="76" spans="2:14" ht="12.75" customHeight="1" x14ac:dyDescent="0.25">
      <c r="B76" s="82" t="s">
        <v>9</v>
      </c>
      <c r="C76" s="29">
        <v>15.372343482549196</v>
      </c>
      <c r="D76" s="29">
        <v>10.058370755062594</v>
      </c>
      <c r="E76" s="49">
        <f t="shared" si="16"/>
        <v>5.1657799280186205E-2</v>
      </c>
      <c r="F76" s="49">
        <f t="shared" si="17"/>
        <v>4.3460054838202991E-2</v>
      </c>
      <c r="G76" s="49">
        <f t="shared" si="18"/>
        <v>0.12441773679026877</v>
      </c>
      <c r="H76" s="50">
        <f t="shared" si="19"/>
        <v>0.20150964958546869</v>
      </c>
      <c r="I76" s="49">
        <f t="shared" si="20"/>
        <v>4.2846762689813002E-3</v>
      </c>
    </row>
    <row r="77" spans="2:14" ht="12.75" customHeight="1" x14ac:dyDescent="0.25">
      <c r="B77" s="82" t="s">
        <v>8</v>
      </c>
      <c r="C77" s="29">
        <v>23.5</v>
      </c>
      <c r="D77" s="29">
        <v>10.15853356600876</v>
      </c>
      <c r="E77" s="49">
        <f t="shared" si="16"/>
        <v>7.8970280911460952E-2</v>
      </c>
      <c r="F77" s="49">
        <f t="shared" si="17"/>
        <v>4.389283678296059E-2</v>
      </c>
      <c r="G77" s="49">
        <f t="shared" si="18"/>
        <v>0.20338801770172971</v>
      </c>
      <c r="H77" s="50">
        <f t="shared" si="19"/>
        <v>0.24540248636842926</v>
      </c>
      <c r="I77" s="49">
        <f t="shared" si="20"/>
        <v>7.1941622392162671E-3</v>
      </c>
    </row>
    <row r="78" spans="2:14" ht="12.75" customHeight="1" x14ac:dyDescent="0.25">
      <c r="B78" s="82" t="s">
        <v>7</v>
      </c>
      <c r="C78" s="29">
        <v>33.799999999999997</v>
      </c>
      <c r="D78" s="29">
        <v>32.039922245673743</v>
      </c>
      <c r="E78" s="49">
        <f t="shared" si="16"/>
        <v>0.11358278701307999</v>
      </c>
      <c r="F78" s="49">
        <f t="shared" si="17"/>
        <v>0.13843760701581689</v>
      </c>
      <c r="G78" s="49">
        <f t="shared" si="18"/>
        <v>0.31697080471480971</v>
      </c>
      <c r="H78" s="50">
        <f t="shared" si="19"/>
        <v>0.38384009338424618</v>
      </c>
      <c r="I78" s="49">
        <f t="shared" si="20"/>
        <v>3.6018615082457073E-2</v>
      </c>
    </row>
    <row r="79" spans="2:14" ht="12.75" customHeight="1" x14ac:dyDescent="0.25">
      <c r="B79" s="111" t="s">
        <v>10</v>
      </c>
      <c r="C79" s="29">
        <v>38.927918102531734</v>
      </c>
      <c r="D79" s="29">
        <v>34.458791534184407</v>
      </c>
      <c r="E79" s="49">
        <f t="shared" si="16"/>
        <v>0.13081483522788412</v>
      </c>
      <c r="F79" s="49">
        <f t="shared" si="17"/>
        <v>0.14888902051856606</v>
      </c>
      <c r="G79" s="49">
        <f t="shared" si="18"/>
        <v>0.44778563994269382</v>
      </c>
      <c r="H79" s="50">
        <f t="shared" si="19"/>
        <v>0.5327291139028123</v>
      </c>
      <c r="I79" s="49">
        <f t="shared" si="20"/>
        <v>5.6931918990158356E-2</v>
      </c>
    </row>
    <row r="80" spans="2:14" ht="12.75" customHeight="1" x14ac:dyDescent="0.25">
      <c r="B80" s="82" t="s">
        <v>2</v>
      </c>
      <c r="C80" s="29">
        <v>56.5</v>
      </c>
      <c r="D80" s="29">
        <v>74.805765533400674</v>
      </c>
      <c r="E80" s="49">
        <f t="shared" si="16"/>
        <v>0.18986471793606569</v>
      </c>
      <c r="F80" s="49">
        <f t="shared" si="17"/>
        <v>0.32321960996108828</v>
      </c>
      <c r="G80" s="49">
        <f t="shared" si="18"/>
        <v>0.63765035787875957</v>
      </c>
      <c r="H80" s="50">
        <f t="shared" si="19"/>
        <v>0.85594872386390053</v>
      </c>
      <c r="I80" s="49">
        <f t="shared" si="20"/>
        <v>0.17541709992678739</v>
      </c>
    </row>
    <row r="81" spans="1:14" ht="12.75" customHeight="1" thickBot="1" x14ac:dyDescent="0.3">
      <c r="B81" s="86" t="s">
        <v>4</v>
      </c>
      <c r="C81" s="32">
        <v>107.82811573630022</v>
      </c>
      <c r="D81" s="32">
        <v>33.33914668333864</v>
      </c>
      <c r="E81" s="51">
        <f t="shared" si="16"/>
        <v>0.36234964212124049</v>
      </c>
      <c r="F81" s="51">
        <f t="shared" si="17"/>
        <v>0.14405127613609964</v>
      </c>
      <c r="G81" s="51">
        <f t="shared" si="18"/>
        <v>1</v>
      </c>
      <c r="H81" s="52">
        <f t="shared" si="19"/>
        <v>1.0000000000000002</v>
      </c>
      <c r="I81" s="51">
        <f t="shared" si="20"/>
        <v>0.11795281195858784</v>
      </c>
    </row>
    <row r="82" spans="1:14" ht="12.75" customHeight="1" thickBot="1" x14ac:dyDescent="0.3">
      <c r="B82" s="38" t="s">
        <v>12</v>
      </c>
      <c r="C82" s="32">
        <f>SUM(C70:C81)</f>
        <v>297.58030145982991</v>
      </c>
      <c r="D82" s="32">
        <f>SUM(D70:D81)</f>
        <v>231.43944002161993</v>
      </c>
      <c r="E82" s="51">
        <f>SUM(E71:E81)</f>
        <v>1</v>
      </c>
      <c r="F82" s="51">
        <f>SUM(F71:F81)</f>
        <v>1.0000000000000002</v>
      </c>
      <c r="G82" s="52"/>
      <c r="H82" s="52"/>
      <c r="I82" s="51">
        <f>SUM(I70:I81)</f>
        <v>0.4024854931832238</v>
      </c>
    </row>
    <row r="83" spans="1:14" ht="12.75" customHeight="1" thickBot="1" x14ac:dyDescent="0.3">
      <c r="B83" s="47"/>
      <c r="C83" s="29"/>
      <c r="D83" s="29"/>
      <c r="E83" s="26"/>
      <c r="F83" s="27"/>
      <c r="G83" s="4"/>
      <c r="H83" s="40"/>
      <c r="I83" s="34"/>
    </row>
    <row r="84" spans="1:14" ht="12.75" customHeight="1" thickBot="1" x14ac:dyDescent="0.3">
      <c r="B84" s="4"/>
      <c r="C84" s="4"/>
      <c r="D84" s="4"/>
      <c r="E84" s="4"/>
      <c r="F84" s="4"/>
      <c r="G84" s="5"/>
      <c r="H84" s="48" t="s">
        <v>37</v>
      </c>
      <c r="I84" s="61">
        <f>1-(2*I82)</f>
        <v>0.19502901363355241</v>
      </c>
    </row>
    <row r="85" spans="1:14" ht="12.75" customHeight="1" x14ac:dyDescent="0.25">
      <c r="B85" s="4"/>
      <c r="C85" s="4"/>
      <c r="D85" s="4"/>
      <c r="E85" s="4"/>
      <c r="F85" s="4"/>
      <c r="G85" s="5"/>
      <c r="H85" s="107"/>
      <c r="I85" s="108"/>
    </row>
    <row r="86" spans="1:14" ht="12.75" customHeight="1" x14ac:dyDescent="0.25">
      <c r="B86" s="4"/>
      <c r="C86" s="4"/>
      <c r="D86" s="4"/>
      <c r="E86" s="4"/>
      <c r="F86" s="4"/>
      <c r="G86" s="5"/>
      <c r="H86" s="107"/>
      <c r="I86" s="108"/>
    </row>
    <row r="87" spans="1:14" ht="12.75" customHeight="1" x14ac:dyDescent="0.25"/>
    <row r="88" spans="1:14" ht="12.75" customHeight="1" x14ac:dyDescent="0.25"/>
    <row r="89" spans="1:14" ht="23.55" customHeight="1" x14ac:dyDescent="0.25">
      <c r="A89" s="252" t="s">
        <v>113</v>
      </c>
      <c r="B89" s="252"/>
      <c r="C89" s="252"/>
      <c r="D89" s="252"/>
      <c r="E89" s="252"/>
      <c r="F89" s="252"/>
    </row>
    <row r="90" spans="1:14" ht="12.75" customHeight="1" x14ac:dyDescent="0.25">
      <c r="D90" s="1"/>
    </row>
    <row r="91" spans="1:14" ht="12.75" customHeight="1" x14ac:dyDescent="0.25"/>
    <row r="92" spans="1:14" ht="16.2" thickBot="1" x14ac:dyDescent="0.35">
      <c r="B92" s="256" t="s">
        <v>99</v>
      </c>
      <c r="C92" s="256"/>
      <c r="D92" s="256"/>
      <c r="E92" s="256"/>
      <c r="F92" s="256"/>
      <c r="G92" s="256"/>
      <c r="H92" s="256"/>
      <c r="I92" s="256"/>
    </row>
    <row r="93" spans="1:14" ht="27" thickBot="1" x14ac:dyDescent="0.3">
      <c r="A93" s="8"/>
      <c r="B93" s="36" t="s">
        <v>19</v>
      </c>
      <c r="C93" s="37" t="s">
        <v>42</v>
      </c>
      <c r="D93" s="37" t="s">
        <v>44</v>
      </c>
      <c r="E93" s="37" t="s">
        <v>27</v>
      </c>
      <c r="F93" s="37" t="s">
        <v>21</v>
      </c>
      <c r="G93" s="37" t="s">
        <v>28</v>
      </c>
      <c r="H93" s="37" t="s">
        <v>117</v>
      </c>
      <c r="I93" s="37" t="s">
        <v>20</v>
      </c>
      <c r="J93" s="8"/>
      <c r="K93" s="8"/>
      <c r="L93" s="8"/>
      <c r="M93" s="8"/>
      <c r="N93" s="8"/>
    </row>
    <row r="94" spans="1:14" ht="12.75" customHeight="1" x14ac:dyDescent="0.25">
      <c r="B94" s="4"/>
      <c r="C94" s="26">
        <v>0</v>
      </c>
      <c r="D94" s="26">
        <v>0</v>
      </c>
      <c r="E94" s="49">
        <v>0</v>
      </c>
      <c r="F94" s="49">
        <v>0</v>
      </c>
      <c r="G94" s="49">
        <v>0</v>
      </c>
      <c r="H94" s="50">
        <f>F94</f>
        <v>0</v>
      </c>
      <c r="I94" s="49">
        <v>0</v>
      </c>
    </row>
    <row r="95" spans="1:14" ht="12.75" customHeight="1" x14ac:dyDescent="0.25">
      <c r="B95" s="82" t="s">
        <v>2</v>
      </c>
      <c r="C95" s="29">
        <v>2.5774285991231953</v>
      </c>
      <c r="D95" s="29">
        <v>33738.127951375733</v>
      </c>
      <c r="E95" s="49">
        <f t="shared" ref="E95:E105" si="21">C95/$C$106</f>
        <v>1.2413939287946071E-3</v>
      </c>
      <c r="F95" s="49">
        <f t="shared" ref="F95:F105" si="22">D95/$D$106</f>
        <v>6.1580410728501248E-2</v>
      </c>
      <c r="G95" s="49">
        <f t="shared" ref="G95:G105" si="23">G94+E95</f>
        <v>1.2413939287946071E-3</v>
      </c>
      <c r="H95" s="50">
        <f t="shared" ref="H95:H105" si="24">F95+H94</f>
        <v>6.1580410728501248E-2</v>
      </c>
      <c r="I95" s="49">
        <f t="shared" ref="I95:I105" si="25">(G94+G95)*0.5*(H95-H94)</f>
        <v>3.8222774005519868E-5</v>
      </c>
    </row>
    <row r="96" spans="1:14" ht="12.75" customHeight="1" x14ac:dyDescent="0.25">
      <c r="B96" s="82" t="s">
        <v>3</v>
      </c>
      <c r="C96" s="29">
        <v>14.219727103909346</v>
      </c>
      <c r="D96" s="29">
        <v>4739.5256339269945</v>
      </c>
      <c r="E96" s="49">
        <f t="shared" si="21"/>
        <v>6.8487960837845287E-3</v>
      </c>
      <c r="F96" s="49">
        <f t="shared" si="22"/>
        <v>8.6508040877704764E-3</v>
      </c>
      <c r="G96" s="49">
        <f t="shared" si="23"/>
        <v>8.0901900125791362E-3</v>
      </c>
      <c r="H96" s="50">
        <f t="shared" si="24"/>
        <v>7.0231214816271731E-2</v>
      </c>
      <c r="I96" s="49">
        <f t="shared" si="25"/>
        <v>4.0362852252704692E-5</v>
      </c>
    </row>
    <row r="97" spans="2:9" ht="12.75" customHeight="1" x14ac:dyDescent="0.25">
      <c r="B97" s="82" t="s">
        <v>1</v>
      </c>
      <c r="C97" s="29">
        <v>14.485042097694823</v>
      </c>
      <c r="D97" s="29">
        <v>7498.2226388555227</v>
      </c>
      <c r="E97" s="49">
        <f t="shared" si="21"/>
        <v>6.9765825228018941E-3</v>
      </c>
      <c r="F97" s="49">
        <f t="shared" si="22"/>
        <v>1.3686107021111144E-2</v>
      </c>
      <c r="G97" s="49">
        <f t="shared" si="23"/>
        <v>1.506677253538103E-2</v>
      </c>
      <c r="H97" s="50">
        <f t="shared" si="24"/>
        <v>8.3917321837382874E-2</v>
      </c>
      <c r="I97" s="49">
        <f t="shared" si="25"/>
        <v>1.5846433385762271E-4</v>
      </c>
    </row>
    <row r="98" spans="2:9" ht="12.75" customHeight="1" x14ac:dyDescent="0.25">
      <c r="B98" s="111" t="s">
        <v>6</v>
      </c>
      <c r="C98" s="29">
        <v>19.997784471413798</v>
      </c>
      <c r="D98" s="29">
        <v>12709.055149886017</v>
      </c>
      <c r="E98" s="49">
        <f t="shared" si="21"/>
        <v>9.6317423654728278E-3</v>
      </c>
      <c r="F98" s="49">
        <f t="shared" si="22"/>
        <v>2.3197162487174745E-2</v>
      </c>
      <c r="G98" s="49">
        <f t="shared" si="23"/>
        <v>2.4698514900853858E-2</v>
      </c>
      <c r="H98" s="50">
        <f t="shared" si="24"/>
        <v>0.10711448432455761</v>
      </c>
      <c r="I98" s="49">
        <f t="shared" si="25"/>
        <v>4.6122091700377449E-4</v>
      </c>
    </row>
    <row r="99" spans="2:9" ht="12.75" customHeight="1" x14ac:dyDescent="0.25">
      <c r="B99" s="82" t="s">
        <v>195</v>
      </c>
      <c r="C99" s="29">
        <v>24.394037238039431</v>
      </c>
      <c r="D99" s="29">
        <v>4549.0211045835586</v>
      </c>
      <c r="E99" s="49">
        <f t="shared" si="21"/>
        <v>1.1749155626034968E-2</v>
      </c>
      <c r="F99" s="49">
        <f t="shared" si="22"/>
        <v>8.3030863015460567E-3</v>
      </c>
      <c r="G99" s="49">
        <f t="shared" si="23"/>
        <v>3.6447670526888826E-2</v>
      </c>
      <c r="H99" s="50">
        <f t="shared" si="24"/>
        <v>0.11541757062610367</v>
      </c>
      <c r="I99" s="49">
        <f t="shared" si="25"/>
        <v>2.538510273084426E-4</v>
      </c>
    </row>
    <row r="100" spans="2:9" ht="12.75" customHeight="1" x14ac:dyDescent="0.25">
      <c r="B100" s="82" t="s">
        <v>5</v>
      </c>
      <c r="C100" s="29">
        <v>70.667525010358531</v>
      </c>
      <c r="D100" s="29">
        <v>34543.134541376516</v>
      </c>
      <c r="E100" s="49">
        <f t="shared" si="21"/>
        <v>3.4036340149497593E-2</v>
      </c>
      <c r="F100" s="49">
        <f t="shared" si="22"/>
        <v>6.3049746446323052E-2</v>
      </c>
      <c r="G100" s="49">
        <f t="shared" si="23"/>
        <v>7.0484010676386419E-2</v>
      </c>
      <c r="H100" s="50">
        <f t="shared" si="24"/>
        <v>0.17846731707242672</v>
      </c>
      <c r="I100" s="49">
        <f t="shared" si="25"/>
        <v>3.3710076934727762E-3</v>
      </c>
    </row>
    <row r="101" spans="2:9" ht="12.75" customHeight="1" x14ac:dyDescent="0.25">
      <c r="B101" s="82" t="s">
        <v>9</v>
      </c>
      <c r="C101" s="29">
        <v>127.04984350751562</v>
      </c>
      <c r="D101" s="29">
        <v>43226.930239887697</v>
      </c>
      <c r="E101" s="49">
        <f t="shared" si="21"/>
        <v>6.119234668156804E-2</v>
      </c>
      <c r="F101" s="49">
        <f t="shared" si="22"/>
        <v>7.8899816923481969E-2</v>
      </c>
      <c r="G101" s="49">
        <f t="shared" si="23"/>
        <v>0.13167635735795447</v>
      </c>
      <c r="H101" s="50">
        <f t="shared" si="24"/>
        <v>0.25736713399590871</v>
      </c>
      <c r="I101" s="49">
        <f t="shared" si="25"/>
        <v>7.9752080135466197E-3</v>
      </c>
    </row>
    <row r="102" spans="2:9" ht="12.75" customHeight="1" x14ac:dyDescent="0.25">
      <c r="B102" s="111" t="s">
        <v>10</v>
      </c>
      <c r="C102" s="29">
        <v>293.96487321639268</v>
      </c>
      <c r="D102" s="29">
        <v>69411.089457609574</v>
      </c>
      <c r="E102" s="49">
        <f t="shared" si="21"/>
        <v>0.14158538048885197</v>
      </c>
      <c r="F102" s="49">
        <f t="shared" si="22"/>
        <v>0.12669237024865945</v>
      </c>
      <c r="G102" s="49">
        <f t="shared" si="23"/>
        <v>0.27326173784680641</v>
      </c>
      <c r="H102" s="50">
        <f t="shared" si="24"/>
        <v>0.38405950424456814</v>
      </c>
      <c r="I102" s="49">
        <f t="shared" si="25"/>
        <v>2.5651283542734233E-2</v>
      </c>
    </row>
    <row r="103" spans="2:9" ht="12.75" customHeight="1" x14ac:dyDescent="0.25">
      <c r="B103" s="82" t="s">
        <v>7</v>
      </c>
      <c r="C103" s="29">
        <v>395.06257474079706</v>
      </c>
      <c r="D103" s="29">
        <v>179268.67227891536</v>
      </c>
      <c r="E103" s="49">
        <f t="shared" si="21"/>
        <v>0.19027812523847526</v>
      </c>
      <c r="F103" s="49">
        <f t="shared" si="22"/>
        <v>0.327209573856588</v>
      </c>
      <c r="G103" s="49">
        <f t="shared" si="23"/>
        <v>0.46353986308528167</v>
      </c>
      <c r="H103" s="50">
        <f t="shared" si="24"/>
        <v>0.71126907810115614</v>
      </c>
      <c r="I103" s="49">
        <f t="shared" si="25"/>
        <v>0.12054426892892019</v>
      </c>
    </row>
    <row r="104" spans="2:9" ht="12.75" customHeight="1" x14ac:dyDescent="0.25">
      <c r="B104" s="82" t="s">
        <v>4</v>
      </c>
      <c r="C104" s="29">
        <v>460.73384450513942</v>
      </c>
      <c r="D104" s="29">
        <v>149774.72401466093</v>
      </c>
      <c r="E104" s="49">
        <f t="shared" si="21"/>
        <v>0.22190806664962462</v>
      </c>
      <c r="F104" s="49">
        <f t="shared" si="22"/>
        <v>0.273375838602054</v>
      </c>
      <c r="G104" s="49">
        <f t="shared" si="23"/>
        <v>0.68544792973490631</v>
      </c>
      <c r="H104" s="50">
        <f t="shared" si="24"/>
        <v>0.98464491670321008</v>
      </c>
      <c r="I104" s="49">
        <f t="shared" si="25"/>
        <v>0.15705275070287095</v>
      </c>
    </row>
    <row r="105" spans="2:9" ht="12.75" customHeight="1" thickBot="1" x14ac:dyDescent="0.3">
      <c r="B105" s="86" t="s">
        <v>8</v>
      </c>
      <c r="C105" s="32">
        <v>653.08479686370424</v>
      </c>
      <c r="D105" s="32">
        <v>8412.6065227973904</v>
      </c>
      <c r="E105" s="51">
        <f t="shared" si="21"/>
        <v>0.31455207026509385</v>
      </c>
      <c r="F105" s="51">
        <f t="shared" si="22"/>
        <v>1.5355083296789959E-2</v>
      </c>
      <c r="G105" s="51">
        <f t="shared" si="23"/>
        <v>1.0000000000000002</v>
      </c>
      <c r="H105" s="52">
        <f t="shared" si="24"/>
        <v>1</v>
      </c>
      <c r="I105" s="51">
        <f t="shared" si="25"/>
        <v>1.2940096676740806E-2</v>
      </c>
    </row>
    <row r="106" spans="2:9" ht="12.75" customHeight="1" thickBot="1" x14ac:dyDescent="0.3">
      <c r="B106" s="38" t="s">
        <v>12</v>
      </c>
      <c r="C106" s="32">
        <f>SUM(C95:C105)</f>
        <v>2076.2374773540878</v>
      </c>
      <c r="D106" s="32">
        <f>SUM(D94:D105)</f>
        <v>547871.10953387525</v>
      </c>
      <c r="E106" s="39">
        <f>SUM(E95:E105)</f>
        <v>1.0000000000000002</v>
      </c>
      <c r="F106" s="33">
        <f>SUM(F95:F105)</f>
        <v>1</v>
      </c>
      <c r="G106" s="40"/>
      <c r="H106" s="40"/>
      <c r="I106" s="51">
        <f>SUM(I94:I105)</f>
        <v>0.32848673746271362</v>
      </c>
    </row>
    <row r="107" spans="2:9" ht="12.75" customHeight="1" thickBot="1" x14ac:dyDescent="0.3">
      <c r="B107" s="4"/>
      <c r="C107" s="4"/>
      <c r="D107" s="4"/>
      <c r="E107" s="4"/>
      <c r="F107" s="4"/>
      <c r="G107" s="4"/>
      <c r="H107" s="7"/>
      <c r="I107" s="53"/>
    </row>
    <row r="108" spans="2:9" ht="12.75" customHeight="1" thickBot="1" x14ac:dyDescent="0.3">
      <c r="B108" s="4"/>
      <c r="C108" s="4"/>
      <c r="D108" s="4"/>
      <c r="E108" s="4"/>
      <c r="F108" s="4"/>
      <c r="G108" s="5"/>
      <c r="H108" s="24" t="s">
        <v>29</v>
      </c>
      <c r="I108" s="52">
        <f>1-(2*I106)</f>
        <v>0.34302652507457276</v>
      </c>
    </row>
    <row r="109" spans="2:9" ht="12.75" customHeight="1" x14ac:dyDescent="0.25"/>
    <row r="110" spans="2:9" ht="12.75" customHeight="1" x14ac:dyDescent="0.25"/>
    <row r="111" spans="2:9" ht="12.75" customHeight="1" x14ac:dyDescent="0.25"/>
    <row r="112" spans="2:9" ht="12.75" customHeight="1" x14ac:dyDescent="0.25"/>
    <row r="113" spans="1:14" ht="16.2" thickBot="1" x14ac:dyDescent="0.35">
      <c r="B113" s="256" t="s">
        <v>100</v>
      </c>
      <c r="C113" s="256"/>
      <c r="D113" s="256"/>
      <c r="E113" s="256"/>
      <c r="F113" s="256"/>
      <c r="G113" s="256"/>
      <c r="H113" s="256"/>
      <c r="I113" s="256"/>
    </row>
    <row r="114" spans="1:14" ht="27" thickBot="1" x14ac:dyDescent="0.3">
      <c r="A114" s="8"/>
      <c r="B114" s="30" t="s">
        <v>19</v>
      </c>
      <c r="C114" s="31" t="s">
        <v>43</v>
      </c>
      <c r="D114" s="31" t="s">
        <v>44</v>
      </c>
      <c r="E114" s="31" t="s">
        <v>31</v>
      </c>
      <c r="F114" s="31" t="s">
        <v>21</v>
      </c>
      <c r="G114" s="31" t="s">
        <v>32</v>
      </c>
      <c r="H114" s="31" t="s">
        <v>117</v>
      </c>
      <c r="I114" s="31" t="s">
        <v>20</v>
      </c>
      <c r="J114" s="8"/>
      <c r="K114" s="8"/>
      <c r="L114" s="8"/>
      <c r="M114" s="8"/>
      <c r="N114" s="8"/>
    </row>
    <row r="115" spans="1:14" ht="12.75" customHeight="1" x14ac:dyDescent="0.25">
      <c r="B115" s="4"/>
      <c r="C115" s="26">
        <v>0</v>
      </c>
      <c r="D115" s="26">
        <v>0</v>
      </c>
      <c r="E115" s="49">
        <f t="shared" ref="E115:E126" si="26">C115/$C$127</f>
        <v>0</v>
      </c>
      <c r="F115" s="49">
        <v>0</v>
      </c>
      <c r="G115" s="49">
        <v>0</v>
      </c>
      <c r="H115" s="50">
        <f>F115</f>
        <v>0</v>
      </c>
      <c r="I115" s="49">
        <v>0</v>
      </c>
    </row>
    <row r="116" spans="1:14" ht="12.75" customHeight="1" x14ac:dyDescent="0.25">
      <c r="B116" s="82" t="s">
        <v>3</v>
      </c>
      <c r="C116" s="29">
        <v>11.785866162319815</v>
      </c>
      <c r="D116" s="29">
        <v>4739.5256339269945</v>
      </c>
      <c r="E116" s="49">
        <f t="shared" si="26"/>
        <v>5.4935138917268584E-3</v>
      </c>
      <c r="F116" s="49">
        <f t="shared" ref="F116:F126" si="27">D116/$D$127</f>
        <v>8.6508040877704764E-3</v>
      </c>
      <c r="G116" s="49">
        <f t="shared" ref="G116:G126" si="28">G115+E116</f>
        <v>5.4935138917268584E-3</v>
      </c>
      <c r="H116" s="50">
        <f t="shared" ref="H116:H126" si="29">F116+H115</f>
        <v>8.6508040877704764E-3</v>
      </c>
      <c r="I116" s="49">
        <f t="shared" ref="I116:I126" si="30">(G115+G116)*0.5*(H116-H115)</f>
        <v>2.3761656215387302E-5</v>
      </c>
    </row>
    <row r="117" spans="1:14" ht="12.75" customHeight="1" x14ac:dyDescent="0.25">
      <c r="B117" s="82" t="s">
        <v>1</v>
      </c>
      <c r="C117" s="29">
        <v>12.976974245152407</v>
      </c>
      <c r="D117" s="29">
        <v>7498.2226388555227</v>
      </c>
      <c r="E117" s="49">
        <f t="shared" si="26"/>
        <v>6.0487016657496586E-3</v>
      </c>
      <c r="F117" s="49">
        <f t="shared" si="27"/>
        <v>1.3686107021111144E-2</v>
      </c>
      <c r="G117" s="49">
        <f t="shared" si="28"/>
        <v>1.1542215557476518E-2</v>
      </c>
      <c r="H117" s="50">
        <f t="shared" si="29"/>
        <v>2.233691110888162E-2</v>
      </c>
      <c r="I117" s="49">
        <f t="shared" si="30"/>
        <v>1.165764082122461E-4</v>
      </c>
    </row>
    <row r="118" spans="1:14" ht="12.75" customHeight="1" x14ac:dyDescent="0.25">
      <c r="B118" s="111" t="s">
        <v>6</v>
      </c>
      <c r="C118" s="29">
        <v>19.792696191969906</v>
      </c>
      <c r="D118" s="29">
        <v>12709.055149886017</v>
      </c>
      <c r="E118" s="49">
        <f t="shared" si="26"/>
        <v>9.2255800284698226E-3</v>
      </c>
      <c r="F118" s="49">
        <f t="shared" si="27"/>
        <v>2.3197162487174745E-2</v>
      </c>
      <c r="G118" s="49">
        <f t="shared" si="28"/>
        <v>2.0767795585946339E-2</v>
      </c>
      <c r="H118" s="50">
        <f t="shared" si="29"/>
        <v>4.5534073596056365E-2</v>
      </c>
      <c r="I118" s="49">
        <f t="shared" si="30"/>
        <v>3.7475028922820332E-4</v>
      </c>
    </row>
    <row r="119" spans="1:14" ht="12.75" customHeight="1" x14ac:dyDescent="0.25">
      <c r="B119" s="82" t="s">
        <v>195</v>
      </c>
      <c r="C119" s="29">
        <v>25.851856014840443</v>
      </c>
      <c r="D119" s="29">
        <v>4549.0211045835586</v>
      </c>
      <c r="E119" s="49">
        <f t="shared" si="26"/>
        <v>1.2049816974715685E-2</v>
      </c>
      <c r="F119" s="49">
        <f t="shared" si="27"/>
        <v>8.3030863015460567E-3</v>
      </c>
      <c r="G119" s="49">
        <f t="shared" si="28"/>
        <v>3.2817612560662027E-2</v>
      </c>
      <c r="H119" s="50">
        <f t="shared" si="29"/>
        <v>5.3837159897602418E-2</v>
      </c>
      <c r="I119" s="49">
        <f t="shared" si="30"/>
        <v>2.2246213417242909E-4</v>
      </c>
    </row>
    <row r="120" spans="1:14" ht="12.75" customHeight="1" x14ac:dyDescent="0.25">
      <c r="B120" s="82" t="s">
        <v>5</v>
      </c>
      <c r="C120" s="29">
        <v>57.802867186538556</v>
      </c>
      <c r="D120" s="29">
        <v>34543.134541376516</v>
      </c>
      <c r="E120" s="49">
        <f t="shared" si="26"/>
        <v>2.6942513133747521E-2</v>
      </c>
      <c r="F120" s="49">
        <f t="shared" si="27"/>
        <v>6.3049746446323052E-2</v>
      </c>
      <c r="G120" s="49">
        <f t="shared" si="28"/>
        <v>5.9760125694409548E-2</v>
      </c>
      <c r="H120" s="50">
        <f t="shared" si="29"/>
        <v>0.11688690634392547</v>
      </c>
      <c r="I120" s="49">
        <f t="shared" si="30"/>
        <v>2.9185014617781621E-3</v>
      </c>
    </row>
    <row r="121" spans="1:14" ht="12.75" customHeight="1" x14ac:dyDescent="0.25">
      <c r="B121" s="82" t="s">
        <v>2</v>
      </c>
      <c r="C121" s="29">
        <v>61.705572489772123</v>
      </c>
      <c r="D121" s="29">
        <v>33738.127951375733</v>
      </c>
      <c r="E121" s="49">
        <f t="shared" si="26"/>
        <v>2.8761604365851734E-2</v>
      </c>
      <c r="F121" s="49">
        <f t="shared" si="27"/>
        <v>6.1580410728501248E-2</v>
      </c>
      <c r="G121" s="49">
        <f t="shared" si="28"/>
        <v>8.8521730060261289E-2</v>
      </c>
      <c r="H121" s="50">
        <f t="shared" si="29"/>
        <v>0.17846731707242672</v>
      </c>
      <c r="I121" s="49">
        <f t="shared" si="30"/>
        <v>4.5656287904785034E-3</v>
      </c>
    </row>
    <row r="122" spans="1:14" ht="12.75" customHeight="1" x14ac:dyDescent="0.25">
      <c r="B122" s="82" t="s">
        <v>9</v>
      </c>
      <c r="C122" s="29">
        <v>119.82902293645873</v>
      </c>
      <c r="D122" s="29">
        <v>43226.930239887697</v>
      </c>
      <c r="E122" s="49">
        <f t="shared" si="26"/>
        <v>5.5853544666752131E-2</v>
      </c>
      <c r="F122" s="49">
        <f t="shared" si="27"/>
        <v>7.8899816923481969E-2</v>
      </c>
      <c r="G122" s="49">
        <f t="shared" si="28"/>
        <v>0.14437527472701342</v>
      </c>
      <c r="H122" s="50">
        <f t="shared" si="29"/>
        <v>0.25736713399590871</v>
      </c>
      <c r="I122" s="49">
        <f t="shared" si="30"/>
        <v>9.1877655198716428E-3</v>
      </c>
    </row>
    <row r="123" spans="1:14" ht="12.75" customHeight="1" x14ac:dyDescent="0.25">
      <c r="B123" s="111" t="s">
        <v>10</v>
      </c>
      <c r="C123" s="29">
        <v>280.10860119837031</v>
      </c>
      <c r="D123" s="29">
        <v>69411.089457609574</v>
      </c>
      <c r="E123" s="49">
        <f t="shared" si="26"/>
        <v>0.13056151076914546</v>
      </c>
      <c r="F123" s="49">
        <f t="shared" si="27"/>
        <v>0.12669237024865945</v>
      </c>
      <c r="G123" s="49">
        <f t="shared" si="28"/>
        <v>0.27493678549615885</v>
      </c>
      <c r="H123" s="50">
        <f t="shared" si="29"/>
        <v>0.38405950424456814</v>
      </c>
      <c r="I123" s="49">
        <f t="shared" si="30"/>
        <v>2.6561819391761159E-2</v>
      </c>
    </row>
    <row r="124" spans="1:14" ht="12.75" customHeight="1" x14ac:dyDescent="0.25">
      <c r="B124" s="82" t="s">
        <v>4</v>
      </c>
      <c r="C124" s="29">
        <v>353.34728636509686</v>
      </c>
      <c r="D124" s="29">
        <v>149774.72401466093</v>
      </c>
      <c r="E124" s="49">
        <f t="shared" si="26"/>
        <v>0.16469881801785002</v>
      </c>
      <c r="F124" s="49">
        <f t="shared" si="27"/>
        <v>0.273375838602054</v>
      </c>
      <c r="G124" s="49">
        <f t="shared" si="28"/>
        <v>0.43963560351400888</v>
      </c>
      <c r="H124" s="50">
        <f t="shared" si="29"/>
        <v>0.65743534284662219</v>
      </c>
      <c r="I124" s="49">
        <f t="shared" si="30"/>
        <v>9.7673413043763896E-2</v>
      </c>
    </row>
    <row r="125" spans="1:14" ht="12.75" customHeight="1" x14ac:dyDescent="0.25">
      <c r="B125" s="82" t="s">
        <v>7</v>
      </c>
      <c r="C125" s="29">
        <v>432.94360737323967</v>
      </c>
      <c r="D125" s="29">
        <v>179268.67227891536</v>
      </c>
      <c r="E125" s="49">
        <f t="shared" si="26"/>
        <v>0.20179948496641448</v>
      </c>
      <c r="F125" s="49">
        <f t="shared" si="27"/>
        <v>0.327209573856588</v>
      </c>
      <c r="G125" s="49">
        <f t="shared" si="28"/>
        <v>0.64143508848042341</v>
      </c>
      <c r="H125" s="50">
        <f t="shared" si="29"/>
        <v>0.98464491670321019</v>
      </c>
      <c r="I125" s="49">
        <f t="shared" si="30"/>
        <v>0.17686834021817247</v>
      </c>
    </row>
    <row r="126" spans="1:14" ht="12.75" customHeight="1" thickBot="1" x14ac:dyDescent="0.3">
      <c r="B126" s="86" t="s">
        <v>8</v>
      </c>
      <c r="C126" s="32">
        <v>769.27047805195491</v>
      </c>
      <c r="D126" s="32">
        <v>8412.6065227973904</v>
      </c>
      <c r="E126" s="51">
        <f t="shared" si="26"/>
        <v>0.35856491151957653</v>
      </c>
      <c r="F126" s="51">
        <f t="shared" si="27"/>
        <v>1.5355083296789959E-2</v>
      </c>
      <c r="G126" s="51">
        <f t="shared" si="28"/>
        <v>1</v>
      </c>
      <c r="H126" s="52">
        <f t="shared" si="29"/>
        <v>1.0000000000000002</v>
      </c>
      <c r="I126" s="51">
        <f t="shared" si="30"/>
        <v>1.2602186254945406E-2</v>
      </c>
    </row>
    <row r="127" spans="1:14" ht="12.75" customHeight="1" thickBot="1" x14ac:dyDescent="0.3">
      <c r="B127" s="38" t="s">
        <v>12</v>
      </c>
      <c r="C127" s="32">
        <f>SUM(C115:C126)</f>
        <v>2145.4148282157139</v>
      </c>
      <c r="D127" s="32">
        <f>SUM(D115:D126)</f>
        <v>547871.10953387525</v>
      </c>
      <c r="E127" s="51">
        <f>SUM(E116:E126)</f>
        <v>1</v>
      </c>
      <c r="F127" s="51">
        <f>SUM(F116:F126)</f>
        <v>1.0000000000000002</v>
      </c>
      <c r="G127" s="52"/>
      <c r="H127" s="52"/>
      <c r="I127" s="51">
        <f>SUM(I115:I126)</f>
        <v>0.33111520516859955</v>
      </c>
    </row>
    <row r="128" spans="1:14" ht="12.75" customHeight="1" thickBot="1" x14ac:dyDescent="0.3">
      <c r="B128" s="4"/>
      <c r="C128" s="4"/>
      <c r="D128" s="4"/>
      <c r="E128" s="50"/>
      <c r="F128" s="50"/>
      <c r="G128" s="50"/>
      <c r="H128" s="53"/>
      <c r="I128" s="53"/>
    </row>
    <row r="129" spans="1:14" ht="12.75" customHeight="1" thickBot="1" x14ac:dyDescent="0.3">
      <c r="B129" s="4"/>
      <c r="C129" s="4"/>
      <c r="D129" s="4"/>
      <c r="E129" s="50"/>
      <c r="F129" s="50"/>
      <c r="G129" s="55"/>
      <c r="H129" s="56" t="s">
        <v>29</v>
      </c>
      <c r="I129" s="52">
        <f>1-(2*I127)</f>
        <v>0.33776958966280091</v>
      </c>
    </row>
    <row r="130" spans="1:14" ht="12.75" customHeight="1" x14ac:dyDescent="0.25"/>
    <row r="131" spans="1:14" ht="12.75" customHeight="1" x14ac:dyDescent="0.25"/>
    <row r="132" spans="1:14" ht="12.75" customHeight="1" x14ac:dyDescent="0.25"/>
    <row r="133" spans="1:14" ht="12.75" customHeight="1" x14ac:dyDescent="0.25"/>
    <row r="134" spans="1:14" ht="16.2" thickBot="1" x14ac:dyDescent="0.35">
      <c r="B134" s="256" t="s">
        <v>105</v>
      </c>
      <c r="C134" s="256"/>
      <c r="D134" s="256"/>
      <c r="E134" s="256"/>
      <c r="F134" s="256"/>
      <c r="G134" s="256"/>
      <c r="H134" s="256"/>
      <c r="I134" s="256"/>
    </row>
    <row r="135" spans="1:14" ht="27" thickBot="1" x14ac:dyDescent="0.3">
      <c r="A135" s="8"/>
      <c r="B135" s="30" t="s">
        <v>19</v>
      </c>
      <c r="C135" s="31" t="s">
        <v>38</v>
      </c>
      <c r="D135" s="31" t="s">
        <v>34</v>
      </c>
      <c r="E135" s="31" t="s">
        <v>15</v>
      </c>
      <c r="F135" s="31" t="s">
        <v>21</v>
      </c>
      <c r="G135" s="31" t="s">
        <v>17</v>
      </c>
      <c r="H135" s="31" t="s">
        <v>117</v>
      </c>
      <c r="I135" s="31" t="s">
        <v>20</v>
      </c>
      <c r="J135" s="8"/>
      <c r="K135" s="8"/>
      <c r="L135" s="8"/>
      <c r="M135" s="8"/>
      <c r="N135" s="8"/>
    </row>
    <row r="136" spans="1:14" ht="12.75" customHeight="1" x14ac:dyDescent="0.25">
      <c r="B136" s="4"/>
      <c r="C136" s="26">
        <v>0</v>
      </c>
      <c r="D136" s="26">
        <v>0</v>
      </c>
      <c r="E136" s="49">
        <v>0</v>
      </c>
      <c r="F136" s="49">
        <v>0</v>
      </c>
      <c r="G136" s="49">
        <v>0</v>
      </c>
      <c r="H136" s="50">
        <f>F136</f>
        <v>0</v>
      </c>
      <c r="I136" s="49">
        <v>0</v>
      </c>
    </row>
    <row r="137" spans="1:14" ht="12.75" customHeight="1" x14ac:dyDescent="0.25">
      <c r="B137" s="82" t="s">
        <v>195</v>
      </c>
      <c r="C137" s="29">
        <v>0</v>
      </c>
      <c r="D137" s="29">
        <v>4549.0211045835586</v>
      </c>
      <c r="E137" s="49">
        <f t="shared" ref="E137:E147" si="31">C137/$C$148</f>
        <v>0</v>
      </c>
      <c r="F137" s="49">
        <f t="shared" ref="F137:F147" si="32">D137/$D$148</f>
        <v>8.3030863015460567E-3</v>
      </c>
      <c r="G137" s="49">
        <f t="shared" ref="G137:G147" si="33">G136+E137</f>
        <v>0</v>
      </c>
      <c r="H137" s="50">
        <f t="shared" ref="H137:H147" si="34">F137+H136</f>
        <v>8.3030863015460567E-3</v>
      </c>
      <c r="I137" s="49">
        <f t="shared" ref="I137:I147" si="35">(G136+G137)*0.5*(H137-H136)</f>
        <v>0</v>
      </c>
    </row>
    <row r="138" spans="1:14" ht="12.75" customHeight="1" x14ac:dyDescent="0.25">
      <c r="B138" s="82" t="s">
        <v>2</v>
      </c>
      <c r="C138" s="29">
        <v>0</v>
      </c>
      <c r="D138" s="29">
        <v>33738.127951375733</v>
      </c>
      <c r="E138" s="49">
        <f t="shared" si="31"/>
        <v>0</v>
      </c>
      <c r="F138" s="49">
        <f t="shared" si="32"/>
        <v>6.1580410728501248E-2</v>
      </c>
      <c r="G138" s="49">
        <f t="shared" si="33"/>
        <v>0</v>
      </c>
      <c r="H138" s="50">
        <f t="shared" si="34"/>
        <v>6.9883497030047301E-2</v>
      </c>
      <c r="I138" s="49">
        <f t="shared" si="35"/>
        <v>0</v>
      </c>
    </row>
    <row r="139" spans="1:14" ht="12.75" customHeight="1" x14ac:dyDescent="0.25">
      <c r="B139" s="82" t="s">
        <v>7</v>
      </c>
      <c r="C139" s="29">
        <v>0</v>
      </c>
      <c r="D139" s="29">
        <v>179268.67227891536</v>
      </c>
      <c r="E139" s="49">
        <f t="shared" si="31"/>
        <v>0</v>
      </c>
      <c r="F139" s="49">
        <f t="shared" si="32"/>
        <v>0.327209573856588</v>
      </c>
      <c r="G139" s="49">
        <f t="shared" si="33"/>
        <v>0</v>
      </c>
      <c r="H139" s="50">
        <f t="shared" si="34"/>
        <v>0.39709307088663531</v>
      </c>
      <c r="I139" s="49">
        <f t="shared" si="35"/>
        <v>0</v>
      </c>
    </row>
    <row r="140" spans="1:14" ht="12.75" customHeight="1" x14ac:dyDescent="0.25">
      <c r="B140" s="82" t="s">
        <v>8</v>
      </c>
      <c r="C140" s="29">
        <v>0</v>
      </c>
      <c r="D140" s="29">
        <v>8412.6065227973904</v>
      </c>
      <c r="E140" s="49">
        <f t="shared" si="31"/>
        <v>0</v>
      </c>
      <c r="F140" s="49">
        <f t="shared" si="32"/>
        <v>1.5355083296789959E-2</v>
      </c>
      <c r="G140" s="49">
        <f t="shared" si="33"/>
        <v>0</v>
      </c>
      <c r="H140" s="50">
        <f t="shared" si="34"/>
        <v>0.41244815418342529</v>
      </c>
      <c r="I140" s="49">
        <f t="shared" si="35"/>
        <v>0</v>
      </c>
    </row>
    <row r="141" spans="1:14" ht="12.75" customHeight="1" x14ac:dyDescent="0.25">
      <c r="B141" s="111" t="s">
        <v>6</v>
      </c>
      <c r="C141" s="29">
        <v>0.27700287506185706</v>
      </c>
      <c r="D141" s="29">
        <v>12709.055149886017</v>
      </c>
      <c r="E141" s="49">
        <f t="shared" si="31"/>
        <v>1.7434689669939504E-3</v>
      </c>
      <c r="F141" s="49">
        <f t="shared" si="32"/>
        <v>2.3197162487174745E-2</v>
      </c>
      <c r="G141" s="49">
        <f t="shared" si="33"/>
        <v>1.7434689669939504E-3</v>
      </c>
      <c r="H141" s="50">
        <f t="shared" si="34"/>
        <v>0.43564531667060002</v>
      </c>
      <c r="I141" s="49">
        <f t="shared" si="35"/>
        <v>2.022176645935268E-5</v>
      </c>
    </row>
    <row r="142" spans="1:14" ht="12.75" customHeight="1" x14ac:dyDescent="0.25">
      <c r="B142" s="82" t="s">
        <v>1</v>
      </c>
      <c r="C142" s="29">
        <v>1.522812179266253</v>
      </c>
      <c r="D142" s="29">
        <v>7498.2226388555227</v>
      </c>
      <c r="E142" s="49">
        <f t="shared" si="31"/>
        <v>9.5846506160568272E-3</v>
      </c>
      <c r="F142" s="49">
        <f t="shared" si="32"/>
        <v>1.3686107021111144E-2</v>
      </c>
      <c r="G142" s="49">
        <f t="shared" si="33"/>
        <v>1.1328119583050777E-2</v>
      </c>
      <c r="H142" s="50">
        <f t="shared" si="34"/>
        <v>0.4493314236917112</v>
      </c>
      <c r="I142" s="49">
        <f t="shared" si="35"/>
        <v>8.9449579915921765E-5</v>
      </c>
    </row>
    <row r="143" spans="1:14" ht="12.75" customHeight="1" x14ac:dyDescent="0.25">
      <c r="B143" s="82" t="s">
        <v>3</v>
      </c>
      <c r="C143" s="29">
        <v>2.4776537634861127</v>
      </c>
      <c r="D143" s="29">
        <v>4739.5256339269945</v>
      </c>
      <c r="E143" s="49">
        <f t="shared" si="31"/>
        <v>1.5594467915284916E-2</v>
      </c>
      <c r="F143" s="49">
        <f t="shared" si="32"/>
        <v>8.6508040877704764E-3</v>
      </c>
      <c r="G143" s="49">
        <f t="shared" si="33"/>
        <v>2.6922587498335693E-2</v>
      </c>
      <c r="H143" s="50">
        <f t="shared" si="34"/>
        <v>0.45798222777948167</v>
      </c>
      <c r="I143" s="49">
        <f t="shared" si="35"/>
        <v>1.6544968658988444E-4</v>
      </c>
    </row>
    <row r="144" spans="1:14" ht="12.75" customHeight="1" x14ac:dyDescent="0.25">
      <c r="B144" s="82" t="s">
        <v>5</v>
      </c>
      <c r="C144" s="29">
        <v>13.574455320634533</v>
      </c>
      <c r="D144" s="29">
        <v>34543.134541376516</v>
      </c>
      <c r="E144" s="49">
        <f t="shared" si="31"/>
        <v>8.5438252545527782E-2</v>
      </c>
      <c r="F144" s="49">
        <f t="shared" si="32"/>
        <v>6.3049746446323052E-2</v>
      </c>
      <c r="G144" s="49">
        <f t="shared" si="33"/>
        <v>0.11236084004386347</v>
      </c>
      <c r="H144" s="50">
        <f t="shared" si="34"/>
        <v>0.52103197422580472</v>
      </c>
      <c r="I144" s="49">
        <f t="shared" si="35"/>
        <v>4.3908923953552333E-3</v>
      </c>
    </row>
    <row r="145" spans="1:14" ht="12.75" customHeight="1" x14ac:dyDescent="0.25">
      <c r="B145" s="82" t="s">
        <v>9</v>
      </c>
      <c r="C145" s="29">
        <v>15.372343482549196</v>
      </c>
      <c r="D145" s="29">
        <v>43226.930239887697</v>
      </c>
      <c r="E145" s="49">
        <f t="shared" si="31"/>
        <v>9.6754244178192381E-2</v>
      </c>
      <c r="F145" s="49">
        <f t="shared" si="32"/>
        <v>7.8899816923481969E-2</v>
      </c>
      <c r="G145" s="49">
        <f t="shared" si="33"/>
        <v>0.20911508422205585</v>
      </c>
      <c r="H145" s="50">
        <f t="shared" si="34"/>
        <v>0.59993179114928674</v>
      </c>
      <c r="I145" s="49">
        <f t="shared" si="35"/>
        <v>1.2682195784944103E-2</v>
      </c>
    </row>
    <row r="146" spans="1:14" ht="12.75" customHeight="1" x14ac:dyDescent="0.25">
      <c r="B146" s="111" t="s">
        <v>10</v>
      </c>
      <c r="C146" s="29">
        <v>17.827918102531729</v>
      </c>
      <c r="D146" s="29">
        <v>69411.089457609574</v>
      </c>
      <c r="E146" s="49">
        <f t="shared" si="31"/>
        <v>0.1122097449383252</v>
      </c>
      <c r="F146" s="49">
        <f t="shared" si="32"/>
        <v>0.12669237024865945</v>
      </c>
      <c r="G146" s="49">
        <f t="shared" si="33"/>
        <v>0.32132482916038108</v>
      </c>
      <c r="H146" s="50">
        <f t="shared" si="34"/>
        <v>0.72662416139794617</v>
      </c>
      <c r="I146" s="49">
        <f t="shared" si="35"/>
        <v>3.3601344950457267E-2</v>
      </c>
    </row>
    <row r="147" spans="1:14" ht="12.75" customHeight="1" thickBot="1" x14ac:dyDescent="0.3">
      <c r="B147" s="86" t="s">
        <v>4</v>
      </c>
      <c r="C147" s="32">
        <v>107.82811573630022</v>
      </c>
      <c r="D147" s="32">
        <v>149774.72401466093</v>
      </c>
      <c r="E147" s="51">
        <f t="shared" si="31"/>
        <v>0.67867517083961904</v>
      </c>
      <c r="F147" s="51">
        <f t="shared" si="32"/>
        <v>0.273375838602054</v>
      </c>
      <c r="G147" s="51">
        <f t="shared" si="33"/>
        <v>1</v>
      </c>
      <c r="H147" s="52">
        <f t="shared" si="34"/>
        <v>1.0000000000000002</v>
      </c>
      <c r="I147" s="51">
        <f t="shared" si="35"/>
        <v>0.18060914161871747</v>
      </c>
    </row>
    <row r="148" spans="1:14" ht="12.75" customHeight="1" thickBot="1" x14ac:dyDescent="0.3">
      <c r="B148" s="38" t="s">
        <v>12</v>
      </c>
      <c r="C148" s="32">
        <f>SUM(C136:C147)</f>
        <v>158.88030145982989</v>
      </c>
      <c r="D148" s="32">
        <f>SUM(D136:D147)</f>
        <v>547871.10953387525</v>
      </c>
      <c r="E148" s="51">
        <f>SUM(E137:E147)</f>
        <v>1</v>
      </c>
      <c r="F148" s="51">
        <f>SUM(F137:F147)</f>
        <v>1.0000000000000002</v>
      </c>
      <c r="G148" s="52"/>
      <c r="H148" s="52"/>
      <c r="I148" s="51">
        <f>SUM(I136:I147)</f>
        <v>0.23155869578243923</v>
      </c>
    </row>
    <row r="149" spans="1:14" ht="12.75" customHeight="1" thickBot="1" x14ac:dyDescent="0.3">
      <c r="B149" s="4"/>
      <c r="C149" s="4"/>
      <c r="D149" s="4"/>
      <c r="E149" s="50"/>
      <c r="F149" s="50"/>
      <c r="G149" s="50"/>
      <c r="H149" s="53"/>
      <c r="I149" s="53"/>
    </row>
    <row r="150" spans="1:14" ht="12.75" customHeight="1" thickBot="1" x14ac:dyDescent="0.3">
      <c r="B150" s="4"/>
      <c r="C150" s="4"/>
      <c r="D150" s="4"/>
      <c r="E150" s="50"/>
      <c r="F150" s="50"/>
      <c r="G150" s="55"/>
      <c r="H150" s="56" t="s">
        <v>33</v>
      </c>
      <c r="I150" s="52">
        <f>1-(2*I148)</f>
        <v>0.53688260843512148</v>
      </c>
    </row>
    <row r="151" spans="1:14" ht="12.75" customHeight="1" x14ac:dyDescent="0.25"/>
    <row r="152" spans="1:14" ht="12.75" customHeight="1" x14ac:dyDescent="0.25"/>
    <row r="153" spans="1:14" ht="12.75" customHeight="1" x14ac:dyDescent="0.25"/>
    <row r="154" spans="1:14" ht="12.75" customHeight="1" x14ac:dyDescent="0.25"/>
    <row r="155" spans="1:14" ht="16.2" thickBot="1" x14ac:dyDescent="0.35">
      <c r="B155" s="256" t="s">
        <v>101</v>
      </c>
      <c r="C155" s="256"/>
      <c r="D155" s="256"/>
      <c r="E155" s="256"/>
      <c r="F155" s="256"/>
      <c r="G155" s="256"/>
      <c r="H155" s="256"/>
      <c r="I155" s="256"/>
    </row>
    <row r="156" spans="1:14" ht="27" thickBot="1" x14ac:dyDescent="0.3">
      <c r="A156" s="8"/>
      <c r="B156" s="30" t="s">
        <v>19</v>
      </c>
      <c r="C156" s="31" t="s">
        <v>39</v>
      </c>
      <c r="D156" s="31" t="s">
        <v>40</v>
      </c>
      <c r="E156" s="31" t="s">
        <v>15</v>
      </c>
      <c r="F156" s="31" t="s">
        <v>21</v>
      </c>
      <c r="G156" s="31" t="s">
        <v>17</v>
      </c>
      <c r="H156" s="31" t="s">
        <v>117</v>
      </c>
      <c r="I156" s="31" t="s">
        <v>20</v>
      </c>
      <c r="J156" s="8"/>
      <c r="K156" s="8"/>
      <c r="L156" s="8"/>
      <c r="M156" s="8"/>
      <c r="N156" s="8"/>
    </row>
    <row r="157" spans="1:14" ht="12.75" customHeight="1" x14ac:dyDescent="0.25">
      <c r="B157" s="4"/>
      <c r="C157" s="26">
        <v>0</v>
      </c>
      <c r="D157" s="26">
        <v>0</v>
      </c>
      <c r="E157" s="49">
        <v>0</v>
      </c>
      <c r="F157" s="49">
        <v>0</v>
      </c>
      <c r="G157" s="49">
        <v>0</v>
      </c>
      <c r="H157" s="50">
        <f>F157</f>
        <v>0</v>
      </c>
      <c r="I157" s="49">
        <v>0</v>
      </c>
    </row>
    <row r="158" spans="1:14" ht="12.75" customHeight="1" x14ac:dyDescent="0.25">
      <c r="B158" s="82" t="s">
        <v>195</v>
      </c>
      <c r="C158" s="29">
        <v>0</v>
      </c>
      <c r="D158" s="29">
        <v>4549.0211045835586</v>
      </c>
      <c r="E158" s="49">
        <f t="shared" ref="E158:E168" si="36">C158/$C$169</f>
        <v>0</v>
      </c>
      <c r="F158" s="49">
        <f t="shared" ref="F158:F168" si="37">D158/$D$169</f>
        <v>8.3030863015460567E-3</v>
      </c>
      <c r="G158" s="49">
        <f t="shared" ref="G158:G168" si="38">G157+E158</f>
        <v>0</v>
      </c>
      <c r="H158" s="50">
        <f t="shared" ref="H158:H168" si="39">F158+H157</f>
        <v>8.3030863015460567E-3</v>
      </c>
      <c r="I158" s="49">
        <f t="shared" ref="I158:I168" si="40">(G157+G158)*0.5*(H158-H157)</f>
        <v>0</v>
      </c>
    </row>
    <row r="159" spans="1:14" ht="12.75" customHeight="1" x14ac:dyDescent="0.25">
      <c r="B159" s="82" t="s">
        <v>1</v>
      </c>
      <c r="C159" s="29">
        <v>1.522812179266253</v>
      </c>
      <c r="D159" s="29">
        <v>7498.2226388555227</v>
      </c>
      <c r="E159" s="49">
        <f t="shared" si="36"/>
        <v>5.1173151307255327E-3</v>
      </c>
      <c r="F159" s="49">
        <f t="shared" si="37"/>
        <v>1.3686107021111144E-2</v>
      </c>
      <c r="G159" s="49">
        <f t="shared" si="38"/>
        <v>5.1173151307255327E-3</v>
      </c>
      <c r="H159" s="50">
        <f t="shared" si="39"/>
        <v>2.19891933226572E-2</v>
      </c>
      <c r="I159" s="49">
        <f t="shared" si="40"/>
        <v>3.5018061269930504E-5</v>
      </c>
    </row>
    <row r="160" spans="1:14" ht="12.75" customHeight="1" x14ac:dyDescent="0.25">
      <c r="B160" s="82" t="s">
        <v>3</v>
      </c>
      <c r="C160" s="29">
        <v>2.4776537634861127</v>
      </c>
      <c r="D160" s="29">
        <v>4739.5256339269945</v>
      </c>
      <c r="E160" s="49">
        <f t="shared" si="36"/>
        <v>8.3260005831419896E-3</v>
      </c>
      <c r="F160" s="49">
        <f t="shared" si="37"/>
        <v>8.6508040877704764E-3</v>
      </c>
      <c r="G160" s="49">
        <f t="shared" si="38"/>
        <v>1.3443315713867521E-2</v>
      </c>
      <c r="H160" s="50">
        <f t="shared" si="39"/>
        <v>3.0639997410427677E-2</v>
      </c>
      <c r="I160" s="49">
        <f t="shared" si="40"/>
        <v>8.0282190591002183E-5</v>
      </c>
    </row>
    <row r="161" spans="1:9" ht="12.75" customHeight="1" x14ac:dyDescent="0.25">
      <c r="B161" s="111" t="s">
        <v>6</v>
      </c>
      <c r="C161" s="29">
        <v>4.077002875061857</v>
      </c>
      <c r="D161" s="29">
        <v>12709.055149886017</v>
      </c>
      <c r="E161" s="49">
        <f t="shared" si="36"/>
        <v>1.3700513290232714E-2</v>
      </c>
      <c r="F161" s="49">
        <f t="shared" si="37"/>
        <v>2.3197162487174745E-2</v>
      </c>
      <c r="G161" s="49">
        <f t="shared" si="38"/>
        <v>2.7143829004100235E-2</v>
      </c>
      <c r="H161" s="50">
        <f t="shared" si="39"/>
        <v>5.3837159897602418E-2</v>
      </c>
      <c r="I161" s="49">
        <f t="shared" si="40"/>
        <v>4.7075329545658712E-4</v>
      </c>
    </row>
    <row r="162" spans="1:9" ht="12.75" customHeight="1" x14ac:dyDescent="0.25">
      <c r="B162" s="82" t="s">
        <v>5</v>
      </c>
      <c r="C162" s="29">
        <v>13.574455320634533</v>
      </c>
      <c r="D162" s="29">
        <v>34543.134541376516</v>
      </c>
      <c r="E162" s="49">
        <f t="shared" si="36"/>
        <v>4.5616108505982328E-2</v>
      </c>
      <c r="F162" s="49">
        <f t="shared" si="37"/>
        <v>6.3049746446323052E-2</v>
      </c>
      <c r="G162" s="49">
        <f t="shared" si="38"/>
        <v>7.2759937510082556E-2</v>
      </c>
      <c r="H162" s="50">
        <f t="shared" si="39"/>
        <v>0.11688690634392547</v>
      </c>
      <c r="I162" s="49">
        <f t="shared" si="40"/>
        <v>3.149453573875942E-3</v>
      </c>
    </row>
    <row r="163" spans="1:9" ht="12.75" customHeight="1" x14ac:dyDescent="0.25">
      <c r="B163" s="82" t="s">
        <v>9</v>
      </c>
      <c r="C163" s="29">
        <v>15.372343482549196</v>
      </c>
      <c r="D163" s="29">
        <v>43226.930239887697</v>
      </c>
      <c r="E163" s="49">
        <f t="shared" si="36"/>
        <v>5.1657799280186205E-2</v>
      </c>
      <c r="F163" s="49">
        <f t="shared" si="37"/>
        <v>7.8899816923481969E-2</v>
      </c>
      <c r="G163" s="49">
        <f t="shared" si="38"/>
        <v>0.12441773679026877</v>
      </c>
      <c r="H163" s="50">
        <f t="shared" si="39"/>
        <v>0.19578672326740743</v>
      </c>
      <c r="I163" s="49">
        <f t="shared" si="40"/>
        <v>7.7786412018478364E-3</v>
      </c>
    </row>
    <row r="164" spans="1:9" ht="12.75" customHeight="1" x14ac:dyDescent="0.25">
      <c r="B164" s="82" t="s">
        <v>8</v>
      </c>
      <c r="C164" s="29">
        <v>23.5</v>
      </c>
      <c r="D164" s="29">
        <v>8412.6065227973904</v>
      </c>
      <c r="E164" s="49">
        <f t="shared" si="36"/>
        <v>7.8970280911460952E-2</v>
      </c>
      <c r="F164" s="49">
        <f t="shared" si="37"/>
        <v>1.5355083296789959E-2</v>
      </c>
      <c r="G164" s="49">
        <f t="shared" si="38"/>
        <v>0.20338801770172971</v>
      </c>
      <c r="H164" s="50">
        <f t="shared" si="39"/>
        <v>0.2111418065641974</v>
      </c>
      <c r="I164" s="49">
        <f t="shared" si="40"/>
        <v>2.5167423326958602E-3</v>
      </c>
    </row>
    <row r="165" spans="1:9" ht="12.75" customHeight="1" x14ac:dyDescent="0.25">
      <c r="B165" s="82" t="s">
        <v>7</v>
      </c>
      <c r="C165" s="29">
        <v>33.799999999999997</v>
      </c>
      <c r="D165" s="29">
        <v>179268.67227891536</v>
      </c>
      <c r="E165" s="49">
        <f t="shared" si="36"/>
        <v>0.11358278701307999</v>
      </c>
      <c r="F165" s="49">
        <f t="shared" si="37"/>
        <v>0.327209573856588</v>
      </c>
      <c r="G165" s="49">
        <f t="shared" si="38"/>
        <v>0.31697080471480971</v>
      </c>
      <c r="H165" s="50">
        <f t="shared" si="39"/>
        <v>0.53835138042078534</v>
      </c>
      <c r="I165" s="49">
        <f t="shared" si="40"/>
        <v>8.5133194267715886E-2</v>
      </c>
    </row>
    <row r="166" spans="1:9" ht="12.75" customHeight="1" x14ac:dyDescent="0.25">
      <c r="B166" s="111" t="s">
        <v>10</v>
      </c>
      <c r="C166" s="29">
        <v>38.927918102531734</v>
      </c>
      <c r="D166" s="29">
        <v>69411.089457609574</v>
      </c>
      <c r="E166" s="49">
        <f t="shared" si="36"/>
        <v>0.13081483522788412</v>
      </c>
      <c r="F166" s="49">
        <f t="shared" si="37"/>
        <v>0.12669237024865945</v>
      </c>
      <c r="G166" s="49">
        <f t="shared" si="38"/>
        <v>0.44778563994269382</v>
      </c>
      <c r="H166" s="50">
        <f t="shared" si="39"/>
        <v>0.66504375066944477</v>
      </c>
      <c r="I166" s="49">
        <f t="shared" si="40"/>
        <v>4.8444403318298426E-2</v>
      </c>
    </row>
    <row r="167" spans="1:9" ht="12.75" customHeight="1" x14ac:dyDescent="0.25">
      <c r="B167" s="82" t="s">
        <v>2</v>
      </c>
      <c r="C167" s="29">
        <v>56.5</v>
      </c>
      <c r="D167" s="29">
        <v>33738.127951375733</v>
      </c>
      <c r="E167" s="49">
        <f t="shared" si="36"/>
        <v>0.18986471793606569</v>
      </c>
      <c r="F167" s="49">
        <f t="shared" si="37"/>
        <v>6.1580410728501248E-2</v>
      </c>
      <c r="G167" s="49">
        <f t="shared" si="38"/>
        <v>0.63765035787875957</v>
      </c>
      <c r="H167" s="50">
        <f t="shared" si="39"/>
        <v>0.72662416139794606</v>
      </c>
      <c r="I167" s="49">
        <f t="shared" si="40"/>
        <v>3.3420797282672866E-2</v>
      </c>
    </row>
    <row r="168" spans="1:9" ht="12.75" customHeight="1" thickBot="1" x14ac:dyDescent="0.3">
      <c r="B168" s="86" t="s">
        <v>4</v>
      </c>
      <c r="C168" s="32">
        <v>107.82811573630022</v>
      </c>
      <c r="D168" s="32">
        <v>149774.72401466093</v>
      </c>
      <c r="E168" s="51">
        <f t="shared" si="36"/>
        <v>0.36234964212124049</v>
      </c>
      <c r="F168" s="51">
        <f t="shared" si="37"/>
        <v>0.273375838602054</v>
      </c>
      <c r="G168" s="51">
        <f t="shared" si="38"/>
        <v>1</v>
      </c>
      <c r="H168" s="52">
        <f t="shared" si="39"/>
        <v>1</v>
      </c>
      <c r="I168" s="51">
        <f t="shared" si="40"/>
        <v>0.22384701996102982</v>
      </c>
    </row>
    <row r="169" spans="1:9" ht="12.75" customHeight="1" thickBot="1" x14ac:dyDescent="0.3">
      <c r="B169" s="38" t="s">
        <v>12</v>
      </c>
      <c r="C169" s="32">
        <f>SUM(C157:C168)</f>
        <v>297.58030145982991</v>
      </c>
      <c r="D169" s="32">
        <f>SUM(D157:D168)</f>
        <v>547871.10953387525</v>
      </c>
      <c r="E169" s="51">
        <f>SUM(E158:E168)</f>
        <v>1</v>
      </c>
      <c r="F169" s="51">
        <f>SUM(F158:F168)</f>
        <v>1</v>
      </c>
      <c r="G169" s="52"/>
      <c r="H169" s="52"/>
      <c r="I169" s="51">
        <f>SUM(I157:I168)</f>
        <v>0.40487630548545417</v>
      </c>
    </row>
    <row r="170" spans="1:9" ht="12.75" customHeight="1" thickBot="1" x14ac:dyDescent="0.3">
      <c r="B170" s="4"/>
      <c r="C170" s="4"/>
      <c r="D170" s="4"/>
      <c r="E170" s="50"/>
      <c r="F170" s="50"/>
      <c r="G170" s="50"/>
      <c r="H170" s="53"/>
      <c r="I170" s="53"/>
    </row>
    <row r="171" spans="1:9" ht="12.75" customHeight="1" thickBot="1" x14ac:dyDescent="0.3">
      <c r="B171" s="4"/>
      <c r="C171" s="4"/>
      <c r="D171" s="4"/>
      <c r="E171" s="50"/>
      <c r="F171" s="50"/>
      <c r="G171" s="55"/>
      <c r="H171" s="57" t="s">
        <v>29</v>
      </c>
      <c r="I171" s="58">
        <f>1-(2*I169)</f>
        <v>0.19024738902909166</v>
      </c>
    </row>
    <row r="172" spans="1:9" ht="12.75" customHeight="1" x14ac:dyDescent="0.25">
      <c r="B172" s="4"/>
      <c r="C172" s="4"/>
      <c r="D172" s="4"/>
      <c r="E172" s="50"/>
      <c r="F172" s="50"/>
      <c r="G172" s="55"/>
      <c r="H172" s="116"/>
      <c r="I172" s="108"/>
    </row>
    <row r="173" spans="1:9" ht="12.75" customHeight="1" x14ac:dyDescent="0.25">
      <c r="B173" s="4"/>
      <c r="C173" s="4"/>
      <c r="D173" s="4"/>
      <c r="E173" s="50"/>
      <c r="F173" s="50"/>
      <c r="G173" s="55"/>
      <c r="H173" s="116"/>
      <c r="I173" s="108"/>
    </row>
    <row r="174" spans="1:9" ht="28.2" customHeight="1" x14ac:dyDescent="0.25">
      <c r="A174" s="252" t="s">
        <v>94</v>
      </c>
      <c r="B174" s="252"/>
      <c r="C174" s="252"/>
      <c r="D174" s="252"/>
      <c r="E174" s="252"/>
      <c r="F174" s="252"/>
      <c r="G174" s="55"/>
      <c r="H174" s="116"/>
      <c r="I174" s="108"/>
    </row>
    <row r="175" spans="1:9" ht="12.75" customHeight="1" x14ac:dyDescent="0.25"/>
    <row r="176" spans="1:9" ht="16.2" thickBot="1" x14ac:dyDescent="0.35">
      <c r="B176" s="256" t="s">
        <v>114</v>
      </c>
      <c r="C176" s="256"/>
      <c r="D176" s="256"/>
      <c r="E176" s="256"/>
      <c r="F176" s="256"/>
      <c r="G176" s="256"/>
      <c r="H176" s="256"/>
      <c r="I176" s="256"/>
    </row>
    <row r="177" spans="1:14" ht="42.6" customHeight="1" thickBot="1" x14ac:dyDescent="0.3">
      <c r="A177" s="8"/>
      <c r="B177" s="36" t="s">
        <v>19</v>
      </c>
      <c r="C177" s="37" t="s">
        <v>42</v>
      </c>
      <c r="D177" s="37" t="s">
        <v>115</v>
      </c>
      <c r="E177" s="37" t="s">
        <v>27</v>
      </c>
      <c r="F177" s="37" t="s">
        <v>21</v>
      </c>
      <c r="G177" s="37" t="s">
        <v>28</v>
      </c>
      <c r="H177" s="37" t="s">
        <v>117</v>
      </c>
      <c r="I177" s="37" t="s">
        <v>20</v>
      </c>
      <c r="J177" s="8"/>
      <c r="K177" s="8"/>
      <c r="L177" s="8"/>
      <c r="M177" s="8"/>
      <c r="N177" s="8"/>
    </row>
    <row r="178" spans="1:14" ht="12.75" customHeight="1" x14ac:dyDescent="0.25">
      <c r="B178" s="4"/>
      <c r="C178" s="26">
        <v>0</v>
      </c>
      <c r="D178" s="26">
        <v>0</v>
      </c>
      <c r="E178" s="49">
        <v>0</v>
      </c>
      <c r="F178" s="49">
        <v>0</v>
      </c>
      <c r="G178" s="49">
        <v>0</v>
      </c>
      <c r="H178" s="50">
        <f>F178</f>
        <v>0</v>
      </c>
      <c r="I178" s="49">
        <v>0</v>
      </c>
    </row>
    <row r="179" spans="1:14" ht="12.75" customHeight="1" x14ac:dyDescent="0.25">
      <c r="B179" s="82" t="s">
        <v>2</v>
      </c>
      <c r="C179" s="84">
        <v>2.5774285991231953</v>
      </c>
      <c r="D179" s="29">
        <v>251430.37783690859</v>
      </c>
      <c r="E179" s="49">
        <f t="shared" ref="E179:E189" si="41">C179/$C$190</f>
        <v>1.2413939287946071E-3</v>
      </c>
      <c r="F179" s="49">
        <f t="shared" ref="F179:F189" si="42">D179/$D$190</f>
        <v>8.2249727275718124E-2</v>
      </c>
      <c r="G179" s="49">
        <f t="shared" ref="G179:G189" si="43">G178+E179</f>
        <v>1.2413939287946071E-3</v>
      </c>
      <c r="H179" s="50">
        <f t="shared" ref="H179:H189" si="44">F179+H178</f>
        <v>8.2249727275718124E-2</v>
      </c>
      <c r="I179" s="49">
        <f t="shared" ref="I179:I189" si="45">(G178+G179)*0.5*(H179-H178)</f>
        <v>5.1052156042544342E-5</v>
      </c>
    </row>
    <row r="180" spans="1:14" ht="12.75" customHeight="1" x14ac:dyDescent="0.25">
      <c r="B180" s="82" t="s">
        <v>3</v>
      </c>
      <c r="C180" s="84">
        <v>14.219727103909346</v>
      </c>
      <c r="D180" s="29">
        <v>24496.645034227455</v>
      </c>
      <c r="E180" s="49">
        <f t="shared" si="41"/>
        <v>6.8487960837845287E-3</v>
      </c>
      <c r="F180" s="49">
        <f t="shared" si="42"/>
        <v>8.0135200470573958E-3</v>
      </c>
      <c r="G180" s="49">
        <f t="shared" si="43"/>
        <v>8.0901900125791362E-3</v>
      </c>
      <c r="H180" s="50">
        <f t="shared" si="44"/>
        <v>9.0263247322775519E-2</v>
      </c>
      <c r="I180" s="49">
        <f t="shared" si="45"/>
        <v>3.7389417492498679E-5</v>
      </c>
    </row>
    <row r="181" spans="1:14" ht="12.75" customHeight="1" x14ac:dyDescent="0.25">
      <c r="B181" s="82" t="s">
        <v>1</v>
      </c>
      <c r="C181" s="84">
        <v>14.485042097694823</v>
      </c>
      <c r="D181" s="29">
        <v>13199.085501550475</v>
      </c>
      <c r="E181" s="49">
        <f t="shared" si="41"/>
        <v>6.9765825228018941E-3</v>
      </c>
      <c r="F181" s="49">
        <f t="shared" si="42"/>
        <v>4.3177805010323955E-3</v>
      </c>
      <c r="G181" s="49">
        <f t="shared" si="43"/>
        <v>1.506677253538103E-2</v>
      </c>
      <c r="H181" s="50">
        <f t="shared" si="44"/>
        <v>9.4581027823807909E-2</v>
      </c>
      <c r="I181" s="49">
        <f t="shared" si="45"/>
        <v>4.9993340676359865E-5</v>
      </c>
    </row>
    <row r="182" spans="1:14" ht="12.75" customHeight="1" x14ac:dyDescent="0.25">
      <c r="B182" s="111" t="s">
        <v>6</v>
      </c>
      <c r="C182" s="84">
        <v>19.997784471413798</v>
      </c>
      <c r="D182" s="29">
        <v>20836.189535136225</v>
      </c>
      <c r="E182" s="49">
        <f t="shared" si="41"/>
        <v>9.6317423654728278E-3</v>
      </c>
      <c r="F182" s="49">
        <f t="shared" si="42"/>
        <v>6.8160853174303836E-3</v>
      </c>
      <c r="G182" s="49">
        <f t="shared" si="43"/>
        <v>2.4698514900853858E-2</v>
      </c>
      <c r="H182" s="50">
        <f t="shared" si="44"/>
        <v>0.1013971131412383</v>
      </c>
      <c r="I182" s="49">
        <f t="shared" si="45"/>
        <v>1.3552179591875985E-4</v>
      </c>
    </row>
    <row r="183" spans="1:14" ht="12.75" customHeight="1" x14ac:dyDescent="0.25">
      <c r="B183" s="82" t="s">
        <v>195</v>
      </c>
      <c r="C183" s="84">
        <v>24.394037238039431</v>
      </c>
      <c r="D183" s="29">
        <v>20450.034940117202</v>
      </c>
      <c r="E183" s="49">
        <f t="shared" si="41"/>
        <v>1.1749155626034968E-2</v>
      </c>
      <c r="F183" s="49">
        <f t="shared" si="42"/>
        <v>6.6897636279041406E-3</v>
      </c>
      <c r="G183" s="49">
        <f t="shared" si="43"/>
        <v>3.6447670526888826E-2</v>
      </c>
      <c r="H183" s="50">
        <f t="shared" si="44"/>
        <v>0.10808687676914244</v>
      </c>
      <c r="I183" s="49">
        <f t="shared" si="45"/>
        <v>2.0452676362979778E-4</v>
      </c>
    </row>
    <row r="184" spans="1:14" ht="12.75" customHeight="1" x14ac:dyDescent="0.25">
      <c r="B184" s="82" t="s">
        <v>5</v>
      </c>
      <c r="C184" s="84">
        <v>70.667525010358531</v>
      </c>
      <c r="D184" s="29">
        <v>49475.746319971244</v>
      </c>
      <c r="E184" s="49">
        <f t="shared" si="41"/>
        <v>3.4036340149497593E-2</v>
      </c>
      <c r="F184" s="49">
        <f t="shared" si="42"/>
        <v>1.6184864679397896E-2</v>
      </c>
      <c r="G184" s="49">
        <f t="shared" si="43"/>
        <v>7.0484010676386419E-2</v>
      </c>
      <c r="H184" s="50">
        <f t="shared" si="44"/>
        <v>0.12427174144854033</v>
      </c>
      <c r="I184" s="49">
        <f t="shared" si="45"/>
        <v>8.6533739510776247E-4</v>
      </c>
    </row>
    <row r="185" spans="1:14" ht="12.75" customHeight="1" x14ac:dyDescent="0.25">
      <c r="B185" s="82" t="s">
        <v>9</v>
      </c>
      <c r="C185" s="84">
        <v>127.04984350751562</v>
      </c>
      <c r="D185" s="29">
        <v>119784.51078433092</v>
      </c>
      <c r="E185" s="49">
        <f t="shared" si="41"/>
        <v>6.119234668156804E-2</v>
      </c>
      <c r="F185" s="49">
        <f t="shared" si="42"/>
        <v>3.9184777227902166E-2</v>
      </c>
      <c r="G185" s="49">
        <f t="shared" si="43"/>
        <v>0.13167635735795447</v>
      </c>
      <c r="H185" s="50">
        <f t="shared" si="44"/>
        <v>0.16345651867644251</v>
      </c>
      <c r="I185" s="49">
        <f t="shared" si="45"/>
        <v>3.9608044928681821E-3</v>
      </c>
    </row>
    <row r="186" spans="1:14" ht="12.75" customHeight="1" x14ac:dyDescent="0.25">
      <c r="B186" s="111" t="s">
        <v>10</v>
      </c>
      <c r="C186" s="84">
        <v>293.96487321639268</v>
      </c>
      <c r="D186" s="29">
        <v>237021.44592026682</v>
      </c>
      <c r="E186" s="49">
        <f t="shared" si="41"/>
        <v>0.14158538048885197</v>
      </c>
      <c r="F186" s="49">
        <f t="shared" si="42"/>
        <v>7.7536173047808091E-2</v>
      </c>
      <c r="G186" s="49">
        <f t="shared" si="43"/>
        <v>0.27326173784680641</v>
      </c>
      <c r="H186" s="50">
        <f t="shared" si="44"/>
        <v>0.24099269172425059</v>
      </c>
      <c r="I186" s="49">
        <f t="shared" si="45"/>
        <v>1.569867511172306E-2</v>
      </c>
    </row>
    <row r="187" spans="1:14" ht="12.75" customHeight="1" x14ac:dyDescent="0.25">
      <c r="B187" s="82" t="s">
        <v>7</v>
      </c>
      <c r="C187" s="84">
        <v>395.06257474079706</v>
      </c>
      <c r="D187" s="29">
        <v>1339764.2833351614</v>
      </c>
      <c r="E187" s="49">
        <f t="shared" si="41"/>
        <v>0.19027812523847526</v>
      </c>
      <c r="F187" s="49">
        <f t="shared" si="42"/>
        <v>0.43827340143259691</v>
      </c>
      <c r="G187" s="49">
        <f t="shared" si="43"/>
        <v>0.46353986308528167</v>
      </c>
      <c r="H187" s="50">
        <f t="shared" si="44"/>
        <v>0.67926609315684749</v>
      </c>
      <c r="I187" s="49">
        <f t="shared" si="45"/>
        <v>0.16146027191074455</v>
      </c>
    </row>
    <row r="188" spans="1:14" ht="12.75" customHeight="1" x14ac:dyDescent="0.25">
      <c r="B188" s="82" t="s">
        <v>4</v>
      </c>
      <c r="C188" s="84">
        <v>460.73384450513942</v>
      </c>
      <c r="D188" s="29">
        <v>363314.38569269452</v>
      </c>
      <c r="E188" s="49">
        <f t="shared" si="41"/>
        <v>0.22190806664962462</v>
      </c>
      <c r="F188" s="49">
        <f t="shared" si="42"/>
        <v>0.1188500347318915</v>
      </c>
      <c r="G188" s="49">
        <f t="shared" si="43"/>
        <v>0.68544792973490631</v>
      </c>
      <c r="H188" s="50">
        <f t="shared" si="44"/>
        <v>0.79811612788873898</v>
      </c>
      <c r="I188" s="49">
        <f t="shared" si="45"/>
        <v>6.8278619541599334E-2</v>
      </c>
    </row>
    <row r="189" spans="1:14" ht="12.75" customHeight="1" thickBot="1" x14ac:dyDescent="0.3">
      <c r="B189" s="86" t="s">
        <v>8</v>
      </c>
      <c r="C189" s="87">
        <v>653.08479686370424</v>
      </c>
      <c r="D189" s="32">
        <v>617141.72101696266</v>
      </c>
      <c r="E189" s="51">
        <f t="shared" si="41"/>
        <v>0.31455207026509385</v>
      </c>
      <c r="F189" s="51">
        <f t="shared" si="42"/>
        <v>0.20188387211126102</v>
      </c>
      <c r="G189" s="51">
        <f t="shared" si="43"/>
        <v>1.0000000000000002</v>
      </c>
      <c r="H189" s="52">
        <f t="shared" si="44"/>
        <v>1</v>
      </c>
      <c r="I189" s="51">
        <f t="shared" si="45"/>
        <v>0.17013237714839577</v>
      </c>
    </row>
    <row r="190" spans="1:14" ht="12.75" customHeight="1" thickBot="1" x14ac:dyDescent="0.3">
      <c r="B190" s="38" t="s">
        <v>12</v>
      </c>
      <c r="C190" s="32">
        <f>SUM(C178:C189)</f>
        <v>2076.2374773540878</v>
      </c>
      <c r="D190" s="32">
        <f>SUM(D178:D189)</f>
        <v>3056914.4259173274</v>
      </c>
      <c r="E190" s="39">
        <f>SUM(E179:E189)</f>
        <v>1.0000000000000002</v>
      </c>
      <c r="F190" s="33">
        <f>SUM(F179:F189)</f>
        <v>1</v>
      </c>
      <c r="G190" s="40"/>
      <c r="H190" s="40"/>
      <c r="I190" s="51">
        <f>SUM(I178:I189)</f>
        <v>0.42087456907419862</v>
      </c>
    </row>
    <row r="191" spans="1:14" ht="12.75" customHeight="1" thickBot="1" x14ac:dyDescent="0.3">
      <c r="B191" s="4"/>
      <c r="C191" s="4"/>
      <c r="D191" s="4"/>
      <c r="E191" s="4"/>
      <c r="F191" s="4"/>
      <c r="G191" s="4"/>
      <c r="H191" s="7"/>
      <c r="I191" s="53"/>
    </row>
    <row r="192" spans="1:14" ht="12.75" customHeight="1" thickBot="1" x14ac:dyDescent="0.3">
      <c r="B192" s="4"/>
      <c r="C192" s="4"/>
      <c r="D192" s="4"/>
      <c r="E192" s="4"/>
      <c r="F192" s="4"/>
      <c r="G192" s="5"/>
      <c r="H192" s="24" t="s">
        <v>29</v>
      </c>
      <c r="I192" s="52">
        <f>1-(2*I190)</f>
        <v>0.15825086185160275</v>
      </c>
    </row>
    <row r="193" spans="1:14" ht="12.75" customHeight="1" x14ac:dyDescent="0.25"/>
    <row r="194" spans="1:14" ht="12.75" customHeight="1" x14ac:dyDescent="0.25"/>
    <row r="195" spans="1:14" ht="12.75" customHeight="1" x14ac:dyDescent="0.25"/>
    <row r="196" spans="1:14" ht="12.75" customHeight="1" x14ac:dyDescent="0.25"/>
    <row r="197" spans="1:14" ht="16.2" thickBot="1" x14ac:dyDescent="0.35">
      <c r="B197" s="256" t="s">
        <v>120</v>
      </c>
      <c r="C197" s="256"/>
      <c r="D197" s="256"/>
      <c r="E197" s="256"/>
      <c r="F197" s="256"/>
      <c r="G197" s="256"/>
      <c r="H197" s="256"/>
      <c r="I197" s="256"/>
    </row>
    <row r="198" spans="1:14" ht="27" thickBot="1" x14ac:dyDescent="0.3">
      <c r="A198" s="8"/>
      <c r="B198" s="30" t="s">
        <v>19</v>
      </c>
      <c r="C198" s="31" t="s">
        <v>43</v>
      </c>
      <c r="D198" s="37" t="s">
        <v>115</v>
      </c>
      <c r="E198" s="31" t="s">
        <v>31</v>
      </c>
      <c r="F198" s="31" t="s">
        <v>21</v>
      </c>
      <c r="G198" s="31" t="s">
        <v>32</v>
      </c>
      <c r="H198" s="31" t="s">
        <v>117</v>
      </c>
      <c r="I198" s="31" t="s">
        <v>20</v>
      </c>
      <c r="J198" s="8"/>
      <c r="K198" s="8"/>
      <c r="L198" s="8"/>
      <c r="M198" s="8"/>
      <c r="N198" s="8"/>
    </row>
    <row r="199" spans="1:14" ht="12.75" customHeight="1" x14ac:dyDescent="0.25">
      <c r="B199" s="4"/>
      <c r="C199" s="26">
        <v>0</v>
      </c>
      <c r="D199" s="26">
        <v>0</v>
      </c>
      <c r="E199" s="49">
        <f>C199/$C$127</f>
        <v>0</v>
      </c>
      <c r="F199" s="49">
        <v>0</v>
      </c>
      <c r="G199" s="49">
        <v>0</v>
      </c>
      <c r="H199" s="50">
        <f>F199</f>
        <v>0</v>
      </c>
      <c r="I199" s="49">
        <v>0</v>
      </c>
    </row>
    <row r="200" spans="1:14" ht="12.75" customHeight="1" x14ac:dyDescent="0.25">
      <c r="B200" s="82" t="s">
        <v>3</v>
      </c>
      <c r="C200" s="84">
        <v>11.785866162319815</v>
      </c>
      <c r="D200" s="29">
        <v>24496.645034227455</v>
      </c>
      <c r="E200" s="49">
        <f t="shared" ref="E200:E210" si="46">C200/$C$211</f>
        <v>5.4935138917268584E-3</v>
      </c>
      <c r="F200" s="49">
        <f t="shared" ref="F200:F210" si="47">D200/$D$211</f>
        <v>8.0135200470573958E-3</v>
      </c>
      <c r="G200" s="49">
        <f t="shared" ref="G200:G210" si="48">G199+E200</f>
        <v>5.4935138917268584E-3</v>
      </c>
      <c r="H200" s="50">
        <f t="shared" ref="H200:H210" si="49">F200+H199</f>
        <v>8.0135200470573958E-3</v>
      </c>
      <c r="I200" s="49">
        <f t="shared" ref="I200:I210" si="50">(G199+G200)*0.5*(H200-H199)</f>
        <v>2.2011191850070735E-5</v>
      </c>
    </row>
    <row r="201" spans="1:14" ht="12.75" customHeight="1" x14ac:dyDescent="0.25">
      <c r="B201" s="82" t="s">
        <v>1</v>
      </c>
      <c r="C201" s="84">
        <v>12.976974245152407</v>
      </c>
      <c r="D201" s="29">
        <v>13199.085501550475</v>
      </c>
      <c r="E201" s="49">
        <f t="shared" si="46"/>
        <v>6.0487016657496586E-3</v>
      </c>
      <c r="F201" s="49">
        <f t="shared" si="47"/>
        <v>4.3177805010323955E-3</v>
      </c>
      <c r="G201" s="49">
        <f t="shared" si="48"/>
        <v>1.1542215557476518E-2</v>
      </c>
      <c r="H201" s="50">
        <f t="shared" si="49"/>
        <v>1.2331300548089792E-2</v>
      </c>
      <c r="I201" s="49">
        <f t="shared" si="50"/>
        <v>3.6778270218316851E-5</v>
      </c>
    </row>
    <row r="202" spans="1:14" ht="12.75" customHeight="1" x14ac:dyDescent="0.25">
      <c r="B202" s="111" t="s">
        <v>6</v>
      </c>
      <c r="C202" s="84">
        <v>19.792696191969906</v>
      </c>
      <c r="D202" s="29">
        <v>20836.189535136225</v>
      </c>
      <c r="E202" s="49">
        <f t="shared" si="46"/>
        <v>9.2255800284698226E-3</v>
      </c>
      <c r="F202" s="49">
        <f t="shared" si="47"/>
        <v>6.8160853174303836E-3</v>
      </c>
      <c r="G202" s="49">
        <f t="shared" si="48"/>
        <v>2.0767795585946339E-2</v>
      </c>
      <c r="H202" s="50">
        <f t="shared" si="49"/>
        <v>1.9147385865520176E-2</v>
      </c>
      <c r="I202" s="49">
        <f t="shared" si="50"/>
        <v>1.101138962803483E-4</v>
      </c>
    </row>
    <row r="203" spans="1:14" ht="12.75" customHeight="1" x14ac:dyDescent="0.25">
      <c r="B203" s="82" t="s">
        <v>195</v>
      </c>
      <c r="C203" s="84">
        <v>25.851856014840443</v>
      </c>
      <c r="D203" s="29">
        <v>20450.034940117202</v>
      </c>
      <c r="E203" s="49">
        <f t="shared" si="46"/>
        <v>1.2049816974715685E-2</v>
      </c>
      <c r="F203" s="49">
        <f t="shared" si="47"/>
        <v>6.6897636279041406E-3</v>
      </c>
      <c r="G203" s="49">
        <f t="shared" si="48"/>
        <v>3.2817612560662027E-2</v>
      </c>
      <c r="H203" s="50">
        <f t="shared" si="49"/>
        <v>2.5837149493424316E-2</v>
      </c>
      <c r="I203" s="49">
        <f t="shared" si="50"/>
        <v>1.792368572027894E-4</v>
      </c>
    </row>
    <row r="204" spans="1:14" ht="12.75" customHeight="1" x14ac:dyDescent="0.25">
      <c r="B204" s="82" t="s">
        <v>5</v>
      </c>
      <c r="C204" s="84">
        <v>57.802867186538556</v>
      </c>
      <c r="D204" s="29">
        <v>49475.746319971244</v>
      </c>
      <c r="E204" s="49">
        <f t="shared" si="46"/>
        <v>2.6942513133747521E-2</v>
      </c>
      <c r="F204" s="49">
        <f t="shared" si="47"/>
        <v>1.6184864679397896E-2</v>
      </c>
      <c r="G204" s="49">
        <f t="shared" si="48"/>
        <v>5.9760125694409548E-2</v>
      </c>
      <c r="H204" s="50">
        <f t="shared" si="49"/>
        <v>4.2022014172822211E-2</v>
      </c>
      <c r="I204" s="49">
        <f t="shared" si="50"/>
        <v>7.4917908299152564E-4</v>
      </c>
    </row>
    <row r="205" spans="1:14" ht="12.75" customHeight="1" x14ac:dyDescent="0.25">
      <c r="B205" s="82" t="s">
        <v>2</v>
      </c>
      <c r="C205" s="84">
        <v>61.705572489772123</v>
      </c>
      <c r="D205" s="29">
        <v>251430.37783690859</v>
      </c>
      <c r="E205" s="49">
        <f t="shared" si="46"/>
        <v>2.8761604365851734E-2</v>
      </c>
      <c r="F205" s="49">
        <f t="shared" si="47"/>
        <v>8.2249727275718124E-2</v>
      </c>
      <c r="G205" s="49">
        <f t="shared" si="48"/>
        <v>8.8521730060261289E-2</v>
      </c>
      <c r="H205" s="50">
        <f t="shared" si="49"/>
        <v>0.12427174144854033</v>
      </c>
      <c r="I205" s="49">
        <f t="shared" si="50"/>
        <v>6.0980710978795257E-3</v>
      </c>
    </row>
    <row r="206" spans="1:14" ht="12.75" customHeight="1" x14ac:dyDescent="0.25">
      <c r="B206" s="82" t="s">
        <v>9</v>
      </c>
      <c r="C206" s="84">
        <v>119.82902293645873</v>
      </c>
      <c r="D206" s="29">
        <v>119784.51078433092</v>
      </c>
      <c r="E206" s="49">
        <f t="shared" si="46"/>
        <v>5.5853544666752131E-2</v>
      </c>
      <c r="F206" s="49">
        <f t="shared" si="47"/>
        <v>3.9184777227902166E-2</v>
      </c>
      <c r="G206" s="49">
        <f t="shared" si="48"/>
        <v>0.14437527472701342</v>
      </c>
      <c r="H206" s="50">
        <f t="shared" si="49"/>
        <v>0.16345651867644251</v>
      </c>
      <c r="I206" s="49">
        <f t="shared" si="50"/>
        <v>4.5630086248175123E-3</v>
      </c>
    </row>
    <row r="207" spans="1:14" ht="12.75" customHeight="1" x14ac:dyDescent="0.25">
      <c r="B207" s="111" t="s">
        <v>10</v>
      </c>
      <c r="C207" s="84">
        <v>280.10860119837031</v>
      </c>
      <c r="D207" s="29">
        <v>237021.44592026682</v>
      </c>
      <c r="E207" s="49">
        <f t="shared" si="46"/>
        <v>0.13056151076914546</v>
      </c>
      <c r="F207" s="49">
        <f t="shared" si="47"/>
        <v>7.7536173047808091E-2</v>
      </c>
      <c r="G207" s="49">
        <f t="shared" si="48"/>
        <v>0.27493678549615885</v>
      </c>
      <c r="H207" s="50">
        <f t="shared" si="49"/>
        <v>0.24099269172425059</v>
      </c>
      <c r="I207" s="49">
        <f t="shared" si="50"/>
        <v>1.6255926231248403E-2</v>
      </c>
    </row>
    <row r="208" spans="1:14" ht="12.75" customHeight="1" x14ac:dyDescent="0.25">
      <c r="B208" s="82" t="s">
        <v>4</v>
      </c>
      <c r="C208" s="84">
        <v>353.34728636509686</v>
      </c>
      <c r="D208" s="29">
        <v>363314.38569269452</v>
      </c>
      <c r="E208" s="49">
        <f t="shared" si="46"/>
        <v>0.16469881801785002</v>
      </c>
      <c r="F208" s="49">
        <f t="shared" si="47"/>
        <v>0.1188500347318915</v>
      </c>
      <c r="G208" s="49">
        <f t="shared" si="48"/>
        <v>0.43963560351400888</v>
      </c>
      <c r="H208" s="50">
        <f t="shared" si="49"/>
        <v>0.35984272645614207</v>
      </c>
      <c r="I208" s="49">
        <f t="shared" si="50"/>
        <v>4.2463476626154552E-2</v>
      </c>
    </row>
    <row r="209" spans="1:14" ht="12.75" customHeight="1" x14ac:dyDescent="0.25">
      <c r="B209" s="82" t="s">
        <v>7</v>
      </c>
      <c r="C209" s="84">
        <v>432.94360737323967</v>
      </c>
      <c r="D209" s="29">
        <v>1339764.2833351614</v>
      </c>
      <c r="E209" s="49">
        <f t="shared" si="46"/>
        <v>0.20179948496641448</v>
      </c>
      <c r="F209" s="49">
        <f t="shared" si="47"/>
        <v>0.43827340143259691</v>
      </c>
      <c r="G209" s="49">
        <f t="shared" si="48"/>
        <v>0.64143508848042341</v>
      </c>
      <c r="H209" s="50">
        <f t="shared" si="49"/>
        <v>0.79811612788873898</v>
      </c>
      <c r="I209" s="49">
        <f t="shared" si="50"/>
        <v>0.23690226468474559</v>
      </c>
    </row>
    <row r="210" spans="1:14" ht="12.75" customHeight="1" thickBot="1" x14ac:dyDescent="0.3">
      <c r="B210" s="86" t="s">
        <v>8</v>
      </c>
      <c r="C210" s="87">
        <v>769.27047805195491</v>
      </c>
      <c r="D210" s="32">
        <v>617141.72101696266</v>
      </c>
      <c r="E210" s="51">
        <f t="shared" si="46"/>
        <v>0.35856491151957653</v>
      </c>
      <c r="F210" s="51">
        <f t="shared" si="47"/>
        <v>0.20188387211126102</v>
      </c>
      <c r="G210" s="51">
        <f t="shared" si="48"/>
        <v>1</v>
      </c>
      <c r="H210" s="52">
        <f t="shared" si="49"/>
        <v>1</v>
      </c>
      <c r="I210" s="51">
        <f t="shared" si="50"/>
        <v>0.1656896357408591</v>
      </c>
    </row>
    <row r="211" spans="1:14" ht="12.75" customHeight="1" thickBot="1" x14ac:dyDescent="0.3">
      <c r="B211" s="38" t="s">
        <v>12</v>
      </c>
      <c r="C211" s="32">
        <f>SUM(C199:C210)</f>
        <v>2145.4148282157139</v>
      </c>
      <c r="D211" s="32">
        <f>SUM(D199:D210)</f>
        <v>3056914.4259173274</v>
      </c>
      <c r="E211" s="51">
        <f>SUM(E200:E210)</f>
        <v>1</v>
      </c>
      <c r="F211" s="51">
        <f>SUM(F200:F210)</f>
        <v>1</v>
      </c>
      <c r="G211" s="52"/>
      <c r="H211" s="52"/>
      <c r="I211" s="51">
        <f>SUM(I199:I210)</f>
        <v>0.47306970230424772</v>
      </c>
    </row>
    <row r="212" spans="1:14" ht="12.75" customHeight="1" thickBot="1" x14ac:dyDescent="0.3">
      <c r="B212" s="4"/>
      <c r="C212" s="4"/>
      <c r="D212" s="4"/>
      <c r="E212" s="50"/>
      <c r="F212" s="50"/>
      <c r="G212" s="50"/>
      <c r="H212" s="53"/>
      <c r="I212" s="53"/>
    </row>
    <row r="213" spans="1:14" ht="12.75" customHeight="1" thickBot="1" x14ac:dyDescent="0.3">
      <c r="B213" s="4"/>
      <c r="C213" s="4"/>
      <c r="D213" s="4"/>
      <c r="E213" s="50"/>
      <c r="F213" s="50"/>
      <c r="G213" s="55"/>
      <c r="H213" s="56" t="s">
        <v>29</v>
      </c>
      <c r="I213" s="52">
        <f>1-(2*I211)</f>
        <v>5.3860595391504562E-2</v>
      </c>
    </row>
    <row r="214" spans="1:14" ht="12.75" customHeight="1" x14ac:dyDescent="0.25"/>
    <row r="215" spans="1:14" ht="12.75" customHeight="1" x14ac:dyDescent="0.25"/>
    <row r="216" spans="1:14" ht="12.75" customHeight="1" x14ac:dyDescent="0.25"/>
    <row r="217" spans="1:14" ht="12.75" customHeight="1" x14ac:dyDescent="0.25"/>
    <row r="218" spans="1:14" ht="16.2" thickBot="1" x14ac:dyDescent="0.35">
      <c r="B218" s="256" t="s">
        <v>119</v>
      </c>
      <c r="C218" s="256"/>
      <c r="D218" s="256"/>
      <c r="E218" s="256"/>
      <c r="F218" s="256"/>
      <c r="G218" s="256"/>
      <c r="H218" s="256"/>
      <c r="I218" s="256"/>
    </row>
    <row r="219" spans="1:14" ht="27" thickBot="1" x14ac:dyDescent="0.3">
      <c r="A219" s="8"/>
      <c r="B219" s="30" t="s">
        <v>19</v>
      </c>
      <c r="C219" s="31" t="s">
        <v>38</v>
      </c>
      <c r="D219" s="37" t="s">
        <v>115</v>
      </c>
      <c r="E219" s="31" t="s">
        <v>15</v>
      </c>
      <c r="F219" s="31" t="s">
        <v>21</v>
      </c>
      <c r="G219" s="31" t="s">
        <v>17</v>
      </c>
      <c r="H219" s="31" t="s">
        <v>117</v>
      </c>
      <c r="I219" s="31" t="s">
        <v>20</v>
      </c>
      <c r="J219" s="8"/>
      <c r="K219" s="8"/>
      <c r="L219" s="8"/>
      <c r="M219" s="8"/>
      <c r="N219" s="8"/>
    </row>
    <row r="220" spans="1:14" ht="12.75" customHeight="1" x14ac:dyDescent="0.25">
      <c r="B220" s="4"/>
      <c r="C220" s="26">
        <v>0</v>
      </c>
      <c r="D220" s="26">
        <v>0</v>
      </c>
      <c r="E220" s="49">
        <v>0</v>
      </c>
      <c r="F220" s="49">
        <v>0</v>
      </c>
      <c r="G220" s="49">
        <v>0</v>
      </c>
      <c r="H220" s="50">
        <f>F220</f>
        <v>0</v>
      </c>
      <c r="I220" s="49">
        <v>0</v>
      </c>
    </row>
    <row r="221" spans="1:14" ht="12.75" customHeight="1" x14ac:dyDescent="0.25">
      <c r="B221" s="82" t="s">
        <v>195</v>
      </c>
      <c r="C221" s="84">
        <v>0</v>
      </c>
      <c r="D221" s="29">
        <v>20450.034940117202</v>
      </c>
      <c r="E221" s="49">
        <f t="shared" ref="E221:E231" si="51">C221/$C$232</f>
        <v>0</v>
      </c>
      <c r="F221" s="49">
        <f t="shared" ref="F221:F231" si="52">D221/$D$232</f>
        <v>6.6897636279041406E-3</v>
      </c>
      <c r="G221" s="49">
        <f t="shared" ref="G221:G231" si="53">G220+E221</f>
        <v>0</v>
      </c>
      <c r="H221" s="50">
        <f t="shared" ref="H221:H231" si="54">F221+H220</f>
        <v>6.6897636279041406E-3</v>
      </c>
      <c r="I221" s="49">
        <f t="shared" ref="I221:I231" si="55">(G220+G221)*0.5*(H221-H220)</f>
        <v>0</v>
      </c>
    </row>
    <row r="222" spans="1:14" ht="12.75" customHeight="1" x14ac:dyDescent="0.25">
      <c r="B222" s="82" t="s">
        <v>2</v>
      </c>
      <c r="C222" s="84">
        <v>0</v>
      </c>
      <c r="D222" s="29">
        <v>251430.37783690859</v>
      </c>
      <c r="E222" s="49">
        <f t="shared" si="51"/>
        <v>0</v>
      </c>
      <c r="F222" s="49">
        <f t="shared" si="52"/>
        <v>8.2249727275718124E-2</v>
      </c>
      <c r="G222" s="49">
        <f t="shared" si="53"/>
        <v>0</v>
      </c>
      <c r="H222" s="50">
        <f t="shared" si="54"/>
        <v>8.893949090362227E-2</v>
      </c>
      <c r="I222" s="49">
        <f t="shared" si="55"/>
        <v>0</v>
      </c>
    </row>
    <row r="223" spans="1:14" ht="12.75" customHeight="1" x14ac:dyDescent="0.25">
      <c r="B223" s="82" t="s">
        <v>7</v>
      </c>
      <c r="C223" s="84">
        <v>0</v>
      </c>
      <c r="D223" s="29">
        <v>1339764.2833351614</v>
      </c>
      <c r="E223" s="49">
        <f t="shared" si="51"/>
        <v>0</v>
      </c>
      <c r="F223" s="49">
        <f t="shared" si="52"/>
        <v>0.43827340143259691</v>
      </c>
      <c r="G223" s="49">
        <f t="shared" si="53"/>
        <v>0</v>
      </c>
      <c r="H223" s="50">
        <f t="shared" si="54"/>
        <v>0.52721289233621915</v>
      </c>
      <c r="I223" s="49">
        <f t="shared" si="55"/>
        <v>0</v>
      </c>
    </row>
    <row r="224" spans="1:14" ht="12.75" customHeight="1" x14ac:dyDescent="0.25">
      <c r="B224" s="82" t="s">
        <v>8</v>
      </c>
      <c r="C224" s="84">
        <v>0</v>
      </c>
      <c r="D224" s="29">
        <v>617141.72101696266</v>
      </c>
      <c r="E224" s="49">
        <f t="shared" si="51"/>
        <v>0</v>
      </c>
      <c r="F224" s="49">
        <f t="shared" si="52"/>
        <v>0.20188387211126102</v>
      </c>
      <c r="G224" s="49">
        <f t="shared" si="53"/>
        <v>0</v>
      </c>
      <c r="H224" s="50">
        <f t="shared" si="54"/>
        <v>0.72909676444748017</v>
      </c>
      <c r="I224" s="49">
        <f t="shared" si="55"/>
        <v>0</v>
      </c>
    </row>
    <row r="225" spans="1:14" ht="12.75" customHeight="1" x14ac:dyDescent="0.25">
      <c r="B225" s="111" t="s">
        <v>6</v>
      </c>
      <c r="C225" s="84">
        <v>0.27700287506185706</v>
      </c>
      <c r="D225" s="29">
        <v>20836.189535136225</v>
      </c>
      <c r="E225" s="49">
        <f t="shared" si="51"/>
        <v>1.7434689669939504E-3</v>
      </c>
      <c r="F225" s="49">
        <f t="shared" si="52"/>
        <v>6.8160853174303836E-3</v>
      </c>
      <c r="G225" s="49">
        <f t="shared" si="53"/>
        <v>1.7434689669939504E-3</v>
      </c>
      <c r="H225" s="50">
        <f t="shared" si="54"/>
        <v>0.73591284976491056</v>
      </c>
      <c r="I225" s="49">
        <f t="shared" si="55"/>
        <v>5.9418166136614942E-6</v>
      </c>
    </row>
    <row r="226" spans="1:14" ht="12.75" customHeight="1" x14ac:dyDescent="0.25">
      <c r="B226" s="82" t="s">
        <v>1</v>
      </c>
      <c r="C226" s="84">
        <v>1.522812179266253</v>
      </c>
      <c r="D226" s="29">
        <v>13199.085501550475</v>
      </c>
      <c r="E226" s="49">
        <f t="shared" si="51"/>
        <v>9.5846506160568272E-3</v>
      </c>
      <c r="F226" s="49">
        <f t="shared" si="52"/>
        <v>4.3177805010323955E-3</v>
      </c>
      <c r="G226" s="49">
        <f t="shared" si="53"/>
        <v>1.1328119583050777E-2</v>
      </c>
      <c r="H226" s="50">
        <f t="shared" si="54"/>
        <v>0.74023063026594293</v>
      </c>
      <c r="I226" s="49">
        <f t="shared" si="55"/>
        <v>2.8220125079450592E-5</v>
      </c>
    </row>
    <row r="227" spans="1:14" ht="12.75" customHeight="1" x14ac:dyDescent="0.25">
      <c r="B227" s="82" t="s">
        <v>3</v>
      </c>
      <c r="C227" s="84">
        <v>2.4776537634861127</v>
      </c>
      <c r="D227" s="29">
        <v>24496.645034227455</v>
      </c>
      <c r="E227" s="49">
        <f t="shared" si="51"/>
        <v>1.5594467915284916E-2</v>
      </c>
      <c r="F227" s="49">
        <f t="shared" si="52"/>
        <v>8.0135200470573958E-3</v>
      </c>
      <c r="G227" s="49">
        <f t="shared" si="53"/>
        <v>2.6922587498335693E-2</v>
      </c>
      <c r="H227" s="50">
        <f t="shared" si="54"/>
        <v>0.74824415031300029</v>
      </c>
      <c r="I227" s="49">
        <f t="shared" si="55"/>
        <v>1.5326140400540459E-4</v>
      </c>
    </row>
    <row r="228" spans="1:14" ht="12.75" customHeight="1" x14ac:dyDescent="0.25">
      <c r="B228" s="82" t="s">
        <v>5</v>
      </c>
      <c r="C228" s="84">
        <v>13.574455320634533</v>
      </c>
      <c r="D228" s="29">
        <v>49475.746319971244</v>
      </c>
      <c r="E228" s="49">
        <f t="shared" si="51"/>
        <v>8.5438252545527782E-2</v>
      </c>
      <c r="F228" s="49">
        <f t="shared" si="52"/>
        <v>1.6184864679397896E-2</v>
      </c>
      <c r="G228" s="49">
        <f t="shared" si="53"/>
        <v>0.11236084004386347</v>
      </c>
      <c r="H228" s="50">
        <f t="shared" si="54"/>
        <v>0.76442901499239824</v>
      </c>
      <c r="I228" s="49">
        <f t="shared" si="55"/>
        <v>1.1271417134266113E-3</v>
      </c>
    </row>
    <row r="229" spans="1:14" ht="12.75" customHeight="1" x14ac:dyDescent="0.25">
      <c r="B229" s="82" t="s">
        <v>9</v>
      </c>
      <c r="C229" s="84">
        <v>15.372343482549196</v>
      </c>
      <c r="D229" s="29">
        <v>119784.51078433092</v>
      </c>
      <c r="E229" s="49">
        <f t="shared" si="51"/>
        <v>9.6754244178192381E-2</v>
      </c>
      <c r="F229" s="49">
        <f t="shared" si="52"/>
        <v>3.9184777227902166E-2</v>
      </c>
      <c r="G229" s="49">
        <f t="shared" si="53"/>
        <v>0.20911508422205585</v>
      </c>
      <c r="H229" s="50">
        <f t="shared" si="54"/>
        <v>0.80361379222030038</v>
      </c>
      <c r="I229" s="49">
        <f t="shared" si="55"/>
        <v>6.2984812382469949E-3</v>
      </c>
    </row>
    <row r="230" spans="1:14" ht="12.75" customHeight="1" x14ac:dyDescent="0.25">
      <c r="B230" s="111" t="s">
        <v>10</v>
      </c>
      <c r="C230" s="84">
        <v>17.827918102531729</v>
      </c>
      <c r="D230" s="29">
        <v>237021.44592026682</v>
      </c>
      <c r="E230" s="49">
        <f t="shared" si="51"/>
        <v>0.1122097449383252</v>
      </c>
      <c r="F230" s="49">
        <f t="shared" si="52"/>
        <v>7.7536173047808091E-2</v>
      </c>
      <c r="G230" s="49">
        <f t="shared" si="53"/>
        <v>0.32132482916038108</v>
      </c>
      <c r="H230" s="50">
        <f t="shared" si="54"/>
        <v>0.88114996526810851</v>
      </c>
      <c r="I230" s="49">
        <f t="shared" si="55"/>
        <v>2.0564140457742491E-2</v>
      </c>
    </row>
    <row r="231" spans="1:14" ht="12.75" customHeight="1" thickBot="1" x14ac:dyDescent="0.3">
      <c r="B231" s="86" t="s">
        <v>4</v>
      </c>
      <c r="C231" s="87">
        <v>107.82811573630022</v>
      </c>
      <c r="D231" s="32">
        <v>363314.38569269452</v>
      </c>
      <c r="E231" s="51">
        <f t="shared" si="51"/>
        <v>0.67867517083961904</v>
      </c>
      <c r="F231" s="51">
        <f t="shared" si="52"/>
        <v>0.1188500347318915</v>
      </c>
      <c r="G231" s="51">
        <f t="shared" si="53"/>
        <v>1</v>
      </c>
      <c r="H231" s="52">
        <f t="shared" si="54"/>
        <v>1</v>
      </c>
      <c r="I231" s="51">
        <f t="shared" si="55"/>
        <v>7.8519750918910933E-2</v>
      </c>
    </row>
    <row r="232" spans="1:14" ht="12.75" customHeight="1" thickBot="1" x14ac:dyDescent="0.3">
      <c r="B232" s="38" t="s">
        <v>12</v>
      </c>
      <c r="C232" s="32">
        <f>SUM(C220:C231)</f>
        <v>158.88030145982989</v>
      </c>
      <c r="D232" s="32">
        <f>SUM(D220:D231)</f>
        <v>3056914.4259173274</v>
      </c>
      <c r="E232" s="51">
        <f>SUM(E221:E231)</f>
        <v>1</v>
      </c>
      <c r="F232" s="51">
        <f>SUM(F221:F231)</f>
        <v>1</v>
      </c>
      <c r="G232" s="52"/>
      <c r="H232" s="52"/>
      <c r="I232" s="51">
        <f>SUM(I220:I231)</f>
        <v>0.10669693767402555</v>
      </c>
    </row>
    <row r="233" spans="1:14" ht="12.75" customHeight="1" thickBot="1" x14ac:dyDescent="0.3">
      <c r="B233" s="4"/>
      <c r="C233" s="4"/>
      <c r="D233" s="4"/>
      <c r="E233" s="50"/>
      <c r="F233" s="50"/>
      <c r="G233" s="50"/>
      <c r="H233" s="53"/>
      <c r="I233" s="53"/>
    </row>
    <row r="234" spans="1:14" ht="12.75" customHeight="1" thickBot="1" x14ac:dyDescent="0.3">
      <c r="B234" s="4"/>
      <c r="C234" s="4"/>
      <c r="D234" s="4"/>
      <c r="E234" s="50"/>
      <c r="F234" s="50"/>
      <c r="G234" s="55"/>
      <c r="H234" s="56" t="s">
        <v>33</v>
      </c>
      <c r="I234" s="52">
        <f>1-(2*I232)</f>
        <v>0.7866061246519489</v>
      </c>
    </row>
    <row r="235" spans="1:14" ht="12.75" customHeight="1" x14ac:dyDescent="0.25"/>
    <row r="236" spans="1:14" ht="12.75" customHeight="1" x14ac:dyDescent="0.25"/>
    <row r="237" spans="1:14" ht="12.75" customHeight="1" x14ac:dyDescent="0.25"/>
    <row r="238" spans="1:14" ht="12.75" customHeight="1" x14ac:dyDescent="0.25"/>
    <row r="239" spans="1:14" ht="16.2" thickBot="1" x14ac:dyDescent="0.35">
      <c r="B239" s="256" t="s">
        <v>118</v>
      </c>
      <c r="C239" s="256"/>
      <c r="D239" s="256"/>
      <c r="E239" s="256"/>
      <c r="F239" s="256"/>
      <c r="G239" s="256"/>
      <c r="H239" s="256"/>
      <c r="I239" s="256"/>
    </row>
    <row r="240" spans="1:14" ht="27" thickBot="1" x14ac:dyDescent="0.3">
      <c r="A240" s="8"/>
      <c r="B240" s="30" t="s">
        <v>19</v>
      </c>
      <c r="C240" s="31" t="s">
        <v>39</v>
      </c>
      <c r="D240" s="37" t="s">
        <v>115</v>
      </c>
      <c r="E240" s="31" t="s">
        <v>15</v>
      </c>
      <c r="F240" s="31" t="s">
        <v>21</v>
      </c>
      <c r="G240" s="31" t="s">
        <v>17</v>
      </c>
      <c r="H240" s="31" t="s">
        <v>117</v>
      </c>
      <c r="I240" s="31" t="s">
        <v>20</v>
      </c>
      <c r="J240" s="8"/>
      <c r="K240" s="8"/>
      <c r="L240" s="8"/>
      <c r="M240" s="8"/>
      <c r="N240" s="8"/>
    </row>
    <row r="241" spans="2:9" ht="12.75" customHeight="1" x14ac:dyDescent="0.25">
      <c r="B241" s="4"/>
      <c r="C241" s="26">
        <v>0</v>
      </c>
      <c r="D241" s="26">
        <v>0</v>
      </c>
      <c r="E241" s="49">
        <v>0</v>
      </c>
      <c r="F241" s="49">
        <v>0</v>
      </c>
      <c r="G241" s="49">
        <v>0</v>
      </c>
      <c r="H241" s="50">
        <f>F241</f>
        <v>0</v>
      </c>
      <c r="I241" s="49">
        <v>0</v>
      </c>
    </row>
    <row r="242" spans="2:9" ht="12.75" customHeight="1" x14ac:dyDescent="0.25">
      <c r="B242" s="82" t="s">
        <v>195</v>
      </c>
      <c r="C242" s="29">
        <v>0</v>
      </c>
      <c r="D242" s="29">
        <v>20450.034940117202</v>
      </c>
      <c r="E242" s="49">
        <f t="shared" ref="E242:E252" si="56">C242/$C$253</f>
        <v>0</v>
      </c>
      <c r="F242" s="49">
        <f t="shared" ref="F242:F252" si="57">D242/$D$253</f>
        <v>6.6897636279041389E-3</v>
      </c>
      <c r="G242" s="49">
        <f t="shared" ref="G242:G252" si="58">G241+E242</f>
        <v>0</v>
      </c>
      <c r="H242" s="50">
        <f t="shared" ref="H242:H252" si="59">F242+H241</f>
        <v>6.6897636279041389E-3</v>
      </c>
      <c r="I242" s="49">
        <f t="shared" ref="I242:I252" si="60">(G241+G242)*0.5*(H242-H241)</f>
        <v>0</v>
      </c>
    </row>
    <row r="243" spans="2:9" ht="12.75" customHeight="1" x14ac:dyDescent="0.25">
      <c r="B243" s="82" t="s">
        <v>1</v>
      </c>
      <c r="C243" s="29">
        <v>1.522812179266253</v>
      </c>
      <c r="D243" s="29">
        <v>13199.085501550475</v>
      </c>
      <c r="E243" s="49">
        <f t="shared" si="56"/>
        <v>5.1173151307255327E-3</v>
      </c>
      <c r="F243" s="49">
        <f t="shared" si="57"/>
        <v>4.3177805010323946E-3</v>
      </c>
      <c r="G243" s="49">
        <f t="shared" si="58"/>
        <v>5.1173151307255327E-3</v>
      </c>
      <c r="H243" s="50">
        <f t="shared" si="59"/>
        <v>1.1007544128936533E-2</v>
      </c>
      <c r="I243" s="49">
        <f t="shared" si="60"/>
        <v>1.1047721744542371E-5</v>
      </c>
    </row>
    <row r="244" spans="2:9" ht="12.75" customHeight="1" x14ac:dyDescent="0.25">
      <c r="B244" s="82" t="s">
        <v>3</v>
      </c>
      <c r="C244" s="29">
        <v>2.4776537634861127</v>
      </c>
      <c r="D244" s="29">
        <v>24496.645034227455</v>
      </c>
      <c r="E244" s="49">
        <f t="shared" si="56"/>
        <v>8.3260005831419896E-3</v>
      </c>
      <c r="F244" s="49">
        <f t="shared" si="57"/>
        <v>8.0135200470573941E-3</v>
      </c>
      <c r="G244" s="49">
        <f t="shared" si="58"/>
        <v>1.3443315713867521E-2</v>
      </c>
      <c r="H244" s="50">
        <f t="shared" si="59"/>
        <v>1.9021064175993925E-2</v>
      </c>
      <c r="I244" s="49">
        <f t="shared" si="60"/>
        <v>7.4367993679589107E-5</v>
      </c>
    </row>
    <row r="245" spans="2:9" ht="12.75" customHeight="1" x14ac:dyDescent="0.25">
      <c r="B245" s="111" t="s">
        <v>6</v>
      </c>
      <c r="C245" s="29">
        <v>4.077002875061857</v>
      </c>
      <c r="D245" s="29">
        <v>20836.189535136225</v>
      </c>
      <c r="E245" s="49">
        <f t="shared" si="56"/>
        <v>1.3700513290232714E-2</v>
      </c>
      <c r="F245" s="49">
        <f t="shared" si="57"/>
        <v>6.8160853174303827E-3</v>
      </c>
      <c r="G245" s="49">
        <f t="shared" si="58"/>
        <v>2.7143829004100235E-2</v>
      </c>
      <c r="H245" s="50">
        <f t="shared" si="59"/>
        <v>2.5837149493424309E-2</v>
      </c>
      <c r="I245" s="49">
        <f t="shared" si="60"/>
        <v>1.383227205942811E-4</v>
      </c>
    </row>
    <row r="246" spans="2:9" ht="12.75" customHeight="1" x14ac:dyDescent="0.25">
      <c r="B246" s="82" t="s">
        <v>5</v>
      </c>
      <c r="C246" s="29">
        <v>13.574455320634533</v>
      </c>
      <c r="D246" s="29">
        <v>49475.746319971244</v>
      </c>
      <c r="E246" s="49">
        <f t="shared" si="56"/>
        <v>4.5616108505982328E-2</v>
      </c>
      <c r="F246" s="49">
        <f t="shared" si="57"/>
        <v>1.6184864679397892E-2</v>
      </c>
      <c r="G246" s="49">
        <f t="shared" si="58"/>
        <v>7.2759937510082556E-2</v>
      </c>
      <c r="H246" s="50">
        <f t="shared" si="59"/>
        <v>4.2022014172822197E-2</v>
      </c>
      <c r="I246" s="49">
        <f t="shared" si="60"/>
        <v>8.084644709971052E-4</v>
      </c>
    </row>
    <row r="247" spans="2:9" ht="12.75" customHeight="1" x14ac:dyDescent="0.25">
      <c r="B247" s="82" t="s">
        <v>9</v>
      </c>
      <c r="C247" s="29">
        <v>15.372343482549196</v>
      </c>
      <c r="D247" s="29">
        <v>119784.51078433092</v>
      </c>
      <c r="E247" s="49">
        <f t="shared" si="56"/>
        <v>5.1657799280186205E-2</v>
      </c>
      <c r="F247" s="49">
        <f t="shared" si="57"/>
        <v>3.9184777227902166E-2</v>
      </c>
      <c r="G247" s="49">
        <f t="shared" si="58"/>
        <v>0.12441773679026877</v>
      </c>
      <c r="H247" s="50">
        <f t="shared" si="59"/>
        <v>8.1206791400724371E-2</v>
      </c>
      <c r="I247" s="49">
        <f t="shared" si="60"/>
        <v>3.8631816208875591E-3</v>
      </c>
    </row>
    <row r="248" spans="2:9" ht="12.75" customHeight="1" x14ac:dyDescent="0.25">
      <c r="B248" s="82" t="s">
        <v>8</v>
      </c>
      <c r="C248" s="29">
        <v>23.5</v>
      </c>
      <c r="D248" s="29">
        <v>617141.72101696266</v>
      </c>
      <c r="E248" s="49">
        <f t="shared" si="56"/>
        <v>7.8970280911460952E-2</v>
      </c>
      <c r="F248" s="49">
        <f t="shared" si="57"/>
        <v>0.20188387211126099</v>
      </c>
      <c r="G248" s="49">
        <f t="shared" si="58"/>
        <v>0.20338801770172971</v>
      </c>
      <c r="H248" s="50">
        <f t="shared" si="59"/>
        <v>0.28309066351198536</v>
      </c>
      <c r="I248" s="49">
        <f t="shared" si="60"/>
        <v>3.3089347508599015E-2</v>
      </c>
    </row>
    <row r="249" spans="2:9" ht="12.75" customHeight="1" x14ac:dyDescent="0.25">
      <c r="B249" s="82" t="s">
        <v>7</v>
      </c>
      <c r="C249" s="29">
        <v>33.799999999999997</v>
      </c>
      <c r="D249" s="29">
        <v>1339764.2833351614</v>
      </c>
      <c r="E249" s="49">
        <f t="shared" si="56"/>
        <v>0.11358278701307999</v>
      </c>
      <c r="F249" s="49">
        <f t="shared" si="57"/>
        <v>0.43827340143259685</v>
      </c>
      <c r="G249" s="49">
        <f t="shared" si="58"/>
        <v>0.31697080471480971</v>
      </c>
      <c r="H249" s="50">
        <f t="shared" si="59"/>
        <v>0.72136406494458227</v>
      </c>
      <c r="I249" s="49">
        <f t="shared" si="60"/>
        <v>0.11402971553297869</v>
      </c>
    </row>
    <row r="250" spans="2:9" ht="12.75" customHeight="1" x14ac:dyDescent="0.25">
      <c r="B250" s="111" t="s">
        <v>10</v>
      </c>
      <c r="C250" s="29">
        <v>38.927918102531734</v>
      </c>
      <c r="D250" s="29">
        <v>237021.44592026682</v>
      </c>
      <c r="E250" s="49">
        <f t="shared" si="56"/>
        <v>0.13081483522788412</v>
      </c>
      <c r="F250" s="49">
        <f t="shared" si="57"/>
        <v>7.7536173047808077E-2</v>
      </c>
      <c r="G250" s="49">
        <f t="shared" si="58"/>
        <v>0.44778563994269382</v>
      </c>
      <c r="H250" s="50">
        <f t="shared" si="59"/>
        <v>0.79890023799239041</v>
      </c>
      <c r="I250" s="49">
        <f t="shared" si="60"/>
        <v>2.9648144016195345E-2</v>
      </c>
    </row>
    <row r="251" spans="2:9" ht="12.75" customHeight="1" x14ac:dyDescent="0.25">
      <c r="B251" s="82" t="s">
        <v>2</v>
      </c>
      <c r="C251" s="29">
        <v>56.5</v>
      </c>
      <c r="D251" s="29">
        <v>251430.37783690859</v>
      </c>
      <c r="E251" s="49">
        <f t="shared" si="56"/>
        <v>0.18986471793606569</v>
      </c>
      <c r="F251" s="49">
        <f t="shared" si="57"/>
        <v>8.224972727571811E-2</v>
      </c>
      <c r="G251" s="49">
        <f t="shared" si="58"/>
        <v>0.63765035787875957</v>
      </c>
      <c r="H251" s="50">
        <f t="shared" si="59"/>
        <v>0.88114996526810851</v>
      </c>
      <c r="I251" s="49">
        <f t="shared" si="60"/>
        <v>4.4638407398030752E-2</v>
      </c>
    </row>
    <row r="252" spans="2:9" ht="12.75" customHeight="1" thickBot="1" x14ac:dyDescent="0.3">
      <c r="B252" s="86" t="s">
        <v>4</v>
      </c>
      <c r="C252" s="32">
        <v>107.82811573630022</v>
      </c>
      <c r="D252" s="32">
        <v>363314.38569269452</v>
      </c>
      <c r="E252" s="51">
        <f t="shared" si="56"/>
        <v>0.36234964212124049</v>
      </c>
      <c r="F252" s="51">
        <f t="shared" si="57"/>
        <v>0.11885003473189147</v>
      </c>
      <c r="G252" s="51">
        <f t="shared" si="58"/>
        <v>1</v>
      </c>
      <c r="H252" s="52">
        <f t="shared" si="59"/>
        <v>1</v>
      </c>
      <c r="I252" s="51">
        <f t="shared" si="60"/>
        <v>9.7317400956292544E-2</v>
      </c>
    </row>
    <row r="253" spans="2:9" ht="12.75" customHeight="1" thickBot="1" x14ac:dyDescent="0.3">
      <c r="B253" s="38" t="s">
        <v>12</v>
      </c>
      <c r="C253" s="32">
        <f>SUM(C241:C252)</f>
        <v>297.58030145982991</v>
      </c>
      <c r="D253" s="32">
        <f>SUM(D241:D252)</f>
        <v>3056914.4259173279</v>
      </c>
      <c r="E253" s="51">
        <f>SUM(E242:E252)</f>
        <v>1</v>
      </c>
      <c r="F253" s="51">
        <f>SUM(F242:F252)</f>
        <v>1</v>
      </c>
      <c r="G253" s="52"/>
      <c r="H253" s="52"/>
      <c r="I253" s="51">
        <f>SUM(I241:I252)</f>
        <v>0.32361839993999941</v>
      </c>
    </row>
    <row r="254" spans="2:9" ht="12.75" customHeight="1" thickBot="1" x14ac:dyDescent="0.3">
      <c r="B254" s="4"/>
      <c r="C254" s="4"/>
      <c r="D254" s="4"/>
      <c r="E254" s="50"/>
      <c r="F254" s="50"/>
      <c r="G254" s="50"/>
      <c r="H254" s="53"/>
      <c r="I254" s="53"/>
    </row>
    <row r="255" spans="2:9" ht="12.75" customHeight="1" thickBot="1" x14ac:dyDescent="0.3">
      <c r="B255" s="4"/>
      <c r="C255" s="4"/>
      <c r="D255" s="4"/>
      <c r="E255" s="50"/>
      <c r="F255" s="50"/>
      <c r="G255" s="55"/>
      <c r="H255" s="57" t="s">
        <v>29</v>
      </c>
      <c r="I255" s="58">
        <f>1-(2*I253)</f>
        <v>0.35276320012000117</v>
      </c>
    </row>
    <row r="256" spans="2:9" ht="12.6" customHeight="1" x14ac:dyDescent="0.25"/>
    <row r="257" ht="12.75" customHeight="1" x14ac:dyDescent="0.25"/>
    <row r="258" ht="12.75" customHeight="1" x14ac:dyDescent="0.25"/>
    <row r="259" ht="12.75" customHeight="1" x14ac:dyDescent="0.25"/>
    <row r="260" ht="12.75" customHeight="1" x14ac:dyDescent="0.25"/>
    <row r="261" ht="12.75" customHeight="1" x14ac:dyDescent="0.25"/>
    <row r="262" ht="12.75" customHeight="1" x14ac:dyDescent="0.25"/>
    <row r="263" ht="12.75" customHeight="1" x14ac:dyDescent="0.25"/>
    <row r="264" ht="12.75" customHeight="1" x14ac:dyDescent="0.25"/>
    <row r="265" ht="12.75" customHeight="1" x14ac:dyDescent="0.25"/>
    <row r="266" ht="12.75" customHeight="1" x14ac:dyDescent="0.25"/>
    <row r="267" ht="12.75" customHeight="1" x14ac:dyDescent="0.25"/>
    <row r="268" ht="12.75" customHeight="1" x14ac:dyDescent="0.25"/>
    <row r="269" ht="12.75" customHeight="1" x14ac:dyDescent="0.25"/>
    <row r="270" ht="12.75" customHeight="1" x14ac:dyDescent="0.25"/>
    <row r="271" ht="12.75" customHeight="1" x14ac:dyDescent="0.25"/>
    <row r="272" ht="12.75" customHeight="1" x14ac:dyDescent="0.25"/>
    <row r="273" ht="12.75" customHeight="1" x14ac:dyDescent="0.25"/>
    <row r="274" ht="12.75" customHeight="1" x14ac:dyDescent="0.25"/>
    <row r="275" ht="12.75" customHeight="1" x14ac:dyDescent="0.25"/>
    <row r="276" ht="12.75" customHeight="1" x14ac:dyDescent="0.25"/>
    <row r="277" ht="12.75" customHeight="1" x14ac:dyDescent="0.25"/>
    <row r="278" ht="12.75" customHeight="1" x14ac:dyDescent="0.25"/>
    <row r="279" ht="12.75" customHeight="1" x14ac:dyDescent="0.25"/>
    <row r="280" ht="12.75" customHeight="1" x14ac:dyDescent="0.25"/>
    <row r="281" ht="12.75" customHeight="1" x14ac:dyDescent="0.25"/>
    <row r="282" ht="12.75" customHeight="1" x14ac:dyDescent="0.25"/>
    <row r="283" ht="12.75" customHeight="1" x14ac:dyDescent="0.25"/>
    <row r="284" ht="12.75" customHeight="1" x14ac:dyDescent="0.25"/>
    <row r="285" ht="12.75" customHeight="1" x14ac:dyDescent="0.25"/>
    <row r="286" ht="12.75" customHeight="1" x14ac:dyDescent="0.25"/>
    <row r="287" ht="12.75" customHeight="1" x14ac:dyDescent="0.25"/>
    <row r="288" ht="12.75" customHeight="1" x14ac:dyDescent="0.25"/>
    <row r="289" ht="12.75" customHeight="1" x14ac:dyDescent="0.25"/>
    <row r="290" ht="12.75" customHeight="1" x14ac:dyDescent="0.25"/>
    <row r="291" ht="12.75" customHeight="1" x14ac:dyDescent="0.25"/>
    <row r="292" ht="12.75" customHeight="1" x14ac:dyDescent="0.25"/>
    <row r="293" ht="12.75" customHeight="1" x14ac:dyDescent="0.25"/>
    <row r="294" ht="12.75" customHeight="1" x14ac:dyDescent="0.25"/>
    <row r="295" ht="12.75" customHeight="1" x14ac:dyDescent="0.25"/>
    <row r="296" ht="12.75" customHeight="1" x14ac:dyDescent="0.25"/>
    <row r="297" ht="12.75" customHeight="1" x14ac:dyDescent="0.25"/>
    <row r="298" ht="12.75" customHeight="1" x14ac:dyDescent="0.25"/>
    <row r="299" ht="12.75" customHeight="1" x14ac:dyDescent="0.25"/>
    <row r="300" ht="12.75" customHeight="1" x14ac:dyDescent="0.25"/>
    <row r="301" ht="12.75" customHeight="1" x14ac:dyDescent="0.25"/>
    <row r="302" ht="12.75" customHeight="1" x14ac:dyDescent="0.25"/>
    <row r="303" ht="12.75" customHeight="1" x14ac:dyDescent="0.25"/>
    <row r="304" ht="12.75" customHeight="1" x14ac:dyDescent="0.25"/>
    <row r="305" ht="12.75" customHeight="1" x14ac:dyDescent="0.25"/>
    <row r="306" ht="12.75" customHeight="1" x14ac:dyDescent="0.25"/>
    <row r="307" ht="12.75" customHeight="1" x14ac:dyDescent="0.25"/>
    <row r="308" ht="12.75" customHeight="1" x14ac:dyDescent="0.25"/>
    <row r="309" ht="12.75" customHeight="1" x14ac:dyDescent="0.25"/>
    <row r="310" ht="12.75" customHeight="1" x14ac:dyDescent="0.25"/>
    <row r="311" ht="12.75" customHeight="1" x14ac:dyDescent="0.25"/>
    <row r="312" ht="12.75" customHeight="1" x14ac:dyDescent="0.25"/>
    <row r="313" ht="12.75" customHeight="1" x14ac:dyDescent="0.25"/>
    <row r="314" ht="12.75" customHeight="1" x14ac:dyDescent="0.25"/>
    <row r="315" ht="12.75" customHeight="1" x14ac:dyDescent="0.25"/>
    <row r="316" ht="12.75" customHeight="1" x14ac:dyDescent="0.25"/>
    <row r="317" ht="12.75" customHeight="1" x14ac:dyDescent="0.25"/>
    <row r="318" ht="12.75" customHeight="1" x14ac:dyDescent="0.25"/>
    <row r="319" ht="12.75" customHeight="1" x14ac:dyDescent="0.25"/>
    <row r="320" ht="12.75" customHeight="1" x14ac:dyDescent="0.25"/>
    <row r="321" ht="12.75" customHeight="1" x14ac:dyDescent="0.25"/>
    <row r="322" ht="12.75" customHeight="1" x14ac:dyDescent="0.25"/>
    <row r="323" ht="12.75" customHeight="1" x14ac:dyDescent="0.25"/>
    <row r="324" ht="12.75" customHeight="1" x14ac:dyDescent="0.25"/>
    <row r="325" ht="12.75" customHeight="1" x14ac:dyDescent="0.25"/>
    <row r="326" ht="12.75" customHeight="1" x14ac:dyDescent="0.25"/>
    <row r="327" ht="12.75" customHeight="1" x14ac:dyDescent="0.25"/>
    <row r="328" ht="12.75" customHeight="1" x14ac:dyDescent="0.25"/>
    <row r="329" ht="12.75" customHeight="1" x14ac:dyDescent="0.25"/>
    <row r="330" ht="12.75" customHeight="1" x14ac:dyDescent="0.25"/>
    <row r="331" ht="12.75" customHeight="1" x14ac:dyDescent="0.25"/>
    <row r="332" ht="12.75" customHeight="1" x14ac:dyDescent="0.25"/>
    <row r="333" ht="12.75" customHeight="1" x14ac:dyDescent="0.25"/>
    <row r="334" ht="12.75" customHeight="1" x14ac:dyDescent="0.25"/>
    <row r="335" ht="12.75" customHeight="1" x14ac:dyDescent="0.25"/>
    <row r="336" ht="12.75" customHeight="1" x14ac:dyDescent="0.25"/>
    <row r="337" ht="12.75" customHeight="1" x14ac:dyDescent="0.25"/>
    <row r="338" ht="12.75" customHeight="1" x14ac:dyDescent="0.25"/>
    <row r="339" ht="12.75" customHeight="1" x14ac:dyDescent="0.25"/>
    <row r="340" ht="12.75" customHeight="1" x14ac:dyDescent="0.25"/>
    <row r="341" ht="12.75" customHeight="1" x14ac:dyDescent="0.25"/>
    <row r="342" ht="12.75" customHeight="1" x14ac:dyDescent="0.25"/>
    <row r="343" ht="12.75" customHeight="1" x14ac:dyDescent="0.25"/>
    <row r="344" ht="12.75" customHeight="1" x14ac:dyDescent="0.25"/>
    <row r="345" ht="12.75" customHeight="1" x14ac:dyDescent="0.25"/>
    <row r="346" ht="12.75" customHeight="1" x14ac:dyDescent="0.25"/>
    <row r="347" ht="12.75" customHeight="1" x14ac:dyDescent="0.25"/>
    <row r="348" ht="12.75" customHeight="1" x14ac:dyDescent="0.25"/>
    <row r="349" ht="12.75" customHeight="1" x14ac:dyDescent="0.25"/>
    <row r="350" ht="12.75" customHeight="1" x14ac:dyDescent="0.25"/>
    <row r="351" ht="12.75" customHeight="1" x14ac:dyDescent="0.25"/>
    <row r="352" ht="12.75" customHeight="1" x14ac:dyDescent="0.25"/>
    <row r="353" ht="12.75" customHeight="1" x14ac:dyDescent="0.25"/>
    <row r="354" ht="12.75" customHeight="1" x14ac:dyDescent="0.25"/>
    <row r="355" ht="12.75" customHeight="1" x14ac:dyDescent="0.25"/>
    <row r="356" ht="12.75" customHeight="1" x14ac:dyDescent="0.25"/>
    <row r="357" ht="12.75" customHeight="1" x14ac:dyDescent="0.25"/>
    <row r="358" ht="12.75" customHeight="1" x14ac:dyDescent="0.25"/>
    <row r="359" ht="12.75" customHeight="1" x14ac:dyDescent="0.25"/>
    <row r="360" ht="12.75" customHeight="1" x14ac:dyDescent="0.25"/>
    <row r="361" ht="12.75" customHeight="1" x14ac:dyDescent="0.25"/>
    <row r="362" ht="12.75" customHeight="1" x14ac:dyDescent="0.25"/>
    <row r="363" ht="12.75" customHeight="1" x14ac:dyDescent="0.25"/>
    <row r="364" ht="12.75" customHeight="1" x14ac:dyDescent="0.25"/>
    <row r="365" ht="12.75" customHeight="1" x14ac:dyDescent="0.25"/>
    <row r="366" ht="12.75" customHeight="1" x14ac:dyDescent="0.25"/>
    <row r="367" ht="12.75" customHeight="1" x14ac:dyDescent="0.25"/>
    <row r="368" ht="12.75" customHeight="1" x14ac:dyDescent="0.25"/>
    <row r="369" ht="12.75" customHeight="1" x14ac:dyDescent="0.25"/>
    <row r="370" ht="12.75" customHeight="1" x14ac:dyDescent="0.25"/>
    <row r="371" ht="12.75" customHeight="1" x14ac:dyDescent="0.25"/>
    <row r="372" ht="12.75" customHeight="1" x14ac:dyDescent="0.25"/>
    <row r="373" ht="12.75" customHeight="1" x14ac:dyDescent="0.25"/>
    <row r="374" ht="12.75" customHeight="1" x14ac:dyDescent="0.25"/>
    <row r="375" ht="12.75" customHeight="1" x14ac:dyDescent="0.25"/>
    <row r="376" ht="12.75" customHeight="1" x14ac:dyDescent="0.25"/>
    <row r="377" ht="12.75" customHeight="1" x14ac:dyDescent="0.25"/>
    <row r="378" ht="12.75" customHeight="1" x14ac:dyDescent="0.25"/>
    <row r="379" ht="12.75" customHeight="1" x14ac:dyDescent="0.25"/>
    <row r="380" ht="12.75" customHeight="1" x14ac:dyDescent="0.25"/>
    <row r="381" ht="12.75" customHeight="1" x14ac:dyDescent="0.25"/>
    <row r="382" ht="12.75" customHeight="1" x14ac:dyDescent="0.25"/>
    <row r="383" ht="12.75" customHeight="1" x14ac:dyDescent="0.25"/>
    <row r="384" ht="12.75" customHeight="1" x14ac:dyDescent="0.25"/>
    <row r="385" ht="12.75" customHeight="1" x14ac:dyDescent="0.25"/>
    <row r="386" ht="12.75" customHeight="1" x14ac:dyDescent="0.25"/>
    <row r="387" ht="12.75" customHeight="1" x14ac:dyDescent="0.25"/>
    <row r="388" ht="12.75" customHeight="1" x14ac:dyDescent="0.25"/>
    <row r="389" ht="12.75" customHeight="1" x14ac:dyDescent="0.25"/>
    <row r="390" ht="12.75" customHeight="1" x14ac:dyDescent="0.25"/>
    <row r="391" ht="12.75" customHeight="1" x14ac:dyDescent="0.25"/>
    <row r="392" ht="12.75" customHeight="1" x14ac:dyDescent="0.25"/>
    <row r="393" ht="12.75" customHeight="1" x14ac:dyDescent="0.25"/>
    <row r="394" ht="12.75" customHeight="1" x14ac:dyDescent="0.25"/>
    <row r="395" ht="12.75" customHeight="1" x14ac:dyDescent="0.25"/>
    <row r="396" ht="12.75" customHeight="1" x14ac:dyDescent="0.25"/>
    <row r="397" ht="12.75" customHeight="1" x14ac:dyDescent="0.25"/>
    <row r="398" ht="12.75" customHeight="1" x14ac:dyDescent="0.25"/>
    <row r="399" ht="12.75" customHeight="1" x14ac:dyDescent="0.25"/>
    <row r="400" ht="12.75" customHeight="1" x14ac:dyDescent="0.25"/>
    <row r="401" ht="12.75" customHeight="1" x14ac:dyDescent="0.25"/>
    <row r="402" ht="12.75" customHeight="1" x14ac:dyDescent="0.25"/>
    <row r="403" ht="12.75" customHeight="1" x14ac:dyDescent="0.25"/>
    <row r="404" ht="12.75" customHeight="1" x14ac:dyDescent="0.25"/>
    <row r="405" ht="12.75" customHeight="1" x14ac:dyDescent="0.25"/>
    <row r="406" ht="12.75" customHeight="1" x14ac:dyDescent="0.25"/>
    <row r="407" ht="12.75" customHeight="1" x14ac:dyDescent="0.25"/>
    <row r="408" ht="12.75" customHeight="1" x14ac:dyDescent="0.25"/>
    <row r="409" ht="12.75" customHeight="1" x14ac:dyDescent="0.25"/>
    <row r="410" ht="12.75" customHeight="1" x14ac:dyDescent="0.25"/>
    <row r="411" ht="12.75" customHeight="1" x14ac:dyDescent="0.25"/>
    <row r="412" ht="12.75" customHeight="1" x14ac:dyDescent="0.25"/>
    <row r="413" ht="12.75" customHeight="1" x14ac:dyDescent="0.25"/>
    <row r="414" ht="12.75" customHeight="1" x14ac:dyDescent="0.25"/>
    <row r="415" ht="12.75" customHeight="1" x14ac:dyDescent="0.25"/>
    <row r="416" ht="12.75" customHeight="1" x14ac:dyDescent="0.25"/>
    <row r="417" ht="12.75" customHeight="1" x14ac:dyDescent="0.25"/>
    <row r="418" ht="12.75" customHeight="1" x14ac:dyDescent="0.25"/>
    <row r="419" ht="12.75" customHeight="1" x14ac:dyDescent="0.25"/>
    <row r="420" ht="12.75" customHeight="1" x14ac:dyDescent="0.25"/>
    <row r="421" ht="12.75" customHeight="1" x14ac:dyDescent="0.25"/>
    <row r="422" ht="12.75" customHeight="1" x14ac:dyDescent="0.25"/>
    <row r="423" ht="12.75" customHeight="1" x14ac:dyDescent="0.25"/>
    <row r="424" ht="12.75" customHeight="1" x14ac:dyDescent="0.25"/>
    <row r="425" ht="12.75" customHeight="1" x14ac:dyDescent="0.25"/>
    <row r="426" ht="12.75" customHeight="1" x14ac:dyDescent="0.25"/>
    <row r="427" ht="12.75" customHeight="1" x14ac:dyDescent="0.25"/>
    <row r="428" ht="12.75" customHeight="1" x14ac:dyDescent="0.25"/>
    <row r="429" ht="12.75" customHeight="1" x14ac:dyDescent="0.25"/>
    <row r="430" ht="12.75" customHeight="1" x14ac:dyDescent="0.25"/>
    <row r="431" ht="12.75" customHeight="1" x14ac:dyDescent="0.25"/>
    <row r="432" ht="12.75" customHeight="1" x14ac:dyDescent="0.25"/>
    <row r="433" ht="12.75" customHeight="1" x14ac:dyDescent="0.25"/>
    <row r="434" ht="12.75" customHeight="1" x14ac:dyDescent="0.25"/>
    <row r="435" ht="12.75" customHeight="1" x14ac:dyDescent="0.25"/>
    <row r="436" ht="12.75" customHeight="1" x14ac:dyDescent="0.25"/>
    <row r="437" ht="12.75" customHeight="1" x14ac:dyDescent="0.25"/>
    <row r="438" ht="12.75" customHeight="1" x14ac:dyDescent="0.25"/>
    <row r="439" ht="12.75" customHeight="1" x14ac:dyDescent="0.25"/>
    <row r="440" ht="12.75" customHeight="1" x14ac:dyDescent="0.25"/>
    <row r="441" ht="12.75" customHeight="1" x14ac:dyDescent="0.25"/>
    <row r="442" ht="12.75" customHeight="1" x14ac:dyDescent="0.25"/>
    <row r="443" ht="12.75" customHeight="1" x14ac:dyDescent="0.25"/>
    <row r="444" ht="12.75" customHeight="1" x14ac:dyDescent="0.25"/>
    <row r="445" ht="12.75" customHeight="1" x14ac:dyDescent="0.25"/>
    <row r="446" ht="12.75" customHeight="1" x14ac:dyDescent="0.25"/>
    <row r="447" ht="12.75" customHeight="1" x14ac:dyDescent="0.25"/>
    <row r="448" ht="12.75" customHeight="1" x14ac:dyDescent="0.25"/>
    <row r="449" ht="12.75" customHeight="1" x14ac:dyDescent="0.25"/>
    <row r="450" ht="12.75" customHeight="1" x14ac:dyDescent="0.25"/>
    <row r="451" ht="12.75" customHeight="1" x14ac:dyDescent="0.25"/>
    <row r="452" ht="12.75" customHeight="1" x14ac:dyDescent="0.25"/>
    <row r="453" ht="12.75" customHeight="1" x14ac:dyDescent="0.25"/>
    <row r="454" ht="12.75" customHeight="1" x14ac:dyDescent="0.25"/>
    <row r="455" ht="12.75" customHeight="1" x14ac:dyDescent="0.25"/>
    <row r="456" ht="12.75" customHeight="1" x14ac:dyDescent="0.25"/>
    <row r="457" ht="12.75" customHeight="1" x14ac:dyDescent="0.25"/>
    <row r="458" ht="12.75" customHeight="1" x14ac:dyDescent="0.25"/>
    <row r="459" ht="12.75" customHeight="1" x14ac:dyDescent="0.25"/>
    <row r="460" ht="12.75" customHeight="1" x14ac:dyDescent="0.25"/>
    <row r="461" ht="12.75" customHeight="1" x14ac:dyDescent="0.25"/>
    <row r="462" ht="12.75" customHeight="1" x14ac:dyDescent="0.25"/>
    <row r="463" ht="12.75" customHeight="1" x14ac:dyDescent="0.25"/>
    <row r="464" ht="12.75" customHeight="1" x14ac:dyDescent="0.25"/>
    <row r="465" ht="12.75" customHeight="1" x14ac:dyDescent="0.25"/>
    <row r="466" ht="12.75" customHeight="1" x14ac:dyDescent="0.25"/>
    <row r="467" ht="12.75" customHeight="1" x14ac:dyDescent="0.25"/>
    <row r="468" ht="12.75" customHeight="1" x14ac:dyDescent="0.25"/>
    <row r="469" ht="12.75" customHeight="1" x14ac:dyDescent="0.25"/>
    <row r="470" ht="12.75" customHeight="1" x14ac:dyDescent="0.25"/>
    <row r="471" ht="12.75" customHeight="1" x14ac:dyDescent="0.25"/>
    <row r="472" ht="12.75" customHeight="1" x14ac:dyDescent="0.25"/>
    <row r="473" ht="12.75" customHeight="1" x14ac:dyDescent="0.25"/>
    <row r="474" ht="12.75" customHeight="1" x14ac:dyDescent="0.25"/>
    <row r="475" ht="12.75" customHeight="1" x14ac:dyDescent="0.25"/>
    <row r="476" ht="12.75" customHeight="1" x14ac:dyDescent="0.25"/>
    <row r="477" ht="12.75" customHeight="1" x14ac:dyDescent="0.25"/>
    <row r="478" ht="12.75" customHeight="1" x14ac:dyDescent="0.25"/>
    <row r="479" ht="12.75" customHeight="1" x14ac:dyDescent="0.25"/>
    <row r="480" ht="12.75" customHeight="1" x14ac:dyDescent="0.25"/>
    <row r="481" ht="12.75" customHeight="1" x14ac:dyDescent="0.25"/>
    <row r="482" ht="12.75" customHeight="1" x14ac:dyDescent="0.25"/>
    <row r="483" ht="12.75" customHeight="1" x14ac:dyDescent="0.25"/>
    <row r="484" ht="12.75" customHeight="1" x14ac:dyDescent="0.25"/>
    <row r="485" ht="12.75" customHeight="1" x14ac:dyDescent="0.25"/>
    <row r="486" ht="12.75" customHeight="1" x14ac:dyDescent="0.25"/>
    <row r="487" ht="12.75" customHeight="1" x14ac:dyDescent="0.25"/>
    <row r="488" ht="12.75" customHeight="1" x14ac:dyDescent="0.25"/>
    <row r="489" ht="12.75" customHeight="1" x14ac:dyDescent="0.25"/>
    <row r="490" ht="12.75" customHeight="1" x14ac:dyDescent="0.25"/>
    <row r="491" ht="12.75" customHeight="1" x14ac:dyDescent="0.25"/>
    <row r="492" ht="12.75" customHeight="1" x14ac:dyDescent="0.25"/>
    <row r="493" ht="12.75" customHeight="1" x14ac:dyDescent="0.25"/>
    <row r="494" ht="12.75" customHeight="1" x14ac:dyDescent="0.25"/>
    <row r="495" ht="12.75" customHeight="1" x14ac:dyDescent="0.25"/>
    <row r="496" ht="12.75" customHeight="1" x14ac:dyDescent="0.25"/>
    <row r="497" ht="12.75" customHeight="1" x14ac:dyDescent="0.25"/>
    <row r="498" ht="12.75" customHeight="1" x14ac:dyDescent="0.25"/>
    <row r="499" ht="12.75" customHeight="1" x14ac:dyDescent="0.25"/>
    <row r="500" ht="12.75" customHeight="1" x14ac:dyDescent="0.25"/>
    <row r="501" ht="12.75" customHeight="1" x14ac:dyDescent="0.25"/>
    <row r="502" ht="12.75" customHeight="1" x14ac:dyDescent="0.25"/>
    <row r="503" ht="12.75" customHeight="1" x14ac:dyDescent="0.25"/>
    <row r="504" ht="12.75" customHeight="1" x14ac:dyDescent="0.25"/>
    <row r="505" ht="12.75" customHeight="1" x14ac:dyDescent="0.25"/>
    <row r="506" ht="12.75" customHeight="1" x14ac:dyDescent="0.25"/>
    <row r="507" ht="12.75" customHeight="1" x14ac:dyDescent="0.25"/>
    <row r="508" ht="12.75" customHeight="1" x14ac:dyDescent="0.25"/>
    <row r="509" ht="12.75" customHeight="1" x14ac:dyDescent="0.25"/>
    <row r="510" ht="12.75" customHeight="1" x14ac:dyDescent="0.25"/>
    <row r="511" ht="12.75" customHeight="1" x14ac:dyDescent="0.25"/>
    <row r="512" ht="12.75" customHeight="1" x14ac:dyDescent="0.25"/>
    <row r="513" ht="12.75" customHeight="1" x14ac:dyDescent="0.25"/>
    <row r="514" ht="12.75" customHeight="1" x14ac:dyDescent="0.25"/>
    <row r="515" ht="12.75" customHeight="1" x14ac:dyDescent="0.25"/>
    <row r="516" ht="12.75" customHeight="1" x14ac:dyDescent="0.25"/>
    <row r="517" ht="12.75" customHeight="1" x14ac:dyDescent="0.25"/>
    <row r="518" ht="12.75" customHeight="1" x14ac:dyDescent="0.25"/>
    <row r="519" ht="12.75" customHeight="1" x14ac:dyDescent="0.25"/>
    <row r="520" ht="12.75" customHeight="1" x14ac:dyDescent="0.25"/>
  </sheetData>
  <sortState ref="B241:I253">
    <sortCondition ref="C242"/>
  </sortState>
  <mergeCells count="15">
    <mergeCell ref="B197:I197"/>
    <mergeCell ref="B218:I218"/>
    <mergeCell ref="B239:I239"/>
    <mergeCell ref="B92:I92"/>
    <mergeCell ref="B113:I113"/>
    <mergeCell ref="B134:I134"/>
    <mergeCell ref="B155:I155"/>
    <mergeCell ref="A174:F174"/>
    <mergeCell ref="B176:I176"/>
    <mergeCell ref="A89:F89"/>
    <mergeCell ref="A1:F1"/>
    <mergeCell ref="B4:I4"/>
    <mergeCell ref="B25:I25"/>
    <mergeCell ref="B47:I47"/>
    <mergeCell ref="B68:I68"/>
  </mergeCells>
  <pageMargins left="0.7" right="0.7" top="0.75" bottom="0.75" header="0" footer="0"/>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50E28B-79BE-4F4A-95F7-CC761403D0F8}">
  <dimension ref="A1:Y520"/>
  <sheetViews>
    <sheetView showGridLines="0" zoomScale="55" zoomScaleNormal="55" workbookViewId="0">
      <selection activeCell="C242" sqref="C242:C252"/>
    </sheetView>
  </sheetViews>
  <sheetFormatPr defaultColWidth="12.6640625" defaultRowHeight="15" customHeight="1" x14ac:dyDescent="0.25"/>
  <cols>
    <col min="1" max="1" width="8.6640625" style="2" customWidth="1"/>
    <col min="2" max="2" width="15.109375" style="2" bestFit="1" customWidth="1"/>
    <col min="3" max="3" width="16.33203125" style="2" bestFit="1" customWidth="1"/>
    <col min="4" max="4" width="13.21875" style="2" customWidth="1"/>
    <col min="5" max="5" width="9.6640625" style="2" customWidth="1"/>
    <col min="6" max="6" width="13.33203125" style="2" customWidth="1"/>
    <col min="7" max="7" width="14" style="2" bestFit="1" customWidth="1"/>
    <col min="8" max="8" width="14.21875" style="2" bestFit="1" customWidth="1"/>
    <col min="9" max="9" width="20.21875" style="2" bestFit="1" customWidth="1"/>
    <col min="10" max="13" width="16.109375" style="2" customWidth="1"/>
    <col min="14" max="14" width="20" style="2" customWidth="1"/>
    <col min="15" max="15" width="12.6640625" style="2"/>
    <col min="16" max="16" width="27.77734375" style="2" customWidth="1"/>
    <col min="17" max="17" width="17.21875" style="2" bestFit="1" customWidth="1"/>
    <col min="18" max="18" width="12" style="2" bestFit="1" customWidth="1"/>
    <col min="19" max="20" width="12.44140625" style="2" bestFit="1" customWidth="1"/>
    <col min="21" max="21" width="17.21875" style="2" bestFit="1" customWidth="1"/>
    <col min="22" max="22" width="12" style="2" bestFit="1" customWidth="1"/>
    <col min="23" max="23" width="7.88671875" style="2" customWidth="1"/>
    <col min="24" max="24" width="13" style="2" customWidth="1"/>
    <col min="25" max="25" width="15.21875" style="2" customWidth="1"/>
    <col min="26" max="16384" width="12.6640625" style="2"/>
  </cols>
  <sheetData>
    <row r="1" spans="1:25" ht="25.05" customHeight="1" x14ac:dyDescent="0.25">
      <c r="A1" s="252" t="s">
        <v>81</v>
      </c>
      <c r="B1" s="252"/>
      <c r="C1" s="252"/>
      <c r="D1" s="252"/>
      <c r="E1" s="252"/>
      <c r="F1" s="252"/>
    </row>
    <row r="2" spans="1:25" ht="12.75" customHeight="1" x14ac:dyDescent="0.25">
      <c r="D2" s="1"/>
    </row>
    <row r="3" spans="1:25" ht="12.75" customHeight="1" x14ac:dyDescent="0.25"/>
    <row r="4" spans="1:25" ht="21" customHeight="1" thickBot="1" x14ac:dyDescent="0.35">
      <c r="B4" s="256" t="s">
        <v>95</v>
      </c>
      <c r="C4" s="256"/>
      <c r="D4" s="256"/>
      <c r="E4" s="256"/>
      <c r="F4" s="256"/>
      <c r="G4" s="256"/>
      <c r="H4" s="256"/>
      <c r="I4" s="256"/>
    </row>
    <row r="5" spans="1:25" s="8" customFormat="1" ht="40.200000000000003" customHeight="1" thickBot="1" x14ac:dyDescent="0.3">
      <c r="B5" s="36" t="s">
        <v>19</v>
      </c>
      <c r="C5" s="37" t="s">
        <v>42</v>
      </c>
      <c r="D5" s="37" t="s">
        <v>41</v>
      </c>
      <c r="E5" s="37" t="s">
        <v>27</v>
      </c>
      <c r="F5" s="37" t="s">
        <v>16</v>
      </c>
      <c r="G5" s="37" t="s">
        <v>28</v>
      </c>
      <c r="H5" s="37" t="s">
        <v>116</v>
      </c>
      <c r="I5" s="37" t="s">
        <v>20</v>
      </c>
      <c r="U5" s="23"/>
      <c r="V5" s="121" t="s">
        <v>131</v>
      </c>
      <c r="W5" s="127" t="s">
        <v>134</v>
      </c>
      <c r="X5" s="127" t="s">
        <v>132</v>
      </c>
      <c r="Y5" s="127" t="s">
        <v>133</v>
      </c>
    </row>
    <row r="6" spans="1:25" ht="12.75" customHeight="1" x14ac:dyDescent="0.25">
      <c r="B6" s="4"/>
      <c r="C6" s="26">
        <v>0</v>
      </c>
      <c r="D6" s="26">
        <v>0</v>
      </c>
      <c r="E6" s="49">
        <v>0</v>
      </c>
      <c r="F6" s="49">
        <v>0</v>
      </c>
      <c r="G6" s="49">
        <v>0</v>
      </c>
      <c r="H6" s="50">
        <f>F6</f>
        <v>0</v>
      </c>
      <c r="I6" s="49">
        <v>0</v>
      </c>
      <c r="P6" s="18"/>
      <c r="Q6" s="14"/>
      <c r="R6" s="15"/>
      <c r="U6" s="18" t="s">
        <v>0</v>
      </c>
      <c r="V6" s="60">
        <f>I20</f>
        <v>0.55726708978366135</v>
      </c>
      <c r="W6" s="60">
        <f>I41</f>
        <v>0.55187300705611986</v>
      </c>
      <c r="X6" s="60">
        <f>I63</f>
        <v>0.5546384985028785</v>
      </c>
      <c r="Y6" s="60">
        <f>I84</f>
        <v>9.2025494099484906E-2</v>
      </c>
    </row>
    <row r="7" spans="1:25" ht="12.75" customHeight="1" x14ac:dyDescent="0.25">
      <c r="B7" s="82" t="s">
        <v>2</v>
      </c>
      <c r="C7" s="29">
        <v>3.2702085351185128</v>
      </c>
      <c r="D7" s="29">
        <v>76.256997384748658</v>
      </c>
      <c r="E7" s="49">
        <f t="shared" ref="E7:E17" si="0">C7/$C$18</f>
        <v>1.6552375726116638E-3</v>
      </c>
      <c r="F7" s="49">
        <f t="shared" ref="F7:F17" si="1">D7/$D$18</f>
        <v>0.32166049724589169</v>
      </c>
      <c r="G7" s="49">
        <f t="shared" ref="G7:G17" si="2">G6+E7</f>
        <v>1.6552375726116638E-3</v>
      </c>
      <c r="H7" s="50">
        <f t="shared" ref="H7:H17" si="3">F7+H6</f>
        <v>0.32166049724589169</v>
      </c>
      <c r="I7" s="49">
        <f t="shared" ref="I7:I17" si="4">(G6+G7)*0.5*(H7-H6)</f>
        <v>2.6621227033317527E-4</v>
      </c>
      <c r="P7" s="18"/>
      <c r="Q7" s="14"/>
      <c r="R7" s="15"/>
      <c r="U7" s="18" t="s">
        <v>130</v>
      </c>
      <c r="V7" s="60">
        <f>I108</f>
        <v>0.31160027781585731</v>
      </c>
      <c r="W7" s="60">
        <f>I129</f>
        <v>0.34652849074042913</v>
      </c>
      <c r="X7" s="60">
        <f>I150</f>
        <v>0.34744632404751252</v>
      </c>
      <c r="Y7" s="60">
        <f>I171</f>
        <v>0.12030057753442613</v>
      </c>
    </row>
    <row r="8" spans="1:25" ht="12.75" customHeight="1" thickBot="1" x14ac:dyDescent="0.3">
      <c r="B8" s="82" t="s">
        <v>3</v>
      </c>
      <c r="C8" s="29">
        <v>11.943753851749031</v>
      </c>
      <c r="D8" s="29">
        <v>1.2028814512554762</v>
      </c>
      <c r="E8" s="49">
        <f t="shared" si="0"/>
        <v>6.0454096187244578E-3</v>
      </c>
      <c r="F8" s="49">
        <f t="shared" si="1"/>
        <v>5.0738877612309437E-3</v>
      </c>
      <c r="G8" s="49">
        <f t="shared" si="2"/>
        <v>7.700647191336122E-3</v>
      </c>
      <c r="H8" s="50">
        <f t="shared" si="3"/>
        <v>0.32673438500712265</v>
      </c>
      <c r="I8" s="49">
        <f t="shared" si="4"/>
        <v>2.3735354599640967E-5</v>
      </c>
      <c r="P8" s="18"/>
      <c r="Q8" s="14"/>
      <c r="R8" s="15"/>
      <c r="U8" s="125" t="s">
        <v>135</v>
      </c>
      <c r="V8" s="126">
        <f>I192</f>
        <v>0.12784589069566732</v>
      </c>
      <c r="W8" s="126">
        <f>I213</f>
        <v>6.3340639074461746E-2</v>
      </c>
      <c r="X8" s="126">
        <f>I234</f>
        <v>0.69172473093971032</v>
      </c>
      <c r="Y8" s="126">
        <f>I255</f>
        <v>0.33179799126840215</v>
      </c>
    </row>
    <row r="9" spans="1:25" ht="12.75" customHeight="1" x14ac:dyDescent="0.25">
      <c r="B9" s="82" t="s">
        <v>1</v>
      </c>
      <c r="C9" s="29">
        <v>16.637492358121488</v>
      </c>
      <c r="D9" s="29">
        <v>5.2910850035945218</v>
      </c>
      <c r="E9" s="49">
        <f t="shared" si="0"/>
        <v>8.4211762551112367E-3</v>
      </c>
      <c r="F9" s="49">
        <f t="shared" si="1"/>
        <v>2.2318385087200927E-2</v>
      </c>
      <c r="G9" s="49">
        <f t="shared" si="2"/>
        <v>1.6121823446447359E-2</v>
      </c>
      <c r="H9" s="50">
        <f t="shared" si="3"/>
        <v>0.34905277009432356</v>
      </c>
      <c r="I9" s="49">
        <f t="shared" si="4"/>
        <v>2.658395367112942E-4</v>
      </c>
      <c r="P9" s="18"/>
      <c r="Q9" s="14"/>
      <c r="R9" s="15"/>
    </row>
    <row r="10" spans="1:25" ht="12.75" customHeight="1" x14ac:dyDescent="0.25">
      <c r="B10" s="111" t="s">
        <v>6</v>
      </c>
      <c r="C10" s="29">
        <v>21.293728659654324</v>
      </c>
      <c r="D10" s="29">
        <v>10.059987285900434</v>
      </c>
      <c r="E10" s="49">
        <f t="shared" si="0"/>
        <v>1.0777960903701303E-2</v>
      </c>
      <c r="F10" s="49">
        <f t="shared" si="1"/>
        <v>4.2434145372176164E-2</v>
      </c>
      <c r="G10" s="49">
        <f t="shared" si="2"/>
        <v>2.6899784350148663E-2</v>
      </c>
      <c r="H10" s="50">
        <f t="shared" si="3"/>
        <v>0.39148691546649972</v>
      </c>
      <c r="I10" s="49">
        <f t="shared" si="4"/>
        <v>9.1279257969275143E-4</v>
      </c>
      <c r="P10" s="18"/>
      <c r="Q10" s="14"/>
      <c r="R10" s="15"/>
    </row>
    <row r="11" spans="1:25" ht="12.75" customHeight="1" x14ac:dyDescent="0.25">
      <c r="B11" s="82" t="s">
        <v>195</v>
      </c>
      <c r="C11" s="29">
        <v>25.703391302231459</v>
      </c>
      <c r="D11" s="29">
        <v>3.3122105677848754</v>
      </c>
      <c r="E11" s="49">
        <f t="shared" si="0"/>
        <v>1.3009940672010235E-2</v>
      </c>
      <c r="F11" s="49">
        <f t="shared" si="1"/>
        <v>1.3971272601271617E-2</v>
      </c>
      <c r="G11" s="49">
        <f t="shared" si="2"/>
        <v>3.99097250221589E-2</v>
      </c>
      <c r="H11" s="50">
        <f t="shared" si="3"/>
        <v>0.40545818806777134</v>
      </c>
      <c r="I11" s="49">
        <f t="shared" si="4"/>
        <v>4.6670693389886015E-4</v>
      </c>
      <c r="P11" s="18"/>
      <c r="Q11" s="14"/>
      <c r="R11" s="15"/>
    </row>
    <row r="12" spans="1:25" ht="12.75" customHeight="1" x14ac:dyDescent="0.25">
      <c r="B12" s="82" t="s">
        <v>5</v>
      </c>
      <c r="C12" s="29">
        <v>74.751680684850584</v>
      </c>
      <c r="D12" s="29">
        <v>17.638155596830948</v>
      </c>
      <c r="E12" s="49">
        <f t="shared" si="0"/>
        <v>3.7836055149599264E-2</v>
      </c>
      <c r="F12" s="49">
        <f t="shared" si="1"/>
        <v>7.4399702248330937E-2</v>
      </c>
      <c r="G12" s="49">
        <f t="shared" si="2"/>
        <v>7.7745780171758164E-2</v>
      </c>
      <c r="H12" s="50">
        <f t="shared" si="3"/>
        <v>0.47985789031610226</v>
      </c>
      <c r="I12" s="49">
        <f t="shared" si="4"/>
        <v>4.3767672771521911E-3</v>
      </c>
      <c r="P12" s="18"/>
      <c r="Q12" s="14"/>
      <c r="R12" s="15"/>
    </row>
    <row r="13" spans="1:25" ht="12.75" customHeight="1" x14ac:dyDescent="0.25">
      <c r="B13" s="82" t="s">
        <v>9</v>
      </c>
      <c r="C13" s="29">
        <v>148.76180011821933</v>
      </c>
      <c r="D13" s="29">
        <v>10.358110203563459</v>
      </c>
      <c r="E13" s="49">
        <f t="shared" si="0"/>
        <v>7.5296764191247284E-2</v>
      </c>
      <c r="F13" s="49">
        <f t="shared" si="1"/>
        <v>4.3691660999916622E-2</v>
      </c>
      <c r="G13" s="49">
        <f t="shared" si="2"/>
        <v>0.15304254436300546</v>
      </c>
      <c r="H13" s="50">
        <f t="shared" si="3"/>
        <v>0.52354955131601888</v>
      </c>
      <c r="I13" s="49">
        <f t="shared" si="4"/>
        <v>5.0417626191558151E-3</v>
      </c>
      <c r="P13" s="18"/>
      <c r="Q13" s="14"/>
      <c r="R13" s="15"/>
    </row>
    <row r="14" spans="1:25" ht="12.75" customHeight="1" x14ac:dyDescent="0.25">
      <c r="B14" s="111" t="s">
        <v>10</v>
      </c>
      <c r="C14" s="29">
        <v>310.76641940905165</v>
      </c>
      <c r="D14" s="29">
        <v>35.602823413119324</v>
      </c>
      <c r="E14" s="49">
        <f t="shared" si="0"/>
        <v>0.15729646846304718</v>
      </c>
      <c r="F14" s="49">
        <f t="shared" si="1"/>
        <v>0.15017666935719179</v>
      </c>
      <c r="G14" s="49">
        <f t="shared" si="2"/>
        <v>0.31033901282605264</v>
      </c>
      <c r="H14" s="50">
        <f t="shared" si="3"/>
        <v>0.67372622067321064</v>
      </c>
      <c r="I14" s="49">
        <f t="shared" si="4"/>
        <v>3.4794549450100909E-2</v>
      </c>
      <c r="P14" s="18"/>
      <c r="Q14" s="14"/>
      <c r="R14" s="15"/>
    </row>
    <row r="15" spans="1:25" ht="12.75" customHeight="1" x14ac:dyDescent="0.25">
      <c r="B15" s="82" t="s">
        <v>7</v>
      </c>
      <c r="C15" s="29">
        <v>330.3585295558517</v>
      </c>
      <c r="D15" s="29">
        <v>32.815288364019047</v>
      </c>
      <c r="E15" s="49">
        <f t="shared" si="0"/>
        <v>0.16721314395742951</v>
      </c>
      <c r="F15" s="49">
        <f t="shared" si="1"/>
        <v>0.13841853645484289</v>
      </c>
      <c r="G15" s="49">
        <f t="shared" si="2"/>
        <v>0.47755215678348217</v>
      </c>
      <c r="H15" s="50">
        <f t="shared" si="3"/>
        <v>0.81214475712805356</v>
      </c>
      <c r="I15" s="49">
        <f t="shared" si="4"/>
        <v>5.4529371291523104E-2</v>
      </c>
      <c r="P15" s="18"/>
      <c r="Q15" s="14"/>
      <c r="R15" s="15"/>
    </row>
    <row r="16" spans="1:25" ht="12.75" customHeight="1" x14ac:dyDescent="0.25">
      <c r="B16" s="82" t="s">
        <v>4</v>
      </c>
      <c r="C16" s="29">
        <v>413.34832603081821</v>
      </c>
      <c r="D16" s="29">
        <v>34.255973217130453</v>
      </c>
      <c r="E16" s="49">
        <f t="shared" si="0"/>
        <v>0.20921897563255887</v>
      </c>
      <c r="F16" s="49">
        <f t="shared" si="1"/>
        <v>0.14449550541663317</v>
      </c>
      <c r="G16" s="49">
        <f t="shared" si="2"/>
        <v>0.68677113241604104</v>
      </c>
      <c r="H16" s="50">
        <f t="shared" si="3"/>
        <v>0.9566402625446867</v>
      </c>
      <c r="I16" s="49">
        <f t="shared" si="4"/>
        <v>8.411974107062091E-2</v>
      </c>
      <c r="P16" s="18"/>
      <c r="Q16" s="14"/>
      <c r="R16" s="15"/>
    </row>
    <row r="17" spans="1:14" ht="12.75" customHeight="1" thickBot="1" x14ac:dyDescent="0.3">
      <c r="B17" s="86" t="s">
        <v>8</v>
      </c>
      <c r="C17" s="32">
        <v>618.83788355672255</v>
      </c>
      <c r="D17" s="32">
        <v>10.279420115444264</v>
      </c>
      <c r="E17" s="51">
        <f t="shared" si="0"/>
        <v>0.3132288675839589</v>
      </c>
      <c r="F17" s="51">
        <f t="shared" si="1"/>
        <v>4.3359737455313414E-2</v>
      </c>
      <c r="G17" s="49">
        <f t="shared" si="2"/>
        <v>1</v>
      </c>
      <c r="H17" s="52">
        <f t="shared" si="3"/>
        <v>1.0000000000000002</v>
      </c>
      <c r="I17" s="51">
        <f t="shared" si="4"/>
        <v>3.6568976724380704E-2</v>
      </c>
    </row>
    <row r="18" spans="1:14" ht="12.75" customHeight="1" thickBot="1" x14ac:dyDescent="0.3">
      <c r="B18" s="35" t="s">
        <v>12</v>
      </c>
      <c r="C18" s="6">
        <f>SUM(C6:C17)</f>
        <v>1975.673214062389</v>
      </c>
      <c r="D18" s="6">
        <f>SUM(D6:D17)</f>
        <v>237.07293260339142</v>
      </c>
      <c r="E18" s="59">
        <f>SUM(E7:E17)</f>
        <v>1</v>
      </c>
      <c r="F18" s="59">
        <f>SUM(F7:F17)</f>
        <v>1.0000000000000002</v>
      </c>
      <c r="G18" s="53"/>
      <c r="H18" s="53"/>
      <c r="I18" s="59">
        <f>SUM(I6:I17)</f>
        <v>0.22136645510816935</v>
      </c>
    </row>
    <row r="19" spans="1:14" ht="12.75" customHeight="1" thickBot="1" x14ac:dyDescent="0.3">
      <c r="B19" s="4"/>
      <c r="C19" s="4"/>
      <c r="D19" s="4"/>
      <c r="E19" s="50"/>
      <c r="F19" s="50"/>
      <c r="G19" s="50"/>
      <c r="H19" s="53"/>
      <c r="I19" s="53"/>
    </row>
    <row r="20" spans="1:14" ht="12.75" customHeight="1" thickBot="1" x14ac:dyDescent="0.3">
      <c r="B20" s="4"/>
      <c r="C20" s="4"/>
      <c r="D20" s="4"/>
      <c r="E20" s="50"/>
      <c r="F20" s="50"/>
      <c r="G20" s="55"/>
      <c r="H20" s="56" t="s">
        <v>30</v>
      </c>
      <c r="I20" s="52">
        <f>1-(2*I18)</f>
        <v>0.55726708978366135</v>
      </c>
    </row>
    <row r="21" spans="1:14" ht="12.75" customHeight="1" x14ac:dyDescent="0.25"/>
    <row r="22" spans="1:14" ht="12.75" customHeight="1" x14ac:dyDescent="0.25"/>
    <row r="23" spans="1:14" ht="12.75" customHeight="1" x14ac:dyDescent="0.25"/>
    <row r="24" spans="1:14" ht="13.2" customHeight="1" x14ac:dyDescent="0.25"/>
    <row r="25" spans="1:14" ht="14.4" customHeight="1" thickBot="1" x14ac:dyDescent="0.35">
      <c r="B25" s="256" t="s">
        <v>96</v>
      </c>
      <c r="C25" s="256"/>
      <c r="D25" s="256"/>
      <c r="E25" s="256"/>
      <c r="F25" s="256"/>
      <c r="G25" s="256"/>
      <c r="H25" s="256"/>
      <c r="I25" s="256"/>
    </row>
    <row r="26" spans="1:14" ht="12.6" customHeight="1" thickBot="1" x14ac:dyDescent="0.3">
      <c r="B26" s="36" t="s">
        <v>19</v>
      </c>
      <c r="C26" s="37" t="s">
        <v>97</v>
      </c>
      <c r="D26" s="37" t="s">
        <v>41</v>
      </c>
      <c r="E26" s="37" t="s">
        <v>31</v>
      </c>
      <c r="F26" s="37" t="s">
        <v>16</v>
      </c>
      <c r="G26" s="37" t="s">
        <v>32</v>
      </c>
      <c r="H26" s="37" t="s">
        <v>116</v>
      </c>
      <c r="I26" s="37" t="s">
        <v>20</v>
      </c>
      <c r="J26" s="8"/>
      <c r="K26" s="8"/>
      <c r="L26" s="8"/>
      <c r="M26" s="8"/>
      <c r="N26" s="8"/>
    </row>
    <row r="27" spans="1:14" ht="12.75" customHeight="1" x14ac:dyDescent="0.25">
      <c r="B27" s="4"/>
      <c r="C27" s="26">
        <v>0</v>
      </c>
      <c r="D27" s="26">
        <v>0</v>
      </c>
      <c r="E27" s="49">
        <f t="shared" ref="E27:E38" si="5">C27/$C$39</f>
        <v>0</v>
      </c>
      <c r="F27" s="49">
        <f t="shared" ref="F27:F38" si="6">D27/$D$39</f>
        <v>0</v>
      </c>
      <c r="G27" s="49">
        <v>0</v>
      </c>
      <c r="H27" s="50">
        <f>F27</f>
        <v>0</v>
      </c>
      <c r="I27" s="49">
        <v>0</v>
      </c>
    </row>
    <row r="28" spans="1:14" ht="13.2" x14ac:dyDescent="0.25">
      <c r="A28" s="8"/>
      <c r="B28" s="82" t="s">
        <v>3</v>
      </c>
      <c r="C28" s="29">
        <v>11.347419840110691</v>
      </c>
      <c r="D28" s="29">
        <v>1.2028814512554762</v>
      </c>
      <c r="E28" s="49">
        <f t="shared" si="5"/>
        <v>5.3287344942383437E-3</v>
      </c>
      <c r="F28" s="49">
        <f t="shared" si="6"/>
        <v>5.0738877612309437E-3</v>
      </c>
      <c r="G28" s="49">
        <f t="shared" ref="G28:G38" si="7">G27+E28</f>
        <v>5.3287344942383437E-3</v>
      </c>
      <c r="H28" s="50">
        <f t="shared" ref="H28:H38" si="8">F28+H27</f>
        <v>5.0738877612309437E-3</v>
      </c>
      <c r="I28" s="49">
        <f t="shared" ref="I28:I38" si="9">(G27+G28)*0.5*(H28-H27)</f>
        <v>1.3518700366582547E-5</v>
      </c>
    </row>
    <row r="29" spans="1:14" ht="12.75" customHeight="1" x14ac:dyDescent="0.25">
      <c r="B29" s="82" t="s">
        <v>1</v>
      </c>
      <c r="C29" s="29">
        <v>12.647126262707316</v>
      </c>
      <c r="D29" s="29">
        <v>5.2910850035945218</v>
      </c>
      <c r="E29" s="49">
        <f t="shared" si="5"/>
        <v>5.9390750424916632E-3</v>
      </c>
      <c r="F29" s="49">
        <f t="shared" si="6"/>
        <v>2.2318385087200927E-2</v>
      </c>
      <c r="G29" s="49">
        <f t="shared" si="7"/>
        <v>1.1267809536730008E-2</v>
      </c>
      <c r="H29" s="50">
        <f t="shared" si="8"/>
        <v>2.7392272848431869E-2</v>
      </c>
      <c r="I29" s="49">
        <f t="shared" si="9"/>
        <v>1.8520403039991876E-4</v>
      </c>
    </row>
    <row r="30" spans="1:14" ht="12.75" customHeight="1" x14ac:dyDescent="0.25">
      <c r="B30" s="111" t="s">
        <v>6</v>
      </c>
      <c r="C30" s="29">
        <v>19.326127388702769</v>
      </c>
      <c r="D30" s="29">
        <v>10.059987285900434</v>
      </c>
      <c r="E30" s="49">
        <f t="shared" si="5"/>
        <v>9.0755258117972554E-3</v>
      </c>
      <c r="F30" s="49">
        <f t="shared" si="6"/>
        <v>4.2434145372176164E-2</v>
      </c>
      <c r="G30" s="49">
        <f t="shared" si="7"/>
        <v>2.0343335348527263E-2</v>
      </c>
      <c r="H30" s="50">
        <f t="shared" si="8"/>
        <v>6.9826418220608033E-2</v>
      </c>
      <c r="I30" s="49">
        <f t="shared" si="9"/>
        <v>6.7069595872096504E-4</v>
      </c>
    </row>
    <row r="31" spans="1:14" ht="12.75" customHeight="1" x14ac:dyDescent="0.25">
      <c r="B31" s="82" t="s">
        <v>195</v>
      </c>
      <c r="C31" s="29">
        <v>25.329436673814651</v>
      </c>
      <c r="D31" s="29">
        <v>3.3122105677848754</v>
      </c>
      <c r="E31" s="49">
        <f t="shared" si="5"/>
        <v>1.1894672518088944E-2</v>
      </c>
      <c r="F31" s="49">
        <f t="shared" si="6"/>
        <v>1.3971272601271617E-2</v>
      </c>
      <c r="G31" s="49">
        <f t="shared" si="7"/>
        <v>3.2238007866616208E-2</v>
      </c>
      <c r="H31" s="50">
        <f t="shared" si="8"/>
        <v>8.3797690821879656E-2</v>
      </c>
      <c r="I31" s="49">
        <f t="shared" si="9"/>
        <v>3.6731413989989678E-4</v>
      </c>
    </row>
    <row r="32" spans="1:14" ht="12.75" customHeight="1" x14ac:dyDescent="0.25">
      <c r="B32" s="82" t="s">
        <v>5</v>
      </c>
      <c r="C32" s="29">
        <v>54.535735618593961</v>
      </c>
      <c r="D32" s="29">
        <v>17.638155596830948</v>
      </c>
      <c r="E32" s="49">
        <f t="shared" si="5"/>
        <v>2.5609914822419186E-2</v>
      </c>
      <c r="F32" s="49">
        <f t="shared" si="6"/>
        <v>7.4399702248330937E-2</v>
      </c>
      <c r="G32" s="49">
        <f t="shared" si="7"/>
        <v>5.7847922689035394E-2</v>
      </c>
      <c r="H32" s="50">
        <f t="shared" si="8"/>
        <v>0.15819739307021058</v>
      </c>
      <c r="I32" s="49">
        <f t="shared" si="9"/>
        <v>3.3511832050521478E-3</v>
      </c>
    </row>
    <row r="33" spans="2:14" ht="12.75" customHeight="1" x14ac:dyDescent="0.25">
      <c r="B33" s="82" t="s">
        <v>2</v>
      </c>
      <c r="C33" s="29">
        <v>62.754986634620614</v>
      </c>
      <c r="D33" s="29">
        <v>76.256997384748658</v>
      </c>
      <c r="E33" s="49">
        <f t="shared" si="5"/>
        <v>2.9469665058423279E-2</v>
      </c>
      <c r="F33" s="49">
        <f t="shared" si="6"/>
        <v>0.32166049724589169</v>
      </c>
      <c r="G33" s="49">
        <f t="shared" si="7"/>
        <v>8.731758774745868E-2</v>
      </c>
      <c r="H33" s="50">
        <f t="shared" si="8"/>
        <v>0.47985789031610226</v>
      </c>
      <c r="I33" s="49">
        <f t="shared" si="9"/>
        <v>2.3347005134978178E-2</v>
      </c>
    </row>
    <row r="34" spans="2:14" ht="12.75" customHeight="1" x14ac:dyDescent="0.25">
      <c r="B34" s="82" t="s">
        <v>9</v>
      </c>
      <c r="C34" s="29">
        <v>117.22895171677028</v>
      </c>
      <c r="D34" s="29">
        <v>10.358110203563459</v>
      </c>
      <c r="E34" s="49">
        <f t="shared" si="5"/>
        <v>5.5050572512390754E-2</v>
      </c>
      <c r="F34" s="49">
        <f t="shared" si="6"/>
        <v>4.3691660999916622E-2</v>
      </c>
      <c r="G34" s="49">
        <f t="shared" si="7"/>
        <v>0.14236816025984944</v>
      </c>
      <c r="H34" s="50">
        <f t="shared" si="8"/>
        <v>0.52354955131601888</v>
      </c>
      <c r="I34" s="49">
        <f t="shared" si="9"/>
        <v>5.0176759192237901E-3</v>
      </c>
    </row>
    <row r="35" spans="2:14" ht="12.75" customHeight="1" x14ac:dyDescent="0.25">
      <c r="B35" s="111" t="s">
        <v>10</v>
      </c>
      <c r="C35" s="29">
        <v>269.5049849098092</v>
      </c>
      <c r="D35" s="29">
        <v>35.602823413119324</v>
      </c>
      <c r="E35" s="49">
        <f t="shared" si="5"/>
        <v>0.12655921167045456</v>
      </c>
      <c r="F35" s="49">
        <f t="shared" si="6"/>
        <v>0.15017666935719179</v>
      </c>
      <c r="G35" s="49">
        <f t="shared" si="7"/>
        <v>0.26892737193030403</v>
      </c>
      <c r="H35" s="50">
        <f t="shared" si="8"/>
        <v>0.67372622067321064</v>
      </c>
      <c r="I35" s="49">
        <f t="shared" si="9"/>
        <v>3.0883496572905449E-2</v>
      </c>
    </row>
    <row r="36" spans="2:14" ht="12.75" customHeight="1" x14ac:dyDescent="0.25">
      <c r="B36" s="82" t="s">
        <v>4</v>
      </c>
      <c r="C36" s="29">
        <v>354.07203967348119</v>
      </c>
      <c r="D36" s="29">
        <v>34.255973217130453</v>
      </c>
      <c r="E36" s="49">
        <f t="shared" si="5"/>
        <v>0.16627179727537092</v>
      </c>
      <c r="F36" s="49">
        <f t="shared" si="6"/>
        <v>0.14449550541663317</v>
      </c>
      <c r="G36" s="49">
        <f t="shared" si="7"/>
        <v>0.43519916920567492</v>
      </c>
      <c r="H36" s="50">
        <f t="shared" si="8"/>
        <v>0.81822172608984378</v>
      </c>
      <c r="I36" s="49">
        <f t="shared" si="9"/>
        <v>5.0871560219354503E-2</v>
      </c>
    </row>
    <row r="37" spans="2:14" ht="12.75" customHeight="1" x14ac:dyDescent="0.25">
      <c r="B37" s="82" t="s">
        <v>7</v>
      </c>
      <c r="C37" s="29">
        <v>421.75910966169283</v>
      </c>
      <c r="D37" s="29">
        <v>32.815288364019047</v>
      </c>
      <c r="E37" s="49">
        <f t="shared" si="5"/>
        <v>0.19805756265131649</v>
      </c>
      <c r="F37" s="49">
        <f t="shared" si="6"/>
        <v>0.13841853645484289</v>
      </c>
      <c r="G37" s="49">
        <f t="shared" si="7"/>
        <v>0.63325673185699138</v>
      </c>
      <c r="H37" s="50">
        <f t="shared" si="8"/>
        <v>0.9566402625446867</v>
      </c>
      <c r="I37" s="49">
        <f t="shared" si="9"/>
        <v>7.3947051045817364E-2</v>
      </c>
    </row>
    <row r="38" spans="2:14" ht="12.75" customHeight="1" thickBot="1" x14ac:dyDescent="0.3">
      <c r="B38" s="86" t="s">
        <v>8</v>
      </c>
      <c r="C38" s="32">
        <v>780.97151240180949</v>
      </c>
      <c r="D38" s="32">
        <v>10.279420115444264</v>
      </c>
      <c r="E38" s="51">
        <f t="shared" si="5"/>
        <v>0.36674326814300856</v>
      </c>
      <c r="F38" s="49">
        <f t="shared" si="6"/>
        <v>4.3359737455313414E-2</v>
      </c>
      <c r="G38" s="51">
        <f t="shared" si="7"/>
        <v>1</v>
      </c>
      <c r="H38" s="52">
        <f t="shared" si="8"/>
        <v>1.0000000000000002</v>
      </c>
      <c r="I38" s="51">
        <f t="shared" si="9"/>
        <v>3.5408791545221266E-2</v>
      </c>
    </row>
    <row r="39" spans="2:14" ht="12.75" customHeight="1" thickBot="1" x14ac:dyDescent="0.3">
      <c r="B39" s="35" t="s">
        <v>12</v>
      </c>
      <c r="C39" s="6">
        <f>SUM(C27:C38)</f>
        <v>2129.4774307821131</v>
      </c>
      <c r="D39" s="6">
        <f>SUM(D27:D38)</f>
        <v>237.07293260339142</v>
      </c>
      <c r="E39" s="51">
        <f>SUM(E28:E38)</f>
        <v>1</v>
      </c>
      <c r="F39" s="59">
        <f>SUM(F28:F38)</f>
        <v>1.0000000000000002</v>
      </c>
      <c r="G39" s="53"/>
      <c r="H39" s="53"/>
      <c r="I39" s="59">
        <f>SUM(I27:I38)</f>
        <v>0.22406349647194007</v>
      </c>
    </row>
    <row r="40" spans="2:14" ht="12.75" customHeight="1" thickBot="1" x14ac:dyDescent="0.3">
      <c r="B40" s="4"/>
      <c r="C40" s="4"/>
      <c r="D40" s="4"/>
      <c r="E40" s="50"/>
      <c r="F40" s="50"/>
      <c r="G40" s="50"/>
      <c r="H40" s="53"/>
      <c r="I40" s="53"/>
    </row>
    <row r="41" spans="2:14" ht="12.75" customHeight="1" thickBot="1" x14ac:dyDescent="0.3">
      <c r="B41" s="4"/>
      <c r="C41" s="4"/>
      <c r="D41" s="4"/>
      <c r="E41" s="50"/>
      <c r="F41" s="50"/>
      <c r="G41" s="55"/>
      <c r="H41" s="56" t="s">
        <v>29</v>
      </c>
      <c r="I41" s="52">
        <f>1-(2*I39)</f>
        <v>0.55187300705611986</v>
      </c>
    </row>
    <row r="42" spans="2:14" ht="12.75" customHeight="1" x14ac:dyDescent="0.25">
      <c r="E42" s="60"/>
      <c r="F42" s="60"/>
      <c r="G42" s="60"/>
      <c r="H42" s="60"/>
      <c r="I42" s="60"/>
    </row>
    <row r="43" spans="2:14" ht="12.75" customHeight="1" x14ac:dyDescent="0.25"/>
    <row r="44" spans="2:14" ht="12.75" customHeight="1" x14ac:dyDescent="0.25"/>
    <row r="45" spans="2:14" ht="12.75" customHeight="1" x14ac:dyDescent="0.25"/>
    <row r="46" spans="2:14" ht="12.75" customHeight="1" x14ac:dyDescent="0.25"/>
    <row r="47" spans="2:14" ht="16.2" thickBot="1" x14ac:dyDescent="0.35">
      <c r="B47" s="257" t="s">
        <v>104</v>
      </c>
      <c r="C47" s="257"/>
      <c r="D47" s="257"/>
      <c r="E47" s="257"/>
      <c r="F47" s="257"/>
      <c r="G47" s="257"/>
      <c r="H47" s="257"/>
      <c r="I47" s="257"/>
      <c r="J47" s="122"/>
    </row>
    <row r="48" spans="2:14" ht="27" thickBot="1" x14ac:dyDescent="0.3">
      <c r="B48" s="30" t="s">
        <v>19</v>
      </c>
      <c r="C48" s="31" t="s">
        <v>38</v>
      </c>
      <c r="D48" s="31" t="s">
        <v>41</v>
      </c>
      <c r="E48" s="31" t="s">
        <v>15</v>
      </c>
      <c r="F48" s="31" t="s">
        <v>16</v>
      </c>
      <c r="G48" s="31" t="s">
        <v>17</v>
      </c>
      <c r="H48" s="31" t="s">
        <v>116</v>
      </c>
      <c r="I48" s="31" t="s">
        <v>20</v>
      </c>
      <c r="J48" s="25"/>
      <c r="K48" s="8"/>
      <c r="L48" s="8"/>
      <c r="M48" s="8"/>
      <c r="N48" s="8"/>
    </row>
    <row r="49" spans="1:10" ht="12.75" customHeight="1" x14ac:dyDescent="0.25">
      <c r="B49" s="4"/>
      <c r="C49" s="26">
        <v>0</v>
      </c>
      <c r="D49" s="26">
        <v>0</v>
      </c>
      <c r="E49" s="49">
        <f t="shared" ref="E49:E60" si="10">C49/$C$61</f>
        <v>0</v>
      </c>
      <c r="F49" s="49">
        <f t="shared" ref="F49:F60" si="11">D49/$D$61</f>
        <v>0</v>
      </c>
      <c r="G49" s="49">
        <v>0</v>
      </c>
      <c r="H49" s="50">
        <f>F49</f>
        <v>0</v>
      </c>
      <c r="I49" s="49">
        <v>0</v>
      </c>
      <c r="J49" s="28"/>
    </row>
    <row r="50" spans="1:10" ht="12.75" customHeight="1" x14ac:dyDescent="0.25">
      <c r="B50" s="82" t="s">
        <v>2</v>
      </c>
      <c r="C50" s="29">
        <v>0</v>
      </c>
      <c r="D50" s="29">
        <v>76.256997384748658</v>
      </c>
      <c r="E50" s="49">
        <f t="shared" si="10"/>
        <v>0</v>
      </c>
      <c r="F50" s="49">
        <f t="shared" si="11"/>
        <v>0.32166049724589163</v>
      </c>
      <c r="G50" s="49">
        <f t="shared" ref="G50:G60" si="12">G49+E50</f>
        <v>0</v>
      </c>
      <c r="H50" s="50">
        <f t="shared" ref="H50:H60" si="13">F50+H49</f>
        <v>0.32166049724589163</v>
      </c>
      <c r="I50" s="49">
        <f t="shared" ref="I50:I60" si="14">(G49+G50)*0.5*(H50-H49)</f>
        <v>0</v>
      </c>
      <c r="J50" s="28"/>
    </row>
    <row r="51" spans="1:10" ht="12.75" customHeight="1" x14ac:dyDescent="0.25">
      <c r="A51" s="8"/>
      <c r="B51" s="82" t="s">
        <v>7</v>
      </c>
      <c r="C51" s="29">
        <v>0</v>
      </c>
      <c r="D51" s="29">
        <v>32.815288364019047</v>
      </c>
      <c r="E51" s="49">
        <f t="shared" si="10"/>
        <v>0</v>
      </c>
      <c r="F51" s="49">
        <f t="shared" si="11"/>
        <v>0.13841853645484287</v>
      </c>
      <c r="G51" s="49">
        <f t="shared" si="12"/>
        <v>0</v>
      </c>
      <c r="H51" s="50">
        <f t="shared" si="13"/>
        <v>0.4600790337007345</v>
      </c>
      <c r="I51" s="49">
        <f t="shared" si="14"/>
        <v>0</v>
      </c>
      <c r="J51" s="28"/>
    </row>
    <row r="52" spans="1:10" ht="12.75" customHeight="1" x14ac:dyDescent="0.25">
      <c r="B52" s="82" t="s">
        <v>8</v>
      </c>
      <c r="C52" s="29">
        <v>0</v>
      </c>
      <c r="D52" s="29">
        <v>10.279420115444264</v>
      </c>
      <c r="E52" s="49">
        <f t="shared" si="10"/>
        <v>0</v>
      </c>
      <c r="F52" s="49">
        <f t="shared" si="11"/>
        <v>4.3359737455313407E-2</v>
      </c>
      <c r="G52" s="49">
        <f t="shared" si="12"/>
        <v>0</v>
      </c>
      <c r="H52" s="50">
        <f t="shared" si="13"/>
        <v>0.50343877115604796</v>
      </c>
      <c r="I52" s="49">
        <f t="shared" si="14"/>
        <v>0</v>
      </c>
      <c r="J52" s="28"/>
    </row>
    <row r="53" spans="1:10" ht="12.75" customHeight="1" x14ac:dyDescent="0.25">
      <c r="B53" s="82" t="s">
        <v>195</v>
      </c>
      <c r="C53" s="29">
        <v>0.55883956504878174</v>
      </c>
      <c r="D53" s="29">
        <v>3.3122105677848754</v>
      </c>
      <c r="E53" s="49">
        <f t="shared" si="10"/>
        <v>3.0276913068604406E-3</v>
      </c>
      <c r="F53" s="49">
        <f t="shared" si="11"/>
        <v>1.3971272601271614E-2</v>
      </c>
      <c r="G53" s="49">
        <f t="shared" si="12"/>
        <v>3.0276913068604406E-3</v>
      </c>
      <c r="H53" s="50">
        <f t="shared" si="13"/>
        <v>0.51741004375731958</v>
      </c>
      <c r="I53" s="49">
        <f t="shared" si="14"/>
        <v>2.1150350300323775E-5</v>
      </c>
      <c r="J53" s="28"/>
    </row>
    <row r="54" spans="1:10" ht="12.75" customHeight="1" x14ac:dyDescent="0.25">
      <c r="B54" s="82" t="s">
        <v>3</v>
      </c>
      <c r="C54" s="29">
        <v>0.64927869200379018</v>
      </c>
      <c r="D54" s="29">
        <v>1.2028814512554762</v>
      </c>
      <c r="E54" s="49">
        <f t="shared" si="10"/>
        <v>3.5176740776004197E-3</v>
      </c>
      <c r="F54" s="49">
        <f t="shared" si="11"/>
        <v>5.0738877612309429E-3</v>
      </c>
      <c r="G54" s="49">
        <f t="shared" si="12"/>
        <v>6.5453653844608599E-3</v>
      </c>
      <c r="H54" s="50">
        <f t="shared" si="13"/>
        <v>0.52248393151855055</v>
      </c>
      <c r="I54" s="49">
        <f t="shared" si="14"/>
        <v>2.4286307591832678E-5</v>
      </c>
      <c r="J54" s="28"/>
    </row>
    <row r="55" spans="1:10" ht="12.75" customHeight="1" x14ac:dyDescent="0.25">
      <c r="B55" s="111" t="s">
        <v>6</v>
      </c>
      <c r="C55" s="29">
        <v>2.0728694745348006</v>
      </c>
      <c r="D55" s="29">
        <v>10.059987285900434</v>
      </c>
      <c r="E55" s="49">
        <f t="shared" si="10"/>
        <v>1.123043048635532E-2</v>
      </c>
      <c r="F55" s="49">
        <f t="shared" si="11"/>
        <v>4.2434145372176151E-2</v>
      </c>
      <c r="G55" s="49">
        <f t="shared" si="12"/>
        <v>1.777579587081618E-2</v>
      </c>
      <c r="H55" s="50">
        <f t="shared" si="13"/>
        <v>0.56491807689072671</v>
      </c>
      <c r="I55" s="49">
        <f t="shared" si="14"/>
        <v>5.1602384616328213E-4</v>
      </c>
      <c r="J55" s="28"/>
    </row>
    <row r="56" spans="1:10" ht="12.75" customHeight="1" x14ac:dyDescent="0.25">
      <c r="B56" s="82" t="s">
        <v>1</v>
      </c>
      <c r="C56" s="29">
        <v>4.0079665040383814</v>
      </c>
      <c r="D56" s="29">
        <v>5.2910850035945218</v>
      </c>
      <c r="E56" s="49">
        <f t="shared" si="10"/>
        <v>2.1714434877934188E-2</v>
      </c>
      <c r="F56" s="49">
        <f t="shared" si="11"/>
        <v>2.2318385087200923E-2</v>
      </c>
      <c r="G56" s="49">
        <f t="shared" si="12"/>
        <v>3.9490230748750368E-2</v>
      </c>
      <c r="H56" s="50">
        <f t="shared" si="13"/>
        <v>0.58723646197792767</v>
      </c>
      <c r="I56" s="49">
        <f t="shared" si="14"/>
        <v>6.3904261725469379E-4</v>
      </c>
      <c r="J56" s="28"/>
    </row>
    <row r="57" spans="1:10" ht="12.75" customHeight="1" x14ac:dyDescent="0.25">
      <c r="B57" s="82" t="s">
        <v>5</v>
      </c>
      <c r="C57" s="29">
        <v>21.776001224106345</v>
      </c>
      <c r="D57" s="29">
        <v>17.638155596830948</v>
      </c>
      <c r="E57" s="49">
        <f t="shared" si="10"/>
        <v>0.11797842122837868</v>
      </c>
      <c r="F57" s="49">
        <f t="shared" si="11"/>
        <v>7.439970224833091E-2</v>
      </c>
      <c r="G57" s="49">
        <f t="shared" si="12"/>
        <v>0.15746865197712906</v>
      </c>
      <c r="H57" s="50">
        <f t="shared" si="13"/>
        <v>0.66163616422625859</v>
      </c>
      <c r="I57" s="49">
        <f t="shared" si="14"/>
        <v>7.3268411149846786E-3</v>
      </c>
      <c r="J57" s="28"/>
    </row>
    <row r="58" spans="1:10" ht="12.75" customHeight="1" x14ac:dyDescent="0.25">
      <c r="B58" s="82" t="s">
        <v>9</v>
      </c>
      <c r="C58" s="29">
        <v>44.942843609111705</v>
      </c>
      <c r="D58" s="29">
        <v>10.358110203563459</v>
      </c>
      <c r="E58" s="49">
        <f t="shared" si="10"/>
        <v>0.24349216736116</v>
      </c>
      <c r="F58" s="49">
        <f t="shared" si="11"/>
        <v>4.3691660999916615E-2</v>
      </c>
      <c r="G58" s="49">
        <f t="shared" si="12"/>
        <v>0.40096081933828909</v>
      </c>
      <c r="H58" s="50">
        <f t="shared" si="13"/>
        <v>0.70532782522617521</v>
      </c>
      <c r="I58" s="49">
        <f t="shared" si="14"/>
        <v>1.2199355576537953E-2</v>
      </c>
      <c r="J58" s="28"/>
    </row>
    <row r="59" spans="1:10" ht="12.75" customHeight="1" x14ac:dyDescent="0.25">
      <c r="B59" s="111" t="s">
        <v>10</v>
      </c>
      <c r="C59" s="29">
        <v>50.765197112775461</v>
      </c>
      <c r="D59" s="29">
        <v>35.602823413119324</v>
      </c>
      <c r="E59" s="49">
        <f t="shared" si="10"/>
        <v>0.27503662160353703</v>
      </c>
      <c r="F59" s="49">
        <f t="shared" si="11"/>
        <v>0.15017666935719173</v>
      </c>
      <c r="G59" s="49">
        <f t="shared" si="12"/>
        <v>0.67599744094182612</v>
      </c>
      <c r="H59" s="50">
        <f t="shared" si="13"/>
        <v>0.85550449458336697</v>
      </c>
      <c r="I59" s="49">
        <f t="shared" si="14"/>
        <v>8.0867002282791658E-2</v>
      </c>
      <c r="J59" s="28"/>
    </row>
    <row r="60" spans="1:10" ht="12.75" customHeight="1" thickBot="1" x14ac:dyDescent="0.3">
      <c r="B60" s="86" t="s">
        <v>4</v>
      </c>
      <c r="C60" s="32">
        <v>59.803140686266872</v>
      </c>
      <c r="D60" s="32">
        <v>34.255973217130453</v>
      </c>
      <c r="E60" s="49">
        <f t="shared" si="10"/>
        <v>0.32400255905817393</v>
      </c>
      <c r="F60" s="49">
        <f t="shared" si="11"/>
        <v>0.14449550541663311</v>
      </c>
      <c r="G60" s="51">
        <f t="shared" si="12"/>
        <v>1</v>
      </c>
      <c r="H60" s="52">
        <f t="shared" si="13"/>
        <v>1</v>
      </c>
      <c r="I60" s="51">
        <f t="shared" si="14"/>
        <v>0.12108704865293636</v>
      </c>
      <c r="J60" s="28"/>
    </row>
    <row r="61" spans="1:10" ht="12.75" customHeight="1" thickBot="1" x14ac:dyDescent="0.3">
      <c r="B61" s="35" t="s">
        <v>12</v>
      </c>
      <c r="C61" s="6">
        <f t="shared" ref="C61:I61" si="15">SUM(C49:C60)</f>
        <v>184.57613686788613</v>
      </c>
      <c r="D61" s="6">
        <f t="shared" si="15"/>
        <v>237.07293260339148</v>
      </c>
      <c r="E61" s="6">
        <f t="shared" si="15"/>
        <v>1</v>
      </c>
      <c r="F61" s="6">
        <f t="shared" si="15"/>
        <v>1</v>
      </c>
      <c r="G61" s="6">
        <f t="shared" si="15"/>
        <v>2.3012659955681318</v>
      </c>
      <c r="H61" s="6">
        <f t="shared" si="15"/>
        <v>6.6996953002829995</v>
      </c>
      <c r="I61" s="106">
        <f t="shared" si="15"/>
        <v>0.22268075074856078</v>
      </c>
      <c r="J61" s="28"/>
    </row>
    <row r="62" spans="1:10" ht="12.75" customHeight="1" thickBot="1" x14ac:dyDescent="0.3">
      <c r="B62" s="4"/>
      <c r="C62" s="4"/>
      <c r="D62" s="4"/>
      <c r="E62" s="50"/>
      <c r="F62" s="50"/>
      <c r="G62" s="50"/>
      <c r="H62" s="53"/>
      <c r="I62" s="53"/>
      <c r="J62" s="9"/>
    </row>
    <row r="63" spans="1:10" ht="12.75" customHeight="1" thickBot="1" x14ac:dyDescent="0.3">
      <c r="B63" s="4"/>
      <c r="C63" s="4"/>
      <c r="D63" s="4"/>
      <c r="E63" s="50"/>
      <c r="F63" s="50"/>
      <c r="G63" s="55"/>
      <c r="H63" s="56" t="s">
        <v>29</v>
      </c>
      <c r="I63" s="52">
        <f>1-(2*I61)</f>
        <v>0.5546384985028785</v>
      </c>
      <c r="J63" s="9"/>
    </row>
    <row r="64" spans="1:10" ht="12.75" customHeight="1" x14ac:dyDescent="0.25"/>
    <row r="65" spans="2:14" ht="12.75" customHeight="1" x14ac:dyDescent="0.25"/>
    <row r="66" spans="2:14" ht="12.75" customHeight="1" x14ac:dyDescent="0.25"/>
    <row r="67" spans="2:14" ht="12.75" customHeight="1" x14ac:dyDescent="0.25"/>
    <row r="68" spans="2:14" ht="16.2" thickBot="1" x14ac:dyDescent="0.35">
      <c r="B68" s="256" t="s">
        <v>98</v>
      </c>
      <c r="C68" s="256"/>
      <c r="D68" s="256"/>
      <c r="E68" s="256"/>
      <c r="F68" s="256"/>
      <c r="G68" s="256"/>
      <c r="H68" s="256"/>
      <c r="I68" s="256"/>
    </row>
    <row r="69" spans="2:14" ht="37.200000000000003" customHeight="1" thickBot="1" x14ac:dyDescent="0.3">
      <c r="B69" s="36" t="s">
        <v>19</v>
      </c>
      <c r="C69" s="37" t="s">
        <v>93</v>
      </c>
      <c r="D69" s="37" t="s">
        <v>41</v>
      </c>
      <c r="E69" s="37" t="s">
        <v>91</v>
      </c>
      <c r="F69" s="37" t="s">
        <v>16</v>
      </c>
      <c r="G69" s="37" t="s">
        <v>92</v>
      </c>
      <c r="H69" s="37" t="s">
        <v>116</v>
      </c>
      <c r="I69" s="37" t="s">
        <v>20</v>
      </c>
      <c r="J69" s="8"/>
      <c r="K69" s="8"/>
      <c r="L69" s="8"/>
      <c r="M69" s="8"/>
      <c r="N69" s="8"/>
    </row>
    <row r="70" spans="2:14" ht="12.75" customHeight="1" x14ac:dyDescent="0.25">
      <c r="B70" s="4"/>
      <c r="C70" s="26">
        <v>0</v>
      </c>
      <c r="D70" s="26">
        <v>0</v>
      </c>
      <c r="E70" s="49">
        <f t="shared" ref="E70:E81" si="16">C70/$C$82</f>
        <v>0</v>
      </c>
      <c r="F70" s="49">
        <v>0</v>
      </c>
      <c r="G70" s="49">
        <v>0</v>
      </c>
      <c r="H70" s="50">
        <f>F70</f>
        <v>0</v>
      </c>
      <c r="I70" s="49">
        <v>0</v>
      </c>
    </row>
    <row r="71" spans="2:14" ht="12.75" customHeight="1" x14ac:dyDescent="0.25">
      <c r="B71" s="82" t="s">
        <v>195</v>
      </c>
      <c r="C71" s="29">
        <v>0.55883956504878174</v>
      </c>
      <c r="D71" s="29">
        <v>3.3122105677848754</v>
      </c>
      <c r="E71" s="49">
        <f t="shared" si="16"/>
        <v>1.7286755850994459E-3</v>
      </c>
      <c r="F71" s="49">
        <f t="shared" ref="F71:F81" si="17">D71/$D$82</f>
        <v>1.3971272601271614E-2</v>
      </c>
      <c r="G71" s="49">
        <f t="shared" ref="G71:G81" si="18">G70+E71</f>
        <v>1.7286755850994459E-3</v>
      </c>
      <c r="H71" s="50">
        <f t="shared" ref="H71:H81" si="19">F71+H70</f>
        <v>1.3971272601271614E-2</v>
      </c>
      <c r="I71" s="49">
        <f t="shared" ref="I71:I81" si="20">(G70+G71)*0.5*(H71-H70)</f>
        <v>1.2075898919293533E-5</v>
      </c>
    </row>
    <row r="72" spans="2:14" ht="12.75" customHeight="1" x14ac:dyDescent="0.25">
      <c r="B72" s="82" t="s">
        <v>3</v>
      </c>
      <c r="C72" s="29">
        <v>0.64927869200379018</v>
      </c>
      <c r="D72" s="29">
        <v>1.2028814512554762</v>
      </c>
      <c r="E72" s="49">
        <f t="shared" si="16"/>
        <v>2.0084337133400355E-3</v>
      </c>
      <c r="F72" s="49">
        <f t="shared" si="17"/>
        <v>5.0738877612309429E-3</v>
      </c>
      <c r="G72" s="49">
        <f t="shared" si="18"/>
        <v>3.7371092984394812E-3</v>
      </c>
      <c r="H72" s="50">
        <f t="shared" si="19"/>
        <v>1.9045160362502558E-2</v>
      </c>
      <c r="I72" s="49">
        <f t="shared" si="20"/>
        <v>1.3866389513054631E-5</v>
      </c>
    </row>
    <row r="73" spans="2:14" ht="12.75" customHeight="1" x14ac:dyDescent="0.25">
      <c r="B73" s="82" t="s">
        <v>1</v>
      </c>
      <c r="C73" s="29">
        <v>4.0079665040383814</v>
      </c>
      <c r="D73" s="29">
        <v>5.2910850035945218</v>
      </c>
      <c r="E73" s="49">
        <f t="shared" si="16"/>
        <v>1.2397965847000715E-2</v>
      </c>
      <c r="F73" s="49">
        <f t="shared" si="17"/>
        <v>2.2318385087200923E-2</v>
      </c>
      <c r="G73" s="49">
        <f t="shared" si="18"/>
        <v>1.6135075145440197E-2</v>
      </c>
      <c r="H73" s="50">
        <f t="shared" si="19"/>
        <v>4.1363545449703484E-2</v>
      </c>
      <c r="I73" s="49">
        <f t="shared" si="20"/>
        <v>2.2175753247119523E-4</v>
      </c>
    </row>
    <row r="74" spans="2:14" ht="12.75" customHeight="1" x14ac:dyDescent="0.25">
      <c r="B74" s="111" t="s">
        <v>6</v>
      </c>
      <c r="C74" s="29">
        <v>5.8728694745348005</v>
      </c>
      <c r="D74" s="29">
        <v>10.059987285900434</v>
      </c>
      <c r="E74" s="49">
        <f t="shared" si="16"/>
        <v>1.8166727465364622E-2</v>
      </c>
      <c r="F74" s="49">
        <f t="shared" si="17"/>
        <v>4.2434145372176151E-2</v>
      </c>
      <c r="G74" s="49">
        <f t="shared" si="18"/>
        <v>3.4301802610804816E-2</v>
      </c>
      <c r="H74" s="50">
        <f t="shared" si="19"/>
        <v>8.3797690821879628E-2</v>
      </c>
      <c r="I74" s="49">
        <f t="shared" si="20"/>
        <v>1.0701229014135891E-3</v>
      </c>
    </row>
    <row r="75" spans="2:14" ht="12.75" customHeight="1" x14ac:dyDescent="0.25">
      <c r="B75" s="82" t="s">
        <v>5</v>
      </c>
      <c r="C75" s="29">
        <v>21.776001224106345</v>
      </c>
      <c r="D75" s="29">
        <v>17.638155596830948</v>
      </c>
      <c r="E75" s="49">
        <f t="shared" si="16"/>
        <v>6.7360373193910014E-2</v>
      </c>
      <c r="F75" s="49">
        <f t="shared" si="17"/>
        <v>7.439970224833091E-2</v>
      </c>
      <c r="G75" s="49">
        <f t="shared" si="18"/>
        <v>0.10166217580471483</v>
      </c>
      <c r="H75" s="50">
        <f t="shared" si="19"/>
        <v>0.15819739307021052</v>
      </c>
      <c r="I75" s="49">
        <f t="shared" si="20"/>
        <v>5.0578397553065757E-3</v>
      </c>
    </row>
    <row r="76" spans="2:14" ht="12.75" customHeight="1" x14ac:dyDescent="0.25">
      <c r="B76" s="82" t="s">
        <v>8</v>
      </c>
      <c r="C76" s="29">
        <v>23.5</v>
      </c>
      <c r="D76" s="29">
        <v>10.279420115444264</v>
      </c>
      <c r="E76" s="49">
        <f t="shared" si="16"/>
        <v>7.2693271540805945E-2</v>
      </c>
      <c r="F76" s="49">
        <f t="shared" si="17"/>
        <v>4.3359737455313407E-2</v>
      </c>
      <c r="G76" s="49">
        <f t="shared" si="18"/>
        <v>0.17435544734552078</v>
      </c>
      <c r="H76" s="50">
        <f t="shared" si="19"/>
        <v>0.20155713052552393</v>
      </c>
      <c r="I76" s="49">
        <f t="shared" si="20"/>
        <v>5.9840258364169258E-3</v>
      </c>
    </row>
    <row r="77" spans="2:14" ht="12.75" customHeight="1" x14ac:dyDescent="0.25">
      <c r="B77" s="82" t="s">
        <v>7</v>
      </c>
      <c r="C77" s="29">
        <v>33.799999999999997</v>
      </c>
      <c r="D77" s="29">
        <v>32.815288364019047</v>
      </c>
      <c r="E77" s="49">
        <f t="shared" si="16"/>
        <v>0.10455457779060599</v>
      </c>
      <c r="F77" s="49">
        <f t="shared" si="17"/>
        <v>0.13841853645484287</v>
      </c>
      <c r="G77" s="49">
        <f t="shared" si="18"/>
        <v>0.27891002513612678</v>
      </c>
      <c r="H77" s="50">
        <f t="shared" si="19"/>
        <v>0.3399756669803668</v>
      </c>
      <c r="I77" s="49">
        <f t="shared" si="20"/>
        <v>3.1370171663211252E-2</v>
      </c>
    </row>
    <row r="78" spans="2:14" ht="12.75" customHeight="1" x14ac:dyDescent="0.25">
      <c r="B78" s="82" t="s">
        <v>9</v>
      </c>
      <c r="C78" s="29">
        <v>44.942843609111705</v>
      </c>
      <c r="D78" s="29">
        <v>10.358110203563459</v>
      </c>
      <c r="E78" s="49">
        <f t="shared" si="16"/>
        <v>0.13902307805502692</v>
      </c>
      <c r="F78" s="49">
        <f t="shared" si="17"/>
        <v>4.3691660999916615E-2</v>
      </c>
      <c r="G78" s="49">
        <f t="shared" si="18"/>
        <v>0.41793310319115373</v>
      </c>
      <c r="H78" s="50">
        <f t="shared" si="19"/>
        <v>0.38366732798028341</v>
      </c>
      <c r="I78" s="49">
        <f t="shared" si="20"/>
        <v>1.5223116866498465E-2</v>
      </c>
    </row>
    <row r="79" spans="2:14" ht="12.75" customHeight="1" x14ac:dyDescent="0.25">
      <c r="B79" s="82" t="s">
        <v>2</v>
      </c>
      <c r="C79" s="29">
        <v>56.5</v>
      </c>
      <c r="D79" s="29">
        <v>76.256997384748658</v>
      </c>
      <c r="E79" s="49">
        <f t="shared" si="16"/>
        <v>0.17477318476832068</v>
      </c>
      <c r="F79" s="49">
        <f t="shared" si="17"/>
        <v>0.32166049724589163</v>
      </c>
      <c r="G79" s="49">
        <f t="shared" si="18"/>
        <v>0.59270628795947444</v>
      </c>
      <c r="H79" s="50">
        <f t="shared" si="19"/>
        <v>0.70532782522617499</v>
      </c>
      <c r="I79" s="49">
        <f t="shared" si="20"/>
        <v>0.16254138454689809</v>
      </c>
    </row>
    <row r="80" spans="2:14" ht="12.75" customHeight="1" x14ac:dyDescent="0.25">
      <c r="B80" s="82" t="s">
        <v>4</v>
      </c>
      <c r="C80" s="29">
        <v>59.803140686266872</v>
      </c>
      <c r="D80" s="29">
        <v>34.255973217130453</v>
      </c>
      <c r="E80" s="49">
        <f t="shared" si="16"/>
        <v>0.18499089127233267</v>
      </c>
      <c r="F80" s="49">
        <f t="shared" si="17"/>
        <v>0.14449550541663311</v>
      </c>
      <c r="G80" s="49">
        <f t="shared" si="18"/>
        <v>0.77769717923180715</v>
      </c>
      <c r="H80" s="50">
        <f t="shared" si="19"/>
        <v>0.84982333064280813</v>
      </c>
      <c r="I80" s="49">
        <f t="shared" si="20"/>
        <v>9.9008570808255342E-2</v>
      </c>
    </row>
    <row r="81" spans="1:14" ht="12.75" customHeight="1" thickBot="1" x14ac:dyDescent="0.3">
      <c r="B81" s="86" t="s">
        <v>10</v>
      </c>
      <c r="C81" s="32">
        <v>71.865197112775462</v>
      </c>
      <c r="D81" s="32">
        <v>35.602823413119324</v>
      </c>
      <c r="E81" s="51">
        <f t="shared" si="16"/>
        <v>0.2223028207681928</v>
      </c>
      <c r="F81" s="51">
        <f t="shared" si="17"/>
        <v>0.15017666935719173</v>
      </c>
      <c r="G81" s="51">
        <f t="shared" si="18"/>
        <v>1</v>
      </c>
      <c r="H81" s="52">
        <f t="shared" si="19"/>
        <v>0.99999999999999989</v>
      </c>
      <c r="I81" s="51">
        <f t="shared" si="20"/>
        <v>0.13348432075135377</v>
      </c>
    </row>
    <row r="82" spans="1:14" ht="12.75" customHeight="1" thickBot="1" x14ac:dyDescent="0.3">
      <c r="B82" s="38" t="s">
        <v>12</v>
      </c>
      <c r="C82" s="32">
        <f>SUM(C70:C81)</f>
        <v>323.27613686788618</v>
      </c>
      <c r="D82" s="32">
        <f>SUM(D70:D81)</f>
        <v>237.07293260339148</v>
      </c>
      <c r="E82" s="51">
        <f>SUM(E71:E81)</f>
        <v>1</v>
      </c>
      <c r="F82" s="51">
        <f>SUM(F71:F81)</f>
        <v>0.99999999999999989</v>
      </c>
      <c r="G82" s="52"/>
      <c r="H82" s="52"/>
      <c r="I82" s="51">
        <f>SUM(I70:I81)</f>
        <v>0.45398725295025755</v>
      </c>
    </row>
    <row r="83" spans="1:14" ht="12.75" customHeight="1" thickBot="1" x14ac:dyDescent="0.3">
      <c r="B83" s="47"/>
      <c r="C83" s="29"/>
      <c r="D83" s="29"/>
      <c r="E83" s="26"/>
      <c r="F83" s="27"/>
      <c r="G83" s="4"/>
      <c r="H83" s="40"/>
      <c r="I83" s="34"/>
    </row>
    <row r="84" spans="1:14" ht="12.75" customHeight="1" thickBot="1" x14ac:dyDescent="0.3">
      <c r="B84" s="4"/>
      <c r="C84" s="4"/>
      <c r="D84" s="4"/>
      <c r="E84" s="4"/>
      <c r="F84" s="4"/>
      <c r="G84" s="5"/>
      <c r="H84" s="48" t="s">
        <v>37</v>
      </c>
      <c r="I84" s="61">
        <f>1-(2*I82)</f>
        <v>9.2025494099484906E-2</v>
      </c>
    </row>
    <row r="85" spans="1:14" ht="12.75" customHeight="1" x14ac:dyDescent="0.25">
      <c r="B85" s="4"/>
      <c r="C85" s="4"/>
      <c r="D85" s="4"/>
      <c r="E85" s="4"/>
      <c r="F85" s="4"/>
      <c r="G85" s="5"/>
      <c r="H85" s="107"/>
      <c r="I85" s="108"/>
    </row>
    <row r="86" spans="1:14" ht="12.75" customHeight="1" x14ac:dyDescent="0.25">
      <c r="B86" s="4"/>
      <c r="C86" s="4"/>
      <c r="D86" s="4"/>
      <c r="E86" s="4"/>
      <c r="F86" s="4"/>
      <c r="G86" s="5"/>
      <c r="H86" s="107"/>
      <c r="I86" s="108"/>
    </row>
    <row r="87" spans="1:14" ht="12.75" customHeight="1" x14ac:dyDescent="0.25"/>
    <row r="88" spans="1:14" ht="12.75" customHeight="1" x14ac:dyDescent="0.25"/>
    <row r="89" spans="1:14" ht="23.55" customHeight="1" x14ac:dyDescent="0.25">
      <c r="A89" s="252" t="s">
        <v>113</v>
      </c>
      <c r="B89" s="252"/>
      <c r="C89" s="252"/>
      <c r="D89" s="252"/>
      <c r="E89" s="252"/>
      <c r="F89" s="252"/>
    </row>
    <row r="90" spans="1:14" ht="12.75" customHeight="1" x14ac:dyDescent="0.25">
      <c r="D90" s="1"/>
    </row>
    <row r="91" spans="1:14" ht="12.75" customHeight="1" x14ac:dyDescent="0.25"/>
    <row r="92" spans="1:14" ht="16.2" thickBot="1" x14ac:dyDescent="0.35">
      <c r="B92" s="256" t="s">
        <v>99</v>
      </c>
      <c r="C92" s="256"/>
      <c r="D92" s="256"/>
      <c r="E92" s="256"/>
      <c r="F92" s="256"/>
      <c r="G92" s="256"/>
      <c r="H92" s="256"/>
      <c r="I92" s="256"/>
    </row>
    <row r="93" spans="1:14" ht="27" thickBot="1" x14ac:dyDescent="0.3">
      <c r="A93" s="8"/>
      <c r="B93" s="36" t="s">
        <v>19</v>
      </c>
      <c r="C93" s="37" t="s">
        <v>42</v>
      </c>
      <c r="D93" s="37" t="s">
        <v>44</v>
      </c>
      <c r="E93" s="37" t="s">
        <v>27</v>
      </c>
      <c r="F93" s="37" t="s">
        <v>21</v>
      </c>
      <c r="G93" s="37" t="s">
        <v>28</v>
      </c>
      <c r="H93" s="37" t="s">
        <v>117</v>
      </c>
      <c r="I93" s="37" t="s">
        <v>20</v>
      </c>
      <c r="J93" s="8"/>
      <c r="K93" s="8"/>
      <c r="L93" s="8"/>
      <c r="M93" s="8"/>
      <c r="N93" s="8"/>
    </row>
    <row r="94" spans="1:14" ht="12.75" customHeight="1" x14ac:dyDescent="0.25">
      <c r="B94" s="4"/>
      <c r="C94" s="26">
        <v>0</v>
      </c>
      <c r="D94" s="26">
        <v>0</v>
      </c>
      <c r="E94" s="49">
        <v>0</v>
      </c>
      <c r="F94" s="49">
        <v>0</v>
      </c>
      <c r="G94" s="49">
        <v>0</v>
      </c>
      <c r="H94" s="50">
        <f>F94</f>
        <v>0</v>
      </c>
      <c r="I94" s="49">
        <v>0</v>
      </c>
    </row>
    <row r="95" spans="1:14" ht="12.75" customHeight="1" x14ac:dyDescent="0.25">
      <c r="B95" s="82" t="s">
        <v>2</v>
      </c>
      <c r="C95" s="29">
        <v>3.2702085351185128</v>
      </c>
      <c r="D95" s="29">
        <v>33738.127951375733</v>
      </c>
      <c r="E95" s="49">
        <f t="shared" ref="E95:E105" si="21">C95/$C$106</f>
        <v>1.6552375726116638E-3</v>
      </c>
      <c r="F95" s="49">
        <f t="shared" ref="F95:F105" si="22">D95/$D$106</f>
        <v>6.1580410728501248E-2</v>
      </c>
      <c r="G95" s="49">
        <f t="shared" ref="G95:G105" si="23">G94+E95</f>
        <v>1.6552375726116638E-3</v>
      </c>
      <c r="H95" s="50">
        <f t="shared" ref="H95:H105" si="24">F95+H94</f>
        <v>6.1580410728501248E-2</v>
      </c>
      <c r="I95" s="49">
        <f t="shared" ref="I95:I105" si="25">(G94+G95)*0.5*(H95-H94)</f>
        <v>5.0965104787336832E-5</v>
      </c>
    </row>
    <row r="96" spans="1:14" ht="12.75" customHeight="1" x14ac:dyDescent="0.25">
      <c r="B96" s="82" t="s">
        <v>3</v>
      </c>
      <c r="C96" s="29">
        <v>11.943753851749031</v>
      </c>
      <c r="D96" s="29">
        <v>4739.5256339269945</v>
      </c>
      <c r="E96" s="49">
        <f t="shared" si="21"/>
        <v>6.0454096187244578E-3</v>
      </c>
      <c r="F96" s="49">
        <f t="shared" si="22"/>
        <v>8.6508040877704764E-3</v>
      </c>
      <c r="G96" s="49">
        <f t="shared" si="23"/>
        <v>7.700647191336122E-3</v>
      </c>
      <c r="H96" s="50">
        <f t="shared" si="24"/>
        <v>7.0231214816271731E-2</v>
      </c>
      <c r="I96" s="49">
        <f t="shared" si="25"/>
        <v>4.0467963080334541E-5</v>
      </c>
    </row>
    <row r="97" spans="2:9" ht="12.75" customHeight="1" x14ac:dyDescent="0.25">
      <c r="B97" s="82" t="s">
        <v>1</v>
      </c>
      <c r="C97" s="29">
        <v>16.637492358121488</v>
      </c>
      <c r="D97" s="29">
        <v>7498.2226388555227</v>
      </c>
      <c r="E97" s="49">
        <f t="shared" si="21"/>
        <v>8.4211762551112367E-3</v>
      </c>
      <c r="F97" s="49">
        <f t="shared" si="22"/>
        <v>1.3686107021111144E-2</v>
      </c>
      <c r="G97" s="49">
        <f t="shared" si="23"/>
        <v>1.6121823446447359E-2</v>
      </c>
      <c r="H97" s="50">
        <f t="shared" si="24"/>
        <v>8.3917321837382874E-2</v>
      </c>
      <c r="I97" s="49">
        <f t="shared" si="25"/>
        <v>1.6301844132799129E-4</v>
      </c>
    </row>
    <row r="98" spans="2:9" ht="12.75" customHeight="1" x14ac:dyDescent="0.25">
      <c r="B98" s="111" t="s">
        <v>6</v>
      </c>
      <c r="C98" s="29">
        <v>21.293728659654324</v>
      </c>
      <c r="D98" s="29">
        <v>12709.055149886017</v>
      </c>
      <c r="E98" s="49">
        <f t="shared" si="21"/>
        <v>1.0777960903701303E-2</v>
      </c>
      <c r="F98" s="49">
        <f t="shared" si="22"/>
        <v>2.3197162487174745E-2</v>
      </c>
      <c r="G98" s="49">
        <f t="shared" si="23"/>
        <v>2.6899784350148663E-2</v>
      </c>
      <c r="H98" s="50">
        <f t="shared" si="24"/>
        <v>0.10711448432455761</v>
      </c>
      <c r="I98" s="49">
        <f t="shared" si="25"/>
        <v>4.9898961325857069E-4</v>
      </c>
    </row>
    <row r="99" spans="2:9" ht="12.75" customHeight="1" x14ac:dyDescent="0.25">
      <c r="B99" s="82" t="s">
        <v>195</v>
      </c>
      <c r="C99" s="29">
        <v>25.703391302231459</v>
      </c>
      <c r="D99" s="29">
        <v>4549.0211045835586</v>
      </c>
      <c r="E99" s="49">
        <f t="shared" si="21"/>
        <v>1.3009940672010235E-2</v>
      </c>
      <c r="F99" s="49">
        <f t="shared" si="22"/>
        <v>8.3030863015460567E-3</v>
      </c>
      <c r="G99" s="49">
        <f t="shared" si="23"/>
        <v>3.99097250221589E-2</v>
      </c>
      <c r="H99" s="50">
        <f t="shared" si="24"/>
        <v>0.11541757062610367</v>
      </c>
      <c r="I99" s="49">
        <f t="shared" si="25"/>
        <v>2.773625610411098E-4</v>
      </c>
    </row>
    <row r="100" spans="2:9" ht="12.75" customHeight="1" x14ac:dyDescent="0.25">
      <c r="B100" s="82" t="s">
        <v>5</v>
      </c>
      <c r="C100" s="29">
        <v>74.751680684850584</v>
      </c>
      <c r="D100" s="29">
        <v>34543.134541376516</v>
      </c>
      <c r="E100" s="49">
        <f t="shared" si="21"/>
        <v>3.7836055149599264E-2</v>
      </c>
      <c r="F100" s="49">
        <f t="shared" si="22"/>
        <v>6.3049746446323052E-2</v>
      </c>
      <c r="G100" s="49">
        <f t="shared" si="23"/>
        <v>7.7745780171758164E-2</v>
      </c>
      <c r="H100" s="50">
        <f t="shared" si="24"/>
        <v>0.17846731707242672</v>
      </c>
      <c r="I100" s="49">
        <f t="shared" si="25"/>
        <v>3.7090748852452579E-3</v>
      </c>
    </row>
    <row r="101" spans="2:9" ht="12.75" customHeight="1" x14ac:dyDescent="0.25">
      <c r="B101" s="82" t="s">
        <v>9</v>
      </c>
      <c r="C101" s="29">
        <v>148.76180011821933</v>
      </c>
      <c r="D101" s="29">
        <v>43226.930239887697</v>
      </c>
      <c r="E101" s="49">
        <f t="shared" si="21"/>
        <v>7.5296764191247284E-2</v>
      </c>
      <c r="F101" s="49">
        <f t="shared" si="22"/>
        <v>7.8899816923481969E-2</v>
      </c>
      <c r="G101" s="49">
        <f t="shared" si="23"/>
        <v>0.15304254436300546</v>
      </c>
      <c r="H101" s="50">
        <f t="shared" si="24"/>
        <v>0.25736713399590871</v>
      </c>
      <c r="I101" s="49">
        <f t="shared" si="25"/>
        <v>9.1045782769349978E-3</v>
      </c>
    </row>
    <row r="102" spans="2:9" ht="12.75" customHeight="1" x14ac:dyDescent="0.25">
      <c r="B102" s="111" t="s">
        <v>10</v>
      </c>
      <c r="C102" s="29">
        <v>310.76641940905165</v>
      </c>
      <c r="D102" s="29">
        <v>69411.089457609574</v>
      </c>
      <c r="E102" s="49">
        <f t="shared" si="21"/>
        <v>0.15729646846304718</v>
      </c>
      <c r="F102" s="49">
        <f t="shared" si="22"/>
        <v>0.12669237024865945</v>
      </c>
      <c r="G102" s="49">
        <f t="shared" si="23"/>
        <v>0.31033901282605264</v>
      </c>
      <c r="H102" s="50">
        <f t="shared" si="24"/>
        <v>0.38405950424456814</v>
      </c>
      <c r="I102" s="49">
        <f t="shared" si="25"/>
        <v>2.9353453904898252E-2</v>
      </c>
    </row>
    <row r="103" spans="2:9" ht="12.75" customHeight="1" x14ac:dyDescent="0.25">
      <c r="B103" s="82" t="s">
        <v>7</v>
      </c>
      <c r="C103" s="29">
        <v>330.3585295558517</v>
      </c>
      <c r="D103" s="29">
        <v>179268.67227891536</v>
      </c>
      <c r="E103" s="49">
        <f t="shared" si="21"/>
        <v>0.16721314395742951</v>
      </c>
      <c r="F103" s="49">
        <f t="shared" si="22"/>
        <v>0.327209573856588</v>
      </c>
      <c r="G103" s="49">
        <f t="shared" si="23"/>
        <v>0.47755215678348217</v>
      </c>
      <c r="H103" s="50">
        <f t="shared" si="24"/>
        <v>0.71126907810115614</v>
      </c>
      <c r="I103" s="49">
        <f t="shared" si="25"/>
        <v>0.12890276692665228</v>
      </c>
    </row>
    <row r="104" spans="2:9" ht="12.75" customHeight="1" x14ac:dyDescent="0.25">
      <c r="B104" s="82" t="s">
        <v>4</v>
      </c>
      <c r="C104" s="29">
        <v>413.34832603081821</v>
      </c>
      <c r="D104" s="29">
        <v>149774.72401466093</v>
      </c>
      <c r="E104" s="49">
        <f t="shared" si="21"/>
        <v>0.20921897563255887</v>
      </c>
      <c r="F104" s="49">
        <f t="shared" si="22"/>
        <v>0.273375838602054</v>
      </c>
      <c r="G104" s="49">
        <f t="shared" si="23"/>
        <v>0.68677113241604104</v>
      </c>
      <c r="H104" s="50">
        <f t="shared" si="24"/>
        <v>0.98464491670321008</v>
      </c>
      <c r="I104" s="49">
        <f t="shared" si="25"/>
        <v>0.15914892779441073</v>
      </c>
    </row>
    <row r="105" spans="2:9" ht="12.75" customHeight="1" thickBot="1" x14ac:dyDescent="0.3">
      <c r="B105" s="86" t="s">
        <v>8</v>
      </c>
      <c r="C105" s="32">
        <v>618.83788355672255</v>
      </c>
      <c r="D105" s="32">
        <v>8412.6065227973904</v>
      </c>
      <c r="E105" s="51">
        <f t="shared" si="21"/>
        <v>0.3132288675839589</v>
      </c>
      <c r="F105" s="51">
        <f t="shared" si="22"/>
        <v>1.5355083296789959E-2</v>
      </c>
      <c r="G105" s="51">
        <f t="shared" si="23"/>
        <v>1</v>
      </c>
      <c r="H105" s="52">
        <f t="shared" si="24"/>
        <v>1</v>
      </c>
      <c r="I105" s="51">
        <f t="shared" si="25"/>
        <v>1.2950255620434482E-2</v>
      </c>
    </row>
    <row r="106" spans="2:9" ht="12.75" customHeight="1" thickBot="1" x14ac:dyDescent="0.3">
      <c r="B106" s="38" t="s">
        <v>12</v>
      </c>
      <c r="C106" s="32">
        <f>SUM(C95:C105)</f>
        <v>1975.673214062389</v>
      </c>
      <c r="D106" s="32">
        <f>SUM(D95:D105)</f>
        <v>547871.10953387525</v>
      </c>
      <c r="E106" s="39">
        <f>SUM(E95:E105)</f>
        <v>1</v>
      </c>
      <c r="F106" s="33">
        <f>SUM(F95:F105)</f>
        <v>1</v>
      </c>
      <c r="G106" s="40"/>
      <c r="H106" s="40"/>
      <c r="I106" s="51">
        <f>SUM(I94:I105)</f>
        <v>0.34419986109207135</v>
      </c>
    </row>
    <row r="107" spans="2:9" ht="12.75" customHeight="1" thickBot="1" x14ac:dyDescent="0.3">
      <c r="B107" s="4"/>
      <c r="C107" s="4"/>
      <c r="D107" s="4"/>
      <c r="E107" s="4"/>
      <c r="F107" s="4"/>
      <c r="G107" s="4"/>
      <c r="H107" s="7"/>
      <c r="I107" s="53"/>
    </row>
    <row r="108" spans="2:9" ht="12.75" customHeight="1" thickBot="1" x14ac:dyDescent="0.3">
      <c r="B108" s="4"/>
      <c r="C108" s="4"/>
      <c r="D108" s="4"/>
      <c r="E108" s="4"/>
      <c r="F108" s="4"/>
      <c r="G108" s="5"/>
      <c r="H108" s="24" t="s">
        <v>29</v>
      </c>
      <c r="I108" s="52">
        <f>1-(2*I106)</f>
        <v>0.31160027781585731</v>
      </c>
    </row>
    <row r="109" spans="2:9" ht="12.75" customHeight="1" x14ac:dyDescent="0.25"/>
    <row r="110" spans="2:9" ht="12.75" customHeight="1" x14ac:dyDescent="0.25"/>
    <row r="111" spans="2:9" ht="12.75" customHeight="1" x14ac:dyDescent="0.25"/>
    <row r="112" spans="2:9" ht="12.75" customHeight="1" x14ac:dyDescent="0.25"/>
    <row r="113" spans="1:14" ht="16.2" thickBot="1" x14ac:dyDescent="0.35">
      <c r="B113" s="256" t="s">
        <v>100</v>
      </c>
      <c r="C113" s="256"/>
      <c r="D113" s="256"/>
      <c r="E113" s="256"/>
      <c r="F113" s="256"/>
      <c r="G113" s="256"/>
      <c r="H113" s="256"/>
      <c r="I113" s="256"/>
    </row>
    <row r="114" spans="1:14" ht="27" thickBot="1" x14ac:dyDescent="0.3">
      <c r="A114" s="8"/>
      <c r="B114" s="30" t="s">
        <v>19</v>
      </c>
      <c r="C114" s="31" t="s">
        <v>43</v>
      </c>
      <c r="D114" s="31" t="s">
        <v>44</v>
      </c>
      <c r="E114" s="31" t="s">
        <v>31</v>
      </c>
      <c r="F114" s="31" t="s">
        <v>21</v>
      </c>
      <c r="G114" s="31" t="s">
        <v>32</v>
      </c>
      <c r="H114" s="31" t="s">
        <v>117</v>
      </c>
      <c r="I114" s="31" t="s">
        <v>20</v>
      </c>
      <c r="J114" s="8"/>
      <c r="K114" s="8"/>
      <c r="L114" s="8"/>
      <c r="M114" s="8"/>
      <c r="N114" s="8"/>
    </row>
    <row r="115" spans="1:14" ht="12.75" customHeight="1" x14ac:dyDescent="0.25">
      <c r="B115" s="4"/>
      <c r="C115" s="26">
        <v>0</v>
      </c>
      <c r="D115" s="26">
        <v>0</v>
      </c>
      <c r="E115" s="49">
        <f t="shared" ref="E115:E126" si="26">C115/$C$127</f>
        <v>0</v>
      </c>
      <c r="F115" s="49">
        <v>0</v>
      </c>
      <c r="G115" s="49">
        <v>0</v>
      </c>
      <c r="H115" s="50">
        <f>F115</f>
        <v>0</v>
      </c>
      <c r="I115" s="49">
        <v>0</v>
      </c>
    </row>
    <row r="116" spans="1:14" ht="12.75" customHeight="1" x14ac:dyDescent="0.25">
      <c r="B116" s="82" t="s">
        <v>3</v>
      </c>
      <c r="C116" s="29">
        <v>11.347419840110691</v>
      </c>
      <c r="D116" s="29">
        <v>4739.5256339269945</v>
      </c>
      <c r="E116" s="49">
        <f t="shared" si="26"/>
        <v>5.3287344942383437E-3</v>
      </c>
      <c r="F116" s="49">
        <f t="shared" ref="F116:F126" si="27">D116/$D$127</f>
        <v>8.6508040877704764E-3</v>
      </c>
      <c r="G116" s="49">
        <f t="shared" ref="G116:G126" si="28">G115+E116</f>
        <v>5.3287344942383437E-3</v>
      </c>
      <c r="H116" s="50">
        <f t="shared" ref="H116:H126" si="29">F116+H115</f>
        <v>8.6508040877704764E-3</v>
      </c>
      <c r="I116" s="49">
        <f t="shared" ref="I116:I126" si="30">(G115+G116)*0.5*(H116-H115)</f>
        <v>2.3048919072700303E-5</v>
      </c>
    </row>
    <row r="117" spans="1:14" ht="12.75" customHeight="1" x14ac:dyDescent="0.25">
      <c r="B117" s="82" t="s">
        <v>1</v>
      </c>
      <c r="C117" s="29">
        <v>12.647126262707316</v>
      </c>
      <c r="D117" s="29">
        <v>7498.2226388555227</v>
      </c>
      <c r="E117" s="49">
        <f t="shared" si="26"/>
        <v>5.9390750424916632E-3</v>
      </c>
      <c r="F117" s="49">
        <f t="shared" si="27"/>
        <v>1.3686107021111144E-2</v>
      </c>
      <c r="G117" s="49">
        <f t="shared" si="28"/>
        <v>1.1267809536730008E-2</v>
      </c>
      <c r="H117" s="50">
        <f t="shared" si="29"/>
        <v>2.233691110888162E-2</v>
      </c>
      <c r="I117" s="49">
        <f t="shared" si="30"/>
        <v>1.1357103889420809E-4</v>
      </c>
    </row>
    <row r="118" spans="1:14" ht="12.75" customHeight="1" x14ac:dyDescent="0.25">
      <c r="B118" s="111" t="s">
        <v>6</v>
      </c>
      <c r="C118" s="29">
        <v>19.326127388702769</v>
      </c>
      <c r="D118" s="29">
        <v>12709.055149886017</v>
      </c>
      <c r="E118" s="49">
        <f t="shared" si="26"/>
        <v>9.0755258117972554E-3</v>
      </c>
      <c r="F118" s="49">
        <f t="shared" si="27"/>
        <v>2.3197162487174745E-2</v>
      </c>
      <c r="G118" s="49">
        <f t="shared" si="28"/>
        <v>2.0343335348527263E-2</v>
      </c>
      <c r="H118" s="50">
        <f t="shared" si="29"/>
        <v>4.5534073596056365E-2</v>
      </c>
      <c r="I118" s="49">
        <f t="shared" si="30"/>
        <v>3.6664443215446787E-4</v>
      </c>
    </row>
    <row r="119" spans="1:14" ht="12.75" customHeight="1" x14ac:dyDescent="0.25">
      <c r="B119" s="82" t="s">
        <v>195</v>
      </c>
      <c r="C119" s="29">
        <v>25.329436673814651</v>
      </c>
      <c r="D119" s="29">
        <v>4549.0211045835586</v>
      </c>
      <c r="E119" s="49">
        <f t="shared" si="26"/>
        <v>1.1894672518088944E-2</v>
      </c>
      <c r="F119" s="49">
        <f t="shared" si="27"/>
        <v>8.3030863015460567E-3</v>
      </c>
      <c r="G119" s="49">
        <f t="shared" si="28"/>
        <v>3.2238007866616208E-2</v>
      </c>
      <c r="H119" s="50">
        <f t="shared" si="29"/>
        <v>5.3837159897602418E-2</v>
      </c>
      <c r="I119" s="49">
        <f t="shared" si="30"/>
        <v>2.1829371528327466E-4</v>
      </c>
    </row>
    <row r="120" spans="1:14" ht="12.75" customHeight="1" x14ac:dyDescent="0.25">
      <c r="B120" s="82" t="s">
        <v>5</v>
      </c>
      <c r="C120" s="29">
        <v>54.535735618593961</v>
      </c>
      <c r="D120" s="29">
        <v>34543.134541376516</v>
      </c>
      <c r="E120" s="49">
        <f t="shared" si="26"/>
        <v>2.5609914822419186E-2</v>
      </c>
      <c r="F120" s="49">
        <f t="shared" si="27"/>
        <v>6.3049746446323052E-2</v>
      </c>
      <c r="G120" s="49">
        <f t="shared" si="28"/>
        <v>5.7847922689035394E-2</v>
      </c>
      <c r="H120" s="50">
        <f t="shared" si="29"/>
        <v>0.11688690634392547</v>
      </c>
      <c r="I120" s="49">
        <f t="shared" si="30"/>
        <v>2.8399475399574501E-3</v>
      </c>
    </row>
    <row r="121" spans="1:14" ht="12.75" customHeight="1" x14ac:dyDescent="0.25">
      <c r="B121" s="82" t="s">
        <v>2</v>
      </c>
      <c r="C121" s="29">
        <v>62.754986634620614</v>
      </c>
      <c r="D121" s="29">
        <v>33738.127951375733</v>
      </c>
      <c r="E121" s="49">
        <f t="shared" si="26"/>
        <v>2.9469665058423279E-2</v>
      </c>
      <c r="F121" s="49">
        <f t="shared" si="27"/>
        <v>6.1580410728501248E-2</v>
      </c>
      <c r="G121" s="49">
        <f t="shared" si="28"/>
        <v>8.731758774745868E-2</v>
      </c>
      <c r="H121" s="50">
        <f t="shared" si="29"/>
        <v>0.17846731707242672</v>
      </c>
      <c r="I121" s="49">
        <f t="shared" si="30"/>
        <v>4.469675878145919E-3</v>
      </c>
    </row>
    <row r="122" spans="1:14" ht="12.75" customHeight="1" x14ac:dyDescent="0.25">
      <c r="B122" s="82" t="s">
        <v>9</v>
      </c>
      <c r="C122" s="29">
        <v>117.22895171677028</v>
      </c>
      <c r="D122" s="29">
        <v>43226.930239887697</v>
      </c>
      <c r="E122" s="49">
        <f t="shared" si="26"/>
        <v>5.5050572512390754E-2</v>
      </c>
      <c r="F122" s="49">
        <f t="shared" si="27"/>
        <v>7.8899816923481969E-2</v>
      </c>
      <c r="G122" s="49">
        <f t="shared" si="28"/>
        <v>0.14236816025984944</v>
      </c>
      <c r="H122" s="50">
        <f t="shared" si="29"/>
        <v>0.25736713399590871</v>
      </c>
      <c r="I122" s="49">
        <f t="shared" si="30"/>
        <v>9.0610817338548158E-3</v>
      </c>
    </row>
    <row r="123" spans="1:14" ht="12.75" customHeight="1" x14ac:dyDescent="0.25">
      <c r="B123" s="111" t="s">
        <v>10</v>
      </c>
      <c r="C123" s="29">
        <v>269.5049849098092</v>
      </c>
      <c r="D123" s="29">
        <v>69411.089457609574</v>
      </c>
      <c r="E123" s="49">
        <f t="shared" si="26"/>
        <v>0.12655921167045456</v>
      </c>
      <c r="F123" s="49">
        <f t="shared" si="27"/>
        <v>0.12669237024865945</v>
      </c>
      <c r="G123" s="49">
        <f t="shared" si="28"/>
        <v>0.26892737193030403</v>
      </c>
      <c r="H123" s="50">
        <f t="shared" si="29"/>
        <v>0.38405950424456814</v>
      </c>
      <c r="I123" s="49">
        <f t="shared" si="30"/>
        <v>2.6054002922927172E-2</v>
      </c>
    </row>
    <row r="124" spans="1:14" ht="12.75" customHeight="1" x14ac:dyDescent="0.25">
      <c r="B124" s="82" t="s">
        <v>4</v>
      </c>
      <c r="C124" s="29">
        <v>354.07203967348119</v>
      </c>
      <c r="D124" s="29">
        <v>149774.72401466093</v>
      </c>
      <c r="E124" s="49">
        <f t="shared" si="26"/>
        <v>0.16627179727537092</v>
      </c>
      <c r="F124" s="49">
        <f t="shared" si="27"/>
        <v>0.273375838602054</v>
      </c>
      <c r="G124" s="49">
        <f t="shared" si="28"/>
        <v>0.43519916920567492</v>
      </c>
      <c r="H124" s="50">
        <f t="shared" si="29"/>
        <v>0.65743534284662219</v>
      </c>
      <c r="I124" s="49">
        <f t="shared" si="30"/>
        <v>9.6245591832505972E-2</v>
      </c>
    </row>
    <row r="125" spans="1:14" ht="12.75" customHeight="1" x14ac:dyDescent="0.25">
      <c r="B125" s="82" t="s">
        <v>7</v>
      </c>
      <c r="C125" s="29">
        <v>421.75910966169283</v>
      </c>
      <c r="D125" s="29">
        <v>179268.67227891536</v>
      </c>
      <c r="E125" s="49">
        <f t="shared" si="26"/>
        <v>0.19805756265131649</v>
      </c>
      <c r="F125" s="49">
        <f t="shared" si="27"/>
        <v>0.327209573856588</v>
      </c>
      <c r="G125" s="49">
        <f t="shared" si="28"/>
        <v>0.63325673185699138</v>
      </c>
      <c r="H125" s="50">
        <f t="shared" si="29"/>
        <v>0.98464491670321019</v>
      </c>
      <c r="I125" s="49">
        <f t="shared" si="30"/>
        <v>0.17480450003563591</v>
      </c>
    </row>
    <row r="126" spans="1:14" ht="12.75" customHeight="1" thickBot="1" x14ac:dyDescent="0.3">
      <c r="B126" s="86" t="s">
        <v>8</v>
      </c>
      <c r="C126" s="32">
        <v>780.97151240180949</v>
      </c>
      <c r="D126" s="32">
        <v>8412.6065227973904</v>
      </c>
      <c r="E126" s="51">
        <f t="shared" si="26"/>
        <v>0.36674326814300856</v>
      </c>
      <c r="F126" s="51">
        <f t="shared" si="27"/>
        <v>1.5355083296789959E-2</v>
      </c>
      <c r="G126" s="51">
        <f t="shared" si="28"/>
        <v>1</v>
      </c>
      <c r="H126" s="52">
        <f t="shared" si="29"/>
        <v>1.0000000000000002</v>
      </c>
      <c r="I126" s="51">
        <f t="shared" si="30"/>
        <v>1.2539396581353579E-2</v>
      </c>
    </row>
    <row r="127" spans="1:14" ht="12.75" customHeight="1" thickBot="1" x14ac:dyDescent="0.3">
      <c r="B127" s="38" t="s">
        <v>12</v>
      </c>
      <c r="C127" s="32">
        <f>SUM(C115:C126)</f>
        <v>2129.4774307821131</v>
      </c>
      <c r="D127" s="32">
        <f>SUM(D115:D126)</f>
        <v>547871.10953387525</v>
      </c>
      <c r="E127" s="51">
        <f>SUM(E116:E126)</f>
        <v>1</v>
      </c>
      <c r="F127" s="51">
        <f>SUM(F116:F126)</f>
        <v>1.0000000000000002</v>
      </c>
      <c r="G127" s="52"/>
      <c r="H127" s="52"/>
      <c r="I127" s="51">
        <f>SUM(I115:I126)</f>
        <v>0.32673575462978544</v>
      </c>
    </row>
    <row r="128" spans="1:14" ht="12.75" customHeight="1" thickBot="1" x14ac:dyDescent="0.3">
      <c r="B128" s="4"/>
      <c r="C128" s="4"/>
      <c r="D128" s="4"/>
      <c r="E128" s="50"/>
      <c r="F128" s="50"/>
      <c r="G128" s="50"/>
      <c r="H128" s="53"/>
      <c r="I128" s="53"/>
    </row>
    <row r="129" spans="1:14" ht="12.75" customHeight="1" thickBot="1" x14ac:dyDescent="0.3">
      <c r="B129" s="4"/>
      <c r="C129" s="4"/>
      <c r="D129" s="4"/>
      <c r="E129" s="50"/>
      <c r="F129" s="50"/>
      <c r="G129" s="55"/>
      <c r="H129" s="56" t="s">
        <v>29</v>
      </c>
      <c r="I129" s="52">
        <f>1-(2*I127)</f>
        <v>0.34652849074042913</v>
      </c>
    </row>
    <row r="130" spans="1:14" ht="12.75" customHeight="1" x14ac:dyDescent="0.25"/>
    <row r="131" spans="1:14" ht="12.75" customHeight="1" x14ac:dyDescent="0.25"/>
    <row r="132" spans="1:14" ht="12.75" customHeight="1" x14ac:dyDescent="0.25"/>
    <row r="133" spans="1:14" ht="12.75" customHeight="1" x14ac:dyDescent="0.25"/>
    <row r="134" spans="1:14" ht="16.2" thickBot="1" x14ac:dyDescent="0.35">
      <c r="B134" s="256" t="s">
        <v>105</v>
      </c>
      <c r="C134" s="256"/>
      <c r="D134" s="256"/>
      <c r="E134" s="256"/>
      <c r="F134" s="256"/>
      <c r="G134" s="256"/>
      <c r="H134" s="256"/>
      <c r="I134" s="256"/>
    </row>
    <row r="135" spans="1:14" ht="27" thickBot="1" x14ac:dyDescent="0.3">
      <c r="A135" s="8"/>
      <c r="B135" s="30" t="s">
        <v>19</v>
      </c>
      <c r="C135" s="31" t="s">
        <v>38</v>
      </c>
      <c r="D135" s="31" t="s">
        <v>34</v>
      </c>
      <c r="E135" s="31" t="s">
        <v>15</v>
      </c>
      <c r="F135" s="31" t="s">
        <v>21</v>
      </c>
      <c r="G135" s="31" t="s">
        <v>17</v>
      </c>
      <c r="H135" s="31" t="s">
        <v>117</v>
      </c>
      <c r="I135" s="31" t="s">
        <v>20</v>
      </c>
      <c r="J135" s="8"/>
      <c r="K135" s="8"/>
      <c r="L135" s="8"/>
      <c r="M135" s="8"/>
      <c r="N135" s="8"/>
    </row>
    <row r="136" spans="1:14" ht="12.75" customHeight="1" x14ac:dyDescent="0.25">
      <c r="B136" s="4"/>
      <c r="C136" s="26">
        <v>0</v>
      </c>
      <c r="D136" s="26">
        <v>0</v>
      </c>
      <c r="E136" s="49">
        <v>0</v>
      </c>
      <c r="F136" s="49">
        <v>0</v>
      </c>
      <c r="G136" s="49">
        <v>0</v>
      </c>
      <c r="H136" s="50">
        <f>F136</f>
        <v>0</v>
      </c>
      <c r="I136" s="49">
        <v>0</v>
      </c>
    </row>
    <row r="137" spans="1:14" ht="12.75" customHeight="1" x14ac:dyDescent="0.25">
      <c r="B137" s="82" t="s">
        <v>2</v>
      </c>
      <c r="C137" s="29">
        <v>0</v>
      </c>
      <c r="D137" s="29">
        <v>33738.127951375733</v>
      </c>
      <c r="E137" s="49">
        <f t="shared" ref="E137:E147" si="31">C137/$C$148</f>
        <v>0</v>
      </c>
      <c r="F137" s="49">
        <f t="shared" ref="F137:F147" si="32">D137/$D$148</f>
        <v>6.1580410728501248E-2</v>
      </c>
      <c r="G137" s="49">
        <f t="shared" ref="G137:G147" si="33">G136+E137</f>
        <v>0</v>
      </c>
      <c r="H137" s="50">
        <f t="shared" ref="H137:H147" si="34">F137+H136</f>
        <v>6.1580410728501248E-2</v>
      </c>
      <c r="I137" s="49">
        <f t="shared" ref="I137:I147" si="35">(G136+G137)*0.5*(H137-H136)</f>
        <v>0</v>
      </c>
    </row>
    <row r="138" spans="1:14" ht="12.75" customHeight="1" x14ac:dyDescent="0.25">
      <c r="B138" s="82" t="s">
        <v>7</v>
      </c>
      <c r="C138" s="29">
        <v>0</v>
      </c>
      <c r="D138" s="29">
        <v>179268.67227891536</v>
      </c>
      <c r="E138" s="49">
        <f t="shared" si="31"/>
        <v>0</v>
      </c>
      <c r="F138" s="49">
        <f t="shared" si="32"/>
        <v>0.327209573856588</v>
      </c>
      <c r="G138" s="49">
        <f t="shared" si="33"/>
        <v>0</v>
      </c>
      <c r="H138" s="50">
        <f t="shared" si="34"/>
        <v>0.38878998458508923</v>
      </c>
      <c r="I138" s="49">
        <f t="shared" si="35"/>
        <v>0</v>
      </c>
    </row>
    <row r="139" spans="1:14" ht="12.75" customHeight="1" x14ac:dyDescent="0.25">
      <c r="B139" s="82" t="s">
        <v>8</v>
      </c>
      <c r="C139" s="29">
        <v>0</v>
      </c>
      <c r="D139" s="29">
        <v>8412.6065227973904</v>
      </c>
      <c r="E139" s="49">
        <f t="shared" si="31"/>
        <v>0</v>
      </c>
      <c r="F139" s="49">
        <f t="shared" si="32"/>
        <v>1.5355083296789959E-2</v>
      </c>
      <c r="G139" s="49">
        <f t="shared" si="33"/>
        <v>0</v>
      </c>
      <c r="H139" s="50">
        <f t="shared" si="34"/>
        <v>0.40414506788187921</v>
      </c>
      <c r="I139" s="49">
        <f t="shared" si="35"/>
        <v>0</v>
      </c>
    </row>
    <row r="140" spans="1:14" ht="12.75" customHeight="1" x14ac:dyDescent="0.25">
      <c r="B140" s="82" t="s">
        <v>195</v>
      </c>
      <c r="C140" s="29">
        <v>0.55883956504878174</v>
      </c>
      <c r="D140" s="29">
        <v>4549.0211045835586</v>
      </c>
      <c r="E140" s="49">
        <f t="shared" si="31"/>
        <v>3.0276913068604406E-3</v>
      </c>
      <c r="F140" s="49">
        <f t="shared" si="32"/>
        <v>8.3030863015460567E-3</v>
      </c>
      <c r="G140" s="49">
        <f t="shared" si="33"/>
        <v>3.0276913068604406E-3</v>
      </c>
      <c r="H140" s="50">
        <f t="shared" si="34"/>
        <v>0.41244815418342529</v>
      </c>
      <c r="I140" s="49">
        <f t="shared" si="35"/>
        <v>1.2569591107651538E-5</v>
      </c>
    </row>
    <row r="141" spans="1:14" ht="12.75" customHeight="1" x14ac:dyDescent="0.25">
      <c r="B141" s="82" t="s">
        <v>3</v>
      </c>
      <c r="C141" s="29">
        <v>0.64927869200379018</v>
      </c>
      <c r="D141" s="29">
        <v>4739.5256339269945</v>
      </c>
      <c r="E141" s="49">
        <f t="shared" si="31"/>
        <v>3.5176740776004197E-3</v>
      </c>
      <c r="F141" s="49">
        <f t="shared" si="32"/>
        <v>8.6508040877704764E-3</v>
      </c>
      <c r="G141" s="49">
        <f t="shared" si="33"/>
        <v>6.5453653844608599E-3</v>
      </c>
      <c r="H141" s="50">
        <f t="shared" si="34"/>
        <v>0.42109895827119576</v>
      </c>
      <c r="I141" s="49">
        <f t="shared" si="35"/>
        <v>4.1407318978870375E-5</v>
      </c>
    </row>
    <row r="142" spans="1:14" ht="12.75" customHeight="1" x14ac:dyDescent="0.25">
      <c r="B142" s="111" t="s">
        <v>6</v>
      </c>
      <c r="C142" s="29">
        <v>2.0728694745348006</v>
      </c>
      <c r="D142" s="29">
        <v>12709.055149886017</v>
      </c>
      <c r="E142" s="49">
        <f t="shared" si="31"/>
        <v>1.123043048635532E-2</v>
      </c>
      <c r="F142" s="49">
        <f t="shared" si="32"/>
        <v>2.3197162487174745E-2</v>
      </c>
      <c r="G142" s="49">
        <f t="shared" si="33"/>
        <v>1.777579587081618E-2</v>
      </c>
      <c r="H142" s="50">
        <f t="shared" si="34"/>
        <v>0.44429612075837049</v>
      </c>
      <c r="I142" s="49">
        <f t="shared" si="35"/>
        <v>2.8209096475772009E-4</v>
      </c>
    </row>
    <row r="143" spans="1:14" ht="12.75" customHeight="1" x14ac:dyDescent="0.25">
      <c r="B143" s="82" t="s">
        <v>1</v>
      </c>
      <c r="C143" s="29">
        <v>4.0079665040383814</v>
      </c>
      <c r="D143" s="29">
        <v>7498.2226388555227</v>
      </c>
      <c r="E143" s="49">
        <f t="shared" si="31"/>
        <v>2.1714434877934188E-2</v>
      </c>
      <c r="F143" s="49">
        <f t="shared" si="32"/>
        <v>1.3686107021111144E-2</v>
      </c>
      <c r="G143" s="49">
        <f t="shared" si="33"/>
        <v>3.9490230748750368E-2</v>
      </c>
      <c r="H143" s="50">
        <f t="shared" si="34"/>
        <v>0.45798222777948161</v>
      </c>
      <c r="I143" s="49">
        <f t="shared" si="35"/>
        <v>3.9187448449459289E-4</v>
      </c>
    </row>
    <row r="144" spans="1:14" ht="12.75" customHeight="1" x14ac:dyDescent="0.25">
      <c r="B144" s="82" t="s">
        <v>5</v>
      </c>
      <c r="C144" s="29">
        <v>21.776001224106345</v>
      </c>
      <c r="D144" s="29">
        <v>34543.134541376516</v>
      </c>
      <c r="E144" s="49">
        <f t="shared" si="31"/>
        <v>0.11797842122837868</v>
      </c>
      <c r="F144" s="49">
        <f t="shared" si="32"/>
        <v>6.3049746446323052E-2</v>
      </c>
      <c r="G144" s="49">
        <f t="shared" si="33"/>
        <v>0.15746865197712906</v>
      </c>
      <c r="H144" s="50">
        <f t="shared" si="34"/>
        <v>0.52103197422580472</v>
      </c>
      <c r="I144" s="49">
        <f t="shared" si="35"/>
        <v>6.2091038081088928E-3</v>
      </c>
    </row>
    <row r="145" spans="1:14" ht="12.75" customHeight="1" x14ac:dyDescent="0.25">
      <c r="B145" s="82" t="s">
        <v>9</v>
      </c>
      <c r="C145" s="29">
        <v>44.942843609111705</v>
      </c>
      <c r="D145" s="29">
        <v>43226.930239887697</v>
      </c>
      <c r="E145" s="49">
        <f t="shared" si="31"/>
        <v>0.24349216736116</v>
      </c>
      <c r="F145" s="49">
        <f t="shared" si="32"/>
        <v>7.8899816923481969E-2</v>
      </c>
      <c r="G145" s="49">
        <f t="shared" si="33"/>
        <v>0.40096081933828909</v>
      </c>
      <c r="H145" s="50">
        <f t="shared" si="34"/>
        <v>0.59993179114928674</v>
      </c>
      <c r="I145" s="49">
        <f t="shared" si="35"/>
        <v>2.2029991525731672E-2</v>
      </c>
    </row>
    <row r="146" spans="1:14" ht="12.75" customHeight="1" x14ac:dyDescent="0.25">
      <c r="B146" s="111" t="s">
        <v>10</v>
      </c>
      <c r="C146" s="29">
        <v>50.765197112775461</v>
      </c>
      <c r="D146" s="29">
        <v>69411.089457609574</v>
      </c>
      <c r="E146" s="49">
        <f t="shared" si="31"/>
        <v>0.27503662160353703</v>
      </c>
      <c r="F146" s="49">
        <f t="shared" si="32"/>
        <v>0.12669237024865945</v>
      </c>
      <c r="G146" s="49">
        <f t="shared" si="33"/>
        <v>0.67599744094182612</v>
      </c>
      <c r="H146" s="50">
        <f t="shared" si="34"/>
        <v>0.72662416139794617</v>
      </c>
      <c r="I146" s="49">
        <f t="shared" si="35"/>
        <v>6.8221197326880229E-2</v>
      </c>
    </row>
    <row r="147" spans="1:14" ht="12.75" customHeight="1" thickBot="1" x14ac:dyDescent="0.3">
      <c r="B147" s="86" t="s">
        <v>4</v>
      </c>
      <c r="C147" s="32">
        <v>59.803140686266872</v>
      </c>
      <c r="D147" s="32">
        <v>149774.72401466093</v>
      </c>
      <c r="E147" s="51">
        <f t="shared" si="31"/>
        <v>0.32400255905817393</v>
      </c>
      <c r="F147" s="51">
        <f t="shared" si="32"/>
        <v>0.273375838602054</v>
      </c>
      <c r="G147" s="51">
        <f t="shared" si="33"/>
        <v>1</v>
      </c>
      <c r="H147" s="52">
        <f t="shared" si="34"/>
        <v>1.0000000000000002</v>
      </c>
      <c r="I147" s="51">
        <f t="shared" si="35"/>
        <v>0.22908860295618413</v>
      </c>
    </row>
    <row r="148" spans="1:14" ht="12.75" customHeight="1" thickBot="1" x14ac:dyDescent="0.3">
      <c r="B148" s="38" t="s">
        <v>12</v>
      </c>
      <c r="C148" s="32">
        <f>SUM(C136:C147)</f>
        <v>184.57613686788613</v>
      </c>
      <c r="D148" s="32">
        <f>SUM(D136:D147)</f>
        <v>547871.10953387525</v>
      </c>
      <c r="E148" s="51">
        <f>SUM(E137:E147)</f>
        <v>1</v>
      </c>
      <c r="F148" s="51">
        <f>SUM(F137:F147)</f>
        <v>1.0000000000000002</v>
      </c>
      <c r="G148" s="52"/>
      <c r="H148" s="52"/>
      <c r="I148" s="51">
        <f>SUM(I136:I147)</f>
        <v>0.32627683797624374</v>
      </c>
    </row>
    <row r="149" spans="1:14" ht="12.75" customHeight="1" thickBot="1" x14ac:dyDescent="0.3">
      <c r="B149" s="4"/>
      <c r="C149" s="4"/>
      <c r="D149" s="4"/>
      <c r="E149" s="50"/>
      <c r="F149" s="50"/>
      <c r="G149" s="50"/>
      <c r="H149" s="53"/>
      <c r="I149" s="53"/>
    </row>
    <row r="150" spans="1:14" ht="12.75" customHeight="1" thickBot="1" x14ac:dyDescent="0.3">
      <c r="B150" s="4"/>
      <c r="C150" s="4"/>
      <c r="D150" s="4"/>
      <c r="E150" s="50"/>
      <c r="F150" s="50"/>
      <c r="G150" s="55"/>
      <c r="H150" s="56" t="s">
        <v>33</v>
      </c>
      <c r="I150" s="52">
        <f>1-(2*I148)</f>
        <v>0.34744632404751252</v>
      </c>
    </row>
    <row r="151" spans="1:14" ht="12.75" customHeight="1" x14ac:dyDescent="0.25"/>
    <row r="152" spans="1:14" ht="12.75" customHeight="1" x14ac:dyDescent="0.25"/>
    <row r="153" spans="1:14" ht="12.75" customHeight="1" x14ac:dyDescent="0.25"/>
    <row r="154" spans="1:14" ht="12.75" customHeight="1" x14ac:dyDescent="0.25"/>
    <row r="155" spans="1:14" ht="16.2" thickBot="1" x14ac:dyDescent="0.35">
      <c r="B155" s="256" t="s">
        <v>101</v>
      </c>
      <c r="C155" s="256"/>
      <c r="D155" s="256"/>
      <c r="E155" s="256"/>
      <c r="F155" s="256"/>
      <c r="G155" s="256"/>
      <c r="H155" s="256"/>
      <c r="I155" s="256"/>
    </row>
    <row r="156" spans="1:14" ht="27" thickBot="1" x14ac:dyDescent="0.3">
      <c r="A156" s="8"/>
      <c r="B156" s="30" t="s">
        <v>19</v>
      </c>
      <c r="C156" s="31" t="s">
        <v>39</v>
      </c>
      <c r="D156" s="31" t="s">
        <v>40</v>
      </c>
      <c r="E156" s="31" t="s">
        <v>15</v>
      </c>
      <c r="F156" s="31" t="s">
        <v>21</v>
      </c>
      <c r="G156" s="31" t="s">
        <v>17</v>
      </c>
      <c r="H156" s="31" t="s">
        <v>117</v>
      </c>
      <c r="I156" s="31" t="s">
        <v>20</v>
      </c>
      <c r="J156" s="8"/>
      <c r="K156" s="8"/>
      <c r="L156" s="8"/>
      <c r="M156" s="8"/>
      <c r="N156" s="8"/>
    </row>
    <row r="157" spans="1:14" ht="12.75" customHeight="1" x14ac:dyDescent="0.25">
      <c r="B157" s="4"/>
      <c r="C157" s="26">
        <v>0</v>
      </c>
      <c r="D157" s="26">
        <v>0</v>
      </c>
      <c r="E157" s="49">
        <v>0</v>
      </c>
      <c r="F157" s="49">
        <v>0</v>
      </c>
      <c r="G157" s="49">
        <v>0</v>
      </c>
      <c r="H157" s="50">
        <f>F157</f>
        <v>0</v>
      </c>
      <c r="I157" s="49">
        <v>0</v>
      </c>
    </row>
    <row r="158" spans="1:14" ht="12.75" customHeight="1" x14ac:dyDescent="0.25">
      <c r="B158" s="82" t="s">
        <v>195</v>
      </c>
      <c r="C158" s="29">
        <v>0.55883956504878174</v>
      </c>
      <c r="D158" s="29">
        <v>4549.0211045835586</v>
      </c>
      <c r="E158" s="49">
        <f t="shared" ref="E158:E168" si="36">C158/$C$169</f>
        <v>1.7286755850994459E-3</v>
      </c>
      <c r="F158" s="49">
        <f t="shared" ref="F158:F168" si="37">D158/$D$169</f>
        <v>8.3030863015460567E-3</v>
      </c>
      <c r="G158" s="49">
        <f t="shared" ref="G158:G168" si="38">G157+E158</f>
        <v>1.7286755850994459E-3</v>
      </c>
      <c r="H158" s="50">
        <f t="shared" ref="H158:H168" si="39">F158+H157</f>
        <v>8.3030863015460567E-3</v>
      </c>
      <c r="I158" s="49">
        <f t="shared" ref="I158:I168" si="40">(G157+G158)*0.5*(H158-H157)</f>
        <v>7.176671285228162E-6</v>
      </c>
    </row>
    <row r="159" spans="1:14" ht="12.75" customHeight="1" x14ac:dyDescent="0.25">
      <c r="B159" s="82" t="s">
        <v>3</v>
      </c>
      <c r="C159" s="29">
        <v>0.64927869200379018</v>
      </c>
      <c r="D159" s="29">
        <v>4739.5256339269945</v>
      </c>
      <c r="E159" s="49">
        <f t="shared" si="36"/>
        <v>2.0084337133400355E-3</v>
      </c>
      <c r="F159" s="49">
        <f t="shared" si="37"/>
        <v>8.6508040877704764E-3</v>
      </c>
      <c r="G159" s="49">
        <f t="shared" si="38"/>
        <v>3.7371092984394812E-3</v>
      </c>
      <c r="H159" s="50">
        <f t="shared" si="39"/>
        <v>1.6953890389316533E-2</v>
      </c>
      <c r="I159" s="49">
        <f t="shared" si="40"/>
        <v>2.3641717106696316E-5</v>
      </c>
    </row>
    <row r="160" spans="1:14" ht="12.75" customHeight="1" x14ac:dyDescent="0.25">
      <c r="B160" s="82" t="s">
        <v>1</v>
      </c>
      <c r="C160" s="29">
        <v>4.0079665040383814</v>
      </c>
      <c r="D160" s="29">
        <v>7498.2226388555227</v>
      </c>
      <c r="E160" s="49">
        <f t="shared" si="36"/>
        <v>1.2397965847000715E-2</v>
      </c>
      <c r="F160" s="49">
        <f t="shared" si="37"/>
        <v>1.3686107021111144E-2</v>
      </c>
      <c r="G160" s="49">
        <f t="shared" si="38"/>
        <v>1.6135075145440197E-2</v>
      </c>
      <c r="H160" s="50">
        <f t="shared" si="39"/>
        <v>3.0639997410427677E-2</v>
      </c>
      <c r="I160" s="49">
        <f t="shared" si="40"/>
        <v>1.3598642152109865E-4</v>
      </c>
    </row>
    <row r="161" spans="1:9" ht="12.75" customHeight="1" x14ac:dyDescent="0.25">
      <c r="B161" s="111" t="s">
        <v>6</v>
      </c>
      <c r="C161" s="29">
        <v>5.8728694745348005</v>
      </c>
      <c r="D161" s="29">
        <v>12709.055149886017</v>
      </c>
      <c r="E161" s="49">
        <f t="shared" si="36"/>
        <v>1.8166727465364622E-2</v>
      </c>
      <c r="F161" s="49">
        <f t="shared" si="37"/>
        <v>2.3197162487174745E-2</v>
      </c>
      <c r="G161" s="49">
        <f t="shared" si="38"/>
        <v>3.4301802610804816E-2</v>
      </c>
      <c r="H161" s="50">
        <f t="shared" si="39"/>
        <v>5.3837159897602418E-2</v>
      </c>
      <c r="I161" s="49">
        <f t="shared" si="40"/>
        <v>5.8499622432869251E-4</v>
      </c>
    </row>
    <row r="162" spans="1:9" ht="12.75" customHeight="1" x14ac:dyDescent="0.25">
      <c r="B162" s="82" t="s">
        <v>5</v>
      </c>
      <c r="C162" s="29">
        <v>21.776001224106345</v>
      </c>
      <c r="D162" s="29">
        <v>34543.134541376516</v>
      </c>
      <c r="E162" s="49">
        <f t="shared" si="36"/>
        <v>6.7360373193910014E-2</v>
      </c>
      <c r="F162" s="49">
        <f t="shared" si="37"/>
        <v>6.3049746446323052E-2</v>
      </c>
      <c r="G162" s="49">
        <f t="shared" si="38"/>
        <v>0.10166217580471483</v>
      </c>
      <c r="H162" s="50">
        <f t="shared" si="39"/>
        <v>0.11688690634392547</v>
      </c>
      <c r="I162" s="49">
        <f t="shared" si="40"/>
        <v>4.2862471824659278E-3</v>
      </c>
    </row>
    <row r="163" spans="1:9" ht="12.75" customHeight="1" x14ac:dyDescent="0.25">
      <c r="B163" s="82" t="s">
        <v>8</v>
      </c>
      <c r="C163" s="29">
        <v>23.5</v>
      </c>
      <c r="D163" s="29">
        <v>8412.6065227973904</v>
      </c>
      <c r="E163" s="49">
        <f t="shared" si="36"/>
        <v>7.2693271540805945E-2</v>
      </c>
      <c r="F163" s="49">
        <f t="shared" si="37"/>
        <v>1.5355083296789959E-2</v>
      </c>
      <c r="G163" s="49">
        <f t="shared" si="38"/>
        <v>0.17435544734552078</v>
      </c>
      <c r="H163" s="50">
        <f t="shared" si="39"/>
        <v>0.13224198964071543</v>
      </c>
      <c r="I163" s="49">
        <f t="shared" si="40"/>
        <v>2.1191367974269242E-3</v>
      </c>
    </row>
    <row r="164" spans="1:9" ht="12.75" customHeight="1" x14ac:dyDescent="0.25">
      <c r="B164" s="82" t="s">
        <v>7</v>
      </c>
      <c r="C164" s="29">
        <v>33.799999999999997</v>
      </c>
      <c r="D164" s="29">
        <v>179268.67227891536</v>
      </c>
      <c r="E164" s="49">
        <f t="shared" si="36"/>
        <v>0.10455457779060599</v>
      </c>
      <c r="F164" s="49">
        <f t="shared" si="37"/>
        <v>0.327209573856588</v>
      </c>
      <c r="G164" s="49">
        <f t="shared" si="38"/>
        <v>0.27891002513612678</v>
      </c>
      <c r="H164" s="50">
        <f t="shared" si="39"/>
        <v>0.45945156349730343</v>
      </c>
      <c r="I164" s="49">
        <f t="shared" si="40"/>
        <v>7.4156401047312456E-2</v>
      </c>
    </row>
    <row r="165" spans="1:9" ht="12.75" customHeight="1" x14ac:dyDescent="0.25">
      <c r="B165" s="82" t="s">
        <v>9</v>
      </c>
      <c r="C165" s="29">
        <v>44.942843609111705</v>
      </c>
      <c r="D165" s="29">
        <v>43226.930239887697</v>
      </c>
      <c r="E165" s="49">
        <f t="shared" si="36"/>
        <v>0.13902307805502692</v>
      </c>
      <c r="F165" s="49">
        <f t="shared" si="37"/>
        <v>7.8899816923481969E-2</v>
      </c>
      <c r="G165" s="49">
        <f t="shared" si="38"/>
        <v>0.41793310319115373</v>
      </c>
      <c r="H165" s="50">
        <f t="shared" si="39"/>
        <v>0.53835138042078534</v>
      </c>
      <c r="I165" s="49">
        <f t="shared" si="40"/>
        <v>2.749039762470442E-2</v>
      </c>
    </row>
    <row r="166" spans="1:9" ht="12.75" customHeight="1" x14ac:dyDescent="0.25">
      <c r="B166" s="82" t="s">
        <v>2</v>
      </c>
      <c r="C166" s="29">
        <v>56.5</v>
      </c>
      <c r="D166" s="29">
        <v>33738.127951375733</v>
      </c>
      <c r="E166" s="49">
        <f t="shared" si="36"/>
        <v>0.17477318476832068</v>
      </c>
      <c r="F166" s="49">
        <f t="shared" si="37"/>
        <v>6.1580410728501248E-2</v>
      </c>
      <c r="G166" s="49">
        <f t="shared" si="38"/>
        <v>0.59270628795947444</v>
      </c>
      <c r="H166" s="50">
        <f t="shared" si="39"/>
        <v>0.59993179114928663</v>
      </c>
      <c r="I166" s="49">
        <f t="shared" si="40"/>
        <v>3.1117794402729076E-2</v>
      </c>
    </row>
    <row r="167" spans="1:9" ht="12.75" customHeight="1" x14ac:dyDescent="0.25">
      <c r="B167" s="82" t="s">
        <v>4</v>
      </c>
      <c r="C167" s="29">
        <v>59.803140686266872</v>
      </c>
      <c r="D167" s="29">
        <v>149774.72401466093</v>
      </c>
      <c r="E167" s="49">
        <f t="shared" si="36"/>
        <v>0.18499089127233267</v>
      </c>
      <c r="F167" s="49">
        <f t="shared" si="37"/>
        <v>0.273375838602054</v>
      </c>
      <c r="G167" s="49">
        <f t="shared" si="38"/>
        <v>0.77769717923180715</v>
      </c>
      <c r="H167" s="50">
        <f t="shared" si="39"/>
        <v>0.87330762975134069</v>
      </c>
      <c r="I167" s="49">
        <f t="shared" si="40"/>
        <v>0.18731759853328955</v>
      </c>
    </row>
    <row r="168" spans="1:9" ht="12.75" customHeight="1" thickBot="1" x14ac:dyDescent="0.3">
      <c r="B168" s="86" t="s">
        <v>10</v>
      </c>
      <c r="C168" s="32">
        <v>71.865197112775462</v>
      </c>
      <c r="D168" s="32">
        <v>69411.089457609574</v>
      </c>
      <c r="E168" s="51">
        <f t="shared" si="36"/>
        <v>0.2223028207681928</v>
      </c>
      <c r="F168" s="51">
        <f t="shared" si="37"/>
        <v>0.12669237024865945</v>
      </c>
      <c r="G168" s="51">
        <f t="shared" si="38"/>
        <v>1</v>
      </c>
      <c r="H168" s="52">
        <f t="shared" si="39"/>
        <v>1.0000000000000002</v>
      </c>
      <c r="I168" s="51">
        <f t="shared" si="40"/>
        <v>0.11261033461061688</v>
      </c>
    </row>
    <row r="169" spans="1:9" ht="12.75" customHeight="1" thickBot="1" x14ac:dyDescent="0.3">
      <c r="B169" s="38" t="s">
        <v>12</v>
      </c>
      <c r="C169" s="32">
        <f>SUM(C157:C168)</f>
        <v>323.27613686788618</v>
      </c>
      <c r="D169" s="32">
        <f>SUM(D157:D168)</f>
        <v>547871.10953387525</v>
      </c>
      <c r="E169" s="51">
        <f>SUM(E158:E168)</f>
        <v>1</v>
      </c>
      <c r="F169" s="51">
        <f>SUM(F158:F168)</f>
        <v>1.0000000000000002</v>
      </c>
      <c r="G169" s="52"/>
      <c r="H169" s="52"/>
      <c r="I169" s="51">
        <f>SUM(I157:I168)</f>
        <v>0.43984971123278693</v>
      </c>
    </row>
    <row r="170" spans="1:9" ht="12.75" customHeight="1" thickBot="1" x14ac:dyDescent="0.3">
      <c r="B170" s="4"/>
      <c r="C170" s="4"/>
      <c r="D170" s="4"/>
      <c r="E170" s="50"/>
      <c r="F170" s="50"/>
      <c r="G170" s="50"/>
      <c r="H170" s="53"/>
      <c r="I170" s="53"/>
    </row>
    <row r="171" spans="1:9" ht="12.75" customHeight="1" thickBot="1" x14ac:dyDescent="0.3">
      <c r="B171" s="4"/>
      <c r="C171" s="4"/>
      <c r="D171" s="4"/>
      <c r="E171" s="50"/>
      <c r="F171" s="50"/>
      <c r="G171" s="55"/>
      <c r="H171" s="57" t="s">
        <v>29</v>
      </c>
      <c r="I171" s="58">
        <f>1-(2*I169)</f>
        <v>0.12030057753442613</v>
      </c>
    </row>
    <row r="172" spans="1:9" ht="12.75" customHeight="1" x14ac:dyDescent="0.25">
      <c r="B172" s="4"/>
      <c r="C172" s="4"/>
      <c r="D172" s="4"/>
      <c r="E172" s="50"/>
      <c r="F172" s="50"/>
      <c r="G172" s="55"/>
      <c r="H172" s="116"/>
      <c r="I172" s="108"/>
    </row>
    <row r="173" spans="1:9" ht="12.75" customHeight="1" x14ac:dyDescent="0.25">
      <c r="B173" s="4"/>
      <c r="C173" s="4"/>
      <c r="D173" s="4"/>
      <c r="E173" s="50"/>
      <c r="F173" s="50"/>
      <c r="G173" s="55"/>
      <c r="H173" s="116"/>
      <c r="I173" s="108"/>
    </row>
    <row r="174" spans="1:9" ht="28.2" customHeight="1" x14ac:dyDescent="0.25">
      <c r="A174" s="252" t="s">
        <v>94</v>
      </c>
      <c r="B174" s="252"/>
      <c r="C174" s="252"/>
      <c r="D174" s="252"/>
      <c r="E174" s="252"/>
      <c r="F174" s="252"/>
      <c r="G174" s="55"/>
      <c r="H174" s="116"/>
      <c r="I174" s="108"/>
    </row>
    <row r="175" spans="1:9" ht="12.75" customHeight="1" x14ac:dyDescent="0.25"/>
    <row r="176" spans="1:9" ht="16.2" thickBot="1" x14ac:dyDescent="0.35">
      <c r="B176" s="256" t="s">
        <v>114</v>
      </c>
      <c r="C176" s="256"/>
      <c r="D176" s="256"/>
      <c r="E176" s="256"/>
      <c r="F176" s="256"/>
      <c r="G176" s="256"/>
      <c r="H176" s="256"/>
      <c r="I176" s="256"/>
    </row>
    <row r="177" spans="1:14" ht="42.6" customHeight="1" thickBot="1" x14ac:dyDescent="0.3">
      <c r="A177" s="8"/>
      <c r="B177" s="36" t="s">
        <v>19</v>
      </c>
      <c r="C177" s="37" t="s">
        <v>42</v>
      </c>
      <c r="D177" s="37" t="s">
        <v>115</v>
      </c>
      <c r="E177" s="37" t="s">
        <v>27</v>
      </c>
      <c r="F177" s="37" t="s">
        <v>21</v>
      </c>
      <c r="G177" s="37" t="s">
        <v>28</v>
      </c>
      <c r="H177" s="37" t="s">
        <v>117</v>
      </c>
      <c r="I177" s="37" t="s">
        <v>20</v>
      </c>
      <c r="J177" s="8"/>
      <c r="K177" s="8"/>
      <c r="L177" s="8"/>
      <c r="M177" s="8"/>
      <c r="N177" s="8"/>
    </row>
    <row r="178" spans="1:14" ht="12.75" customHeight="1" x14ac:dyDescent="0.25">
      <c r="B178" s="4"/>
      <c r="C178" s="26">
        <v>0</v>
      </c>
      <c r="D178" s="26">
        <v>0</v>
      </c>
      <c r="E178" s="49">
        <v>0</v>
      </c>
      <c r="F178" s="49">
        <v>0</v>
      </c>
      <c r="G178" s="49">
        <v>0</v>
      </c>
      <c r="H178" s="50">
        <f>F178</f>
        <v>0</v>
      </c>
      <c r="I178" s="49">
        <v>0</v>
      </c>
    </row>
    <row r="179" spans="1:14" ht="12.75" customHeight="1" x14ac:dyDescent="0.25">
      <c r="B179" s="82" t="s">
        <v>2</v>
      </c>
      <c r="C179" s="84">
        <v>3.2702085351185128</v>
      </c>
      <c r="D179" s="29">
        <v>251430.37783690859</v>
      </c>
      <c r="E179" s="49">
        <f t="shared" ref="E179:E189" si="41">C179/$C$190</f>
        <v>1.6552375726116638E-3</v>
      </c>
      <c r="F179" s="49">
        <f t="shared" ref="F179:F189" si="42">D179/$D$190</f>
        <v>8.2249727275718124E-2</v>
      </c>
      <c r="G179" s="49">
        <f t="shared" ref="G179:G189" si="43">G178+E179</f>
        <v>1.6552375726116638E-3</v>
      </c>
      <c r="H179" s="50">
        <f t="shared" ref="H179:H189" si="44">F179+H178</f>
        <v>8.2249727275718124E-2</v>
      </c>
      <c r="I179" s="49">
        <f t="shared" ref="I179:I189" si="45">(G178+G179)*0.5*(H179-H178)</f>
        <v>6.8071419461915512E-5</v>
      </c>
    </row>
    <row r="180" spans="1:14" ht="12.75" customHeight="1" x14ac:dyDescent="0.25">
      <c r="B180" s="82" t="s">
        <v>3</v>
      </c>
      <c r="C180" s="84">
        <v>11.943753851749031</v>
      </c>
      <c r="D180" s="29">
        <v>24496.645034227455</v>
      </c>
      <c r="E180" s="49">
        <f t="shared" si="41"/>
        <v>6.0454096187244578E-3</v>
      </c>
      <c r="F180" s="49">
        <f t="shared" si="42"/>
        <v>8.0135200470573958E-3</v>
      </c>
      <c r="G180" s="49">
        <f t="shared" si="43"/>
        <v>7.700647191336122E-3</v>
      </c>
      <c r="H180" s="50">
        <f t="shared" si="44"/>
        <v>9.0263247322775519E-2</v>
      </c>
      <c r="I180" s="49">
        <f t="shared" si="45"/>
        <v>3.7486785056927215E-5</v>
      </c>
    </row>
    <row r="181" spans="1:14" ht="12.75" customHeight="1" x14ac:dyDescent="0.25">
      <c r="B181" s="82" t="s">
        <v>1</v>
      </c>
      <c r="C181" s="84">
        <v>16.637492358121488</v>
      </c>
      <c r="D181" s="29">
        <v>13199.085501550475</v>
      </c>
      <c r="E181" s="49">
        <f t="shared" si="41"/>
        <v>8.4211762551112367E-3</v>
      </c>
      <c r="F181" s="49">
        <f t="shared" si="42"/>
        <v>4.3177805010323955E-3</v>
      </c>
      <c r="G181" s="49">
        <f t="shared" si="43"/>
        <v>1.6121823446447359E-2</v>
      </c>
      <c r="H181" s="50">
        <f t="shared" si="44"/>
        <v>9.4581027823807909E-2</v>
      </c>
      <c r="I181" s="49">
        <f t="shared" si="45"/>
        <v>5.1430099603119074E-5</v>
      </c>
    </row>
    <row r="182" spans="1:14" ht="12.75" customHeight="1" x14ac:dyDescent="0.25">
      <c r="B182" s="111" t="s">
        <v>6</v>
      </c>
      <c r="C182" s="84">
        <v>21.293728659654324</v>
      </c>
      <c r="D182" s="29">
        <v>20836.189535136225</v>
      </c>
      <c r="E182" s="49">
        <f t="shared" si="41"/>
        <v>1.0777960903701303E-2</v>
      </c>
      <c r="F182" s="49">
        <f t="shared" si="42"/>
        <v>6.8160853174303836E-3</v>
      </c>
      <c r="G182" s="49">
        <f t="shared" si="43"/>
        <v>2.6899784350148663E-2</v>
      </c>
      <c r="H182" s="50">
        <f t="shared" si="44"/>
        <v>0.1013971131412383</v>
      </c>
      <c r="I182" s="49">
        <f t="shared" si="45"/>
        <v>1.466194746173134E-4</v>
      </c>
    </row>
    <row r="183" spans="1:14" ht="12.75" customHeight="1" x14ac:dyDescent="0.25">
      <c r="B183" s="82" t="s">
        <v>195</v>
      </c>
      <c r="C183" s="84">
        <v>25.703391302231459</v>
      </c>
      <c r="D183" s="29">
        <v>20450.034940117202</v>
      </c>
      <c r="E183" s="49">
        <f t="shared" si="41"/>
        <v>1.3009940672010235E-2</v>
      </c>
      <c r="F183" s="49">
        <f t="shared" si="42"/>
        <v>6.6897636279041406E-3</v>
      </c>
      <c r="G183" s="49">
        <f t="shared" si="43"/>
        <v>3.99097250221589E-2</v>
      </c>
      <c r="H183" s="50">
        <f t="shared" si="44"/>
        <v>0.10808687676914244</v>
      </c>
      <c r="I183" s="49">
        <f t="shared" si="45"/>
        <v>2.2346991289849216E-4</v>
      </c>
    </row>
    <row r="184" spans="1:14" ht="12.75" customHeight="1" x14ac:dyDescent="0.25">
      <c r="B184" s="82" t="s">
        <v>5</v>
      </c>
      <c r="C184" s="84">
        <v>74.751680684850584</v>
      </c>
      <c r="D184" s="29">
        <v>49475.746319971244</v>
      </c>
      <c r="E184" s="49">
        <f t="shared" si="41"/>
        <v>3.7836055149599264E-2</v>
      </c>
      <c r="F184" s="49">
        <f t="shared" si="42"/>
        <v>1.6184864679397896E-2</v>
      </c>
      <c r="G184" s="49">
        <f t="shared" si="43"/>
        <v>7.7745780171758164E-2</v>
      </c>
      <c r="H184" s="50">
        <f t="shared" si="44"/>
        <v>0.12427174144854033</v>
      </c>
      <c r="I184" s="49">
        <f t="shared" si="45"/>
        <v>9.5211921517487181E-4</v>
      </c>
    </row>
    <row r="185" spans="1:14" ht="12.75" customHeight="1" x14ac:dyDescent="0.25">
      <c r="B185" s="82" t="s">
        <v>9</v>
      </c>
      <c r="C185" s="84">
        <v>148.76180011821933</v>
      </c>
      <c r="D185" s="29">
        <v>119784.51078433092</v>
      </c>
      <c r="E185" s="49">
        <f t="shared" si="41"/>
        <v>7.5296764191247284E-2</v>
      </c>
      <c r="F185" s="49">
        <f t="shared" si="42"/>
        <v>3.9184777227902166E-2</v>
      </c>
      <c r="G185" s="49">
        <f t="shared" si="43"/>
        <v>0.15304254436300546</v>
      </c>
      <c r="H185" s="50">
        <f t="shared" si="44"/>
        <v>0.16345651867644251</v>
      </c>
      <c r="I185" s="49">
        <f t="shared" si="45"/>
        <v>4.5216945418477504E-3</v>
      </c>
    </row>
    <row r="186" spans="1:14" ht="12.75" customHeight="1" x14ac:dyDescent="0.25">
      <c r="B186" s="111" t="s">
        <v>10</v>
      </c>
      <c r="C186" s="84">
        <v>310.76641940905165</v>
      </c>
      <c r="D186" s="29">
        <v>237021.44592026682</v>
      </c>
      <c r="E186" s="49">
        <f t="shared" si="41"/>
        <v>0.15729646846304718</v>
      </c>
      <c r="F186" s="49">
        <f t="shared" si="42"/>
        <v>7.7536173047808091E-2</v>
      </c>
      <c r="G186" s="49">
        <f t="shared" si="43"/>
        <v>0.31033901282605264</v>
      </c>
      <c r="H186" s="50">
        <f t="shared" si="44"/>
        <v>0.24099269172425059</v>
      </c>
      <c r="I186" s="49">
        <f t="shared" si="45"/>
        <v>1.7964416302686793E-2</v>
      </c>
    </row>
    <row r="187" spans="1:14" ht="12.75" customHeight="1" x14ac:dyDescent="0.25">
      <c r="B187" s="82" t="s">
        <v>7</v>
      </c>
      <c r="C187" s="84">
        <v>330.3585295558517</v>
      </c>
      <c r="D187" s="29">
        <v>1339764.2833351614</v>
      </c>
      <c r="E187" s="49">
        <f t="shared" si="41"/>
        <v>0.16721314395742951</v>
      </c>
      <c r="F187" s="49">
        <f t="shared" si="42"/>
        <v>0.43827340143259691</v>
      </c>
      <c r="G187" s="49">
        <f t="shared" si="43"/>
        <v>0.47755215678348217</v>
      </c>
      <c r="H187" s="50">
        <f t="shared" si="44"/>
        <v>0.67926609315684749</v>
      </c>
      <c r="I187" s="49">
        <f t="shared" si="45"/>
        <v>0.17265587143173897</v>
      </c>
    </row>
    <row r="188" spans="1:14" ht="12.75" customHeight="1" x14ac:dyDescent="0.25">
      <c r="B188" s="82" t="s">
        <v>4</v>
      </c>
      <c r="C188" s="84">
        <v>413.34832603081821</v>
      </c>
      <c r="D188" s="29">
        <v>363314.38569269452</v>
      </c>
      <c r="E188" s="49">
        <f t="shared" si="41"/>
        <v>0.20921897563255887</v>
      </c>
      <c r="F188" s="49">
        <f t="shared" si="42"/>
        <v>0.1188500347318915</v>
      </c>
      <c r="G188" s="49">
        <f t="shared" si="43"/>
        <v>0.68677113241604104</v>
      </c>
      <c r="H188" s="50">
        <f t="shared" si="44"/>
        <v>0.79811612788873898</v>
      </c>
      <c r="I188" s="49">
        <f t="shared" si="45"/>
        <v>6.9189931680256736E-2</v>
      </c>
    </row>
    <row r="189" spans="1:14" ht="12.75" customHeight="1" thickBot="1" x14ac:dyDescent="0.3">
      <c r="B189" s="86" t="s">
        <v>8</v>
      </c>
      <c r="C189" s="87">
        <v>618.83788355672255</v>
      </c>
      <c r="D189" s="32">
        <v>617141.72101696266</v>
      </c>
      <c r="E189" s="51">
        <f t="shared" si="41"/>
        <v>0.3132288675839589</v>
      </c>
      <c r="F189" s="51">
        <f t="shared" si="42"/>
        <v>0.20188387211126102</v>
      </c>
      <c r="G189" s="51">
        <f t="shared" si="43"/>
        <v>1</v>
      </c>
      <c r="H189" s="52">
        <f t="shared" si="44"/>
        <v>1</v>
      </c>
      <c r="I189" s="51">
        <f t="shared" si="45"/>
        <v>0.17026594378882348</v>
      </c>
    </row>
    <row r="190" spans="1:14" ht="12.75" customHeight="1" thickBot="1" x14ac:dyDescent="0.3">
      <c r="B190" s="38" t="s">
        <v>12</v>
      </c>
      <c r="C190" s="32">
        <f>SUM(C178:C189)</f>
        <v>1975.673214062389</v>
      </c>
      <c r="D190" s="32">
        <f>SUM(D178:D189)</f>
        <v>3056914.4259173274</v>
      </c>
      <c r="E190" s="39">
        <f>SUM(E179:E189)</f>
        <v>1</v>
      </c>
      <c r="F190" s="33">
        <f>SUM(F179:F189)</f>
        <v>1</v>
      </c>
      <c r="G190" s="40"/>
      <c r="H190" s="40"/>
      <c r="I190" s="51">
        <f>SUM(I178:I189)</f>
        <v>0.43607705465216634</v>
      </c>
    </row>
    <row r="191" spans="1:14" ht="12.75" customHeight="1" thickBot="1" x14ac:dyDescent="0.3">
      <c r="B191" s="4"/>
      <c r="C191" s="4"/>
      <c r="D191" s="4"/>
      <c r="E191" s="4"/>
      <c r="F191" s="4"/>
      <c r="G191" s="4"/>
      <c r="H191" s="7"/>
      <c r="I191" s="53"/>
    </row>
    <row r="192" spans="1:14" ht="12.75" customHeight="1" thickBot="1" x14ac:dyDescent="0.3">
      <c r="B192" s="4"/>
      <c r="C192" s="4"/>
      <c r="D192" s="4"/>
      <c r="E192" s="4"/>
      <c r="F192" s="4"/>
      <c r="G192" s="5"/>
      <c r="H192" s="24" t="s">
        <v>29</v>
      </c>
      <c r="I192" s="52">
        <f>1-(2*I190)</f>
        <v>0.12784589069566732</v>
      </c>
    </row>
    <row r="193" spans="1:14" ht="12.75" customHeight="1" x14ac:dyDescent="0.25"/>
    <row r="194" spans="1:14" ht="12.75" customHeight="1" x14ac:dyDescent="0.25"/>
    <row r="195" spans="1:14" ht="12.75" customHeight="1" x14ac:dyDescent="0.25"/>
    <row r="196" spans="1:14" ht="12.75" customHeight="1" x14ac:dyDescent="0.25"/>
    <row r="197" spans="1:14" ht="16.2" thickBot="1" x14ac:dyDescent="0.35">
      <c r="B197" s="256" t="s">
        <v>120</v>
      </c>
      <c r="C197" s="256"/>
      <c r="D197" s="256"/>
      <c r="E197" s="256"/>
      <c r="F197" s="256"/>
      <c r="G197" s="256"/>
      <c r="H197" s="256"/>
      <c r="I197" s="256"/>
    </row>
    <row r="198" spans="1:14" ht="27" thickBot="1" x14ac:dyDescent="0.3">
      <c r="A198" s="8"/>
      <c r="B198" s="30" t="s">
        <v>19</v>
      </c>
      <c r="C198" s="31" t="s">
        <v>43</v>
      </c>
      <c r="D198" s="37" t="s">
        <v>115</v>
      </c>
      <c r="E198" s="31" t="s">
        <v>31</v>
      </c>
      <c r="F198" s="31" t="s">
        <v>21</v>
      </c>
      <c r="G198" s="31" t="s">
        <v>32</v>
      </c>
      <c r="H198" s="31" t="s">
        <v>117</v>
      </c>
      <c r="I198" s="31" t="s">
        <v>20</v>
      </c>
      <c r="J198" s="8"/>
      <c r="K198" s="8"/>
      <c r="L198" s="8"/>
      <c r="M198" s="8"/>
      <c r="N198" s="8"/>
    </row>
    <row r="199" spans="1:14" ht="12.75" customHeight="1" x14ac:dyDescent="0.25">
      <c r="B199" s="4"/>
      <c r="C199" s="26">
        <v>0</v>
      </c>
      <c r="D199" s="26">
        <v>0</v>
      </c>
      <c r="E199" s="49">
        <f>C199/$C$127</f>
        <v>0</v>
      </c>
      <c r="F199" s="49">
        <v>0</v>
      </c>
      <c r="G199" s="49">
        <v>0</v>
      </c>
      <c r="H199" s="50">
        <f>F199</f>
        <v>0</v>
      </c>
      <c r="I199" s="49">
        <v>0</v>
      </c>
    </row>
    <row r="200" spans="1:14" ht="12.75" customHeight="1" x14ac:dyDescent="0.25">
      <c r="B200" s="82" t="s">
        <v>3</v>
      </c>
      <c r="C200" s="84">
        <v>11.347419840110691</v>
      </c>
      <c r="D200" s="29">
        <v>24496.645034227455</v>
      </c>
      <c r="E200" s="49">
        <f t="shared" ref="E200:E210" si="46">C200/$C$211</f>
        <v>5.3287344942383437E-3</v>
      </c>
      <c r="F200" s="49">
        <f t="shared" ref="F200:F210" si="47">D200/$D$211</f>
        <v>8.0135200470573958E-3</v>
      </c>
      <c r="G200" s="49">
        <f t="shared" ref="G200:G210" si="48">G199+E200</f>
        <v>5.3287344942383437E-3</v>
      </c>
      <c r="H200" s="50">
        <f t="shared" ref="H200:H210" si="49">F200+H199</f>
        <v>8.0135200470573958E-3</v>
      </c>
      <c r="I200" s="49">
        <f t="shared" ref="I200:I210" si="50">(G199+G200)*0.5*(H200-H199)</f>
        <v>2.135096034751261E-5</v>
      </c>
    </row>
    <row r="201" spans="1:14" ht="12.75" customHeight="1" x14ac:dyDescent="0.25">
      <c r="B201" s="82" t="s">
        <v>1</v>
      </c>
      <c r="C201" s="84">
        <v>12.647126262707316</v>
      </c>
      <c r="D201" s="29">
        <v>13199.085501550475</v>
      </c>
      <c r="E201" s="49">
        <f t="shared" si="46"/>
        <v>5.9390750424916632E-3</v>
      </c>
      <c r="F201" s="49">
        <f t="shared" si="47"/>
        <v>4.3177805010323955E-3</v>
      </c>
      <c r="G201" s="49">
        <f t="shared" si="48"/>
        <v>1.1267809536730008E-2</v>
      </c>
      <c r="H201" s="50">
        <f t="shared" si="49"/>
        <v>1.2331300548089792E-2</v>
      </c>
      <c r="I201" s="49">
        <f t="shared" si="50"/>
        <v>3.5830117100720377E-5</v>
      </c>
    </row>
    <row r="202" spans="1:14" ht="12.75" customHeight="1" x14ac:dyDescent="0.25">
      <c r="B202" s="111" t="s">
        <v>6</v>
      </c>
      <c r="C202" s="84">
        <v>19.326127388702769</v>
      </c>
      <c r="D202" s="29">
        <v>20836.189535136225</v>
      </c>
      <c r="E202" s="49">
        <f t="shared" si="46"/>
        <v>9.0755258117972554E-3</v>
      </c>
      <c r="F202" s="49">
        <f t="shared" si="47"/>
        <v>6.8160853174303836E-3</v>
      </c>
      <c r="G202" s="49">
        <f t="shared" si="48"/>
        <v>2.0343335348527263E-2</v>
      </c>
      <c r="H202" s="50">
        <f t="shared" si="49"/>
        <v>1.9147385865520176E-2</v>
      </c>
      <c r="I202" s="49">
        <f t="shared" si="50"/>
        <v>1.0773213025978332E-4</v>
      </c>
    </row>
    <row r="203" spans="1:14" ht="12.75" customHeight="1" x14ac:dyDescent="0.25">
      <c r="B203" s="82" t="s">
        <v>195</v>
      </c>
      <c r="C203" s="84">
        <v>25.329436673814651</v>
      </c>
      <c r="D203" s="29">
        <v>20450.034940117202</v>
      </c>
      <c r="E203" s="49">
        <f t="shared" si="46"/>
        <v>1.1894672518088944E-2</v>
      </c>
      <c r="F203" s="49">
        <f t="shared" si="47"/>
        <v>6.6897636279041406E-3</v>
      </c>
      <c r="G203" s="49">
        <f t="shared" si="48"/>
        <v>3.2238007866616208E-2</v>
      </c>
      <c r="H203" s="50">
        <f t="shared" si="49"/>
        <v>2.5837149493424316E-2</v>
      </c>
      <c r="I203" s="49">
        <f t="shared" si="50"/>
        <v>1.7587837867350547E-4</v>
      </c>
    </row>
    <row r="204" spans="1:14" ht="12.75" customHeight="1" x14ac:dyDescent="0.25">
      <c r="B204" s="82" t="s">
        <v>5</v>
      </c>
      <c r="C204" s="84">
        <v>54.535735618593961</v>
      </c>
      <c r="D204" s="29">
        <v>49475.746319971244</v>
      </c>
      <c r="E204" s="49">
        <f t="shared" si="46"/>
        <v>2.5609914822419186E-2</v>
      </c>
      <c r="F204" s="49">
        <f t="shared" si="47"/>
        <v>1.6184864679397896E-2</v>
      </c>
      <c r="G204" s="49">
        <f t="shared" si="48"/>
        <v>5.7847922689035394E-2</v>
      </c>
      <c r="H204" s="50">
        <f t="shared" si="49"/>
        <v>4.2022014172822211E-2</v>
      </c>
      <c r="I204" s="49">
        <f t="shared" si="50"/>
        <v>7.2901429778042862E-4</v>
      </c>
    </row>
    <row r="205" spans="1:14" ht="12.75" customHeight="1" x14ac:dyDescent="0.25">
      <c r="B205" s="82" t="s">
        <v>2</v>
      </c>
      <c r="C205" s="84">
        <v>62.754986634620614</v>
      </c>
      <c r="D205" s="29">
        <v>251430.37783690859</v>
      </c>
      <c r="E205" s="49">
        <f t="shared" si="46"/>
        <v>2.9469665058423279E-2</v>
      </c>
      <c r="F205" s="49">
        <f t="shared" si="47"/>
        <v>8.2249727275718124E-2</v>
      </c>
      <c r="G205" s="49">
        <f t="shared" si="48"/>
        <v>8.731758774745868E-2</v>
      </c>
      <c r="H205" s="50">
        <f t="shared" si="49"/>
        <v>0.12427174144854033</v>
      </c>
      <c r="I205" s="49">
        <f t="shared" si="50"/>
        <v>5.9699118216210243E-3</v>
      </c>
    </row>
    <row r="206" spans="1:14" ht="12.75" customHeight="1" x14ac:dyDescent="0.25">
      <c r="B206" s="82" t="s">
        <v>9</v>
      </c>
      <c r="C206" s="84">
        <v>117.22895171677028</v>
      </c>
      <c r="D206" s="29">
        <v>119784.51078433092</v>
      </c>
      <c r="E206" s="49">
        <f t="shared" si="46"/>
        <v>5.5050572512390754E-2</v>
      </c>
      <c r="F206" s="49">
        <f t="shared" si="47"/>
        <v>3.9184777227902166E-2</v>
      </c>
      <c r="G206" s="49">
        <f t="shared" si="48"/>
        <v>0.14236816025984944</v>
      </c>
      <c r="H206" s="50">
        <f t="shared" si="49"/>
        <v>0.16345651867644251</v>
      </c>
      <c r="I206" s="49">
        <f t="shared" si="50"/>
        <v>4.5000924340452223E-3</v>
      </c>
    </row>
    <row r="207" spans="1:14" ht="12.75" customHeight="1" x14ac:dyDescent="0.25">
      <c r="B207" s="111" t="s">
        <v>10</v>
      </c>
      <c r="C207" s="84">
        <v>269.5049849098092</v>
      </c>
      <c r="D207" s="29">
        <v>237021.44592026682</v>
      </c>
      <c r="E207" s="49">
        <f t="shared" si="46"/>
        <v>0.12655921167045456</v>
      </c>
      <c r="F207" s="49">
        <f t="shared" si="47"/>
        <v>7.7536173047808091E-2</v>
      </c>
      <c r="G207" s="49">
        <f t="shared" si="48"/>
        <v>0.26892737193030403</v>
      </c>
      <c r="H207" s="50">
        <f t="shared" si="49"/>
        <v>0.24099269172425059</v>
      </c>
      <c r="I207" s="49">
        <f t="shared" si="50"/>
        <v>1.5945140778843028E-2</v>
      </c>
    </row>
    <row r="208" spans="1:14" ht="12.75" customHeight="1" x14ac:dyDescent="0.25">
      <c r="B208" s="82" t="s">
        <v>4</v>
      </c>
      <c r="C208" s="84">
        <v>354.07203967348119</v>
      </c>
      <c r="D208" s="29">
        <v>363314.38569269452</v>
      </c>
      <c r="E208" s="49">
        <f t="shared" si="46"/>
        <v>0.16627179727537092</v>
      </c>
      <c r="F208" s="49">
        <f t="shared" si="47"/>
        <v>0.1188500347318915</v>
      </c>
      <c r="G208" s="49">
        <f t="shared" si="48"/>
        <v>0.43519916920567492</v>
      </c>
      <c r="H208" s="50">
        <f t="shared" si="49"/>
        <v>0.35984272645614207</v>
      </c>
      <c r="I208" s="49">
        <f t="shared" si="50"/>
        <v>4.1842731934828861E-2</v>
      </c>
    </row>
    <row r="209" spans="1:14" ht="12.75" customHeight="1" x14ac:dyDescent="0.25">
      <c r="B209" s="82" t="s">
        <v>7</v>
      </c>
      <c r="C209" s="84">
        <v>421.75910966169283</v>
      </c>
      <c r="D209" s="29">
        <v>1339764.2833351614</v>
      </c>
      <c r="E209" s="49">
        <f t="shared" si="46"/>
        <v>0.19805756265131649</v>
      </c>
      <c r="F209" s="49">
        <f t="shared" si="47"/>
        <v>0.43827340143259691</v>
      </c>
      <c r="G209" s="49">
        <f t="shared" si="48"/>
        <v>0.63325673185699138</v>
      </c>
      <c r="H209" s="50">
        <f t="shared" si="49"/>
        <v>0.79811612788873898</v>
      </c>
      <c r="I209" s="49">
        <f t="shared" si="50"/>
        <v>0.23413790101973253</v>
      </c>
    </row>
    <row r="210" spans="1:14" ht="12.75" customHeight="1" thickBot="1" x14ac:dyDescent="0.3">
      <c r="B210" s="86" t="s">
        <v>8</v>
      </c>
      <c r="C210" s="87">
        <v>780.97151240180949</v>
      </c>
      <c r="D210" s="32">
        <v>617141.72101696266</v>
      </c>
      <c r="E210" s="51">
        <f t="shared" si="46"/>
        <v>0.36674326814300856</v>
      </c>
      <c r="F210" s="51">
        <f t="shared" si="47"/>
        <v>0.20188387211126102</v>
      </c>
      <c r="G210" s="51">
        <f t="shared" si="48"/>
        <v>1</v>
      </c>
      <c r="H210" s="52">
        <f t="shared" si="49"/>
        <v>1</v>
      </c>
      <c r="I210" s="51">
        <f t="shared" si="50"/>
        <v>0.16486409658953649</v>
      </c>
    </row>
    <row r="211" spans="1:14" ht="12.75" customHeight="1" thickBot="1" x14ac:dyDescent="0.3">
      <c r="B211" s="38" t="s">
        <v>12</v>
      </c>
      <c r="C211" s="32">
        <f>SUM(C199:C210)</f>
        <v>2129.4774307821131</v>
      </c>
      <c r="D211" s="32">
        <f>SUM(D199:D210)</f>
        <v>3056914.4259173274</v>
      </c>
      <c r="E211" s="51">
        <f>SUM(E200:E210)</f>
        <v>1</v>
      </c>
      <c r="F211" s="51">
        <f>SUM(F200:F210)</f>
        <v>1</v>
      </c>
      <c r="G211" s="52"/>
      <c r="H211" s="52"/>
      <c r="I211" s="51">
        <f>SUM(I199:I210)</f>
        <v>0.46832968046276913</v>
      </c>
    </row>
    <row r="212" spans="1:14" ht="12.75" customHeight="1" thickBot="1" x14ac:dyDescent="0.3">
      <c r="B212" s="4"/>
      <c r="C212" s="4"/>
      <c r="D212" s="4"/>
      <c r="E212" s="50"/>
      <c r="F212" s="50"/>
      <c r="G212" s="50"/>
      <c r="H212" s="53"/>
      <c r="I212" s="53"/>
    </row>
    <row r="213" spans="1:14" ht="12.75" customHeight="1" thickBot="1" x14ac:dyDescent="0.3">
      <c r="B213" s="4"/>
      <c r="C213" s="4"/>
      <c r="D213" s="4"/>
      <c r="E213" s="50"/>
      <c r="F213" s="50"/>
      <c r="G213" s="55"/>
      <c r="H213" s="56" t="s">
        <v>29</v>
      </c>
      <c r="I213" s="52">
        <f>1-(2*I211)</f>
        <v>6.3340639074461746E-2</v>
      </c>
    </row>
    <row r="214" spans="1:14" ht="12.75" customHeight="1" x14ac:dyDescent="0.25"/>
    <row r="215" spans="1:14" ht="12.75" customHeight="1" x14ac:dyDescent="0.25"/>
    <row r="216" spans="1:14" ht="12.75" customHeight="1" x14ac:dyDescent="0.25"/>
    <row r="217" spans="1:14" ht="12.75" customHeight="1" x14ac:dyDescent="0.25"/>
    <row r="218" spans="1:14" ht="16.2" thickBot="1" x14ac:dyDescent="0.35">
      <c r="B218" s="256" t="s">
        <v>119</v>
      </c>
      <c r="C218" s="256"/>
      <c r="D218" s="256"/>
      <c r="E218" s="256"/>
      <c r="F218" s="256"/>
      <c r="G218" s="256"/>
      <c r="H218" s="256"/>
      <c r="I218" s="256"/>
    </row>
    <row r="219" spans="1:14" ht="27" thickBot="1" x14ac:dyDescent="0.3">
      <c r="A219" s="8"/>
      <c r="B219" s="30" t="s">
        <v>19</v>
      </c>
      <c r="C219" s="31" t="s">
        <v>38</v>
      </c>
      <c r="D219" s="37" t="s">
        <v>115</v>
      </c>
      <c r="E219" s="31" t="s">
        <v>15</v>
      </c>
      <c r="F219" s="31" t="s">
        <v>21</v>
      </c>
      <c r="G219" s="31" t="s">
        <v>17</v>
      </c>
      <c r="H219" s="31" t="s">
        <v>117</v>
      </c>
      <c r="I219" s="31" t="s">
        <v>20</v>
      </c>
      <c r="J219" s="8"/>
      <c r="K219" s="8"/>
      <c r="L219" s="8"/>
      <c r="M219" s="8"/>
      <c r="N219" s="8"/>
    </row>
    <row r="220" spans="1:14" ht="12.75" customHeight="1" x14ac:dyDescent="0.25">
      <c r="B220" s="4"/>
      <c r="C220" s="26">
        <v>0</v>
      </c>
      <c r="D220" s="26">
        <v>0</v>
      </c>
      <c r="E220" s="49">
        <v>0</v>
      </c>
      <c r="F220" s="49">
        <v>0</v>
      </c>
      <c r="G220" s="49">
        <v>0</v>
      </c>
      <c r="H220" s="50">
        <f>F220</f>
        <v>0</v>
      </c>
      <c r="I220" s="49">
        <v>0</v>
      </c>
    </row>
    <row r="221" spans="1:14" ht="12.75" customHeight="1" x14ac:dyDescent="0.25">
      <c r="B221" s="82" t="s">
        <v>2</v>
      </c>
      <c r="C221" s="84">
        <v>0</v>
      </c>
      <c r="D221" s="29">
        <v>251430.37783690859</v>
      </c>
      <c r="E221" s="49">
        <f t="shared" ref="E221:E231" si="51">C221/$C$232</f>
        <v>0</v>
      </c>
      <c r="F221" s="49">
        <f t="shared" ref="F221:F231" si="52">D221/$D$232</f>
        <v>8.2249727275718124E-2</v>
      </c>
      <c r="G221" s="49">
        <f t="shared" ref="G221:G231" si="53">G220+E221</f>
        <v>0</v>
      </c>
      <c r="H221" s="50">
        <f t="shared" ref="H221:H231" si="54">F221+H220</f>
        <v>8.2249727275718124E-2</v>
      </c>
      <c r="I221" s="49">
        <f t="shared" ref="I221:I231" si="55">(G220+G221)*0.5*(H221-H220)</f>
        <v>0</v>
      </c>
    </row>
    <row r="222" spans="1:14" ht="12.75" customHeight="1" x14ac:dyDescent="0.25">
      <c r="B222" s="82" t="s">
        <v>7</v>
      </c>
      <c r="C222" s="84">
        <v>0</v>
      </c>
      <c r="D222" s="29">
        <v>1339764.2833351614</v>
      </c>
      <c r="E222" s="49">
        <f t="shared" si="51"/>
        <v>0</v>
      </c>
      <c r="F222" s="49">
        <f t="shared" si="52"/>
        <v>0.43827340143259691</v>
      </c>
      <c r="G222" s="49">
        <f t="shared" si="53"/>
        <v>0</v>
      </c>
      <c r="H222" s="50">
        <f t="shared" si="54"/>
        <v>0.52052312870831507</v>
      </c>
      <c r="I222" s="49">
        <f t="shared" si="55"/>
        <v>0</v>
      </c>
    </row>
    <row r="223" spans="1:14" ht="12.75" customHeight="1" x14ac:dyDescent="0.25">
      <c r="B223" s="82" t="s">
        <v>8</v>
      </c>
      <c r="C223" s="84">
        <v>0</v>
      </c>
      <c r="D223" s="29">
        <v>617141.72101696266</v>
      </c>
      <c r="E223" s="49">
        <f t="shared" si="51"/>
        <v>0</v>
      </c>
      <c r="F223" s="49">
        <f t="shared" si="52"/>
        <v>0.20188387211126102</v>
      </c>
      <c r="G223" s="49">
        <f t="shared" si="53"/>
        <v>0</v>
      </c>
      <c r="H223" s="50">
        <f t="shared" si="54"/>
        <v>0.7224070008195761</v>
      </c>
      <c r="I223" s="49">
        <f t="shared" si="55"/>
        <v>0</v>
      </c>
    </row>
    <row r="224" spans="1:14" ht="12.75" customHeight="1" x14ac:dyDescent="0.25">
      <c r="B224" s="82" t="s">
        <v>195</v>
      </c>
      <c r="C224" s="84">
        <v>0.55883956504878174</v>
      </c>
      <c r="D224" s="29">
        <v>20450.034940117202</v>
      </c>
      <c r="E224" s="49">
        <f t="shared" si="51"/>
        <v>3.0276913068604406E-3</v>
      </c>
      <c r="F224" s="49">
        <f t="shared" si="52"/>
        <v>6.6897636279041406E-3</v>
      </c>
      <c r="G224" s="49">
        <f t="shared" si="53"/>
        <v>3.0276913068604406E-3</v>
      </c>
      <c r="H224" s="50">
        <f t="shared" si="54"/>
        <v>0.72909676444748028</v>
      </c>
      <c r="I224" s="49">
        <f t="shared" si="55"/>
        <v>1.0127269590578338E-5</v>
      </c>
    </row>
    <row r="225" spans="1:14" ht="12.75" customHeight="1" x14ac:dyDescent="0.25">
      <c r="B225" s="82" t="s">
        <v>3</v>
      </c>
      <c r="C225" s="84">
        <v>0.64927869200379018</v>
      </c>
      <c r="D225" s="29">
        <v>24496.645034227455</v>
      </c>
      <c r="E225" s="49">
        <f t="shared" si="51"/>
        <v>3.5176740776004197E-3</v>
      </c>
      <c r="F225" s="49">
        <f t="shared" si="52"/>
        <v>8.0135200470573958E-3</v>
      </c>
      <c r="G225" s="49">
        <f t="shared" si="53"/>
        <v>6.5453653844608599E-3</v>
      </c>
      <c r="H225" s="50">
        <f t="shared" si="54"/>
        <v>0.73711028449453764</v>
      </c>
      <c r="I225" s="49">
        <f t="shared" si="55"/>
        <v>3.8356940853759895E-5</v>
      </c>
    </row>
    <row r="226" spans="1:14" ht="12.75" customHeight="1" x14ac:dyDescent="0.25">
      <c r="B226" s="111" t="s">
        <v>6</v>
      </c>
      <c r="C226" s="84">
        <v>2.0728694745348006</v>
      </c>
      <c r="D226" s="29">
        <v>20836.189535136225</v>
      </c>
      <c r="E226" s="49">
        <f t="shared" si="51"/>
        <v>1.123043048635532E-2</v>
      </c>
      <c r="F226" s="49">
        <f t="shared" si="52"/>
        <v>6.8160853174303836E-3</v>
      </c>
      <c r="G226" s="49">
        <f t="shared" si="53"/>
        <v>1.777579587081618E-2</v>
      </c>
      <c r="H226" s="50">
        <f t="shared" si="54"/>
        <v>0.74392636981196802</v>
      </c>
      <c r="I226" s="49">
        <f t="shared" si="55"/>
        <v>8.2887555067475321E-5</v>
      </c>
    </row>
    <row r="227" spans="1:14" ht="12.75" customHeight="1" x14ac:dyDescent="0.25">
      <c r="B227" s="82" t="s">
        <v>1</v>
      </c>
      <c r="C227" s="84">
        <v>4.0079665040383814</v>
      </c>
      <c r="D227" s="29">
        <v>13199.085501550475</v>
      </c>
      <c r="E227" s="49">
        <f t="shared" si="51"/>
        <v>2.1714434877934188E-2</v>
      </c>
      <c r="F227" s="49">
        <f t="shared" si="52"/>
        <v>4.3177805010323955E-3</v>
      </c>
      <c r="G227" s="49">
        <f t="shared" si="53"/>
        <v>3.9490230748750368E-2</v>
      </c>
      <c r="H227" s="50">
        <f t="shared" si="54"/>
        <v>0.7482441503130004</v>
      </c>
      <c r="I227" s="49">
        <f t="shared" si="55"/>
        <v>1.236310665547827E-4</v>
      </c>
    </row>
    <row r="228" spans="1:14" ht="12.75" customHeight="1" x14ac:dyDescent="0.25">
      <c r="B228" s="82" t="s">
        <v>5</v>
      </c>
      <c r="C228" s="84">
        <v>21.776001224106345</v>
      </c>
      <c r="D228" s="29">
        <v>49475.746319971244</v>
      </c>
      <c r="E228" s="49">
        <f t="shared" si="51"/>
        <v>0.11797842122837868</v>
      </c>
      <c r="F228" s="49">
        <f t="shared" si="52"/>
        <v>1.6184864679397896E-2</v>
      </c>
      <c r="G228" s="49">
        <f t="shared" si="53"/>
        <v>0.15746865197712906</v>
      </c>
      <c r="H228" s="50">
        <f t="shared" si="54"/>
        <v>0.76442901499239835</v>
      </c>
      <c r="I228" s="49">
        <f t="shared" si="55"/>
        <v>1.5938764321618841E-3</v>
      </c>
    </row>
    <row r="229" spans="1:14" ht="12.75" customHeight="1" x14ac:dyDescent="0.25">
      <c r="B229" s="82" t="s">
        <v>9</v>
      </c>
      <c r="C229" s="84">
        <v>44.942843609111705</v>
      </c>
      <c r="D229" s="29">
        <v>119784.51078433092</v>
      </c>
      <c r="E229" s="49">
        <f t="shared" si="51"/>
        <v>0.24349216736116</v>
      </c>
      <c r="F229" s="49">
        <f t="shared" si="52"/>
        <v>3.9184777227902166E-2</v>
      </c>
      <c r="G229" s="49">
        <f t="shared" si="53"/>
        <v>0.40096081933828909</v>
      </c>
      <c r="H229" s="50">
        <f t="shared" si="54"/>
        <v>0.80361379222030049</v>
      </c>
      <c r="I229" s="49">
        <f t="shared" si="55"/>
        <v>1.0940967215494915E-2</v>
      </c>
    </row>
    <row r="230" spans="1:14" ht="12.75" customHeight="1" x14ac:dyDescent="0.25">
      <c r="B230" s="111" t="s">
        <v>10</v>
      </c>
      <c r="C230" s="84">
        <v>50.765197112775461</v>
      </c>
      <c r="D230" s="29">
        <v>237021.44592026682</v>
      </c>
      <c r="E230" s="49">
        <f t="shared" si="51"/>
        <v>0.27503662160353703</v>
      </c>
      <c r="F230" s="49">
        <f t="shared" si="52"/>
        <v>7.7536173047808091E-2</v>
      </c>
      <c r="G230" s="49">
        <f t="shared" si="53"/>
        <v>0.67599744094182612</v>
      </c>
      <c r="H230" s="50">
        <f t="shared" si="54"/>
        <v>0.88114996526810863</v>
      </c>
      <c r="I230" s="49">
        <f t="shared" si="55"/>
        <v>4.1751611017172695E-2</v>
      </c>
    </row>
    <row r="231" spans="1:14" ht="12.75" customHeight="1" thickBot="1" x14ac:dyDescent="0.3">
      <c r="B231" s="86" t="s">
        <v>4</v>
      </c>
      <c r="C231" s="87">
        <v>59.803140686266872</v>
      </c>
      <c r="D231" s="32">
        <v>363314.38569269452</v>
      </c>
      <c r="E231" s="51">
        <f t="shared" si="51"/>
        <v>0.32400255905817393</v>
      </c>
      <c r="F231" s="51">
        <f t="shared" si="52"/>
        <v>0.1188500347318915</v>
      </c>
      <c r="G231" s="51">
        <f t="shared" si="53"/>
        <v>1</v>
      </c>
      <c r="H231" s="52">
        <f t="shared" si="54"/>
        <v>1.0000000000000002</v>
      </c>
      <c r="I231" s="51">
        <f t="shared" si="55"/>
        <v>9.9596177033248731E-2</v>
      </c>
    </row>
    <row r="232" spans="1:14" ht="12.75" customHeight="1" thickBot="1" x14ac:dyDescent="0.3">
      <c r="B232" s="38" t="s">
        <v>12</v>
      </c>
      <c r="C232" s="32">
        <f>SUM(C220:C231)</f>
        <v>184.57613686788613</v>
      </c>
      <c r="D232" s="32">
        <f>SUM(D220:D231)</f>
        <v>3056914.4259173274</v>
      </c>
      <c r="E232" s="51">
        <f>SUM(E221:E231)</f>
        <v>1</v>
      </c>
      <c r="F232" s="51">
        <f>SUM(F221:F231)</f>
        <v>1.0000000000000002</v>
      </c>
      <c r="G232" s="52"/>
      <c r="H232" s="52"/>
      <c r="I232" s="51">
        <f>SUM(I220:I231)</f>
        <v>0.15413763453014481</v>
      </c>
    </row>
    <row r="233" spans="1:14" ht="12.75" customHeight="1" thickBot="1" x14ac:dyDescent="0.3">
      <c r="B233" s="4"/>
      <c r="C233" s="4"/>
      <c r="D233" s="4"/>
      <c r="E233" s="50"/>
      <c r="F233" s="50"/>
      <c r="G233" s="50"/>
      <c r="H233" s="53"/>
      <c r="I233" s="53"/>
    </row>
    <row r="234" spans="1:14" ht="12.75" customHeight="1" thickBot="1" x14ac:dyDescent="0.3">
      <c r="B234" s="4"/>
      <c r="C234" s="4"/>
      <c r="D234" s="4"/>
      <c r="E234" s="50"/>
      <c r="F234" s="50"/>
      <c r="G234" s="55"/>
      <c r="H234" s="56" t="s">
        <v>33</v>
      </c>
      <c r="I234" s="52">
        <f>1-(2*I232)</f>
        <v>0.69172473093971032</v>
      </c>
    </row>
    <row r="235" spans="1:14" ht="12.75" customHeight="1" x14ac:dyDescent="0.25"/>
    <row r="236" spans="1:14" ht="12.75" customHeight="1" x14ac:dyDescent="0.25"/>
    <row r="237" spans="1:14" ht="12.75" customHeight="1" x14ac:dyDescent="0.25"/>
    <row r="238" spans="1:14" ht="12.75" customHeight="1" x14ac:dyDescent="0.25"/>
    <row r="239" spans="1:14" ht="16.2" thickBot="1" x14ac:dyDescent="0.35">
      <c r="B239" s="256" t="s">
        <v>118</v>
      </c>
      <c r="C239" s="256"/>
      <c r="D239" s="256"/>
      <c r="E239" s="256"/>
      <c r="F239" s="256"/>
      <c r="G239" s="256"/>
      <c r="H239" s="256"/>
      <c r="I239" s="256"/>
    </row>
    <row r="240" spans="1:14" ht="27" thickBot="1" x14ac:dyDescent="0.3">
      <c r="A240" s="8"/>
      <c r="B240" s="30" t="s">
        <v>19</v>
      </c>
      <c r="C240" s="31" t="s">
        <v>39</v>
      </c>
      <c r="D240" s="37" t="s">
        <v>115</v>
      </c>
      <c r="E240" s="31" t="s">
        <v>15</v>
      </c>
      <c r="F240" s="31" t="s">
        <v>21</v>
      </c>
      <c r="G240" s="31" t="s">
        <v>17</v>
      </c>
      <c r="H240" s="31" t="s">
        <v>117</v>
      </c>
      <c r="I240" s="31" t="s">
        <v>20</v>
      </c>
      <c r="J240" s="8"/>
      <c r="K240" s="8"/>
      <c r="L240" s="8"/>
      <c r="M240" s="8"/>
      <c r="N240" s="8"/>
    </row>
    <row r="241" spans="2:9" ht="12.75" customHeight="1" x14ac:dyDescent="0.25">
      <c r="B241" s="4"/>
      <c r="C241" s="26">
        <v>0</v>
      </c>
      <c r="D241" s="26">
        <v>0</v>
      </c>
      <c r="E241" s="49">
        <v>0</v>
      </c>
      <c r="F241" s="49">
        <v>0</v>
      </c>
      <c r="G241" s="49">
        <v>0</v>
      </c>
      <c r="H241" s="50">
        <f>F241</f>
        <v>0</v>
      </c>
      <c r="I241" s="49">
        <v>0</v>
      </c>
    </row>
    <row r="242" spans="2:9" ht="12.75" customHeight="1" x14ac:dyDescent="0.25">
      <c r="B242" s="82" t="s">
        <v>195</v>
      </c>
      <c r="C242" s="29">
        <v>0.55883956504878174</v>
      </c>
      <c r="D242" s="29">
        <v>20450.034940117202</v>
      </c>
      <c r="E242" s="49">
        <f t="shared" ref="E242:E252" si="56">C242/$C$253</f>
        <v>1.7286755850994459E-3</v>
      </c>
      <c r="F242" s="49">
        <f t="shared" ref="F242:F252" si="57">D242/$D$253</f>
        <v>6.6897636279041406E-3</v>
      </c>
      <c r="G242" s="49">
        <f t="shared" ref="G242:G252" si="58">G241+E242</f>
        <v>1.7286755850994459E-3</v>
      </c>
      <c r="H242" s="50">
        <f t="shared" ref="H242:H252" si="59">F242+H241</f>
        <v>6.6897636279041406E-3</v>
      </c>
      <c r="I242" s="49">
        <f t="shared" ref="I242:I252" si="60">(G241+G242)*0.5*(H242-H241)</f>
        <v>5.7822155268220913E-6</v>
      </c>
    </row>
    <row r="243" spans="2:9" ht="12.75" customHeight="1" x14ac:dyDescent="0.25">
      <c r="B243" s="82" t="s">
        <v>3</v>
      </c>
      <c r="C243" s="29">
        <v>0.64927869200379018</v>
      </c>
      <c r="D243" s="29">
        <v>24496.645034227455</v>
      </c>
      <c r="E243" s="49">
        <f t="shared" si="56"/>
        <v>2.0084337133400355E-3</v>
      </c>
      <c r="F243" s="49">
        <f t="shared" si="57"/>
        <v>8.0135200470573958E-3</v>
      </c>
      <c r="G243" s="49">
        <f t="shared" si="58"/>
        <v>3.7371092984394812E-3</v>
      </c>
      <c r="H243" s="50">
        <f t="shared" si="59"/>
        <v>1.4703283674961536E-2</v>
      </c>
      <c r="I243" s="49">
        <f t="shared" si="60"/>
        <v>2.1900088368571233E-5</v>
      </c>
    </row>
    <row r="244" spans="2:9" ht="12.75" customHeight="1" x14ac:dyDescent="0.25">
      <c r="B244" s="82" t="s">
        <v>1</v>
      </c>
      <c r="C244" s="29">
        <v>4.0079665040383814</v>
      </c>
      <c r="D244" s="29">
        <v>13199.085501550475</v>
      </c>
      <c r="E244" s="49">
        <f t="shared" si="56"/>
        <v>1.2397965847000715E-2</v>
      </c>
      <c r="F244" s="49">
        <f t="shared" si="57"/>
        <v>4.3177805010323955E-3</v>
      </c>
      <c r="G244" s="49">
        <f t="shared" si="58"/>
        <v>1.6135075145440197E-2</v>
      </c>
      <c r="H244" s="50">
        <f t="shared" si="59"/>
        <v>1.9021064175993932E-2</v>
      </c>
      <c r="I244" s="49">
        <f t="shared" si="60"/>
        <v>4.2901865252351492E-5</v>
      </c>
    </row>
    <row r="245" spans="2:9" ht="12.75" customHeight="1" x14ac:dyDescent="0.25">
      <c r="B245" s="111" t="s">
        <v>6</v>
      </c>
      <c r="C245" s="29">
        <v>5.8728694745348005</v>
      </c>
      <c r="D245" s="29">
        <v>20836.189535136225</v>
      </c>
      <c r="E245" s="49">
        <f t="shared" si="56"/>
        <v>1.8166727465364622E-2</v>
      </c>
      <c r="F245" s="49">
        <f t="shared" si="57"/>
        <v>6.8160853174303836E-3</v>
      </c>
      <c r="G245" s="49">
        <f t="shared" si="58"/>
        <v>3.4301802610804816E-2</v>
      </c>
      <c r="H245" s="50">
        <f t="shared" si="59"/>
        <v>2.5837149493424316E-2</v>
      </c>
      <c r="I245" s="49">
        <f t="shared" si="60"/>
        <v>1.7189103096568639E-4</v>
      </c>
    </row>
    <row r="246" spans="2:9" ht="12.75" customHeight="1" x14ac:dyDescent="0.25">
      <c r="B246" s="82" t="s">
        <v>5</v>
      </c>
      <c r="C246" s="29">
        <v>21.776001224106345</v>
      </c>
      <c r="D246" s="29">
        <v>49475.746319971244</v>
      </c>
      <c r="E246" s="49">
        <f t="shared" si="56"/>
        <v>6.7360373193910014E-2</v>
      </c>
      <c r="F246" s="49">
        <f t="shared" si="57"/>
        <v>1.6184864679397896E-2</v>
      </c>
      <c r="G246" s="49">
        <f t="shared" si="58"/>
        <v>0.10166217580471483</v>
      </c>
      <c r="H246" s="50">
        <f t="shared" si="59"/>
        <v>4.2022014172822211E-2</v>
      </c>
      <c r="I246" s="49">
        <f t="shared" si="60"/>
        <v>1.100279295963881E-3</v>
      </c>
    </row>
    <row r="247" spans="2:9" ht="12.75" customHeight="1" x14ac:dyDescent="0.25">
      <c r="B247" s="82" t="s">
        <v>8</v>
      </c>
      <c r="C247" s="29">
        <v>23.5</v>
      </c>
      <c r="D247" s="29">
        <v>617141.72101696266</v>
      </c>
      <c r="E247" s="49">
        <f t="shared" si="56"/>
        <v>7.2693271540805945E-2</v>
      </c>
      <c r="F247" s="49">
        <f t="shared" si="57"/>
        <v>0.20188387211126102</v>
      </c>
      <c r="G247" s="49">
        <f t="shared" si="58"/>
        <v>0.17435544734552078</v>
      </c>
      <c r="H247" s="50">
        <f t="shared" si="59"/>
        <v>0.24390588628408322</v>
      </c>
      <c r="I247" s="49">
        <f t="shared" si="60"/>
        <v>2.7861753266258199E-2</v>
      </c>
    </row>
    <row r="248" spans="2:9" ht="12.75" customHeight="1" x14ac:dyDescent="0.25">
      <c r="B248" s="82" t="s">
        <v>7</v>
      </c>
      <c r="C248" s="29">
        <v>33.799999999999997</v>
      </c>
      <c r="D248" s="29">
        <v>1339764.2833351614</v>
      </c>
      <c r="E248" s="49">
        <f t="shared" si="56"/>
        <v>0.10455457779060599</v>
      </c>
      <c r="F248" s="49">
        <f t="shared" si="57"/>
        <v>0.43827340143259691</v>
      </c>
      <c r="G248" s="49">
        <f t="shared" si="58"/>
        <v>0.27891002513612678</v>
      </c>
      <c r="H248" s="50">
        <f t="shared" si="59"/>
        <v>0.68217928771668013</v>
      </c>
      <c r="I248" s="49">
        <f t="shared" si="60"/>
        <v>9.9327100188242409E-2</v>
      </c>
    </row>
    <row r="249" spans="2:9" ht="12.75" customHeight="1" x14ac:dyDescent="0.25">
      <c r="B249" s="82" t="s">
        <v>9</v>
      </c>
      <c r="C249" s="29">
        <v>44.942843609111705</v>
      </c>
      <c r="D249" s="29">
        <v>119784.51078433092</v>
      </c>
      <c r="E249" s="49">
        <f t="shared" si="56"/>
        <v>0.13902307805502692</v>
      </c>
      <c r="F249" s="49">
        <f t="shared" si="57"/>
        <v>3.9184777227902166E-2</v>
      </c>
      <c r="G249" s="49">
        <f t="shared" si="58"/>
        <v>0.41793310319115373</v>
      </c>
      <c r="H249" s="50">
        <f t="shared" si="59"/>
        <v>0.72136406494458227</v>
      </c>
      <c r="I249" s="49">
        <f t="shared" si="60"/>
        <v>1.3652821373149457E-2</v>
      </c>
    </row>
    <row r="250" spans="2:9" ht="12.75" customHeight="1" x14ac:dyDescent="0.25">
      <c r="B250" s="82" t="s">
        <v>2</v>
      </c>
      <c r="C250" s="29">
        <v>56.5</v>
      </c>
      <c r="D250" s="29">
        <v>251430.37783690859</v>
      </c>
      <c r="E250" s="49">
        <f t="shared" si="56"/>
        <v>0.17477318476832068</v>
      </c>
      <c r="F250" s="49">
        <f t="shared" si="57"/>
        <v>8.2249727275718124E-2</v>
      </c>
      <c r="G250" s="49">
        <f t="shared" si="58"/>
        <v>0.59270628795947444</v>
      </c>
      <c r="H250" s="50">
        <f t="shared" si="59"/>
        <v>0.80361379222030038</v>
      </c>
      <c r="I250" s="49">
        <f t="shared" si="60"/>
        <v>4.1562407148118485E-2</v>
      </c>
    </row>
    <row r="251" spans="2:9" ht="12.75" customHeight="1" x14ac:dyDescent="0.25">
      <c r="B251" s="82" t="s">
        <v>4</v>
      </c>
      <c r="C251" s="29">
        <v>59.803140686266872</v>
      </c>
      <c r="D251" s="29">
        <v>363314.38569269452</v>
      </c>
      <c r="E251" s="49">
        <f t="shared" si="56"/>
        <v>0.18499089127233267</v>
      </c>
      <c r="F251" s="49">
        <f t="shared" si="57"/>
        <v>0.1188500347318915</v>
      </c>
      <c r="G251" s="49">
        <f t="shared" si="58"/>
        <v>0.77769717923180715</v>
      </c>
      <c r="H251" s="50">
        <f t="shared" si="59"/>
        <v>0.92246382695219187</v>
      </c>
      <c r="I251" s="49">
        <f t="shared" si="60"/>
        <v>8.1436249836194172E-2</v>
      </c>
    </row>
    <row r="252" spans="2:9" ht="12.75" customHeight="1" thickBot="1" x14ac:dyDescent="0.3">
      <c r="B252" s="86" t="s">
        <v>10</v>
      </c>
      <c r="C252" s="32">
        <v>71.865197112775462</v>
      </c>
      <c r="D252" s="32">
        <v>237021.44592026682</v>
      </c>
      <c r="E252" s="51">
        <f t="shared" si="56"/>
        <v>0.2223028207681928</v>
      </c>
      <c r="F252" s="51">
        <f t="shared" si="57"/>
        <v>7.7536173047808091E-2</v>
      </c>
      <c r="G252" s="51">
        <f t="shared" si="58"/>
        <v>1</v>
      </c>
      <c r="H252" s="52">
        <f t="shared" si="59"/>
        <v>1</v>
      </c>
      <c r="I252" s="51">
        <f t="shared" si="60"/>
        <v>6.891791805775889E-2</v>
      </c>
    </row>
    <row r="253" spans="2:9" ht="12.75" customHeight="1" thickBot="1" x14ac:dyDescent="0.3">
      <c r="B253" s="38" t="s">
        <v>12</v>
      </c>
      <c r="C253" s="32">
        <f>SUM(C241:C252)</f>
        <v>323.27613686788618</v>
      </c>
      <c r="D253" s="32">
        <f>SUM(D241:D252)</f>
        <v>3056914.4259173274</v>
      </c>
      <c r="E253" s="51">
        <f>SUM(E242:E252)</f>
        <v>1</v>
      </c>
      <c r="F253" s="51">
        <f>SUM(F242:F252)</f>
        <v>1</v>
      </c>
      <c r="G253" s="52"/>
      <c r="H253" s="52"/>
      <c r="I253" s="51">
        <f>SUM(I241:I252)</f>
        <v>0.33410100436579893</v>
      </c>
    </row>
    <row r="254" spans="2:9" ht="12.75" customHeight="1" thickBot="1" x14ac:dyDescent="0.3">
      <c r="B254" s="4"/>
      <c r="C254" s="4"/>
      <c r="D254" s="4"/>
      <c r="E254" s="50"/>
      <c r="F254" s="50"/>
      <c r="G254" s="50"/>
      <c r="H254" s="53"/>
      <c r="I254" s="53"/>
    </row>
    <row r="255" spans="2:9" ht="12.75" customHeight="1" thickBot="1" x14ac:dyDescent="0.3">
      <c r="B255" s="4"/>
      <c r="C255" s="4"/>
      <c r="D255" s="4"/>
      <c r="E255" s="50"/>
      <c r="F255" s="50"/>
      <c r="G255" s="55"/>
      <c r="H255" s="57" t="s">
        <v>29</v>
      </c>
      <c r="I255" s="58">
        <f>1-(2*I253)</f>
        <v>0.33179799126840215</v>
      </c>
    </row>
    <row r="256" spans="2:9" ht="12.6" customHeight="1" x14ac:dyDescent="0.25"/>
    <row r="257" ht="12.75" customHeight="1" x14ac:dyDescent="0.25"/>
    <row r="258" ht="12.75" customHeight="1" x14ac:dyDescent="0.25"/>
    <row r="259" ht="12.75" customHeight="1" x14ac:dyDescent="0.25"/>
    <row r="260" ht="12.75" customHeight="1" x14ac:dyDescent="0.25"/>
    <row r="261" ht="12.75" customHeight="1" x14ac:dyDescent="0.25"/>
    <row r="262" ht="12.75" customHeight="1" x14ac:dyDescent="0.25"/>
    <row r="263" ht="12.75" customHeight="1" x14ac:dyDescent="0.25"/>
    <row r="264" ht="12.75" customHeight="1" x14ac:dyDescent="0.25"/>
    <row r="265" ht="12.75" customHeight="1" x14ac:dyDescent="0.25"/>
    <row r="266" ht="12.75" customHeight="1" x14ac:dyDescent="0.25"/>
    <row r="267" ht="12.75" customHeight="1" x14ac:dyDescent="0.25"/>
    <row r="268" ht="12.75" customHeight="1" x14ac:dyDescent="0.25"/>
    <row r="269" ht="12.75" customHeight="1" x14ac:dyDescent="0.25"/>
    <row r="270" ht="12.75" customHeight="1" x14ac:dyDescent="0.25"/>
    <row r="271" ht="12.75" customHeight="1" x14ac:dyDescent="0.25"/>
    <row r="272" ht="12.75" customHeight="1" x14ac:dyDescent="0.25"/>
    <row r="273" ht="12.75" customHeight="1" x14ac:dyDescent="0.25"/>
    <row r="274" ht="12.75" customHeight="1" x14ac:dyDescent="0.25"/>
    <row r="275" ht="12.75" customHeight="1" x14ac:dyDescent="0.25"/>
    <row r="276" ht="12.75" customHeight="1" x14ac:dyDescent="0.25"/>
    <row r="277" ht="12.75" customHeight="1" x14ac:dyDescent="0.25"/>
    <row r="278" ht="12.75" customHeight="1" x14ac:dyDescent="0.25"/>
    <row r="279" ht="12.75" customHeight="1" x14ac:dyDescent="0.25"/>
    <row r="280" ht="12.75" customHeight="1" x14ac:dyDescent="0.25"/>
    <row r="281" ht="12.75" customHeight="1" x14ac:dyDescent="0.25"/>
    <row r="282" ht="12.75" customHeight="1" x14ac:dyDescent="0.25"/>
    <row r="283" ht="12.75" customHeight="1" x14ac:dyDescent="0.25"/>
    <row r="284" ht="12.75" customHeight="1" x14ac:dyDescent="0.25"/>
    <row r="285" ht="12.75" customHeight="1" x14ac:dyDescent="0.25"/>
    <row r="286" ht="12.75" customHeight="1" x14ac:dyDescent="0.25"/>
    <row r="287" ht="12.75" customHeight="1" x14ac:dyDescent="0.25"/>
    <row r="288" ht="12.75" customHeight="1" x14ac:dyDescent="0.25"/>
    <row r="289" ht="12.75" customHeight="1" x14ac:dyDescent="0.25"/>
    <row r="290" ht="12.75" customHeight="1" x14ac:dyDescent="0.25"/>
    <row r="291" ht="12.75" customHeight="1" x14ac:dyDescent="0.25"/>
    <row r="292" ht="12.75" customHeight="1" x14ac:dyDescent="0.25"/>
    <row r="293" ht="12.75" customHeight="1" x14ac:dyDescent="0.25"/>
    <row r="294" ht="12.75" customHeight="1" x14ac:dyDescent="0.25"/>
    <row r="295" ht="12.75" customHeight="1" x14ac:dyDescent="0.25"/>
    <row r="296" ht="12.75" customHeight="1" x14ac:dyDescent="0.25"/>
    <row r="297" ht="12.75" customHeight="1" x14ac:dyDescent="0.25"/>
    <row r="298" ht="12.75" customHeight="1" x14ac:dyDescent="0.25"/>
    <row r="299" ht="12.75" customHeight="1" x14ac:dyDescent="0.25"/>
    <row r="300" ht="12.75" customHeight="1" x14ac:dyDescent="0.25"/>
    <row r="301" ht="12.75" customHeight="1" x14ac:dyDescent="0.25"/>
    <row r="302" ht="12.75" customHeight="1" x14ac:dyDescent="0.25"/>
    <row r="303" ht="12.75" customHeight="1" x14ac:dyDescent="0.25"/>
    <row r="304" ht="12.75" customHeight="1" x14ac:dyDescent="0.25"/>
    <row r="305" ht="12.75" customHeight="1" x14ac:dyDescent="0.25"/>
    <row r="306" ht="12.75" customHeight="1" x14ac:dyDescent="0.25"/>
    <row r="307" ht="12.75" customHeight="1" x14ac:dyDescent="0.25"/>
    <row r="308" ht="12.75" customHeight="1" x14ac:dyDescent="0.25"/>
    <row r="309" ht="12.75" customHeight="1" x14ac:dyDescent="0.25"/>
    <row r="310" ht="12.75" customHeight="1" x14ac:dyDescent="0.25"/>
    <row r="311" ht="12.75" customHeight="1" x14ac:dyDescent="0.25"/>
    <row r="312" ht="12.75" customHeight="1" x14ac:dyDescent="0.25"/>
    <row r="313" ht="12.75" customHeight="1" x14ac:dyDescent="0.25"/>
    <row r="314" ht="12.75" customHeight="1" x14ac:dyDescent="0.25"/>
    <row r="315" ht="12.75" customHeight="1" x14ac:dyDescent="0.25"/>
    <row r="316" ht="12.75" customHeight="1" x14ac:dyDescent="0.25"/>
    <row r="317" ht="12.75" customHeight="1" x14ac:dyDescent="0.25"/>
    <row r="318" ht="12.75" customHeight="1" x14ac:dyDescent="0.25"/>
    <row r="319" ht="12.75" customHeight="1" x14ac:dyDescent="0.25"/>
    <row r="320" ht="12.75" customHeight="1" x14ac:dyDescent="0.25"/>
    <row r="321" ht="12.75" customHeight="1" x14ac:dyDescent="0.25"/>
    <row r="322" ht="12.75" customHeight="1" x14ac:dyDescent="0.25"/>
    <row r="323" ht="12.75" customHeight="1" x14ac:dyDescent="0.25"/>
    <row r="324" ht="12.75" customHeight="1" x14ac:dyDescent="0.25"/>
    <row r="325" ht="12.75" customHeight="1" x14ac:dyDescent="0.25"/>
    <row r="326" ht="12.75" customHeight="1" x14ac:dyDescent="0.25"/>
    <row r="327" ht="12.75" customHeight="1" x14ac:dyDescent="0.25"/>
    <row r="328" ht="12.75" customHeight="1" x14ac:dyDescent="0.25"/>
    <row r="329" ht="12.75" customHeight="1" x14ac:dyDescent="0.25"/>
    <row r="330" ht="12.75" customHeight="1" x14ac:dyDescent="0.25"/>
    <row r="331" ht="12.75" customHeight="1" x14ac:dyDescent="0.25"/>
    <row r="332" ht="12.75" customHeight="1" x14ac:dyDescent="0.25"/>
    <row r="333" ht="12.75" customHeight="1" x14ac:dyDescent="0.25"/>
    <row r="334" ht="12.75" customHeight="1" x14ac:dyDescent="0.25"/>
    <row r="335" ht="12.75" customHeight="1" x14ac:dyDescent="0.25"/>
    <row r="336" ht="12.75" customHeight="1" x14ac:dyDescent="0.25"/>
    <row r="337" ht="12.75" customHeight="1" x14ac:dyDescent="0.25"/>
    <row r="338" ht="12.75" customHeight="1" x14ac:dyDescent="0.25"/>
    <row r="339" ht="12.75" customHeight="1" x14ac:dyDescent="0.25"/>
    <row r="340" ht="12.75" customHeight="1" x14ac:dyDescent="0.25"/>
    <row r="341" ht="12.75" customHeight="1" x14ac:dyDescent="0.25"/>
    <row r="342" ht="12.75" customHeight="1" x14ac:dyDescent="0.25"/>
    <row r="343" ht="12.75" customHeight="1" x14ac:dyDescent="0.25"/>
    <row r="344" ht="12.75" customHeight="1" x14ac:dyDescent="0.25"/>
    <row r="345" ht="12.75" customHeight="1" x14ac:dyDescent="0.25"/>
    <row r="346" ht="12.75" customHeight="1" x14ac:dyDescent="0.25"/>
    <row r="347" ht="12.75" customHeight="1" x14ac:dyDescent="0.25"/>
    <row r="348" ht="12.75" customHeight="1" x14ac:dyDescent="0.25"/>
    <row r="349" ht="12.75" customHeight="1" x14ac:dyDescent="0.25"/>
    <row r="350" ht="12.75" customHeight="1" x14ac:dyDescent="0.25"/>
    <row r="351" ht="12.75" customHeight="1" x14ac:dyDescent="0.25"/>
    <row r="352" ht="12.75" customHeight="1" x14ac:dyDescent="0.25"/>
    <row r="353" ht="12.75" customHeight="1" x14ac:dyDescent="0.25"/>
    <row r="354" ht="12.75" customHeight="1" x14ac:dyDescent="0.25"/>
    <row r="355" ht="12.75" customHeight="1" x14ac:dyDescent="0.25"/>
    <row r="356" ht="12.75" customHeight="1" x14ac:dyDescent="0.25"/>
    <row r="357" ht="12.75" customHeight="1" x14ac:dyDescent="0.25"/>
    <row r="358" ht="12.75" customHeight="1" x14ac:dyDescent="0.25"/>
    <row r="359" ht="12.75" customHeight="1" x14ac:dyDescent="0.25"/>
    <row r="360" ht="12.75" customHeight="1" x14ac:dyDescent="0.25"/>
    <row r="361" ht="12.75" customHeight="1" x14ac:dyDescent="0.25"/>
    <row r="362" ht="12.75" customHeight="1" x14ac:dyDescent="0.25"/>
    <row r="363" ht="12.75" customHeight="1" x14ac:dyDescent="0.25"/>
    <row r="364" ht="12.75" customHeight="1" x14ac:dyDescent="0.25"/>
    <row r="365" ht="12.75" customHeight="1" x14ac:dyDescent="0.25"/>
    <row r="366" ht="12.75" customHeight="1" x14ac:dyDescent="0.25"/>
    <row r="367" ht="12.75" customHeight="1" x14ac:dyDescent="0.25"/>
    <row r="368" ht="12.75" customHeight="1" x14ac:dyDescent="0.25"/>
    <row r="369" ht="12.75" customHeight="1" x14ac:dyDescent="0.25"/>
    <row r="370" ht="12.75" customHeight="1" x14ac:dyDescent="0.25"/>
    <row r="371" ht="12.75" customHeight="1" x14ac:dyDescent="0.25"/>
    <row r="372" ht="12.75" customHeight="1" x14ac:dyDescent="0.25"/>
    <row r="373" ht="12.75" customHeight="1" x14ac:dyDescent="0.25"/>
    <row r="374" ht="12.75" customHeight="1" x14ac:dyDescent="0.25"/>
    <row r="375" ht="12.75" customHeight="1" x14ac:dyDescent="0.25"/>
    <row r="376" ht="12.75" customHeight="1" x14ac:dyDescent="0.25"/>
    <row r="377" ht="12.75" customHeight="1" x14ac:dyDescent="0.25"/>
    <row r="378" ht="12.75" customHeight="1" x14ac:dyDescent="0.25"/>
    <row r="379" ht="12.75" customHeight="1" x14ac:dyDescent="0.25"/>
    <row r="380" ht="12.75" customHeight="1" x14ac:dyDescent="0.25"/>
    <row r="381" ht="12.75" customHeight="1" x14ac:dyDescent="0.25"/>
    <row r="382" ht="12.75" customHeight="1" x14ac:dyDescent="0.25"/>
    <row r="383" ht="12.75" customHeight="1" x14ac:dyDescent="0.25"/>
    <row r="384" ht="12.75" customHeight="1" x14ac:dyDescent="0.25"/>
    <row r="385" ht="12.75" customHeight="1" x14ac:dyDescent="0.25"/>
    <row r="386" ht="12.75" customHeight="1" x14ac:dyDescent="0.25"/>
    <row r="387" ht="12.75" customHeight="1" x14ac:dyDescent="0.25"/>
    <row r="388" ht="12.75" customHeight="1" x14ac:dyDescent="0.25"/>
    <row r="389" ht="12.75" customHeight="1" x14ac:dyDescent="0.25"/>
    <row r="390" ht="12.75" customHeight="1" x14ac:dyDescent="0.25"/>
    <row r="391" ht="12.75" customHeight="1" x14ac:dyDescent="0.25"/>
    <row r="392" ht="12.75" customHeight="1" x14ac:dyDescent="0.25"/>
    <row r="393" ht="12.75" customHeight="1" x14ac:dyDescent="0.25"/>
    <row r="394" ht="12.75" customHeight="1" x14ac:dyDescent="0.25"/>
    <row r="395" ht="12.75" customHeight="1" x14ac:dyDescent="0.25"/>
    <row r="396" ht="12.75" customHeight="1" x14ac:dyDescent="0.25"/>
    <row r="397" ht="12.75" customHeight="1" x14ac:dyDescent="0.25"/>
    <row r="398" ht="12.75" customHeight="1" x14ac:dyDescent="0.25"/>
    <row r="399" ht="12.75" customHeight="1" x14ac:dyDescent="0.25"/>
    <row r="400" ht="12.75" customHeight="1" x14ac:dyDescent="0.25"/>
    <row r="401" ht="12.75" customHeight="1" x14ac:dyDescent="0.25"/>
    <row r="402" ht="12.75" customHeight="1" x14ac:dyDescent="0.25"/>
    <row r="403" ht="12.75" customHeight="1" x14ac:dyDescent="0.25"/>
    <row r="404" ht="12.75" customHeight="1" x14ac:dyDescent="0.25"/>
    <row r="405" ht="12.75" customHeight="1" x14ac:dyDescent="0.25"/>
    <row r="406" ht="12.75" customHeight="1" x14ac:dyDescent="0.25"/>
    <row r="407" ht="12.75" customHeight="1" x14ac:dyDescent="0.25"/>
    <row r="408" ht="12.75" customHeight="1" x14ac:dyDescent="0.25"/>
    <row r="409" ht="12.75" customHeight="1" x14ac:dyDescent="0.25"/>
    <row r="410" ht="12.75" customHeight="1" x14ac:dyDescent="0.25"/>
    <row r="411" ht="12.75" customHeight="1" x14ac:dyDescent="0.25"/>
    <row r="412" ht="12.75" customHeight="1" x14ac:dyDescent="0.25"/>
    <row r="413" ht="12.75" customHeight="1" x14ac:dyDescent="0.25"/>
    <row r="414" ht="12.75" customHeight="1" x14ac:dyDescent="0.25"/>
    <row r="415" ht="12.75" customHeight="1" x14ac:dyDescent="0.25"/>
    <row r="416" ht="12.75" customHeight="1" x14ac:dyDescent="0.25"/>
    <row r="417" ht="12.75" customHeight="1" x14ac:dyDescent="0.25"/>
    <row r="418" ht="12.75" customHeight="1" x14ac:dyDescent="0.25"/>
    <row r="419" ht="12.75" customHeight="1" x14ac:dyDescent="0.25"/>
    <row r="420" ht="12.75" customHeight="1" x14ac:dyDescent="0.25"/>
    <row r="421" ht="12.75" customHeight="1" x14ac:dyDescent="0.25"/>
    <row r="422" ht="12.75" customHeight="1" x14ac:dyDescent="0.25"/>
    <row r="423" ht="12.75" customHeight="1" x14ac:dyDescent="0.25"/>
    <row r="424" ht="12.75" customHeight="1" x14ac:dyDescent="0.25"/>
    <row r="425" ht="12.75" customHeight="1" x14ac:dyDescent="0.25"/>
    <row r="426" ht="12.75" customHeight="1" x14ac:dyDescent="0.25"/>
    <row r="427" ht="12.75" customHeight="1" x14ac:dyDescent="0.25"/>
    <row r="428" ht="12.75" customHeight="1" x14ac:dyDescent="0.25"/>
    <row r="429" ht="12.75" customHeight="1" x14ac:dyDescent="0.25"/>
    <row r="430" ht="12.75" customHeight="1" x14ac:dyDescent="0.25"/>
    <row r="431" ht="12.75" customHeight="1" x14ac:dyDescent="0.25"/>
    <row r="432" ht="12.75" customHeight="1" x14ac:dyDescent="0.25"/>
    <row r="433" ht="12.75" customHeight="1" x14ac:dyDescent="0.25"/>
    <row r="434" ht="12.75" customHeight="1" x14ac:dyDescent="0.25"/>
    <row r="435" ht="12.75" customHeight="1" x14ac:dyDescent="0.25"/>
    <row r="436" ht="12.75" customHeight="1" x14ac:dyDescent="0.25"/>
    <row r="437" ht="12.75" customHeight="1" x14ac:dyDescent="0.25"/>
    <row r="438" ht="12.75" customHeight="1" x14ac:dyDescent="0.25"/>
    <row r="439" ht="12.75" customHeight="1" x14ac:dyDescent="0.25"/>
    <row r="440" ht="12.75" customHeight="1" x14ac:dyDescent="0.25"/>
    <row r="441" ht="12.75" customHeight="1" x14ac:dyDescent="0.25"/>
    <row r="442" ht="12.75" customHeight="1" x14ac:dyDescent="0.25"/>
    <row r="443" ht="12.75" customHeight="1" x14ac:dyDescent="0.25"/>
    <row r="444" ht="12.75" customHeight="1" x14ac:dyDescent="0.25"/>
    <row r="445" ht="12.75" customHeight="1" x14ac:dyDescent="0.25"/>
    <row r="446" ht="12.75" customHeight="1" x14ac:dyDescent="0.25"/>
    <row r="447" ht="12.75" customHeight="1" x14ac:dyDescent="0.25"/>
    <row r="448" ht="12.75" customHeight="1" x14ac:dyDescent="0.25"/>
    <row r="449" ht="12.75" customHeight="1" x14ac:dyDescent="0.25"/>
    <row r="450" ht="12.75" customHeight="1" x14ac:dyDescent="0.25"/>
    <row r="451" ht="12.75" customHeight="1" x14ac:dyDescent="0.25"/>
    <row r="452" ht="12.75" customHeight="1" x14ac:dyDescent="0.25"/>
    <row r="453" ht="12.75" customHeight="1" x14ac:dyDescent="0.25"/>
    <row r="454" ht="12.75" customHeight="1" x14ac:dyDescent="0.25"/>
    <row r="455" ht="12.75" customHeight="1" x14ac:dyDescent="0.25"/>
    <row r="456" ht="12.75" customHeight="1" x14ac:dyDescent="0.25"/>
    <row r="457" ht="12.75" customHeight="1" x14ac:dyDescent="0.25"/>
    <row r="458" ht="12.75" customHeight="1" x14ac:dyDescent="0.25"/>
    <row r="459" ht="12.75" customHeight="1" x14ac:dyDescent="0.25"/>
    <row r="460" ht="12.75" customHeight="1" x14ac:dyDescent="0.25"/>
    <row r="461" ht="12.75" customHeight="1" x14ac:dyDescent="0.25"/>
    <row r="462" ht="12.75" customHeight="1" x14ac:dyDescent="0.25"/>
    <row r="463" ht="12.75" customHeight="1" x14ac:dyDescent="0.25"/>
    <row r="464" ht="12.75" customHeight="1" x14ac:dyDescent="0.25"/>
    <row r="465" ht="12.75" customHeight="1" x14ac:dyDescent="0.25"/>
    <row r="466" ht="12.75" customHeight="1" x14ac:dyDescent="0.25"/>
    <row r="467" ht="12.75" customHeight="1" x14ac:dyDescent="0.25"/>
    <row r="468" ht="12.75" customHeight="1" x14ac:dyDescent="0.25"/>
    <row r="469" ht="12.75" customHeight="1" x14ac:dyDescent="0.25"/>
    <row r="470" ht="12.75" customHeight="1" x14ac:dyDescent="0.25"/>
    <row r="471" ht="12.75" customHeight="1" x14ac:dyDescent="0.25"/>
    <row r="472" ht="12.75" customHeight="1" x14ac:dyDescent="0.25"/>
    <row r="473" ht="12.75" customHeight="1" x14ac:dyDescent="0.25"/>
    <row r="474" ht="12.75" customHeight="1" x14ac:dyDescent="0.25"/>
    <row r="475" ht="12.75" customHeight="1" x14ac:dyDescent="0.25"/>
    <row r="476" ht="12.75" customHeight="1" x14ac:dyDescent="0.25"/>
    <row r="477" ht="12.75" customHeight="1" x14ac:dyDescent="0.25"/>
    <row r="478" ht="12.75" customHeight="1" x14ac:dyDescent="0.25"/>
    <row r="479" ht="12.75" customHeight="1" x14ac:dyDescent="0.25"/>
    <row r="480" ht="12.75" customHeight="1" x14ac:dyDescent="0.25"/>
    <row r="481" ht="12.75" customHeight="1" x14ac:dyDescent="0.25"/>
    <row r="482" ht="12.75" customHeight="1" x14ac:dyDescent="0.25"/>
    <row r="483" ht="12.75" customHeight="1" x14ac:dyDescent="0.25"/>
    <row r="484" ht="12.75" customHeight="1" x14ac:dyDescent="0.25"/>
    <row r="485" ht="12.75" customHeight="1" x14ac:dyDescent="0.25"/>
    <row r="486" ht="12.75" customHeight="1" x14ac:dyDescent="0.25"/>
    <row r="487" ht="12.75" customHeight="1" x14ac:dyDescent="0.25"/>
    <row r="488" ht="12.75" customHeight="1" x14ac:dyDescent="0.25"/>
    <row r="489" ht="12.75" customHeight="1" x14ac:dyDescent="0.25"/>
    <row r="490" ht="12.75" customHeight="1" x14ac:dyDescent="0.25"/>
    <row r="491" ht="12.75" customHeight="1" x14ac:dyDescent="0.25"/>
    <row r="492" ht="12.75" customHeight="1" x14ac:dyDescent="0.25"/>
    <row r="493" ht="12.75" customHeight="1" x14ac:dyDescent="0.25"/>
    <row r="494" ht="12.75" customHeight="1" x14ac:dyDescent="0.25"/>
    <row r="495" ht="12.75" customHeight="1" x14ac:dyDescent="0.25"/>
    <row r="496" ht="12.75" customHeight="1" x14ac:dyDescent="0.25"/>
    <row r="497" ht="12.75" customHeight="1" x14ac:dyDescent="0.25"/>
    <row r="498" ht="12.75" customHeight="1" x14ac:dyDescent="0.25"/>
    <row r="499" ht="12.75" customHeight="1" x14ac:dyDescent="0.25"/>
    <row r="500" ht="12.75" customHeight="1" x14ac:dyDescent="0.25"/>
    <row r="501" ht="12.75" customHeight="1" x14ac:dyDescent="0.25"/>
    <row r="502" ht="12.75" customHeight="1" x14ac:dyDescent="0.25"/>
    <row r="503" ht="12.75" customHeight="1" x14ac:dyDescent="0.25"/>
    <row r="504" ht="12.75" customHeight="1" x14ac:dyDescent="0.25"/>
    <row r="505" ht="12.75" customHeight="1" x14ac:dyDescent="0.25"/>
    <row r="506" ht="12.75" customHeight="1" x14ac:dyDescent="0.25"/>
    <row r="507" ht="12.75" customHeight="1" x14ac:dyDescent="0.25"/>
    <row r="508" ht="12.75" customHeight="1" x14ac:dyDescent="0.25"/>
    <row r="509" ht="12.75" customHeight="1" x14ac:dyDescent="0.25"/>
    <row r="510" ht="12.75" customHeight="1" x14ac:dyDescent="0.25"/>
    <row r="511" ht="12.75" customHeight="1" x14ac:dyDescent="0.25"/>
    <row r="512" ht="12.75" customHeight="1" x14ac:dyDescent="0.25"/>
    <row r="513" ht="12.75" customHeight="1" x14ac:dyDescent="0.25"/>
    <row r="514" ht="12.75" customHeight="1" x14ac:dyDescent="0.25"/>
    <row r="515" ht="12.75" customHeight="1" x14ac:dyDescent="0.25"/>
    <row r="516" ht="12.75" customHeight="1" x14ac:dyDescent="0.25"/>
    <row r="517" ht="12.75" customHeight="1" x14ac:dyDescent="0.25"/>
    <row r="518" ht="12.75" customHeight="1" x14ac:dyDescent="0.25"/>
    <row r="519" ht="12.75" customHeight="1" x14ac:dyDescent="0.25"/>
    <row r="520" ht="12.75" customHeight="1" x14ac:dyDescent="0.25"/>
  </sheetData>
  <sortState ref="B241:I253">
    <sortCondition ref="C242"/>
  </sortState>
  <mergeCells count="15">
    <mergeCell ref="B197:I197"/>
    <mergeCell ref="B218:I218"/>
    <mergeCell ref="B239:I239"/>
    <mergeCell ref="B92:I92"/>
    <mergeCell ref="B113:I113"/>
    <mergeCell ref="B134:I134"/>
    <mergeCell ref="B155:I155"/>
    <mergeCell ref="A174:F174"/>
    <mergeCell ref="B176:I176"/>
    <mergeCell ref="A89:F89"/>
    <mergeCell ref="A1:F1"/>
    <mergeCell ref="B4:I4"/>
    <mergeCell ref="B25:I25"/>
    <mergeCell ref="B47:I47"/>
    <mergeCell ref="B68:I68"/>
  </mergeCells>
  <pageMargins left="0.7" right="0.7" top="0.75" bottom="0.75" header="0" footer="0"/>
  <pageSetup paperSize="9" orientation="portrait" r:id="rId1"/>
  <ignoredErrors>
    <ignoredError sqref="C106:D106" formulaRange="1"/>
  </ignoredErrors>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1B6A55-87A6-4522-A06C-E02C109C1CDB}">
  <dimension ref="A1:Y520"/>
  <sheetViews>
    <sheetView showGridLines="0" zoomScale="55" zoomScaleNormal="55" workbookViewId="0">
      <selection activeCell="M259" sqref="M259"/>
    </sheetView>
  </sheetViews>
  <sheetFormatPr defaultColWidth="12.6640625" defaultRowHeight="15" customHeight="1" x14ac:dyDescent="0.25"/>
  <cols>
    <col min="1" max="1" width="8.6640625" style="2" customWidth="1"/>
    <col min="2" max="2" width="15.109375" style="2" bestFit="1" customWidth="1"/>
    <col min="3" max="3" width="16.33203125" style="2" bestFit="1" customWidth="1"/>
    <col min="4" max="4" width="13.21875" style="2" customWidth="1"/>
    <col min="5" max="5" width="9.6640625" style="2" customWidth="1"/>
    <col min="6" max="6" width="13.33203125" style="2" customWidth="1"/>
    <col min="7" max="7" width="14" style="2" bestFit="1" customWidth="1"/>
    <col min="8" max="8" width="14.21875" style="2" bestFit="1" customWidth="1"/>
    <col min="9" max="9" width="20.21875" style="2" bestFit="1" customWidth="1"/>
    <col min="10" max="13" width="16.109375" style="2" customWidth="1"/>
    <col min="14" max="14" width="20" style="2" customWidth="1"/>
    <col min="15" max="15" width="12.6640625" style="2"/>
    <col min="16" max="16" width="27.77734375" style="2" customWidth="1"/>
    <col min="17" max="17" width="17.21875" style="2" bestFit="1" customWidth="1"/>
    <col min="18" max="18" width="12" style="2" bestFit="1" customWidth="1"/>
    <col min="19" max="20" width="12.44140625" style="2" bestFit="1" customWidth="1"/>
    <col min="21" max="21" width="17.21875" style="2" bestFit="1" customWidth="1"/>
    <col min="22" max="22" width="12" style="2" bestFit="1" customWidth="1"/>
    <col min="23" max="23" width="7.88671875" style="2" customWidth="1"/>
    <col min="24" max="24" width="13" style="2" customWidth="1"/>
    <col min="25" max="25" width="15.21875" style="2" customWidth="1"/>
    <col min="26" max="16384" width="12.6640625" style="2"/>
  </cols>
  <sheetData>
    <row r="1" spans="1:25" ht="25.05" customHeight="1" x14ac:dyDescent="0.25">
      <c r="A1" s="252" t="s">
        <v>81</v>
      </c>
      <c r="B1" s="252"/>
      <c r="C1" s="252"/>
      <c r="D1" s="252"/>
      <c r="E1" s="252"/>
      <c r="F1" s="252"/>
    </row>
    <row r="2" spans="1:25" ht="12.75" customHeight="1" x14ac:dyDescent="0.25">
      <c r="D2" s="1"/>
    </row>
    <row r="3" spans="1:25" ht="12.75" customHeight="1" x14ac:dyDescent="0.25"/>
    <row r="4" spans="1:25" ht="21" customHeight="1" thickBot="1" x14ac:dyDescent="0.35">
      <c r="B4" s="256" t="s">
        <v>95</v>
      </c>
      <c r="C4" s="256"/>
      <c r="D4" s="256"/>
      <c r="E4" s="256"/>
      <c r="F4" s="256"/>
      <c r="G4" s="256"/>
      <c r="H4" s="256"/>
      <c r="I4" s="256"/>
    </row>
    <row r="5" spans="1:25" s="8" customFormat="1" ht="40.200000000000003" customHeight="1" thickBot="1" x14ac:dyDescent="0.3">
      <c r="B5" s="36" t="s">
        <v>19</v>
      </c>
      <c r="C5" s="37" t="s">
        <v>42</v>
      </c>
      <c r="D5" s="37" t="s">
        <v>41</v>
      </c>
      <c r="E5" s="37" t="s">
        <v>27</v>
      </c>
      <c r="F5" s="37" t="s">
        <v>16</v>
      </c>
      <c r="G5" s="37" t="s">
        <v>28</v>
      </c>
      <c r="H5" s="37" t="s">
        <v>116</v>
      </c>
      <c r="I5" s="37" t="s">
        <v>20</v>
      </c>
      <c r="U5" s="23"/>
      <c r="V5" s="121" t="s">
        <v>131</v>
      </c>
      <c r="W5" s="127" t="s">
        <v>134</v>
      </c>
      <c r="X5" s="127" t="s">
        <v>132</v>
      </c>
      <c r="Y5" s="127" t="s">
        <v>133</v>
      </c>
    </row>
    <row r="6" spans="1:25" ht="12.75" customHeight="1" x14ac:dyDescent="0.25">
      <c r="B6" s="4"/>
      <c r="C6" s="26">
        <v>0</v>
      </c>
      <c r="D6" s="26">
        <v>0</v>
      </c>
      <c r="E6" s="49">
        <v>0</v>
      </c>
      <c r="F6" s="49">
        <v>0</v>
      </c>
      <c r="G6" s="49">
        <v>0</v>
      </c>
      <c r="H6" s="50">
        <f>F6</f>
        <v>0</v>
      </c>
      <c r="I6" s="49">
        <v>0</v>
      </c>
      <c r="P6" s="18"/>
      <c r="Q6" s="14"/>
      <c r="R6" s="15"/>
      <c r="U6" s="18" t="s">
        <v>0</v>
      </c>
      <c r="V6" s="60">
        <f>I20</f>
        <v>0.57505831051371004</v>
      </c>
      <c r="W6" s="60">
        <f>I41</f>
        <v>0.54775958011228965</v>
      </c>
      <c r="X6" s="60">
        <f>I63</f>
        <v>0.77750004335187528</v>
      </c>
      <c r="Y6" s="60">
        <f>I84</f>
        <v>0.20969745536814777</v>
      </c>
    </row>
    <row r="7" spans="1:25" ht="12.75" customHeight="1" x14ac:dyDescent="0.25">
      <c r="B7" s="82" t="s">
        <v>2</v>
      </c>
      <c r="C7" s="29">
        <v>6.1708763765961825</v>
      </c>
      <c r="D7" s="29">
        <v>77.736383134012783</v>
      </c>
      <c r="E7" s="49">
        <f t="shared" ref="E7:E17" si="0">C7/$C$18</f>
        <v>3.1349739129321592E-3</v>
      </c>
      <c r="F7" s="49">
        <f t="shared" ref="F7:F17" si="1">D7/$D$18</f>
        <v>0.32009922079686637</v>
      </c>
      <c r="G7" s="49">
        <f t="shared" ref="G7:G17" si="2">G6+E7</f>
        <v>3.1349739129321592E-3</v>
      </c>
      <c r="H7" s="50">
        <f t="shared" ref="H7:H17" si="3">F7+H6</f>
        <v>0.32009922079686637</v>
      </c>
      <c r="I7" s="49">
        <f t="shared" ref="I7:I17" si="4">(G6+G7)*0.5*(H7-H6)</f>
        <v>5.0175135337404372E-4</v>
      </c>
      <c r="P7" s="18"/>
      <c r="Q7" s="14"/>
      <c r="R7" s="15"/>
      <c r="U7" s="18" t="s">
        <v>130</v>
      </c>
      <c r="V7" s="60">
        <f>I108</f>
        <v>0.34184432729949388</v>
      </c>
      <c r="W7" s="60">
        <f>I129</f>
        <v>0.33913889545743614</v>
      </c>
      <c r="X7" s="60">
        <f>I150</f>
        <v>0.60288012360616416</v>
      </c>
      <c r="Y7" s="60">
        <f>I171</f>
        <v>0.15484229274415284</v>
      </c>
    </row>
    <row r="8" spans="1:25" ht="12.75" customHeight="1" thickBot="1" x14ac:dyDescent="0.3">
      <c r="B8" s="82" t="s">
        <v>3</v>
      </c>
      <c r="C8" s="29">
        <v>13.182085485309447</v>
      </c>
      <c r="D8" s="29">
        <v>1.2198420797181784</v>
      </c>
      <c r="E8" s="49">
        <f t="shared" si="0"/>
        <v>6.6968598287301395E-3</v>
      </c>
      <c r="F8" s="49">
        <f t="shared" si="1"/>
        <v>5.0230083195390053E-3</v>
      </c>
      <c r="G8" s="49">
        <f t="shared" si="2"/>
        <v>9.8318337416622992E-3</v>
      </c>
      <c r="H8" s="50">
        <f t="shared" si="3"/>
        <v>0.32512222911640537</v>
      </c>
      <c r="I8" s="49">
        <f t="shared" si="4"/>
        <v>3.2566191363444987E-5</v>
      </c>
      <c r="P8" s="18"/>
      <c r="Q8" s="14"/>
      <c r="R8" s="15"/>
      <c r="U8" s="125" t="s">
        <v>135</v>
      </c>
      <c r="V8" s="126">
        <f>I192</f>
        <v>0.15795119021774795</v>
      </c>
      <c r="W8" s="126">
        <f>I213</f>
        <v>5.2662268484585439E-2</v>
      </c>
      <c r="X8" s="126">
        <f>I234</f>
        <v>0.82782873032079152</v>
      </c>
      <c r="Y8" s="126">
        <f>I255</f>
        <v>0.23677957028285879</v>
      </c>
    </row>
    <row r="9" spans="1:25" ht="12.75" customHeight="1" x14ac:dyDescent="0.25">
      <c r="B9" s="82" t="s">
        <v>1</v>
      </c>
      <c r="C9" s="29">
        <v>15.871876151835586</v>
      </c>
      <c r="D9" s="29">
        <v>5.4561668557066705</v>
      </c>
      <c r="E9" s="49">
        <f t="shared" si="0"/>
        <v>8.0633470270134941E-3</v>
      </c>
      <c r="F9" s="49">
        <f t="shared" si="1"/>
        <v>2.2467147153457198E-2</v>
      </c>
      <c r="G9" s="49">
        <f t="shared" si="2"/>
        <v>1.7895180768675793E-2</v>
      </c>
      <c r="H9" s="50">
        <f t="shared" si="3"/>
        <v>0.34758937626986258</v>
      </c>
      <c r="I9" s="49">
        <f t="shared" si="4"/>
        <v>3.1147345756490463E-4</v>
      </c>
      <c r="P9" s="18"/>
      <c r="Q9" s="14"/>
      <c r="R9" s="15"/>
    </row>
    <row r="10" spans="1:25" ht="12.75" customHeight="1" x14ac:dyDescent="0.25">
      <c r="B10" s="111" t="s">
        <v>6</v>
      </c>
      <c r="C10" s="29">
        <v>22.418457014166282</v>
      </c>
      <c r="D10" s="29">
        <v>10.319534957876666</v>
      </c>
      <c r="E10" s="49">
        <f t="shared" si="0"/>
        <v>1.1389189090572739E-2</v>
      </c>
      <c r="F10" s="49">
        <f t="shared" si="1"/>
        <v>4.2493295492121094E-2</v>
      </c>
      <c r="G10" s="49">
        <f t="shared" si="2"/>
        <v>2.9284369859248531E-2</v>
      </c>
      <c r="H10" s="50">
        <f t="shared" si="3"/>
        <v>0.39008267176198369</v>
      </c>
      <c r="I10" s="49">
        <f t="shared" si="4"/>
        <v>1.0024072930089382E-3</v>
      </c>
      <c r="P10" s="18"/>
      <c r="Q10" s="14"/>
      <c r="R10" s="15"/>
    </row>
    <row r="11" spans="1:25" ht="12.75" customHeight="1" x14ac:dyDescent="0.25">
      <c r="B11" s="82" t="s">
        <v>195</v>
      </c>
      <c r="C11" s="29">
        <v>25.16220706497537</v>
      </c>
      <c r="D11" s="29">
        <v>3.417870084897213</v>
      </c>
      <c r="E11" s="49">
        <f t="shared" si="0"/>
        <v>1.2783089131337673E-2</v>
      </c>
      <c r="F11" s="49">
        <f t="shared" si="1"/>
        <v>1.4073944617083983E-2</v>
      </c>
      <c r="G11" s="49">
        <f t="shared" si="2"/>
        <v>4.2067458990586205E-2</v>
      </c>
      <c r="H11" s="50">
        <f t="shared" si="3"/>
        <v>0.40415661637906769</v>
      </c>
      <c r="I11" s="49">
        <f t="shared" si="4"/>
        <v>5.0210084378011523E-4</v>
      </c>
      <c r="P11" s="18"/>
      <c r="Q11" s="14"/>
      <c r="R11" s="15"/>
    </row>
    <row r="12" spans="1:25" ht="12.75" customHeight="1" x14ac:dyDescent="0.25">
      <c r="B12" s="82" t="s">
        <v>5</v>
      </c>
      <c r="C12" s="29">
        <v>63.760730908375784</v>
      </c>
      <c r="D12" s="29">
        <v>18.040305544438691</v>
      </c>
      <c r="E12" s="49">
        <f t="shared" si="0"/>
        <v>3.2392194539068442E-2</v>
      </c>
      <c r="F12" s="49">
        <f t="shared" si="1"/>
        <v>7.4285521333774987E-2</v>
      </c>
      <c r="G12" s="49">
        <f t="shared" si="2"/>
        <v>7.445965352965464E-2</v>
      </c>
      <c r="H12" s="50">
        <f t="shared" si="3"/>
        <v>0.47844213771284266</v>
      </c>
      <c r="I12" s="49">
        <f t="shared" si="4"/>
        <v>4.3281386515427742E-3</v>
      </c>
      <c r="P12" s="18"/>
      <c r="Q12" s="14"/>
      <c r="R12" s="15"/>
    </row>
    <row r="13" spans="1:25" ht="12.75" customHeight="1" x14ac:dyDescent="0.25">
      <c r="B13" s="82" t="s">
        <v>9</v>
      </c>
      <c r="C13" s="29">
        <v>121.15404716969931</v>
      </c>
      <c r="D13" s="29">
        <v>10.66678188762965</v>
      </c>
      <c r="E13" s="49">
        <f t="shared" si="0"/>
        <v>6.1549568350397439E-2</v>
      </c>
      <c r="F13" s="49">
        <f t="shared" si="1"/>
        <v>4.3923172560705735E-2</v>
      </c>
      <c r="G13" s="49">
        <f t="shared" si="2"/>
        <v>0.13600922188005207</v>
      </c>
      <c r="H13" s="50">
        <f t="shared" si="3"/>
        <v>0.52236531027354838</v>
      </c>
      <c r="I13" s="49">
        <f t="shared" si="4"/>
        <v>4.6222303666391094E-3</v>
      </c>
      <c r="P13" s="18"/>
      <c r="Q13" s="14"/>
      <c r="R13" s="15"/>
    </row>
    <row r="14" spans="1:25" ht="12.75" customHeight="1" x14ac:dyDescent="0.25">
      <c r="B14" s="111" t="s">
        <v>10</v>
      </c>
      <c r="C14" s="29">
        <v>269.86691573503549</v>
      </c>
      <c r="D14" s="29">
        <v>36.784837150434882</v>
      </c>
      <c r="E14" s="49">
        <f t="shared" si="0"/>
        <v>0.13709977143626723</v>
      </c>
      <c r="F14" s="49">
        <f t="shared" si="1"/>
        <v>0.15147087160840497</v>
      </c>
      <c r="G14" s="49">
        <f t="shared" si="2"/>
        <v>0.27310899331631933</v>
      </c>
      <c r="H14" s="50">
        <f t="shared" si="3"/>
        <v>0.67383618188195338</v>
      </c>
      <c r="I14" s="49">
        <f t="shared" si="4"/>
        <v>3.0984746323334686E-2</v>
      </c>
      <c r="P14" s="18"/>
      <c r="Q14" s="14"/>
      <c r="R14" s="15"/>
    </row>
    <row r="15" spans="1:25" ht="12.75" customHeight="1" x14ac:dyDescent="0.25">
      <c r="B15" s="82" t="s">
        <v>7</v>
      </c>
      <c r="C15" s="29">
        <v>368.0970843230341</v>
      </c>
      <c r="D15" s="29">
        <v>33.609418342428306</v>
      </c>
      <c r="E15" s="49">
        <f t="shared" si="0"/>
        <v>0.18700338272140635</v>
      </c>
      <c r="F15" s="49">
        <f t="shared" si="1"/>
        <v>0.13839528145142116</v>
      </c>
      <c r="G15" s="49">
        <f t="shared" si="2"/>
        <v>0.4601123760377257</v>
      </c>
      <c r="H15" s="50">
        <f t="shared" si="3"/>
        <v>0.81223146333337448</v>
      </c>
      <c r="I15" s="49">
        <f t="shared" si="4"/>
        <v>5.0737188888974723E-2</v>
      </c>
      <c r="P15" s="18"/>
      <c r="Q15" s="14"/>
      <c r="R15" s="15"/>
    </row>
    <row r="16" spans="1:25" ht="12.75" customHeight="1" x14ac:dyDescent="0.25">
      <c r="B16" s="82" t="s">
        <v>4</v>
      </c>
      <c r="C16" s="29">
        <v>450.59399496771118</v>
      </c>
      <c r="D16" s="29">
        <v>35.198012480601541</v>
      </c>
      <c r="E16" s="49">
        <f t="shared" si="0"/>
        <v>0.22891406881932075</v>
      </c>
      <c r="F16" s="49">
        <f t="shared" si="1"/>
        <v>0.14493671964664934</v>
      </c>
      <c r="G16" s="49">
        <f t="shared" si="2"/>
        <v>0.68902644485704645</v>
      </c>
      <c r="H16" s="50">
        <f t="shared" si="3"/>
        <v>0.95716818298002382</v>
      </c>
      <c r="I16" s="49">
        <f t="shared" si="4"/>
        <v>8.3276205559553382E-2</v>
      </c>
      <c r="P16" s="18"/>
      <c r="Q16" s="14"/>
      <c r="R16" s="15"/>
    </row>
    <row r="17" spans="1:14" ht="12.75" customHeight="1" thickBot="1" x14ac:dyDescent="0.3">
      <c r="B17" s="86" t="s">
        <v>8</v>
      </c>
      <c r="C17" s="32">
        <v>612.11972363206985</v>
      </c>
      <c r="D17" s="32">
        <v>10.401745214818051</v>
      </c>
      <c r="E17" s="51">
        <f t="shared" si="0"/>
        <v>0.31097355514295349</v>
      </c>
      <c r="F17" s="51">
        <f t="shared" si="1"/>
        <v>4.2831817019976098E-2</v>
      </c>
      <c r="G17" s="49">
        <f t="shared" si="2"/>
        <v>1</v>
      </c>
      <c r="H17" s="52">
        <f t="shared" si="3"/>
        <v>0.99999999999999989</v>
      </c>
      <c r="I17" s="51">
        <f t="shared" si="4"/>
        <v>3.6172035814008859E-2</v>
      </c>
    </row>
    <row r="18" spans="1:14" ht="12.75" customHeight="1" thickBot="1" x14ac:dyDescent="0.3">
      <c r="B18" s="35" t="s">
        <v>12</v>
      </c>
      <c r="C18" s="6">
        <f>SUM(C6:C17)</f>
        <v>1968.3979988288088</v>
      </c>
      <c r="D18" s="6">
        <f>SUM(D6:D17)</f>
        <v>242.85089773256266</v>
      </c>
      <c r="E18" s="59">
        <f>SUM(E7:E17)</f>
        <v>1</v>
      </c>
      <c r="F18" s="59">
        <f>SUM(F7:F17)</f>
        <v>0.99999999999999989</v>
      </c>
      <c r="G18" s="53"/>
      <c r="H18" s="53"/>
      <c r="I18" s="59">
        <f>SUM(I6:I17)</f>
        <v>0.21247084474314498</v>
      </c>
    </row>
    <row r="19" spans="1:14" ht="12.75" customHeight="1" thickBot="1" x14ac:dyDescent="0.3">
      <c r="B19" s="4"/>
      <c r="C19" s="4"/>
      <c r="D19" s="4"/>
      <c r="E19" s="50"/>
      <c r="F19" s="50"/>
      <c r="G19" s="50"/>
      <c r="H19" s="53"/>
      <c r="I19" s="53"/>
    </row>
    <row r="20" spans="1:14" ht="12.75" customHeight="1" thickBot="1" x14ac:dyDescent="0.3">
      <c r="B20" s="4"/>
      <c r="C20" s="4"/>
      <c r="D20" s="4"/>
      <c r="E20" s="50"/>
      <c r="F20" s="50"/>
      <c r="G20" s="55"/>
      <c r="H20" s="56" t="s">
        <v>30</v>
      </c>
      <c r="I20" s="52">
        <f>1-(2*I18)</f>
        <v>0.57505831051371004</v>
      </c>
    </row>
    <row r="21" spans="1:14" ht="12.75" customHeight="1" x14ac:dyDescent="0.25"/>
    <row r="22" spans="1:14" ht="12.75" customHeight="1" x14ac:dyDescent="0.25"/>
    <row r="23" spans="1:14" ht="12.75" customHeight="1" x14ac:dyDescent="0.25"/>
    <row r="24" spans="1:14" ht="13.2" customHeight="1" x14ac:dyDescent="0.25"/>
    <row r="25" spans="1:14" ht="14.4" customHeight="1" thickBot="1" x14ac:dyDescent="0.35">
      <c r="B25" s="256" t="s">
        <v>96</v>
      </c>
      <c r="C25" s="256"/>
      <c r="D25" s="256"/>
      <c r="E25" s="256"/>
      <c r="F25" s="256"/>
      <c r="G25" s="256"/>
      <c r="H25" s="256"/>
      <c r="I25" s="256"/>
    </row>
    <row r="26" spans="1:14" ht="12.6" customHeight="1" thickBot="1" x14ac:dyDescent="0.3">
      <c r="B26" s="36" t="s">
        <v>19</v>
      </c>
      <c r="C26" s="37" t="s">
        <v>97</v>
      </c>
      <c r="D26" s="37" t="s">
        <v>41</v>
      </c>
      <c r="E26" s="37" t="s">
        <v>31</v>
      </c>
      <c r="F26" s="37" t="s">
        <v>16</v>
      </c>
      <c r="G26" s="37" t="s">
        <v>32</v>
      </c>
      <c r="H26" s="37" t="s">
        <v>116</v>
      </c>
      <c r="I26" s="37" t="s">
        <v>20</v>
      </c>
      <c r="J26" s="8"/>
      <c r="K26" s="8"/>
      <c r="L26" s="8"/>
      <c r="M26" s="8"/>
      <c r="N26" s="8"/>
    </row>
    <row r="27" spans="1:14" ht="12.75" customHeight="1" x14ac:dyDescent="0.25">
      <c r="B27" s="4"/>
      <c r="C27" s="26">
        <v>0</v>
      </c>
      <c r="D27" s="26">
        <v>0</v>
      </c>
      <c r="E27" s="49">
        <f t="shared" ref="E27:E38" si="5">C27/$C$39</f>
        <v>0</v>
      </c>
      <c r="F27" s="49">
        <f t="shared" ref="F27:F38" si="6">D27/$D$39</f>
        <v>0</v>
      </c>
      <c r="G27" s="49">
        <v>0</v>
      </c>
      <c r="H27" s="50">
        <f>F27</f>
        <v>0</v>
      </c>
      <c r="I27" s="49">
        <v>0</v>
      </c>
    </row>
    <row r="28" spans="1:14" ht="13.2" x14ac:dyDescent="0.25">
      <c r="A28" s="8"/>
      <c r="B28" s="82" t="s">
        <v>3</v>
      </c>
      <c r="C28" s="29">
        <v>11.510442510728991</v>
      </c>
      <c r="D28" s="29">
        <v>1.2198420797181784</v>
      </c>
      <c r="E28" s="49">
        <f t="shared" si="5"/>
        <v>5.3657375780652326E-3</v>
      </c>
      <c r="F28" s="49">
        <f t="shared" si="6"/>
        <v>5.0230083195390062E-3</v>
      </c>
      <c r="G28" s="49">
        <f t="shared" ref="G28:G38" si="7">G27+E28</f>
        <v>5.3657375780652326E-3</v>
      </c>
      <c r="H28" s="50">
        <f t="shared" ref="H28:H38" si="8">F28+H27</f>
        <v>5.0230083195390062E-3</v>
      </c>
      <c r="I28" s="49">
        <f t="shared" ref="I28:I38" si="9">(G27+G28)*0.5*(H28-H27)</f>
        <v>1.347607224754237E-5</v>
      </c>
    </row>
    <row r="29" spans="1:14" ht="12.75" customHeight="1" x14ac:dyDescent="0.25">
      <c r="B29" s="82" t="s">
        <v>1</v>
      </c>
      <c r="C29" s="29">
        <v>12.176363633955253</v>
      </c>
      <c r="D29" s="29">
        <v>5.4561668557066705</v>
      </c>
      <c r="E29" s="49">
        <f t="shared" si="5"/>
        <v>5.676165086963521E-3</v>
      </c>
      <c r="F29" s="49">
        <f t="shared" si="6"/>
        <v>2.2467147153457202E-2</v>
      </c>
      <c r="G29" s="49">
        <f t="shared" si="7"/>
        <v>1.1041902665028754E-2</v>
      </c>
      <c r="H29" s="50">
        <f t="shared" si="8"/>
        <v>2.7490155472996207E-2</v>
      </c>
      <c r="I29" s="49">
        <f t="shared" si="9"/>
        <v>1.8431643389128945E-4</v>
      </c>
    </row>
    <row r="30" spans="1:14" ht="12.75" customHeight="1" x14ac:dyDescent="0.25">
      <c r="B30" s="111" t="s">
        <v>6</v>
      </c>
      <c r="C30" s="29">
        <v>19.178798274543777</v>
      </c>
      <c r="D30" s="29">
        <v>10.319534957876666</v>
      </c>
      <c r="E30" s="49">
        <f t="shared" si="5"/>
        <v>8.9404380854976075E-3</v>
      </c>
      <c r="F30" s="49">
        <f t="shared" si="6"/>
        <v>4.2493295492121101E-2</v>
      </c>
      <c r="G30" s="49">
        <f t="shared" si="7"/>
        <v>1.9982340750526361E-2</v>
      </c>
      <c r="H30" s="50">
        <f t="shared" si="8"/>
        <v>6.9983450965117308E-2</v>
      </c>
      <c r="I30" s="49">
        <f t="shared" si="9"/>
        <v>6.5916117143833793E-4</v>
      </c>
    </row>
    <row r="31" spans="1:14" ht="12.75" customHeight="1" x14ac:dyDescent="0.25">
      <c r="B31" s="82" t="s">
        <v>195</v>
      </c>
      <c r="C31" s="29">
        <v>26.348760919978375</v>
      </c>
      <c r="D31" s="29">
        <v>3.417870084897213</v>
      </c>
      <c r="E31" s="49">
        <f t="shared" si="5"/>
        <v>1.2282806370997683E-2</v>
      </c>
      <c r="F31" s="49">
        <f t="shared" si="6"/>
        <v>1.4073944617083984E-2</v>
      </c>
      <c r="G31" s="49">
        <f t="shared" si="7"/>
        <v>3.2265147121524042E-2</v>
      </c>
      <c r="H31" s="50">
        <f t="shared" si="8"/>
        <v>8.4057395582201294E-2</v>
      </c>
      <c r="I31" s="49">
        <f t="shared" si="9"/>
        <v>3.676641253465023E-4</v>
      </c>
    </row>
    <row r="32" spans="1:14" ht="12.75" customHeight="1" x14ac:dyDescent="0.25">
      <c r="B32" s="82" t="s">
        <v>5</v>
      </c>
      <c r="C32" s="29">
        <v>56.120784967398201</v>
      </c>
      <c r="D32" s="29">
        <v>18.040305544438691</v>
      </c>
      <c r="E32" s="49">
        <f t="shared" si="5"/>
        <v>2.6161409913598142E-2</v>
      </c>
      <c r="F32" s="49">
        <f t="shared" si="6"/>
        <v>7.4285521333775001E-2</v>
      </c>
      <c r="G32" s="49">
        <f t="shared" si="7"/>
        <v>5.8426557035122187E-2</v>
      </c>
      <c r="H32" s="50">
        <f t="shared" si="8"/>
        <v>0.1583429169159763</v>
      </c>
      <c r="I32" s="49">
        <f t="shared" si="9"/>
        <v>3.3685402619624775E-3</v>
      </c>
    </row>
    <row r="33" spans="2:14" ht="12.75" customHeight="1" x14ac:dyDescent="0.25">
      <c r="B33" s="82" t="s">
        <v>2</v>
      </c>
      <c r="C33" s="29">
        <v>62.121962749452486</v>
      </c>
      <c r="D33" s="29">
        <v>77.736383134012783</v>
      </c>
      <c r="E33" s="49">
        <f t="shared" si="5"/>
        <v>2.8958934431687192E-2</v>
      </c>
      <c r="F33" s="49">
        <f t="shared" si="6"/>
        <v>0.32009922079686637</v>
      </c>
      <c r="G33" s="49">
        <f t="shared" si="7"/>
        <v>8.7385491466809379E-2</v>
      </c>
      <c r="H33" s="50">
        <f t="shared" si="8"/>
        <v>0.47844213771284266</v>
      </c>
      <c r="I33" s="49">
        <f t="shared" si="9"/>
        <v>2.3337161554131593E-2</v>
      </c>
    </row>
    <row r="34" spans="2:14" ht="12.75" customHeight="1" x14ac:dyDescent="0.25">
      <c r="B34" s="82" t="s">
        <v>9</v>
      </c>
      <c r="C34" s="29">
        <v>116.98056120230014</v>
      </c>
      <c r="D34" s="29">
        <v>10.66678188762965</v>
      </c>
      <c r="E34" s="49">
        <f t="shared" si="5"/>
        <v>5.4531960223185919E-2</v>
      </c>
      <c r="F34" s="49">
        <f t="shared" si="6"/>
        <v>4.3923172560705735E-2</v>
      </c>
      <c r="G34" s="49">
        <f t="shared" si="7"/>
        <v>0.14191745168999531</v>
      </c>
      <c r="H34" s="50">
        <f t="shared" si="8"/>
        <v>0.52236531027354838</v>
      </c>
      <c r="I34" s="49">
        <f t="shared" si="9"/>
        <v>5.0358563704770128E-3</v>
      </c>
    </row>
    <row r="35" spans="2:14" ht="12.75" customHeight="1" x14ac:dyDescent="0.25">
      <c r="B35" s="111" t="s">
        <v>10</v>
      </c>
      <c r="C35" s="29">
        <v>280.95574944054727</v>
      </c>
      <c r="D35" s="29">
        <v>36.784837150434882</v>
      </c>
      <c r="E35" s="49">
        <f t="shared" si="5"/>
        <v>0.13097105703290182</v>
      </c>
      <c r="F35" s="49">
        <f t="shared" si="6"/>
        <v>0.15147087160840497</v>
      </c>
      <c r="G35" s="49">
        <f t="shared" si="7"/>
        <v>0.27288850872289716</v>
      </c>
      <c r="H35" s="50">
        <f t="shared" si="8"/>
        <v>0.67383618188195338</v>
      </c>
      <c r="I35" s="49">
        <f t="shared" si="9"/>
        <v>3.1415510186051182E-2</v>
      </c>
    </row>
    <row r="36" spans="2:14" ht="12.75" customHeight="1" x14ac:dyDescent="0.25">
      <c r="B36" s="82" t="s">
        <v>4</v>
      </c>
      <c r="C36" s="29">
        <v>352.00180915217976</v>
      </c>
      <c r="D36" s="29">
        <v>35.198012480601541</v>
      </c>
      <c r="E36" s="49">
        <f t="shared" si="5"/>
        <v>0.16409007152889876</v>
      </c>
      <c r="F36" s="49">
        <f t="shared" si="6"/>
        <v>0.14493671964664934</v>
      </c>
      <c r="G36" s="49">
        <f t="shared" si="7"/>
        <v>0.43697858025179592</v>
      </c>
      <c r="H36" s="50">
        <f t="shared" si="8"/>
        <v>0.81877290152860271</v>
      </c>
      <c r="I36" s="49">
        <f t="shared" si="9"/>
        <v>5.1442903630554086E-2</v>
      </c>
    </row>
    <row r="37" spans="2:14" ht="12.75" customHeight="1" x14ac:dyDescent="0.25">
      <c r="B37" s="82" t="s">
        <v>7</v>
      </c>
      <c r="C37" s="29">
        <v>450.8843159365635</v>
      </c>
      <c r="D37" s="29">
        <v>33.609418342428306</v>
      </c>
      <c r="E37" s="49">
        <f t="shared" si="5"/>
        <v>0.21018539601114189</v>
      </c>
      <c r="F37" s="49">
        <f t="shared" si="6"/>
        <v>0.13839528145142119</v>
      </c>
      <c r="G37" s="49">
        <f t="shared" si="7"/>
        <v>0.64716397626293776</v>
      </c>
      <c r="H37" s="50">
        <f t="shared" si="8"/>
        <v>0.95716818298002393</v>
      </c>
      <c r="I37" s="49">
        <f t="shared" si="9"/>
        <v>7.502010712115996E-2</v>
      </c>
    </row>
    <row r="38" spans="2:14" ht="12.75" customHeight="1" thickBot="1" x14ac:dyDescent="0.3">
      <c r="B38" s="86" t="s">
        <v>8</v>
      </c>
      <c r="C38" s="32">
        <v>756.89478060611373</v>
      </c>
      <c r="D38" s="32">
        <v>10.401745214818051</v>
      </c>
      <c r="E38" s="51">
        <f t="shared" si="5"/>
        <v>0.35283602373706219</v>
      </c>
      <c r="F38" s="49">
        <f t="shared" si="6"/>
        <v>4.2831817019976098E-2</v>
      </c>
      <c r="G38" s="51">
        <f t="shared" si="7"/>
        <v>1</v>
      </c>
      <c r="H38" s="52">
        <f t="shared" si="8"/>
        <v>1</v>
      </c>
      <c r="I38" s="51">
        <f t="shared" si="9"/>
        <v>3.5275513016595178E-2</v>
      </c>
    </row>
    <row r="39" spans="2:14" ht="12.75" customHeight="1" thickBot="1" x14ac:dyDescent="0.3">
      <c r="B39" s="35" t="s">
        <v>12</v>
      </c>
      <c r="C39" s="6">
        <f>SUM(C27:C38)</f>
        <v>2145.1743293937616</v>
      </c>
      <c r="D39" s="6">
        <f>SUM(D27:D38)</f>
        <v>242.85089773256263</v>
      </c>
      <c r="E39" s="51">
        <f>SUM(E28:E38)</f>
        <v>1</v>
      </c>
      <c r="F39" s="59">
        <f>SUM(F28:F38)</f>
        <v>1</v>
      </c>
      <c r="G39" s="53"/>
      <c r="H39" s="53"/>
      <c r="I39" s="59">
        <f>SUM(I27:I38)</f>
        <v>0.22612020994385515</v>
      </c>
    </row>
    <row r="40" spans="2:14" ht="12.75" customHeight="1" thickBot="1" x14ac:dyDescent="0.3">
      <c r="B40" s="4"/>
      <c r="C40" s="4"/>
      <c r="D40" s="4"/>
      <c r="E40" s="50"/>
      <c r="F40" s="50"/>
      <c r="G40" s="50"/>
      <c r="H40" s="53"/>
      <c r="I40" s="53"/>
    </row>
    <row r="41" spans="2:14" ht="12.75" customHeight="1" thickBot="1" x14ac:dyDescent="0.3">
      <c r="B41" s="4"/>
      <c r="C41" s="4"/>
      <c r="D41" s="4"/>
      <c r="E41" s="50"/>
      <c r="F41" s="50"/>
      <c r="G41" s="55"/>
      <c r="H41" s="56" t="s">
        <v>29</v>
      </c>
      <c r="I41" s="52">
        <f>1-(2*I39)</f>
        <v>0.54775958011228965</v>
      </c>
    </row>
    <row r="42" spans="2:14" ht="12.75" customHeight="1" x14ac:dyDescent="0.25">
      <c r="E42" s="60"/>
      <c r="F42" s="60"/>
      <c r="G42" s="60"/>
      <c r="H42" s="60"/>
      <c r="I42" s="60"/>
    </row>
    <row r="43" spans="2:14" ht="12.75" customHeight="1" x14ac:dyDescent="0.25"/>
    <row r="44" spans="2:14" ht="12.75" customHeight="1" x14ac:dyDescent="0.25"/>
    <row r="45" spans="2:14" ht="12.75" customHeight="1" x14ac:dyDescent="0.25"/>
    <row r="46" spans="2:14" ht="12.75" customHeight="1" x14ac:dyDescent="0.25"/>
    <row r="47" spans="2:14" ht="16.2" thickBot="1" x14ac:dyDescent="0.35">
      <c r="B47" s="257" t="s">
        <v>104</v>
      </c>
      <c r="C47" s="257"/>
      <c r="D47" s="257"/>
      <c r="E47" s="257"/>
      <c r="F47" s="257"/>
      <c r="G47" s="257"/>
      <c r="H47" s="257"/>
      <c r="I47" s="257"/>
      <c r="J47" s="122"/>
    </row>
    <row r="48" spans="2:14" ht="27" thickBot="1" x14ac:dyDescent="0.3">
      <c r="B48" s="30" t="s">
        <v>19</v>
      </c>
      <c r="C48" s="31" t="s">
        <v>38</v>
      </c>
      <c r="D48" s="31" t="s">
        <v>41</v>
      </c>
      <c r="E48" s="31" t="s">
        <v>15</v>
      </c>
      <c r="F48" s="31" t="s">
        <v>16</v>
      </c>
      <c r="G48" s="31" t="s">
        <v>17</v>
      </c>
      <c r="H48" s="31" t="s">
        <v>116</v>
      </c>
      <c r="I48" s="31" t="s">
        <v>20</v>
      </c>
      <c r="J48" s="25"/>
      <c r="K48" s="8"/>
      <c r="L48" s="8"/>
      <c r="M48" s="8"/>
      <c r="N48" s="8"/>
    </row>
    <row r="49" spans="1:10" ht="12.75" customHeight="1" x14ac:dyDescent="0.25">
      <c r="B49" s="4"/>
      <c r="C49" s="26">
        <v>0</v>
      </c>
      <c r="D49" s="26">
        <v>0</v>
      </c>
      <c r="E49" s="49">
        <f t="shared" ref="E49:E60" si="10">C49/$C$61</f>
        <v>0</v>
      </c>
      <c r="F49" s="49">
        <f t="shared" ref="F49:F60" si="11">D49/$D$61</f>
        <v>0</v>
      </c>
      <c r="G49" s="49">
        <v>0</v>
      </c>
      <c r="H49" s="50">
        <f>F49</f>
        <v>0</v>
      </c>
      <c r="I49" s="49">
        <v>0</v>
      </c>
      <c r="J49" s="28"/>
    </row>
    <row r="50" spans="1:10" ht="12.75" customHeight="1" x14ac:dyDescent="0.25">
      <c r="B50" s="82" t="s">
        <v>195</v>
      </c>
      <c r="C50" s="29">
        <v>0</v>
      </c>
      <c r="D50" s="29">
        <v>3.417870084897213</v>
      </c>
      <c r="E50" s="49">
        <f t="shared" si="10"/>
        <v>0</v>
      </c>
      <c r="F50" s="49">
        <f t="shared" si="11"/>
        <v>1.4073944617083984E-2</v>
      </c>
      <c r="G50" s="49">
        <f t="shared" ref="G50:G60" si="12">G49+E50</f>
        <v>0</v>
      </c>
      <c r="H50" s="50">
        <f t="shared" ref="H50:H60" si="13">F50+H49</f>
        <v>1.4073944617083984E-2</v>
      </c>
      <c r="I50" s="49">
        <f t="shared" ref="I50:I60" si="14">(G49+G50)*0.5*(H50-H49)</f>
        <v>0</v>
      </c>
      <c r="J50" s="28"/>
    </row>
    <row r="51" spans="1:10" ht="12.75" customHeight="1" x14ac:dyDescent="0.25">
      <c r="A51" s="8"/>
      <c r="B51" s="82" t="s">
        <v>2</v>
      </c>
      <c r="C51" s="29">
        <v>0</v>
      </c>
      <c r="D51" s="29">
        <v>77.736383134012783</v>
      </c>
      <c r="E51" s="49">
        <f t="shared" si="10"/>
        <v>0</v>
      </c>
      <c r="F51" s="49">
        <f t="shared" si="11"/>
        <v>0.32009922079686637</v>
      </c>
      <c r="G51" s="49">
        <f t="shared" si="12"/>
        <v>0</v>
      </c>
      <c r="H51" s="50">
        <f t="shared" si="13"/>
        <v>0.33417316541395037</v>
      </c>
      <c r="I51" s="49">
        <f t="shared" si="14"/>
        <v>0</v>
      </c>
      <c r="J51" s="28"/>
    </row>
    <row r="52" spans="1:10" ht="12.75" customHeight="1" x14ac:dyDescent="0.25">
      <c r="B52" s="82" t="s">
        <v>7</v>
      </c>
      <c r="C52" s="29">
        <v>0</v>
      </c>
      <c r="D52" s="29">
        <v>33.609418342428306</v>
      </c>
      <c r="E52" s="49">
        <f t="shared" si="10"/>
        <v>0</v>
      </c>
      <c r="F52" s="49">
        <f t="shared" si="11"/>
        <v>0.13839528145142119</v>
      </c>
      <c r="G52" s="49">
        <f t="shared" si="12"/>
        <v>0</v>
      </c>
      <c r="H52" s="50">
        <f t="shared" si="13"/>
        <v>0.47256844686537158</v>
      </c>
      <c r="I52" s="49">
        <f t="shared" si="14"/>
        <v>0</v>
      </c>
      <c r="J52" s="28"/>
    </row>
    <row r="53" spans="1:10" ht="12.75" customHeight="1" x14ac:dyDescent="0.25">
      <c r="B53" s="82" t="s">
        <v>8</v>
      </c>
      <c r="C53" s="29">
        <v>0</v>
      </c>
      <c r="D53" s="29">
        <v>10.401745214818051</v>
      </c>
      <c r="E53" s="49">
        <f t="shared" si="10"/>
        <v>0</v>
      </c>
      <c r="F53" s="49">
        <f t="shared" si="11"/>
        <v>4.2831817019976098E-2</v>
      </c>
      <c r="G53" s="49">
        <f t="shared" si="12"/>
        <v>0</v>
      </c>
      <c r="H53" s="50">
        <f t="shared" si="13"/>
        <v>0.51540026388534765</v>
      </c>
      <c r="I53" s="49">
        <f t="shared" si="14"/>
        <v>0</v>
      </c>
      <c r="J53" s="28"/>
    </row>
    <row r="54" spans="1:10" ht="12.75" customHeight="1" x14ac:dyDescent="0.25">
      <c r="B54" s="111" t="s">
        <v>10</v>
      </c>
      <c r="C54" s="29">
        <v>0</v>
      </c>
      <c r="D54" s="29">
        <v>36.784837150434882</v>
      </c>
      <c r="E54" s="49">
        <f t="shared" si="10"/>
        <v>0</v>
      </c>
      <c r="F54" s="49">
        <f t="shared" si="11"/>
        <v>0.15147087160840497</v>
      </c>
      <c r="G54" s="49">
        <f t="shared" si="12"/>
        <v>0</v>
      </c>
      <c r="H54" s="50">
        <f t="shared" si="13"/>
        <v>0.66687113549375265</v>
      </c>
      <c r="I54" s="49">
        <f t="shared" si="14"/>
        <v>0</v>
      </c>
      <c r="J54" s="28"/>
    </row>
    <row r="55" spans="1:10" ht="12.75" customHeight="1" x14ac:dyDescent="0.25">
      <c r="B55" s="82" t="s">
        <v>3</v>
      </c>
      <c r="C55" s="29">
        <v>1.7243620509396349</v>
      </c>
      <c r="D55" s="29">
        <v>1.2198420797181784</v>
      </c>
      <c r="E55" s="49">
        <f t="shared" si="10"/>
        <v>1.2534928538947977E-2</v>
      </c>
      <c r="F55" s="49">
        <f t="shared" si="11"/>
        <v>5.0230083195390062E-3</v>
      </c>
      <c r="G55" s="49">
        <f t="shared" si="12"/>
        <v>1.2534928538947977E-2</v>
      </c>
      <c r="H55" s="50">
        <f t="shared" si="13"/>
        <v>0.67189414381329171</v>
      </c>
      <c r="I55" s="49">
        <f t="shared" si="14"/>
        <v>3.1481525167981624E-5</v>
      </c>
      <c r="J55" s="28"/>
    </row>
    <row r="56" spans="1:10" ht="12.75" customHeight="1" x14ac:dyDescent="0.25">
      <c r="B56" s="111" t="s">
        <v>6</v>
      </c>
      <c r="C56" s="29">
        <v>3.337901207042103</v>
      </c>
      <c r="D56" s="29">
        <v>10.319534957876666</v>
      </c>
      <c r="E56" s="49">
        <f t="shared" si="10"/>
        <v>2.4264250699289874E-2</v>
      </c>
      <c r="F56" s="49">
        <f t="shared" si="11"/>
        <v>4.2493295492121101E-2</v>
      </c>
      <c r="G56" s="49">
        <f t="shared" si="12"/>
        <v>3.6799179238237847E-2</v>
      </c>
      <c r="H56" s="50">
        <f t="shared" si="13"/>
        <v>0.71438743930541282</v>
      </c>
      <c r="I56" s="49">
        <f t="shared" si="14"/>
        <v>1.0481844098080536E-3</v>
      </c>
      <c r="J56" s="28"/>
    </row>
    <row r="57" spans="1:10" ht="12.75" customHeight="1" x14ac:dyDescent="0.25">
      <c r="B57" s="82" t="s">
        <v>1</v>
      </c>
      <c r="C57" s="29">
        <v>3.7154038785419865</v>
      </c>
      <c r="D57" s="29">
        <v>5.4561668557066705</v>
      </c>
      <c r="E57" s="49">
        <f t="shared" si="10"/>
        <v>2.7008436009987508E-2</v>
      </c>
      <c r="F57" s="49">
        <f t="shared" si="11"/>
        <v>2.2467147153457202E-2</v>
      </c>
      <c r="G57" s="49">
        <f t="shared" si="12"/>
        <v>6.3807615248225355E-2</v>
      </c>
      <c r="H57" s="50">
        <f t="shared" si="13"/>
        <v>0.73685458645887003</v>
      </c>
      <c r="I57" s="49">
        <f t="shared" si="14"/>
        <v>1.1301738281824982E-3</v>
      </c>
      <c r="J57" s="28"/>
    </row>
    <row r="58" spans="1:10" ht="12.75" customHeight="1" x14ac:dyDescent="0.25">
      <c r="B58" s="82" t="s">
        <v>5</v>
      </c>
      <c r="C58" s="29">
        <v>9.6132768537202793</v>
      </c>
      <c r="D58" s="29">
        <v>18.040305544438691</v>
      </c>
      <c r="E58" s="49">
        <f t="shared" si="10"/>
        <v>6.9881924344625215E-2</v>
      </c>
      <c r="F58" s="49">
        <f t="shared" si="11"/>
        <v>7.4285521333775001E-2</v>
      </c>
      <c r="G58" s="49">
        <f t="shared" si="12"/>
        <v>0.13368953959285057</v>
      </c>
      <c r="H58" s="50">
        <f t="shared" si="13"/>
        <v>0.811140107792645</v>
      </c>
      <c r="I58" s="49">
        <f t="shared" si="14"/>
        <v>7.3355895546533033E-3</v>
      </c>
      <c r="J58" s="28"/>
    </row>
    <row r="59" spans="1:10" ht="12.75" customHeight="1" x14ac:dyDescent="0.25">
      <c r="B59" s="82" t="s">
        <v>9</v>
      </c>
      <c r="C59" s="29">
        <v>19.922849793244371</v>
      </c>
      <c r="D59" s="29">
        <v>10.66678188762965</v>
      </c>
      <c r="E59" s="49">
        <f t="shared" si="10"/>
        <v>0.14482544330781905</v>
      </c>
      <c r="F59" s="49">
        <f t="shared" si="11"/>
        <v>4.3923172560705735E-2</v>
      </c>
      <c r="G59" s="49">
        <f t="shared" si="12"/>
        <v>0.27851498290066962</v>
      </c>
      <c r="H59" s="50">
        <f t="shared" si="13"/>
        <v>0.85506328035335077</v>
      </c>
      <c r="I59" s="49">
        <f t="shared" si="14"/>
        <v>9.0526651858931044E-3</v>
      </c>
      <c r="J59" s="28"/>
    </row>
    <row r="60" spans="1:10" ht="12.75" customHeight="1" thickBot="1" x14ac:dyDescent="0.3">
      <c r="B60" s="86" t="s">
        <v>4</v>
      </c>
      <c r="C60" s="32">
        <v>99.250775937174438</v>
      </c>
      <c r="D60" s="32">
        <v>35.198012480601541</v>
      </c>
      <c r="E60" s="49">
        <f t="shared" si="10"/>
        <v>0.72148501709933044</v>
      </c>
      <c r="F60" s="49">
        <f t="shared" si="11"/>
        <v>0.14493671964664934</v>
      </c>
      <c r="G60" s="51">
        <f t="shared" si="12"/>
        <v>1</v>
      </c>
      <c r="H60" s="52">
        <f t="shared" si="13"/>
        <v>1</v>
      </c>
      <c r="I60" s="51">
        <f t="shared" si="14"/>
        <v>9.2651883820357439E-2</v>
      </c>
      <c r="J60" s="28"/>
    </row>
    <row r="61" spans="1:10" ht="12.75" customHeight="1" thickBot="1" x14ac:dyDescent="0.3">
      <c r="B61" s="35" t="s">
        <v>12</v>
      </c>
      <c r="C61" s="6">
        <f t="shared" ref="C61:I61" si="15">SUM(C49:C60)</f>
        <v>137.5645697206628</v>
      </c>
      <c r="D61" s="6">
        <f t="shared" si="15"/>
        <v>242.85089773256263</v>
      </c>
      <c r="E61" s="6">
        <f t="shared" si="15"/>
        <v>1</v>
      </c>
      <c r="F61" s="6">
        <f t="shared" si="15"/>
        <v>1</v>
      </c>
      <c r="G61" s="6">
        <f t="shared" si="15"/>
        <v>1.5253462455189313</v>
      </c>
      <c r="H61" s="6">
        <f t="shared" si="15"/>
        <v>6.7924265139990769</v>
      </c>
      <c r="I61" s="106">
        <f t="shared" si="15"/>
        <v>0.11124997832406239</v>
      </c>
      <c r="J61" s="28"/>
    </row>
    <row r="62" spans="1:10" ht="12.75" customHeight="1" thickBot="1" x14ac:dyDescent="0.3">
      <c r="B62" s="4"/>
      <c r="C62" s="4"/>
      <c r="D62" s="4"/>
      <c r="E62" s="50"/>
      <c r="F62" s="50"/>
      <c r="G62" s="50"/>
      <c r="H62" s="53"/>
      <c r="I62" s="53"/>
      <c r="J62" s="9"/>
    </row>
    <row r="63" spans="1:10" ht="12.75" customHeight="1" thickBot="1" x14ac:dyDescent="0.3">
      <c r="B63" s="4"/>
      <c r="C63" s="4"/>
      <c r="D63" s="4"/>
      <c r="E63" s="50"/>
      <c r="F63" s="50"/>
      <c r="G63" s="55"/>
      <c r="H63" s="56" t="s">
        <v>29</v>
      </c>
      <c r="I63" s="52">
        <f>1-(2*I61)</f>
        <v>0.77750004335187528</v>
      </c>
      <c r="J63" s="9"/>
    </row>
    <row r="64" spans="1:10" ht="12.75" customHeight="1" x14ac:dyDescent="0.25"/>
    <row r="65" spans="2:14" ht="12.75" customHeight="1" x14ac:dyDescent="0.25"/>
    <row r="66" spans="2:14" ht="12.75" customHeight="1" x14ac:dyDescent="0.25"/>
    <row r="67" spans="2:14" ht="12.75" customHeight="1" x14ac:dyDescent="0.25"/>
    <row r="68" spans="2:14" ht="16.2" thickBot="1" x14ac:dyDescent="0.35">
      <c r="B68" s="256" t="s">
        <v>98</v>
      </c>
      <c r="C68" s="256"/>
      <c r="D68" s="256"/>
      <c r="E68" s="256"/>
      <c r="F68" s="256"/>
      <c r="G68" s="256"/>
      <c r="H68" s="256"/>
      <c r="I68" s="256"/>
    </row>
    <row r="69" spans="2:14" ht="37.200000000000003" customHeight="1" thickBot="1" x14ac:dyDescent="0.3">
      <c r="B69" s="36" t="s">
        <v>19</v>
      </c>
      <c r="C69" s="37" t="s">
        <v>93</v>
      </c>
      <c r="D69" s="37" t="s">
        <v>41</v>
      </c>
      <c r="E69" s="37" t="s">
        <v>91</v>
      </c>
      <c r="F69" s="37" t="s">
        <v>16</v>
      </c>
      <c r="G69" s="37" t="s">
        <v>92</v>
      </c>
      <c r="H69" s="37" t="s">
        <v>116</v>
      </c>
      <c r="I69" s="37" t="s">
        <v>20</v>
      </c>
      <c r="J69" s="8"/>
      <c r="K69" s="8"/>
      <c r="L69" s="8"/>
      <c r="M69" s="8"/>
      <c r="N69" s="8"/>
    </row>
    <row r="70" spans="2:14" ht="12.75" customHeight="1" x14ac:dyDescent="0.25">
      <c r="B70" s="4"/>
      <c r="C70" s="26">
        <v>0</v>
      </c>
      <c r="D70" s="26">
        <v>0</v>
      </c>
      <c r="E70" s="49">
        <f t="shared" ref="E70:E81" si="16">C70/$C$82</f>
        <v>0</v>
      </c>
      <c r="F70" s="49">
        <v>0</v>
      </c>
      <c r="G70" s="49">
        <v>0</v>
      </c>
      <c r="H70" s="50">
        <f>F70</f>
        <v>0</v>
      </c>
      <c r="I70" s="49">
        <v>0</v>
      </c>
    </row>
    <row r="71" spans="2:14" ht="12.75" customHeight="1" x14ac:dyDescent="0.25">
      <c r="B71" s="82" t="s">
        <v>195</v>
      </c>
      <c r="C71" s="29">
        <v>0</v>
      </c>
      <c r="D71" s="29">
        <v>3.417870084897213</v>
      </c>
      <c r="E71" s="49">
        <f t="shared" si="16"/>
        <v>0</v>
      </c>
      <c r="F71" s="49">
        <f t="shared" ref="F71:F81" si="17">D71/$D$82</f>
        <v>1.4073944617083984E-2</v>
      </c>
      <c r="G71" s="49">
        <f t="shared" ref="G71:G81" si="18">G70+E71</f>
        <v>0</v>
      </c>
      <c r="H71" s="50">
        <f t="shared" ref="H71:H81" si="19">F71+H70</f>
        <v>1.4073944617083984E-2</v>
      </c>
      <c r="I71" s="49">
        <f t="shared" ref="I71:I81" si="20">(G70+G71)*0.5*(H71-H70)</f>
        <v>0</v>
      </c>
    </row>
    <row r="72" spans="2:14" ht="12.75" customHeight="1" x14ac:dyDescent="0.25">
      <c r="B72" s="82" t="s">
        <v>3</v>
      </c>
      <c r="C72" s="29">
        <v>1.7243620509396349</v>
      </c>
      <c r="D72" s="29">
        <v>1.2198420797181784</v>
      </c>
      <c r="E72" s="49">
        <f t="shared" si="16"/>
        <v>6.2417053793151073E-3</v>
      </c>
      <c r="F72" s="49">
        <f t="shared" si="17"/>
        <v>5.0230083195390062E-3</v>
      </c>
      <c r="G72" s="49">
        <f t="shared" si="18"/>
        <v>6.2417053793151073E-3</v>
      </c>
      <c r="H72" s="50">
        <f t="shared" si="19"/>
        <v>1.9096952936622991E-2</v>
      </c>
      <c r="I72" s="49">
        <f t="shared" si="20"/>
        <v>1.5676069024205578E-5</v>
      </c>
    </row>
    <row r="73" spans="2:14" ht="12.75" customHeight="1" x14ac:dyDescent="0.25">
      <c r="B73" s="82" t="s">
        <v>1</v>
      </c>
      <c r="C73" s="29">
        <v>3.7154038785419865</v>
      </c>
      <c r="D73" s="29">
        <v>5.4561668557066705</v>
      </c>
      <c r="E73" s="49">
        <f t="shared" si="16"/>
        <v>1.3448716504974607E-2</v>
      </c>
      <c r="F73" s="49">
        <f t="shared" si="17"/>
        <v>2.2467147153457202E-2</v>
      </c>
      <c r="G73" s="49">
        <f t="shared" si="18"/>
        <v>1.9690421884289714E-2</v>
      </c>
      <c r="H73" s="50">
        <f t="shared" si="19"/>
        <v>4.1564100090080193E-2</v>
      </c>
      <c r="I73" s="49">
        <f t="shared" si="20"/>
        <v>2.9131045961679447E-4</v>
      </c>
    </row>
    <row r="74" spans="2:14" ht="12.75" customHeight="1" x14ac:dyDescent="0.25">
      <c r="B74" s="111" t="s">
        <v>6</v>
      </c>
      <c r="C74" s="29">
        <v>7.1379012070421028</v>
      </c>
      <c r="D74" s="29">
        <v>10.319534957876666</v>
      </c>
      <c r="E74" s="49">
        <f t="shared" si="16"/>
        <v>2.5837193724332408E-2</v>
      </c>
      <c r="F74" s="49">
        <f t="shared" si="17"/>
        <v>4.2493295492121101E-2</v>
      </c>
      <c r="G74" s="49">
        <f t="shared" si="18"/>
        <v>4.5527615608622118E-2</v>
      </c>
      <c r="H74" s="50">
        <f t="shared" si="19"/>
        <v>8.4057395582201294E-2</v>
      </c>
      <c r="I74" s="49">
        <f t="shared" si="20"/>
        <v>1.3856646693012676E-3</v>
      </c>
    </row>
    <row r="75" spans="2:14" ht="12.75" customHeight="1" x14ac:dyDescent="0.25">
      <c r="B75" s="82" t="s">
        <v>5</v>
      </c>
      <c r="C75" s="29">
        <v>9.6132768537202793</v>
      </c>
      <c r="D75" s="29">
        <v>18.040305544438691</v>
      </c>
      <c r="E75" s="49">
        <f t="shared" si="16"/>
        <v>3.4797356980811815E-2</v>
      </c>
      <c r="F75" s="49">
        <f t="shared" si="17"/>
        <v>7.4285521333775001E-2</v>
      </c>
      <c r="G75" s="49">
        <f t="shared" si="18"/>
        <v>8.0324972589433941E-2</v>
      </c>
      <c r="H75" s="50">
        <f t="shared" si="19"/>
        <v>0.1583429169159763</v>
      </c>
      <c r="I75" s="49">
        <f t="shared" si="20"/>
        <v>4.6745125627487465E-3</v>
      </c>
    </row>
    <row r="76" spans="2:14" ht="12.75" customHeight="1" x14ac:dyDescent="0.25">
      <c r="B76" s="82" t="s">
        <v>9</v>
      </c>
      <c r="C76" s="29">
        <v>19.922849793244371</v>
      </c>
      <c r="D76" s="29">
        <v>10.66678188762965</v>
      </c>
      <c r="E76" s="49">
        <f t="shared" si="16"/>
        <v>7.2115109850636294E-2</v>
      </c>
      <c r="F76" s="49">
        <f t="shared" si="17"/>
        <v>4.3923172560705735E-2</v>
      </c>
      <c r="G76" s="49">
        <f t="shared" si="18"/>
        <v>0.15244008244007023</v>
      </c>
      <c r="H76" s="50">
        <f t="shared" si="19"/>
        <v>0.20226608947668204</v>
      </c>
      <c r="I76" s="49">
        <f t="shared" si="20"/>
        <v>5.11188983908154E-3</v>
      </c>
    </row>
    <row r="77" spans="2:14" ht="12.75" customHeight="1" x14ac:dyDescent="0.25">
      <c r="B77" s="111" t="s">
        <v>10</v>
      </c>
      <c r="C77" s="29">
        <v>21.1</v>
      </c>
      <c r="D77" s="29">
        <v>36.784837150434882</v>
      </c>
      <c r="E77" s="49">
        <f t="shared" si="16"/>
        <v>7.6376062342466397E-2</v>
      </c>
      <c r="F77" s="49">
        <f t="shared" si="17"/>
        <v>0.15147087160840497</v>
      </c>
      <c r="G77" s="49">
        <f t="shared" si="18"/>
        <v>0.22881614478253665</v>
      </c>
      <c r="H77" s="50">
        <f t="shared" si="19"/>
        <v>0.35373696108508701</v>
      </c>
      <c r="I77" s="49">
        <f t="shared" si="20"/>
        <v>2.887460652177018E-2</v>
      </c>
    </row>
    <row r="78" spans="2:14" ht="12.75" customHeight="1" x14ac:dyDescent="0.25">
      <c r="B78" s="82" t="s">
        <v>8</v>
      </c>
      <c r="C78" s="29">
        <v>23.5</v>
      </c>
      <c r="D78" s="29">
        <v>10.401745214818051</v>
      </c>
      <c r="E78" s="49">
        <f t="shared" si="16"/>
        <v>8.506338696909764E-2</v>
      </c>
      <c r="F78" s="49">
        <f t="shared" si="17"/>
        <v>4.2831817019976098E-2</v>
      </c>
      <c r="G78" s="49">
        <f t="shared" si="18"/>
        <v>0.3138795317516343</v>
      </c>
      <c r="H78" s="50">
        <f t="shared" si="19"/>
        <v>0.39656877810506308</v>
      </c>
      <c r="I78" s="49">
        <f t="shared" si="20"/>
        <v>1.1622320957421866E-2</v>
      </c>
    </row>
    <row r="79" spans="2:14" ht="12.75" customHeight="1" x14ac:dyDescent="0.25">
      <c r="B79" s="82" t="s">
        <v>7</v>
      </c>
      <c r="C79" s="29">
        <v>33.799999999999997</v>
      </c>
      <c r="D79" s="29">
        <v>33.609418342428306</v>
      </c>
      <c r="E79" s="49">
        <f t="shared" si="16"/>
        <v>0.12234648849172342</v>
      </c>
      <c r="F79" s="49">
        <f t="shared" si="17"/>
        <v>0.13839528145142119</v>
      </c>
      <c r="G79" s="49">
        <f t="shared" si="18"/>
        <v>0.43622602024335771</v>
      </c>
      <c r="H79" s="50">
        <f t="shared" si="19"/>
        <v>0.53496405955648429</v>
      </c>
      <c r="I79" s="49">
        <f t="shared" si="20"/>
        <v>5.1905534493310292E-2</v>
      </c>
    </row>
    <row r="80" spans="2:14" ht="12.75" customHeight="1" x14ac:dyDescent="0.25">
      <c r="B80" s="82" t="s">
        <v>2</v>
      </c>
      <c r="C80" s="29">
        <v>56.5</v>
      </c>
      <c r="D80" s="29">
        <v>77.736383134012783</v>
      </c>
      <c r="E80" s="49">
        <f t="shared" si="16"/>
        <v>0.20451410058527733</v>
      </c>
      <c r="F80" s="49">
        <f t="shared" si="17"/>
        <v>0.32009922079686637</v>
      </c>
      <c r="G80" s="49">
        <f t="shared" si="18"/>
        <v>0.64074012082863507</v>
      </c>
      <c r="H80" s="50">
        <f t="shared" si="19"/>
        <v>0.85506328035335066</v>
      </c>
      <c r="I80" s="49">
        <f t="shared" si="20"/>
        <v>0.17236801129087648</v>
      </c>
    </row>
    <row r="81" spans="1:14" ht="12.75" customHeight="1" thickBot="1" x14ac:dyDescent="0.3">
      <c r="B81" s="86" t="s">
        <v>4</v>
      </c>
      <c r="C81" s="32">
        <v>99.250775937174438</v>
      </c>
      <c r="D81" s="32">
        <v>35.198012480601541</v>
      </c>
      <c r="E81" s="51">
        <f t="shared" si="16"/>
        <v>0.35925987917136487</v>
      </c>
      <c r="F81" s="51">
        <f t="shared" si="17"/>
        <v>0.14493671964664934</v>
      </c>
      <c r="G81" s="51">
        <f t="shared" si="18"/>
        <v>1</v>
      </c>
      <c r="H81" s="52">
        <f t="shared" si="19"/>
        <v>1</v>
      </c>
      <c r="I81" s="51">
        <f t="shared" si="20"/>
        <v>0.11890174545277472</v>
      </c>
    </row>
    <row r="82" spans="1:14" ht="12.75" customHeight="1" thickBot="1" x14ac:dyDescent="0.3">
      <c r="B82" s="38" t="s">
        <v>12</v>
      </c>
      <c r="C82" s="32">
        <f>SUM(C70:C81)</f>
        <v>276.26456972066285</v>
      </c>
      <c r="D82" s="32">
        <f>SUM(D70:D81)</f>
        <v>242.85089773256263</v>
      </c>
      <c r="E82" s="51">
        <f>SUM(E71:E81)</f>
        <v>1</v>
      </c>
      <c r="F82" s="51">
        <f>SUM(F71:F81)</f>
        <v>1</v>
      </c>
      <c r="G82" s="52"/>
      <c r="H82" s="52"/>
      <c r="I82" s="51">
        <f>SUM(I70:I81)</f>
        <v>0.39515127231592612</v>
      </c>
    </row>
    <row r="83" spans="1:14" ht="12.75" customHeight="1" thickBot="1" x14ac:dyDescent="0.3">
      <c r="B83" s="47"/>
      <c r="C83" s="29"/>
      <c r="D83" s="29"/>
      <c r="E83" s="26"/>
      <c r="F83" s="27"/>
      <c r="G83" s="4"/>
      <c r="H83" s="40"/>
      <c r="I83" s="34"/>
    </row>
    <row r="84" spans="1:14" ht="12.75" customHeight="1" thickBot="1" x14ac:dyDescent="0.3">
      <c r="B84" s="4"/>
      <c r="C84" s="4"/>
      <c r="D84" s="4"/>
      <c r="E84" s="4"/>
      <c r="F84" s="4"/>
      <c r="G84" s="5"/>
      <c r="H84" s="48" t="s">
        <v>37</v>
      </c>
      <c r="I84" s="61">
        <f>1-(2*I82)</f>
        <v>0.20969745536814777</v>
      </c>
    </row>
    <row r="85" spans="1:14" ht="12.75" customHeight="1" x14ac:dyDescent="0.25">
      <c r="B85" s="4"/>
      <c r="C85" s="4"/>
      <c r="D85" s="4"/>
      <c r="E85" s="4"/>
      <c r="F85" s="4"/>
      <c r="G85" s="5"/>
      <c r="H85" s="107"/>
      <c r="I85" s="108"/>
    </row>
    <row r="86" spans="1:14" ht="12.75" customHeight="1" x14ac:dyDescent="0.25">
      <c r="B86" s="4"/>
      <c r="C86" s="4"/>
      <c r="D86" s="4"/>
      <c r="E86" s="4"/>
      <c r="F86" s="4"/>
      <c r="G86" s="5"/>
      <c r="H86" s="107"/>
      <c r="I86" s="108"/>
    </row>
    <row r="87" spans="1:14" ht="12.75" customHeight="1" x14ac:dyDescent="0.25"/>
    <row r="88" spans="1:14" ht="12.75" customHeight="1" x14ac:dyDescent="0.25"/>
    <row r="89" spans="1:14" ht="23.55" customHeight="1" x14ac:dyDescent="0.25">
      <c r="A89" s="252" t="s">
        <v>113</v>
      </c>
      <c r="B89" s="252"/>
      <c r="C89" s="252"/>
      <c r="D89" s="252"/>
      <c r="E89" s="252"/>
      <c r="F89" s="252"/>
    </row>
    <row r="90" spans="1:14" ht="12.75" customHeight="1" x14ac:dyDescent="0.25">
      <c r="D90" s="1"/>
    </row>
    <row r="91" spans="1:14" ht="12.75" customHeight="1" x14ac:dyDescent="0.25"/>
    <row r="92" spans="1:14" ht="16.2" thickBot="1" x14ac:dyDescent="0.35">
      <c r="B92" s="256" t="s">
        <v>99</v>
      </c>
      <c r="C92" s="256"/>
      <c r="D92" s="256"/>
      <c r="E92" s="256"/>
      <c r="F92" s="256"/>
      <c r="G92" s="256"/>
      <c r="H92" s="256"/>
      <c r="I92" s="256"/>
    </row>
    <row r="93" spans="1:14" ht="27" thickBot="1" x14ac:dyDescent="0.3">
      <c r="A93" s="8"/>
      <c r="B93" s="36" t="s">
        <v>19</v>
      </c>
      <c r="C93" s="37" t="s">
        <v>42</v>
      </c>
      <c r="D93" s="37" t="s">
        <v>44</v>
      </c>
      <c r="E93" s="37" t="s">
        <v>27</v>
      </c>
      <c r="F93" s="37" t="s">
        <v>21</v>
      </c>
      <c r="G93" s="37" t="s">
        <v>28</v>
      </c>
      <c r="H93" s="37" t="s">
        <v>117</v>
      </c>
      <c r="I93" s="37" t="s">
        <v>20</v>
      </c>
      <c r="J93" s="8"/>
      <c r="K93" s="8"/>
      <c r="L93" s="8"/>
      <c r="M93" s="8"/>
      <c r="N93" s="8"/>
    </row>
    <row r="94" spans="1:14" ht="12.75" customHeight="1" x14ac:dyDescent="0.25">
      <c r="B94" s="4"/>
      <c r="C94" s="26">
        <v>0</v>
      </c>
      <c r="D94" s="26">
        <v>0</v>
      </c>
      <c r="E94" s="49">
        <v>0</v>
      </c>
      <c r="F94" s="49">
        <v>0</v>
      </c>
      <c r="G94" s="49">
        <v>0</v>
      </c>
      <c r="H94" s="50">
        <f>F94</f>
        <v>0</v>
      </c>
      <c r="I94" s="49">
        <v>0</v>
      </c>
    </row>
    <row r="95" spans="1:14" ht="12.75" customHeight="1" x14ac:dyDescent="0.25">
      <c r="B95" s="82" t="s">
        <v>2</v>
      </c>
      <c r="C95" s="29">
        <v>6.1708763765961825</v>
      </c>
      <c r="D95" s="29">
        <v>33738.127951375733</v>
      </c>
      <c r="E95" s="49">
        <f t="shared" ref="E95:E105" si="21">C95/$C$106</f>
        <v>3.1349739129321592E-3</v>
      </c>
      <c r="F95" s="49">
        <f t="shared" ref="F95:F105" si="22">D95/$D$106</f>
        <v>6.1580410728501248E-2</v>
      </c>
      <c r="G95" s="49">
        <f t="shared" ref="G95:G105" si="23">G94+E95</f>
        <v>3.1349739129321592E-3</v>
      </c>
      <c r="H95" s="50">
        <f t="shared" ref="H95:H105" si="24">F95+H94</f>
        <v>6.1580410728501248E-2</v>
      </c>
      <c r="I95" s="49">
        <f t="shared" ref="I95:I105" si="25">(G94+G95)*0.5*(H95-H94)</f>
        <v>9.6526490590749533E-5</v>
      </c>
    </row>
    <row r="96" spans="1:14" ht="12.75" customHeight="1" x14ac:dyDescent="0.25">
      <c r="B96" s="82" t="s">
        <v>3</v>
      </c>
      <c r="C96" s="29">
        <v>13.182085485309447</v>
      </c>
      <c r="D96" s="29">
        <v>4739.5256339269945</v>
      </c>
      <c r="E96" s="49">
        <f t="shared" si="21"/>
        <v>6.6968598287301395E-3</v>
      </c>
      <c r="F96" s="49">
        <f t="shared" si="22"/>
        <v>8.6508040877704764E-3</v>
      </c>
      <c r="G96" s="49">
        <f t="shared" si="23"/>
        <v>9.8318337416622992E-3</v>
      </c>
      <c r="H96" s="50">
        <f t="shared" si="24"/>
        <v>7.0231214816271731E-2</v>
      </c>
      <c r="I96" s="49">
        <f t="shared" si="25"/>
        <v>5.6086656331849666E-5</v>
      </c>
    </row>
    <row r="97" spans="2:9" ht="12.75" customHeight="1" x14ac:dyDescent="0.25">
      <c r="B97" s="82" t="s">
        <v>1</v>
      </c>
      <c r="C97" s="29">
        <v>15.871876151835586</v>
      </c>
      <c r="D97" s="29">
        <v>7498.2226388555227</v>
      </c>
      <c r="E97" s="49">
        <f t="shared" si="21"/>
        <v>8.0633470270134941E-3</v>
      </c>
      <c r="F97" s="49">
        <f t="shared" si="22"/>
        <v>1.3686107021111144E-2</v>
      </c>
      <c r="G97" s="49">
        <f t="shared" si="23"/>
        <v>1.7895180768675793E-2</v>
      </c>
      <c r="H97" s="50">
        <f t="shared" si="24"/>
        <v>8.3917321837382874E-2</v>
      </c>
      <c r="I97" s="49">
        <f t="shared" si="25"/>
        <v>1.8973744398219437E-4</v>
      </c>
    </row>
    <row r="98" spans="2:9" ht="12.75" customHeight="1" x14ac:dyDescent="0.25">
      <c r="B98" s="111" t="s">
        <v>6</v>
      </c>
      <c r="C98" s="29">
        <v>22.418457014166282</v>
      </c>
      <c r="D98" s="29">
        <v>12709.055149886017</v>
      </c>
      <c r="E98" s="49">
        <f t="shared" si="21"/>
        <v>1.1389189090572739E-2</v>
      </c>
      <c r="F98" s="49">
        <f t="shared" si="22"/>
        <v>2.3197162487174745E-2</v>
      </c>
      <c r="G98" s="49">
        <f t="shared" si="23"/>
        <v>2.9284369859248531E-2</v>
      </c>
      <c r="H98" s="50">
        <f t="shared" si="24"/>
        <v>0.10711448432455761</v>
      </c>
      <c r="I98" s="49">
        <f t="shared" si="25"/>
        <v>5.4721585099392375E-4</v>
      </c>
    </row>
    <row r="99" spans="2:9" ht="12.75" customHeight="1" x14ac:dyDescent="0.25">
      <c r="B99" s="82" t="s">
        <v>195</v>
      </c>
      <c r="C99" s="29">
        <v>25.16220706497537</v>
      </c>
      <c r="D99" s="29">
        <v>4549.0211045835586</v>
      </c>
      <c r="E99" s="49">
        <f t="shared" si="21"/>
        <v>1.2783089131337673E-2</v>
      </c>
      <c r="F99" s="49">
        <f t="shared" si="22"/>
        <v>8.3030863015460567E-3</v>
      </c>
      <c r="G99" s="49">
        <f t="shared" si="23"/>
        <v>4.2067458990586205E-2</v>
      </c>
      <c r="H99" s="50">
        <f t="shared" si="24"/>
        <v>0.11541757062610367</v>
      </c>
      <c r="I99" s="49">
        <f t="shared" si="25"/>
        <v>2.9622019635666062E-4</v>
      </c>
    </row>
    <row r="100" spans="2:9" ht="12.75" customHeight="1" x14ac:dyDescent="0.25">
      <c r="B100" s="82" t="s">
        <v>5</v>
      </c>
      <c r="C100" s="29">
        <v>63.760730908375784</v>
      </c>
      <c r="D100" s="29">
        <v>34543.134541376516</v>
      </c>
      <c r="E100" s="49">
        <f t="shared" si="21"/>
        <v>3.2392194539068442E-2</v>
      </c>
      <c r="F100" s="49">
        <f t="shared" si="22"/>
        <v>6.3049746446323052E-2</v>
      </c>
      <c r="G100" s="49">
        <f t="shared" si="23"/>
        <v>7.445965352965464E-2</v>
      </c>
      <c r="H100" s="50">
        <f t="shared" si="24"/>
        <v>0.17846731707242672</v>
      </c>
      <c r="I100" s="49">
        <f t="shared" si="25"/>
        <v>3.6735024492616708E-3</v>
      </c>
    </row>
    <row r="101" spans="2:9" ht="12.75" customHeight="1" x14ac:dyDescent="0.25">
      <c r="B101" s="82" t="s">
        <v>9</v>
      </c>
      <c r="C101" s="29">
        <v>121.15404716969931</v>
      </c>
      <c r="D101" s="29">
        <v>43226.930239887697</v>
      </c>
      <c r="E101" s="49">
        <f t="shared" si="21"/>
        <v>6.1549568350397439E-2</v>
      </c>
      <c r="F101" s="49">
        <f t="shared" si="22"/>
        <v>7.8899816923481969E-2</v>
      </c>
      <c r="G101" s="49">
        <f t="shared" si="23"/>
        <v>0.13600922188005207</v>
      </c>
      <c r="H101" s="50">
        <f t="shared" si="24"/>
        <v>0.25736713399590871</v>
      </c>
      <c r="I101" s="49">
        <f t="shared" si="25"/>
        <v>8.3029778689585002E-3</v>
      </c>
    </row>
    <row r="102" spans="2:9" ht="12.75" customHeight="1" x14ac:dyDescent="0.25">
      <c r="B102" s="111" t="s">
        <v>10</v>
      </c>
      <c r="C102" s="29">
        <v>269.86691573503549</v>
      </c>
      <c r="D102" s="29">
        <v>69411.089457609574</v>
      </c>
      <c r="E102" s="49">
        <f t="shared" si="21"/>
        <v>0.13709977143626723</v>
      </c>
      <c r="F102" s="49">
        <f t="shared" si="22"/>
        <v>0.12669237024865945</v>
      </c>
      <c r="G102" s="49">
        <f t="shared" si="23"/>
        <v>0.27310899331631933</v>
      </c>
      <c r="H102" s="50">
        <f t="shared" si="24"/>
        <v>0.38405950424456814</v>
      </c>
      <c r="I102" s="49">
        <f t="shared" si="25"/>
        <v>2.5916078197564703E-2</v>
      </c>
    </row>
    <row r="103" spans="2:9" ht="12.75" customHeight="1" x14ac:dyDescent="0.25">
      <c r="B103" s="82" t="s">
        <v>7</v>
      </c>
      <c r="C103" s="29">
        <v>368.0970843230341</v>
      </c>
      <c r="D103" s="29">
        <v>179268.67227891536</v>
      </c>
      <c r="E103" s="49">
        <f t="shared" si="21"/>
        <v>0.18700338272140635</v>
      </c>
      <c r="F103" s="49">
        <f t="shared" si="22"/>
        <v>0.327209573856588</v>
      </c>
      <c r="G103" s="49">
        <f t="shared" si="23"/>
        <v>0.4601123760377257</v>
      </c>
      <c r="H103" s="50">
        <f t="shared" si="24"/>
        <v>0.71126907810115614</v>
      </c>
      <c r="I103" s="49">
        <f t="shared" si="25"/>
        <v>0.11995852590444049</v>
      </c>
    </row>
    <row r="104" spans="2:9" ht="12.75" customHeight="1" x14ac:dyDescent="0.25">
      <c r="B104" s="82" t="s">
        <v>4</v>
      </c>
      <c r="C104" s="29">
        <v>450.59399496771118</v>
      </c>
      <c r="D104" s="29">
        <v>149774.72401466093</v>
      </c>
      <c r="E104" s="49">
        <f t="shared" si="21"/>
        <v>0.22891406881932075</v>
      </c>
      <c r="F104" s="49">
        <f t="shared" si="22"/>
        <v>0.273375838602054</v>
      </c>
      <c r="G104" s="49">
        <f t="shared" si="23"/>
        <v>0.68902644485704645</v>
      </c>
      <c r="H104" s="50">
        <f t="shared" si="24"/>
        <v>0.98464491670321008</v>
      </c>
      <c r="I104" s="49">
        <f t="shared" si="25"/>
        <v>0.1570733944161419</v>
      </c>
    </row>
    <row r="105" spans="2:9" ht="12.75" customHeight="1" thickBot="1" x14ac:dyDescent="0.3">
      <c r="B105" s="86" t="s">
        <v>8</v>
      </c>
      <c r="C105" s="32">
        <v>612.11972363206985</v>
      </c>
      <c r="D105" s="32">
        <v>8412.6065227973904</v>
      </c>
      <c r="E105" s="51">
        <f t="shared" si="21"/>
        <v>0.31097355514295349</v>
      </c>
      <c r="F105" s="51">
        <f t="shared" si="22"/>
        <v>1.5355083296789959E-2</v>
      </c>
      <c r="G105" s="51">
        <f t="shared" si="23"/>
        <v>1</v>
      </c>
      <c r="H105" s="52">
        <f t="shared" si="24"/>
        <v>1</v>
      </c>
      <c r="I105" s="51">
        <f t="shared" si="25"/>
        <v>1.2967570875630446E-2</v>
      </c>
    </row>
    <row r="106" spans="2:9" ht="12.75" customHeight="1" thickBot="1" x14ac:dyDescent="0.3">
      <c r="B106" s="38" t="s">
        <v>12</v>
      </c>
      <c r="C106" s="32">
        <f>SUM(C95:C105)</f>
        <v>1968.3979988288088</v>
      </c>
      <c r="D106" s="32">
        <f>SUM(D94:D105)</f>
        <v>547871.10953387525</v>
      </c>
      <c r="E106" s="39">
        <f>SUM(E95:E105)</f>
        <v>1</v>
      </c>
      <c r="F106" s="33">
        <f>SUM(F95:F105)</f>
        <v>1</v>
      </c>
      <c r="G106" s="40"/>
      <c r="H106" s="40"/>
      <c r="I106" s="51">
        <f>SUM(I94:I105)</f>
        <v>0.32907783635025306</v>
      </c>
    </row>
    <row r="107" spans="2:9" ht="12.75" customHeight="1" thickBot="1" x14ac:dyDescent="0.3">
      <c r="B107" s="4"/>
      <c r="C107" s="4"/>
      <c r="D107" s="4"/>
      <c r="E107" s="4"/>
      <c r="F107" s="4"/>
      <c r="G107" s="4"/>
      <c r="H107" s="7"/>
      <c r="I107" s="53"/>
    </row>
    <row r="108" spans="2:9" ht="12.75" customHeight="1" thickBot="1" x14ac:dyDescent="0.3">
      <c r="B108" s="4"/>
      <c r="C108" s="4"/>
      <c r="D108" s="4"/>
      <c r="E108" s="4"/>
      <c r="F108" s="4"/>
      <c r="G108" s="5"/>
      <c r="H108" s="24" t="s">
        <v>29</v>
      </c>
      <c r="I108" s="52">
        <f>1-(2*I106)</f>
        <v>0.34184432729949388</v>
      </c>
    </row>
    <row r="109" spans="2:9" ht="12.75" customHeight="1" x14ac:dyDescent="0.25"/>
    <row r="110" spans="2:9" ht="12.75" customHeight="1" x14ac:dyDescent="0.25"/>
    <row r="111" spans="2:9" ht="12.75" customHeight="1" x14ac:dyDescent="0.25"/>
    <row r="112" spans="2:9" ht="12.75" customHeight="1" x14ac:dyDescent="0.25"/>
    <row r="113" spans="1:14" ht="16.2" thickBot="1" x14ac:dyDescent="0.35">
      <c r="B113" s="256" t="s">
        <v>100</v>
      </c>
      <c r="C113" s="256"/>
      <c r="D113" s="256"/>
      <c r="E113" s="256"/>
      <c r="F113" s="256"/>
      <c r="G113" s="256"/>
      <c r="H113" s="256"/>
      <c r="I113" s="256"/>
    </row>
    <row r="114" spans="1:14" ht="27" thickBot="1" x14ac:dyDescent="0.3">
      <c r="A114" s="8"/>
      <c r="B114" s="30" t="s">
        <v>19</v>
      </c>
      <c r="C114" s="31" t="s">
        <v>43</v>
      </c>
      <c r="D114" s="31" t="s">
        <v>44</v>
      </c>
      <c r="E114" s="31" t="s">
        <v>31</v>
      </c>
      <c r="F114" s="31" t="s">
        <v>21</v>
      </c>
      <c r="G114" s="31" t="s">
        <v>32</v>
      </c>
      <c r="H114" s="31" t="s">
        <v>117</v>
      </c>
      <c r="I114" s="31" t="s">
        <v>20</v>
      </c>
      <c r="J114" s="8"/>
      <c r="K114" s="8"/>
      <c r="L114" s="8"/>
      <c r="M114" s="8"/>
      <c r="N114" s="8"/>
    </row>
    <row r="115" spans="1:14" ht="12.75" customHeight="1" x14ac:dyDescent="0.25">
      <c r="B115" s="4"/>
      <c r="C115" s="26">
        <v>0</v>
      </c>
      <c r="D115" s="26">
        <v>0</v>
      </c>
      <c r="E115" s="49">
        <f t="shared" ref="E115:E126" si="26">C115/$C$127</f>
        <v>0</v>
      </c>
      <c r="F115" s="49">
        <v>0</v>
      </c>
      <c r="G115" s="49">
        <v>0</v>
      </c>
      <c r="H115" s="50">
        <f>F115</f>
        <v>0</v>
      </c>
      <c r="I115" s="49">
        <v>0</v>
      </c>
    </row>
    <row r="116" spans="1:14" ht="12.75" customHeight="1" x14ac:dyDescent="0.25">
      <c r="B116" s="82" t="s">
        <v>3</v>
      </c>
      <c r="C116" s="29">
        <v>11.510442510728991</v>
      </c>
      <c r="D116" s="29">
        <v>4739.5256339269945</v>
      </c>
      <c r="E116" s="49">
        <f t="shared" si="26"/>
        <v>5.3657375780652326E-3</v>
      </c>
      <c r="F116" s="49">
        <f t="shared" ref="F116:F126" si="27">D116/$D$127</f>
        <v>8.6508040877704764E-3</v>
      </c>
      <c r="G116" s="49">
        <f t="shared" ref="G116:G126" si="28">G115+E116</f>
        <v>5.3657375780652326E-3</v>
      </c>
      <c r="H116" s="50">
        <f t="shared" ref="H116:H126" si="29">F116+H115</f>
        <v>8.6508040877704764E-3</v>
      </c>
      <c r="I116" s="49">
        <f t="shared" ref="I116:I126" si="30">(G115+G116)*0.5*(H116-H115)</f>
        <v>2.3208972287115185E-5</v>
      </c>
    </row>
    <row r="117" spans="1:14" ht="12.75" customHeight="1" x14ac:dyDescent="0.25">
      <c r="B117" s="82" t="s">
        <v>1</v>
      </c>
      <c r="C117" s="29">
        <v>12.176363633955253</v>
      </c>
      <c r="D117" s="29">
        <v>7498.2226388555227</v>
      </c>
      <c r="E117" s="49">
        <f t="shared" si="26"/>
        <v>5.676165086963521E-3</v>
      </c>
      <c r="F117" s="49">
        <f t="shared" si="27"/>
        <v>1.3686107021111144E-2</v>
      </c>
      <c r="G117" s="49">
        <f t="shared" si="28"/>
        <v>1.1041902665028754E-2</v>
      </c>
      <c r="H117" s="50">
        <f t="shared" si="29"/>
        <v>2.233691110888162E-2</v>
      </c>
      <c r="I117" s="49">
        <f t="shared" si="30"/>
        <v>1.1227836016543719E-4</v>
      </c>
    </row>
    <row r="118" spans="1:14" ht="12.75" customHeight="1" x14ac:dyDescent="0.25">
      <c r="B118" s="111" t="s">
        <v>6</v>
      </c>
      <c r="C118" s="29">
        <v>19.178798274543777</v>
      </c>
      <c r="D118" s="29">
        <v>12709.055149886017</v>
      </c>
      <c r="E118" s="49">
        <f t="shared" si="26"/>
        <v>8.9404380854976075E-3</v>
      </c>
      <c r="F118" s="49">
        <f t="shared" si="27"/>
        <v>2.3197162487174745E-2</v>
      </c>
      <c r="G118" s="49">
        <f t="shared" si="28"/>
        <v>1.9982340750526361E-2</v>
      </c>
      <c r="H118" s="50">
        <f t="shared" si="29"/>
        <v>4.5534073596056365E-2</v>
      </c>
      <c r="I118" s="49">
        <f t="shared" si="30"/>
        <v>3.5983720777614661E-4</v>
      </c>
    </row>
    <row r="119" spans="1:14" ht="12.75" customHeight="1" x14ac:dyDescent="0.25">
      <c r="B119" s="82" t="s">
        <v>195</v>
      </c>
      <c r="C119" s="29">
        <v>26.348760919978375</v>
      </c>
      <c r="D119" s="29">
        <v>4549.0211045835586</v>
      </c>
      <c r="E119" s="49">
        <f t="shared" si="26"/>
        <v>1.2282806370997683E-2</v>
      </c>
      <c r="F119" s="49">
        <f t="shared" si="27"/>
        <v>8.3030863015460567E-3</v>
      </c>
      <c r="G119" s="49">
        <f t="shared" si="28"/>
        <v>3.2265147121524042E-2</v>
      </c>
      <c r="H119" s="50">
        <f t="shared" si="29"/>
        <v>5.3837159897602418E-2</v>
      </c>
      <c r="I119" s="49">
        <f t="shared" si="30"/>
        <v>2.169077004203076E-4</v>
      </c>
    </row>
    <row r="120" spans="1:14" ht="12.75" customHeight="1" x14ac:dyDescent="0.25">
      <c r="B120" s="82" t="s">
        <v>5</v>
      </c>
      <c r="C120" s="29">
        <v>56.120784967398201</v>
      </c>
      <c r="D120" s="29">
        <v>34543.134541376516</v>
      </c>
      <c r="E120" s="49">
        <f t="shared" si="26"/>
        <v>2.6161409913598142E-2</v>
      </c>
      <c r="F120" s="49">
        <f t="shared" si="27"/>
        <v>6.3049746446323052E-2</v>
      </c>
      <c r="G120" s="49">
        <f t="shared" si="28"/>
        <v>5.8426557035122187E-2</v>
      </c>
      <c r="H120" s="50">
        <f t="shared" si="29"/>
        <v>0.11688690634392547</v>
      </c>
      <c r="I120" s="49">
        <f t="shared" si="30"/>
        <v>2.8590444759307439E-3</v>
      </c>
    </row>
    <row r="121" spans="1:14" ht="12.75" customHeight="1" x14ac:dyDescent="0.25">
      <c r="B121" s="82" t="s">
        <v>2</v>
      </c>
      <c r="C121" s="29">
        <v>62.121962749452486</v>
      </c>
      <c r="D121" s="29">
        <v>33738.127951375733</v>
      </c>
      <c r="E121" s="49">
        <f t="shared" si="26"/>
        <v>2.8958934431687192E-2</v>
      </c>
      <c r="F121" s="49">
        <f t="shared" si="27"/>
        <v>6.1580410728501248E-2</v>
      </c>
      <c r="G121" s="49">
        <f t="shared" si="28"/>
        <v>8.7385491466809379E-2</v>
      </c>
      <c r="H121" s="50">
        <f t="shared" si="29"/>
        <v>0.17846731707242672</v>
      </c>
      <c r="I121" s="49">
        <f t="shared" si="30"/>
        <v>4.4895829179565456E-3</v>
      </c>
    </row>
    <row r="122" spans="1:14" ht="12.75" customHeight="1" x14ac:dyDescent="0.25">
      <c r="B122" s="82" t="s">
        <v>9</v>
      </c>
      <c r="C122" s="29">
        <v>116.98056120230014</v>
      </c>
      <c r="D122" s="29">
        <v>43226.930239887697</v>
      </c>
      <c r="E122" s="49">
        <f t="shared" si="26"/>
        <v>5.4531960223185919E-2</v>
      </c>
      <c r="F122" s="49">
        <f t="shared" si="27"/>
        <v>7.8899816923481969E-2</v>
      </c>
      <c r="G122" s="49">
        <f t="shared" si="28"/>
        <v>0.14191745168999531</v>
      </c>
      <c r="H122" s="50">
        <f t="shared" si="29"/>
        <v>0.25736713399590871</v>
      </c>
      <c r="I122" s="49">
        <f t="shared" si="30"/>
        <v>9.0459801175437442E-3</v>
      </c>
    </row>
    <row r="123" spans="1:14" ht="12.75" customHeight="1" x14ac:dyDescent="0.25">
      <c r="B123" s="111" t="s">
        <v>10</v>
      </c>
      <c r="C123" s="29">
        <v>280.95574944054727</v>
      </c>
      <c r="D123" s="29">
        <v>69411.089457609574</v>
      </c>
      <c r="E123" s="49">
        <f t="shared" si="26"/>
        <v>0.13097105703290182</v>
      </c>
      <c r="F123" s="49">
        <f t="shared" si="27"/>
        <v>0.12669237024865945</v>
      </c>
      <c r="G123" s="49">
        <f t="shared" si="28"/>
        <v>0.27288850872289716</v>
      </c>
      <c r="H123" s="50">
        <f t="shared" si="29"/>
        <v>0.38405950424456814</v>
      </c>
      <c r="I123" s="49">
        <f t="shared" si="30"/>
        <v>2.6276375158990468E-2</v>
      </c>
    </row>
    <row r="124" spans="1:14" ht="12.75" customHeight="1" x14ac:dyDescent="0.25">
      <c r="B124" s="82" t="s">
        <v>4</v>
      </c>
      <c r="C124" s="29">
        <v>352.00180915217976</v>
      </c>
      <c r="D124" s="29">
        <v>149774.72401466093</v>
      </c>
      <c r="E124" s="49">
        <f t="shared" si="26"/>
        <v>0.16409007152889876</v>
      </c>
      <c r="F124" s="49">
        <f t="shared" si="27"/>
        <v>0.273375838602054</v>
      </c>
      <c r="G124" s="49">
        <f t="shared" si="28"/>
        <v>0.43697858025179592</v>
      </c>
      <c r="H124" s="50">
        <f t="shared" si="29"/>
        <v>0.65743534284662219</v>
      </c>
      <c r="I124" s="49">
        <f t="shared" si="30"/>
        <v>9.7030255372227828E-2</v>
      </c>
    </row>
    <row r="125" spans="1:14" ht="12.75" customHeight="1" x14ac:dyDescent="0.25">
      <c r="B125" s="82" t="s">
        <v>7</v>
      </c>
      <c r="C125" s="29">
        <v>450.8843159365635</v>
      </c>
      <c r="D125" s="29">
        <v>179268.67227891536</v>
      </c>
      <c r="E125" s="49">
        <f t="shared" si="26"/>
        <v>0.21018539601114189</v>
      </c>
      <c r="F125" s="49">
        <f t="shared" si="27"/>
        <v>0.327209573856588</v>
      </c>
      <c r="G125" s="49">
        <f t="shared" si="28"/>
        <v>0.64716397626293776</v>
      </c>
      <c r="H125" s="50">
        <f t="shared" si="29"/>
        <v>0.98464491670321019</v>
      </c>
      <c r="I125" s="49">
        <f t="shared" si="30"/>
        <v>0.17737091195848895</v>
      </c>
    </row>
    <row r="126" spans="1:14" ht="12.75" customHeight="1" thickBot="1" x14ac:dyDescent="0.3">
      <c r="B126" s="86" t="s">
        <v>8</v>
      </c>
      <c r="C126" s="32">
        <v>756.89478060611373</v>
      </c>
      <c r="D126" s="32">
        <v>8412.6065227973904</v>
      </c>
      <c r="E126" s="51">
        <f t="shared" si="26"/>
        <v>0.35283602373706219</v>
      </c>
      <c r="F126" s="51">
        <f t="shared" si="27"/>
        <v>1.5355083296789959E-2</v>
      </c>
      <c r="G126" s="51">
        <f t="shared" si="28"/>
        <v>1</v>
      </c>
      <c r="H126" s="52">
        <f t="shared" si="29"/>
        <v>1.0000000000000002</v>
      </c>
      <c r="I126" s="51">
        <f t="shared" si="30"/>
        <v>1.2646170029494641E-2</v>
      </c>
    </row>
    <row r="127" spans="1:14" ht="12.75" customHeight="1" thickBot="1" x14ac:dyDescent="0.3">
      <c r="B127" s="38" t="s">
        <v>12</v>
      </c>
      <c r="C127" s="32">
        <f>SUM(C115:C126)</f>
        <v>2145.1743293937616</v>
      </c>
      <c r="D127" s="32">
        <f>SUM(D115:D126)</f>
        <v>547871.10953387525</v>
      </c>
      <c r="E127" s="51">
        <f>SUM(E116:E126)</f>
        <v>1</v>
      </c>
      <c r="F127" s="51">
        <f>SUM(F116:F126)</f>
        <v>1.0000000000000002</v>
      </c>
      <c r="G127" s="52"/>
      <c r="H127" s="52"/>
      <c r="I127" s="51">
        <f>SUM(I115:I126)</f>
        <v>0.33043055227128193</v>
      </c>
    </row>
    <row r="128" spans="1:14" ht="12.75" customHeight="1" thickBot="1" x14ac:dyDescent="0.3">
      <c r="B128" s="4"/>
      <c r="C128" s="4"/>
      <c r="D128" s="4"/>
      <c r="E128" s="50"/>
      <c r="F128" s="50"/>
      <c r="G128" s="50"/>
      <c r="H128" s="53"/>
      <c r="I128" s="53"/>
    </row>
    <row r="129" spans="1:14" ht="12.75" customHeight="1" thickBot="1" x14ac:dyDescent="0.3">
      <c r="B129" s="4"/>
      <c r="C129" s="4"/>
      <c r="D129" s="4"/>
      <c r="E129" s="50"/>
      <c r="F129" s="50"/>
      <c r="G129" s="55"/>
      <c r="H129" s="56" t="s">
        <v>29</v>
      </c>
      <c r="I129" s="52">
        <f>1-(2*I127)</f>
        <v>0.33913889545743614</v>
      </c>
    </row>
    <row r="130" spans="1:14" ht="12.75" customHeight="1" x14ac:dyDescent="0.25"/>
    <row r="131" spans="1:14" ht="12.75" customHeight="1" x14ac:dyDescent="0.25"/>
    <row r="132" spans="1:14" ht="12.75" customHeight="1" x14ac:dyDescent="0.25"/>
    <row r="133" spans="1:14" ht="12.75" customHeight="1" x14ac:dyDescent="0.25"/>
    <row r="134" spans="1:14" ht="16.2" thickBot="1" x14ac:dyDescent="0.35">
      <c r="B134" s="256" t="s">
        <v>105</v>
      </c>
      <c r="C134" s="256"/>
      <c r="D134" s="256"/>
      <c r="E134" s="256"/>
      <c r="F134" s="256"/>
      <c r="G134" s="256"/>
      <c r="H134" s="256"/>
      <c r="I134" s="256"/>
    </row>
    <row r="135" spans="1:14" ht="27" thickBot="1" x14ac:dyDescent="0.3">
      <c r="A135" s="8"/>
      <c r="B135" s="30" t="s">
        <v>19</v>
      </c>
      <c r="C135" s="31" t="s">
        <v>38</v>
      </c>
      <c r="D135" s="31" t="s">
        <v>34</v>
      </c>
      <c r="E135" s="31" t="s">
        <v>15</v>
      </c>
      <c r="F135" s="31" t="s">
        <v>21</v>
      </c>
      <c r="G135" s="31" t="s">
        <v>17</v>
      </c>
      <c r="H135" s="31" t="s">
        <v>117</v>
      </c>
      <c r="I135" s="31" t="s">
        <v>20</v>
      </c>
      <c r="J135" s="8"/>
      <c r="K135" s="8"/>
      <c r="L135" s="8"/>
      <c r="M135" s="8"/>
      <c r="N135" s="8"/>
    </row>
    <row r="136" spans="1:14" ht="12.75" customHeight="1" x14ac:dyDescent="0.25">
      <c r="B136" s="4"/>
      <c r="C136" s="26">
        <v>0</v>
      </c>
      <c r="D136" s="26">
        <v>0</v>
      </c>
      <c r="E136" s="49">
        <v>0</v>
      </c>
      <c r="F136" s="49">
        <v>0</v>
      </c>
      <c r="G136" s="49">
        <v>0</v>
      </c>
      <c r="H136" s="50">
        <f>F136</f>
        <v>0</v>
      </c>
      <c r="I136" s="49">
        <v>0</v>
      </c>
    </row>
    <row r="137" spans="1:14" ht="12.75" customHeight="1" x14ac:dyDescent="0.25">
      <c r="B137" s="82" t="s">
        <v>195</v>
      </c>
      <c r="C137" s="29">
        <v>0</v>
      </c>
      <c r="D137" s="29">
        <v>4549.0211045835586</v>
      </c>
      <c r="E137" s="49">
        <f t="shared" ref="E137:E147" si="31">C137/$C$148</f>
        <v>0</v>
      </c>
      <c r="F137" s="49">
        <f t="shared" ref="F137:F147" si="32">D137/$D$148</f>
        <v>8.3030863015460567E-3</v>
      </c>
      <c r="G137" s="49">
        <f t="shared" ref="G137:G147" si="33">G136+E137</f>
        <v>0</v>
      </c>
      <c r="H137" s="50">
        <f t="shared" ref="H137:H147" si="34">F137+H136</f>
        <v>8.3030863015460567E-3</v>
      </c>
      <c r="I137" s="49">
        <f t="shared" ref="I137:I147" si="35">(G136+G137)*0.5*(H137-H136)</f>
        <v>0</v>
      </c>
    </row>
    <row r="138" spans="1:14" ht="12.75" customHeight="1" x14ac:dyDescent="0.25">
      <c r="B138" s="82" t="s">
        <v>2</v>
      </c>
      <c r="C138" s="29">
        <v>0</v>
      </c>
      <c r="D138" s="29">
        <v>33738.127951375733</v>
      </c>
      <c r="E138" s="49">
        <f t="shared" si="31"/>
        <v>0</v>
      </c>
      <c r="F138" s="49">
        <f t="shared" si="32"/>
        <v>6.1580410728501248E-2</v>
      </c>
      <c r="G138" s="49">
        <f t="shared" si="33"/>
        <v>0</v>
      </c>
      <c r="H138" s="50">
        <f t="shared" si="34"/>
        <v>6.9883497030047301E-2</v>
      </c>
      <c r="I138" s="49">
        <f t="shared" si="35"/>
        <v>0</v>
      </c>
    </row>
    <row r="139" spans="1:14" ht="12.75" customHeight="1" x14ac:dyDescent="0.25">
      <c r="B139" s="82" t="s">
        <v>7</v>
      </c>
      <c r="C139" s="29">
        <v>0</v>
      </c>
      <c r="D139" s="29">
        <v>179268.67227891536</v>
      </c>
      <c r="E139" s="49">
        <f t="shared" si="31"/>
        <v>0</v>
      </c>
      <c r="F139" s="49">
        <f t="shared" si="32"/>
        <v>0.327209573856588</v>
      </c>
      <c r="G139" s="49">
        <f t="shared" si="33"/>
        <v>0</v>
      </c>
      <c r="H139" s="50">
        <f t="shared" si="34"/>
        <v>0.39709307088663531</v>
      </c>
      <c r="I139" s="49">
        <f t="shared" si="35"/>
        <v>0</v>
      </c>
    </row>
    <row r="140" spans="1:14" ht="12.75" customHeight="1" x14ac:dyDescent="0.25">
      <c r="B140" s="82" t="s">
        <v>8</v>
      </c>
      <c r="C140" s="29">
        <v>0</v>
      </c>
      <c r="D140" s="29">
        <v>8412.6065227973904</v>
      </c>
      <c r="E140" s="49">
        <f t="shared" si="31"/>
        <v>0</v>
      </c>
      <c r="F140" s="49">
        <f t="shared" si="32"/>
        <v>1.5355083296789959E-2</v>
      </c>
      <c r="G140" s="49">
        <f t="shared" si="33"/>
        <v>0</v>
      </c>
      <c r="H140" s="50">
        <f t="shared" si="34"/>
        <v>0.41244815418342529</v>
      </c>
      <c r="I140" s="49">
        <f t="shared" si="35"/>
        <v>0</v>
      </c>
    </row>
    <row r="141" spans="1:14" ht="12.75" customHeight="1" x14ac:dyDescent="0.25">
      <c r="B141" s="111" t="s">
        <v>10</v>
      </c>
      <c r="C141" s="29">
        <v>0</v>
      </c>
      <c r="D141" s="29">
        <v>69411.089457609574</v>
      </c>
      <c r="E141" s="49">
        <f t="shared" si="31"/>
        <v>0</v>
      </c>
      <c r="F141" s="49">
        <f t="shared" si="32"/>
        <v>0.12669237024865945</v>
      </c>
      <c r="G141" s="49">
        <f t="shared" si="33"/>
        <v>0</v>
      </c>
      <c r="H141" s="50">
        <f t="shared" si="34"/>
        <v>0.53914052443208471</v>
      </c>
      <c r="I141" s="49">
        <f t="shared" si="35"/>
        <v>0</v>
      </c>
    </row>
    <row r="142" spans="1:14" ht="12.75" customHeight="1" x14ac:dyDescent="0.25">
      <c r="B142" s="82" t="s">
        <v>3</v>
      </c>
      <c r="C142" s="29">
        <v>1.7243620509396349</v>
      </c>
      <c r="D142" s="29">
        <v>4739.5256339269945</v>
      </c>
      <c r="E142" s="49">
        <f t="shared" si="31"/>
        <v>1.2534928538947977E-2</v>
      </c>
      <c r="F142" s="49">
        <f t="shared" si="32"/>
        <v>8.6508040877704764E-3</v>
      </c>
      <c r="G142" s="49">
        <f t="shared" si="33"/>
        <v>1.2534928538947977E-2</v>
      </c>
      <c r="H142" s="50">
        <f t="shared" si="34"/>
        <v>0.54779132851985524</v>
      </c>
      <c r="I142" s="49">
        <f t="shared" si="35"/>
        <v>5.4218605522321291E-5</v>
      </c>
    </row>
    <row r="143" spans="1:14" ht="12.75" customHeight="1" x14ac:dyDescent="0.25">
      <c r="B143" s="111" t="s">
        <v>6</v>
      </c>
      <c r="C143" s="29">
        <v>3.337901207042103</v>
      </c>
      <c r="D143" s="29">
        <v>12709.055149886017</v>
      </c>
      <c r="E143" s="49">
        <f t="shared" si="31"/>
        <v>2.4264250699289874E-2</v>
      </c>
      <c r="F143" s="49">
        <f t="shared" si="32"/>
        <v>2.3197162487174745E-2</v>
      </c>
      <c r="G143" s="49">
        <f t="shared" si="33"/>
        <v>3.6799179238237847E-2</v>
      </c>
      <c r="H143" s="50">
        <f t="shared" si="34"/>
        <v>0.57098849100702997</v>
      </c>
      <c r="I143" s="49">
        <f t="shared" si="35"/>
        <v>5.7220565713358529E-4</v>
      </c>
    </row>
    <row r="144" spans="1:14" ht="12.75" customHeight="1" x14ac:dyDescent="0.25">
      <c r="B144" s="82" t="s">
        <v>1</v>
      </c>
      <c r="C144" s="29">
        <v>3.7154038785419865</v>
      </c>
      <c r="D144" s="29">
        <v>7498.2226388555227</v>
      </c>
      <c r="E144" s="49">
        <f t="shared" si="31"/>
        <v>2.7008436009987508E-2</v>
      </c>
      <c r="F144" s="49">
        <f t="shared" si="32"/>
        <v>1.3686107021111144E-2</v>
      </c>
      <c r="G144" s="49">
        <f t="shared" si="33"/>
        <v>6.3807615248225355E-2</v>
      </c>
      <c r="H144" s="50">
        <f t="shared" si="34"/>
        <v>0.58467459802814115</v>
      </c>
      <c r="I144" s="49">
        <f t="shared" si="35"/>
        <v>6.884576781963364E-4</v>
      </c>
    </row>
    <row r="145" spans="1:14" ht="12.75" customHeight="1" x14ac:dyDescent="0.25">
      <c r="B145" s="82" t="s">
        <v>5</v>
      </c>
      <c r="C145" s="29">
        <v>9.6132768537202793</v>
      </c>
      <c r="D145" s="29">
        <v>34543.134541376516</v>
      </c>
      <c r="E145" s="49">
        <f t="shared" si="31"/>
        <v>6.9881924344625215E-2</v>
      </c>
      <c r="F145" s="49">
        <f t="shared" si="32"/>
        <v>6.3049746446323052E-2</v>
      </c>
      <c r="G145" s="49">
        <f t="shared" si="33"/>
        <v>0.13368953959285057</v>
      </c>
      <c r="H145" s="50">
        <f t="shared" si="34"/>
        <v>0.64772434447446425</v>
      </c>
      <c r="I145" s="49">
        <f t="shared" si="35"/>
        <v>6.2260727683000261E-3</v>
      </c>
    </row>
    <row r="146" spans="1:14" ht="12.75" customHeight="1" x14ac:dyDescent="0.25">
      <c r="B146" s="82" t="s">
        <v>9</v>
      </c>
      <c r="C146" s="29">
        <v>19.922849793244371</v>
      </c>
      <c r="D146" s="29">
        <v>43226.930239887697</v>
      </c>
      <c r="E146" s="49">
        <f t="shared" si="31"/>
        <v>0.14482544330781905</v>
      </c>
      <c r="F146" s="49">
        <f t="shared" si="32"/>
        <v>7.8899816923481969E-2</v>
      </c>
      <c r="G146" s="49">
        <f t="shared" si="33"/>
        <v>0.27851498290066962</v>
      </c>
      <c r="H146" s="50">
        <f t="shared" si="34"/>
        <v>0.72662416139794628</v>
      </c>
      <c r="I146" s="49">
        <f t="shared" si="35"/>
        <v>1.6261430679885034E-2</v>
      </c>
    </row>
    <row r="147" spans="1:14" ht="12.75" customHeight="1" thickBot="1" x14ac:dyDescent="0.3">
      <c r="B147" s="86" t="s">
        <v>4</v>
      </c>
      <c r="C147" s="32">
        <v>99.250775937174438</v>
      </c>
      <c r="D147" s="32">
        <v>149774.72401466093</v>
      </c>
      <c r="E147" s="51">
        <f t="shared" si="31"/>
        <v>0.72148501709933044</v>
      </c>
      <c r="F147" s="51">
        <f t="shared" si="32"/>
        <v>0.273375838602054</v>
      </c>
      <c r="G147" s="51">
        <f t="shared" si="33"/>
        <v>1</v>
      </c>
      <c r="H147" s="52">
        <f t="shared" si="34"/>
        <v>1.0000000000000002</v>
      </c>
      <c r="I147" s="51">
        <f t="shared" si="35"/>
        <v>0.17475755280788061</v>
      </c>
    </row>
    <row r="148" spans="1:14" ht="12.75" customHeight="1" thickBot="1" x14ac:dyDescent="0.3">
      <c r="B148" s="38" t="s">
        <v>12</v>
      </c>
      <c r="C148" s="32">
        <f>SUM(C136:C147)</f>
        <v>137.5645697206628</v>
      </c>
      <c r="D148" s="32">
        <f>SUM(D136:D147)</f>
        <v>547871.10953387525</v>
      </c>
      <c r="E148" s="51">
        <f>SUM(E137:E147)</f>
        <v>1</v>
      </c>
      <c r="F148" s="51">
        <f>SUM(F137:F147)</f>
        <v>1.0000000000000002</v>
      </c>
      <c r="G148" s="52"/>
      <c r="H148" s="52"/>
      <c r="I148" s="51">
        <f>SUM(I136:I147)</f>
        <v>0.19855993819691792</v>
      </c>
    </row>
    <row r="149" spans="1:14" ht="12.75" customHeight="1" thickBot="1" x14ac:dyDescent="0.3">
      <c r="B149" s="4"/>
      <c r="C149" s="4"/>
      <c r="D149" s="4"/>
      <c r="E149" s="50"/>
      <c r="F149" s="50"/>
      <c r="G149" s="50"/>
      <c r="H149" s="53"/>
      <c r="I149" s="53"/>
    </row>
    <row r="150" spans="1:14" ht="12.75" customHeight="1" thickBot="1" x14ac:dyDescent="0.3">
      <c r="B150" s="4"/>
      <c r="C150" s="4"/>
      <c r="D150" s="4"/>
      <c r="E150" s="50"/>
      <c r="F150" s="50"/>
      <c r="G150" s="55"/>
      <c r="H150" s="56" t="s">
        <v>33</v>
      </c>
      <c r="I150" s="52">
        <f>1-(2*I148)</f>
        <v>0.60288012360616416</v>
      </c>
    </row>
    <row r="151" spans="1:14" ht="12.75" customHeight="1" x14ac:dyDescent="0.25"/>
    <row r="152" spans="1:14" ht="12.75" customHeight="1" x14ac:dyDescent="0.25"/>
    <row r="153" spans="1:14" ht="12.75" customHeight="1" x14ac:dyDescent="0.25"/>
    <row r="154" spans="1:14" ht="12.75" customHeight="1" x14ac:dyDescent="0.25"/>
    <row r="155" spans="1:14" ht="16.2" thickBot="1" x14ac:dyDescent="0.35">
      <c r="B155" s="256" t="s">
        <v>101</v>
      </c>
      <c r="C155" s="256"/>
      <c r="D155" s="256"/>
      <c r="E155" s="256"/>
      <c r="F155" s="256"/>
      <c r="G155" s="256"/>
      <c r="H155" s="256"/>
      <c r="I155" s="256"/>
    </row>
    <row r="156" spans="1:14" ht="27" thickBot="1" x14ac:dyDescent="0.3">
      <c r="A156" s="8"/>
      <c r="B156" s="30" t="s">
        <v>19</v>
      </c>
      <c r="C156" s="31" t="s">
        <v>39</v>
      </c>
      <c r="D156" s="31" t="s">
        <v>40</v>
      </c>
      <c r="E156" s="31" t="s">
        <v>15</v>
      </c>
      <c r="F156" s="31" t="s">
        <v>21</v>
      </c>
      <c r="G156" s="31" t="s">
        <v>17</v>
      </c>
      <c r="H156" s="31" t="s">
        <v>117</v>
      </c>
      <c r="I156" s="31" t="s">
        <v>20</v>
      </c>
      <c r="J156" s="8"/>
      <c r="K156" s="8"/>
      <c r="L156" s="8"/>
      <c r="M156" s="8"/>
      <c r="N156" s="8"/>
    </row>
    <row r="157" spans="1:14" ht="12.75" customHeight="1" x14ac:dyDescent="0.25">
      <c r="B157" s="4"/>
      <c r="C157" s="26">
        <v>0</v>
      </c>
      <c r="D157" s="26">
        <v>0</v>
      </c>
      <c r="E157" s="49">
        <v>0</v>
      </c>
      <c r="F157" s="49">
        <v>0</v>
      </c>
      <c r="G157" s="49">
        <v>0</v>
      </c>
      <c r="H157" s="50">
        <f>F157</f>
        <v>0</v>
      </c>
      <c r="I157" s="49">
        <v>0</v>
      </c>
    </row>
    <row r="158" spans="1:14" ht="12.75" customHeight="1" x14ac:dyDescent="0.25">
      <c r="B158" s="82" t="s">
        <v>195</v>
      </c>
      <c r="C158" s="29">
        <v>0</v>
      </c>
      <c r="D158" s="29">
        <v>4549.0211045835586</v>
      </c>
      <c r="E158" s="49">
        <f t="shared" ref="E158:E168" si="36">C158/$C$169</f>
        <v>0</v>
      </c>
      <c r="F158" s="49">
        <f t="shared" ref="F158:F168" si="37">D158/$D$169</f>
        <v>8.3030863015460567E-3</v>
      </c>
      <c r="G158" s="49">
        <f t="shared" ref="G158:G168" si="38">G157+E158</f>
        <v>0</v>
      </c>
      <c r="H158" s="50">
        <f t="shared" ref="H158:H168" si="39">F158+H157</f>
        <v>8.3030863015460567E-3</v>
      </c>
      <c r="I158" s="49">
        <f t="shared" ref="I158:I168" si="40">(G157+G158)*0.5*(H158-H157)</f>
        <v>0</v>
      </c>
    </row>
    <row r="159" spans="1:14" ht="12.75" customHeight="1" x14ac:dyDescent="0.25">
      <c r="B159" s="82" t="s">
        <v>3</v>
      </c>
      <c r="C159" s="29">
        <v>1.7243620509396349</v>
      </c>
      <c r="D159" s="29">
        <v>4739.5256339269945</v>
      </c>
      <c r="E159" s="49">
        <f t="shared" si="36"/>
        <v>6.2417053793151073E-3</v>
      </c>
      <c r="F159" s="49">
        <f t="shared" si="37"/>
        <v>8.6508040877704764E-3</v>
      </c>
      <c r="G159" s="49">
        <f t="shared" si="38"/>
        <v>6.2417053793151073E-3</v>
      </c>
      <c r="H159" s="50">
        <f t="shared" si="39"/>
        <v>1.6953890389316533E-2</v>
      </c>
      <c r="I159" s="49">
        <f t="shared" si="40"/>
        <v>2.699788520501905E-5</v>
      </c>
    </row>
    <row r="160" spans="1:14" ht="12.75" customHeight="1" x14ac:dyDescent="0.25">
      <c r="B160" s="82" t="s">
        <v>1</v>
      </c>
      <c r="C160" s="29">
        <v>3.7154038785419865</v>
      </c>
      <c r="D160" s="29">
        <v>7498.2226388555227</v>
      </c>
      <c r="E160" s="49">
        <f t="shared" si="36"/>
        <v>1.3448716504974607E-2</v>
      </c>
      <c r="F160" s="49">
        <f t="shared" si="37"/>
        <v>1.3686107021111144E-2</v>
      </c>
      <c r="G160" s="49">
        <f t="shared" si="38"/>
        <v>1.9690421884289714E-2</v>
      </c>
      <c r="H160" s="50">
        <f t="shared" si="39"/>
        <v>3.0639997410427677E-2</v>
      </c>
      <c r="I160" s="49">
        <f t="shared" si="40"/>
        <v>1.7745493450738482E-4</v>
      </c>
    </row>
    <row r="161" spans="1:9" ht="12.75" customHeight="1" x14ac:dyDescent="0.25">
      <c r="B161" s="111" t="s">
        <v>6</v>
      </c>
      <c r="C161" s="29">
        <v>7.1379012070421028</v>
      </c>
      <c r="D161" s="29">
        <v>12709.055149886017</v>
      </c>
      <c r="E161" s="49">
        <f t="shared" si="36"/>
        <v>2.5837193724332408E-2</v>
      </c>
      <c r="F161" s="49">
        <f t="shared" si="37"/>
        <v>2.3197162487174745E-2</v>
      </c>
      <c r="G161" s="49">
        <f t="shared" si="38"/>
        <v>4.5527615608622118E-2</v>
      </c>
      <c r="H161" s="50">
        <f t="shared" si="39"/>
        <v>5.3837159897602418E-2</v>
      </c>
      <c r="I161" s="49">
        <f t="shared" si="40"/>
        <v>7.5643670640886508E-4</v>
      </c>
    </row>
    <row r="162" spans="1:9" ht="12.75" customHeight="1" x14ac:dyDescent="0.25">
      <c r="B162" s="82" t="s">
        <v>5</v>
      </c>
      <c r="C162" s="29">
        <v>9.6132768537202793</v>
      </c>
      <c r="D162" s="29">
        <v>34543.134541376516</v>
      </c>
      <c r="E162" s="49">
        <f t="shared" si="36"/>
        <v>3.4797356980811815E-2</v>
      </c>
      <c r="F162" s="49">
        <f t="shared" si="37"/>
        <v>6.3049746446323052E-2</v>
      </c>
      <c r="G162" s="49">
        <f t="shared" si="38"/>
        <v>8.0324972589433941E-2</v>
      </c>
      <c r="H162" s="50">
        <f t="shared" si="39"/>
        <v>0.11688690634392547</v>
      </c>
      <c r="I162" s="49">
        <f t="shared" si="40"/>
        <v>3.9674868877504713E-3</v>
      </c>
    </row>
    <row r="163" spans="1:9" ht="12.75" customHeight="1" x14ac:dyDescent="0.25">
      <c r="B163" s="82" t="s">
        <v>9</v>
      </c>
      <c r="C163" s="29">
        <v>19.922849793244371</v>
      </c>
      <c r="D163" s="29">
        <v>43226.930239887697</v>
      </c>
      <c r="E163" s="49">
        <f t="shared" si="36"/>
        <v>7.2115109850636294E-2</v>
      </c>
      <c r="F163" s="49">
        <f t="shared" si="37"/>
        <v>7.8899816923481969E-2</v>
      </c>
      <c r="G163" s="49">
        <f t="shared" si="38"/>
        <v>0.15244008244007023</v>
      </c>
      <c r="H163" s="50">
        <f t="shared" si="39"/>
        <v>0.19578672326740743</v>
      </c>
      <c r="I163" s="49">
        <f t="shared" si="40"/>
        <v>9.1825601140060418E-3</v>
      </c>
    </row>
    <row r="164" spans="1:9" ht="12.75" customHeight="1" x14ac:dyDescent="0.25">
      <c r="B164" s="111" t="s">
        <v>10</v>
      </c>
      <c r="C164" s="29">
        <v>21.1</v>
      </c>
      <c r="D164" s="29">
        <v>69411.089457609574</v>
      </c>
      <c r="E164" s="49">
        <f t="shared" si="36"/>
        <v>7.6376062342466397E-2</v>
      </c>
      <c r="F164" s="49">
        <f t="shared" si="37"/>
        <v>0.12669237024865945</v>
      </c>
      <c r="G164" s="49">
        <f t="shared" si="38"/>
        <v>0.22881614478253665</v>
      </c>
      <c r="H164" s="50">
        <f t="shared" si="39"/>
        <v>0.32247909351606685</v>
      </c>
      <c r="I164" s="49">
        <f t="shared" si="40"/>
        <v>2.4151127549446767E-2</v>
      </c>
    </row>
    <row r="165" spans="1:9" ht="12.75" customHeight="1" x14ac:dyDescent="0.25">
      <c r="B165" s="82" t="s">
        <v>8</v>
      </c>
      <c r="C165" s="29">
        <v>23.5</v>
      </c>
      <c r="D165" s="29">
        <v>8412.6065227973904</v>
      </c>
      <c r="E165" s="49">
        <f t="shared" si="36"/>
        <v>8.506338696909764E-2</v>
      </c>
      <c r="F165" s="49">
        <f t="shared" si="37"/>
        <v>1.5355083296789959E-2</v>
      </c>
      <c r="G165" s="49">
        <f t="shared" si="38"/>
        <v>0.3138795317516343</v>
      </c>
      <c r="H165" s="50">
        <f t="shared" si="39"/>
        <v>0.33783417681285682</v>
      </c>
      <c r="I165" s="49">
        <f t="shared" si="40"/>
        <v>4.1665686589949912E-3</v>
      </c>
    </row>
    <row r="166" spans="1:9" ht="12.75" customHeight="1" x14ac:dyDescent="0.25">
      <c r="B166" s="82" t="s">
        <v>7</v>
      </c>
      <c r="C166" s="29">
        <v>33.799999999999997</v>
      </c>
      <c r="D166" s="29">
        <v>179268.67227891536</v>
      </c>
      <c r="E166" s="49">
        <f t="shared" si="36"/>
        <v>0.12234648849172342</v>
      </c>
      <c r="F166" s="49">
        <f t="shared" si="37"/>
        <v>0.327209573856588</v>
      </c>
      <c r="G166" s="49">
        <f t="shared" si="38"/>
        <v>0.43622602024335771</v>
      </c>
      <c r="H166" s="50">
        <f t="shared" si="39"/>
        <v>0.66504375066944488</v>
      </c>
      <c r="I166" s="49">
        <f t="shared" si="40"/>
        <v>0.12272085900787104</v>
      </c>
    </row>
    <row r="167" spans="1:9" ht="12.75" customHeight="1" x14ac:dyDescent="0.25">
      <c r="B167" s="82" t="s">
        <v>2</v>
      </c>
      <c r="C167" s="29">
        <v>56.5</v>
      </c>
      <c r="D167" s="29">
        <v>33738.127951375733</v>
      </c>
      <c r="E167" s="49">
        <f t="shared" si="36"/>
        <v>0.20451410058527733</v>
      </c>
      <c r="F167" s="49">
        <f t="shared" si="37"/>
        <v>6.1580410728501248E-2</v>
      </c>
      <c r="G167" s="49">
        <f t="shared" si="38"/>
        <v>0.64074012082863507</v>
      </c>
      <c r="H167" s="50">
        <f t="shared" si="39"/>
        <v>0.72662416139794617</v>
      </c>
      <c r="I167" s="49">
        <f t="shared" si="40"/>
        <v>3.316000865395119E-2</v>
      </c>
    </row>
    <row r="168" spans="1:9" ht="12.75" customHeight="1" thickBot="1" x14ac:dyDescent="0.3">
      <c r="B168" s="86" t="s">
        <v>4</v>
      </c>
      <c r="C168" s="32">
        <v>99.250775937174438</v>
      </c>
      <c r="D168" s="32">
        <v>149774.72401466093</v>
      </c>
      <c r="E168" s="51">
        <f t="shared" si="36"/>
        <v>0.35925987917136487</v>
      </c>
      <c r="F168" s="51">
        <f t="shared" si="37"/>
        <v>0.273375838602054</v>
      </c>
      <c r="G168" s="51">
        <f t="shared" si="38"/>
        <v>1</v>
      </c>
      <c r="H168" s="52">
        <f t="shared" si="39"/>
        <v>1.0000000000000002</v>
      </c>
      <c r="I168" s="51">
        <f t="shared" si="40"/>
        <v>0.22426935322978181</v>
      </c>
    </row>
    <row r="169" spans="1:9" ht="12.75" customHeight="1" thickBot="1" x14ac:dyDescent="0.3">
      <c r="B169" s="38" t="s">
        <v>12</v>
      </c>
      <c r="C169" s="32">
        <f>SUM(C157:C168)</f>
        <v>276.26456972066285</v>
      </c>
      <c r="D169" s="32">
        <f>SUM(D157:D168)</f>
        <v>547871.10953387525</v>
      </c>
      <c r="E169" s="51">
        <f>SUM(E158:E168)</f>
        <v>1</v>
      </c>
      <c r="F169" s="51">
        <f>SUM(F158:F168)</f>
        <v>1.0000000000000002</v>
      </c>
      <c r="G169" s="52"/>
      <c r="H169" s="52"/>
      <c r="I169" s="51">
        <f>SUM(I157:I168)</f>
        <v>0.42257885362792358</v>
      </c>
    </row>
    <row r="170" spans="1:9" ht="12.75" customHeight="1" thickBot="1" x14ac:dyDescent="0.3">
      <c r="B170" s="4"/>
      <c r="C170" s="4"/>
      <c r="D170" s="4"/>
      <c r="E170" s="50"/>
      <c r="F170" s="50"/>
      <c r="G170" s="50"/>
      <c r="H170" s="53"/>
      <c r="I170" s="53"/>
    </row>
    <row r="171" spans="1:9" ht="12.75" customHeight="1" thickBot="1" x14ac:dyDescent="0.3">
      <c r="B171" s="4"/>
      <c r="C171" s="4"/>
      <c r="D171" s="4"/>
      <c r="E171" s="50"/>
      <c r="F171" s="50"/>
      <c r="G171" s="55"/>
      <c r="H171" s="57" t="s">
        <v>29</v>
      </c>
      <c r="I171" s="58">
        <f>1-(2*I169)</f>
        <v>0.15484229274415284</v>
      </c>
    </row>
    <row r="172" spans="1:9" ht="12.75" customHeight="1" x14ac:dyDescent="0.25">
      <c r="B172" s="4"/>
      <c r="C172" s="4"/>
      <c r="D172" s="4"/>
      <c r="E172" s="50"/>
      <c r="F172" s="50"/>
      <c r="G172" s="55"/>
      <c r="H172" s="116"/>
      <c r="I172" s="108"/>
    </row>
    <row r="173" spans="1:9" ht="12.75" customHeight="1" x14ac:dyDescent="0.25">
      <c r="B173" s="4"/>
      <c r="C173" s="4"/>
      <c r="D173" s="4"/>
      <c r="E173" s="50"/>
      <c r="F173" s="50"/>
      <c r="G173" s="55"/>
      <c r="H173" s="116"/>
      <c r="I173" s="108"/>
    </row>
    <row r="174" spans="1:9" ht="28.2" customHeight="1" x14ac:dyDescent="0.25">
      <c r="A174" s="252" t="s">
        <v>94</v>
      </c>
      <c r="B174" s="252"/>
      <c r="C174" s="252"/>
      <c r="D174" s="252"/>
      <c r="E174" s="252"/>
      <c r="F174" s="252"/>
      <c r="G174" s="55"/>
      <c r="H174" s="116"/>
      <c r="I174" s="108"/>
    </row>
    <row r="175" spans="1:9" ht="12.75" customHeight="1" x14ac:dyDescent="0.25"/>
    <row r="176" spans="1:9" ht="16.2" thickBot="1" x14ac:dyDescent="0.35">
      <c r="B176" s="256" t="s">
        <v>114</v>
      </c>
      <c r="C176" s="256"/>
      <c r="D176" s="256"/>
      <c r="E176" s="256"/>
      <c r="F176" s="256"/>
      <c r="G176" s="256"/>
      <c r="H176" s="256"/>
      <c r="I176" s="256"/>
    </row>
    <row r="177" spans="1:14" ht="42.6" customHeight="1" thickBot="1" x14ac:dyDescent="0.3">
      <c r="A177" s="8"/>
      <c r="B177" s="36" t="s">
        <v>19</v>
      </c>
      <c r="C177" s="37" t="s">
        <v>42</v>
      </c>
      <c r="D177" s="37" t="s">
        <v>115</v>
      </c>
      <c r="E177" s="37" t="s">
        <v>27</v>
      </c>
      <c r="F177" s="37" t="s">
        <v>21</v>
      </c>
      <c r="G177" s="37" t="s">
        <v>28</v>
      </c>
      <c r="H177" s="37" t="s">
        <v>117</v>
      </c>
      <c r="I177" s="37" t="s">
        <v>20</v>
      </c>
      <c r="J177" s="8"/>
      <c r="K177" s="8"/>
      <c r="L177" s="8"/>
      <c r="M177" s="8"/>
      <c r="N177" s="8"/>
    </row>
    <row r="178" spans="1:14" ht="12.75" customHeight="1" x14ac:dyDescent="0.25">
      <c r="B178" s="4"/>
      <c r="C178" s="26">
        <v>0</v>
      </c>
      <c r="D178" s="26">
        <v>0</v>
      </c>
      <c r="E178" s="49">
        <v>0</v>
      </c>
      <c r="F178" s="49">
        <v>0</v>
      </c>
      <c r="G178" s="49">
        <v>0</v>
      </c>
      <c r="H178" s="50">
        <f>F178</f>
        <v>0</v>
      </c>
      <c r="I178" s="49">
        <v>0</v>
      </c>
    </row>
    <row r="179" spans="1:14" ht="12.75" customHeight="1" x14ac:dyDescent="0.25">
      <c r="B179" s="82" t="s">
        <v>2</v>
      </c>
      <c r="C179" s="84">
        <v>6.1708763765961825</v>
      </c>
      <c r="D179" s="29">
        <v>251430.37783690859</v>
      </c>
      <c r="E179" s="49">
        <f t="shared" ref="E179:E189" si="41">C179/$C$190</f>
        <v>3.1349739129321592E-3</v>
      </c>
      <c r="F179" s="49">
        <f t="shared" ref="F179:F189" si="42">D179/$D$190</f>
        <v>8.2249727275718124E-2</v>
      </c>
      <c r="G179" s="49">
        <f t="shared" ref="G179:G189" si="43">G178+E179</f>
        <v>3.1349739129321592E-3</v>
      </c>
      <c r="H179" s="50">
        <f t="shared" ref="H179:H189" si="44">F179+H178</f>
        <v>8.2249727275718124E-2</v>
      </c>
      <c r="I179" s="49">
        <f t="shared" ref="I179:I189" si="45">(G178+G179)*0.5*(H179-H178)</f>
        <v>1.289253746775805E-4</v>
      </c>
    </row>
    <row r="180" spans="1:14" ht="12.75" customHeight="1" x14ac:dyDescent="0.25">
      <c r="B180" s="82" t="s">
        <v>3</v>
      </c>
      <c r="C180" s="84">
        <v>13.182085485309447</v>
      </c>
      <c r="D180" s="29">
        <v>24496.645034227455</v>
      </c>
      <c r="E180" s="49">
        <f t="shared" si="41"/>
        <v>6.6968598287301395E-3</v>
      </c>
      <c r="F180" s="49">
        <f t="shared" si="42"/>
        <v>8.0135200470573958E-3</v>
      </c>
      <c r="G180" s="49">
        <f t="shared" si="43"/>
        <v>9.8318337416622992E-3</v>
      </c>
      <c r="H180" s="50">
        <f t="shared" si="44"/>
        <v>9.0263247322775519E-2</v>
      </c>
      <c r="I180" s="49">
        <f t="shared" si="45"/>
        <v>5.1954886543214997E-5</v>
      </c>
    </row>
    <row r="181" spans="1:14" ht="12.75" customHeight="1" x14ac:dyDescent="0.25">
      <c r="B181" s="82" t="s">
        <v>1</v>
      </c>
      <c r="C181" s="84">
        <v>15.871876151835586</v>
      </c>
      <c r="D181" s="29">
        <v>13199.085501550475</v>
      </c>
      <c r="E181" s="49">
        <f t="shared" si="41"/>
        <v>8.0633470270134941E-3</v>
      </c>
      <c r="F181" s="49">
        <f t="shared" si="42"/>
        <v>4.3177805010323955E-3</v>
      </c>
      <c r="G181" s="49">
        <f t="shared" si="43"/>
        <v>1.7895180768675793E-2</v>
      </c>
      <c r="H181" s="50">
        <f t="shared" si="44"/>
        <v>9.4581027823807909E-2</v>
      </c>
      <c r="I181" s="49">
        <f t="shared" si="45"/>
        <v>5.9859581302289972E-5</v>
      </c>
    </row>
    <row r="182" spans="1:14" ht="12.75" customHeight="1" x14ac:dyDescent="0.25">
      <c r="B182" s="111" t="s">
        <v>6</v>
      </c>
      <c r="C182" s="84">
        <v>22.418457014166282</v>
      </c>
      <c r="D182" s="29">
        <v>20836.189535136225</v>
      </c>
      <c r="E182" s="49">
        <f t="shared" si="41"/>
        <v>1.1389189090572739E-2</v>
      </c>
      <c r="F182" s="49">
        <f t="shared" si="42"/>
        <v>6.8160853174303836E-3</v>
      </c>
      <c r="G182" s="49">
        <f t="shared" si="43"/>
        <v>2.9284369859248531E-2</v>
      </c>
      <c r="H182" s="50">
        <f t="shared" si="44"/>
        <v>0.1013971131412383</v>
      </c>
      <c r="I182" s="49">
        <f t="shared" si="45"/>
        <v>1.607899211589793E-4</v>
      </c>
    </row>
    <row r="183" spans="1:14" ht="12.75" customHeight="1" x14ac:dyDescent="0.25">
      <c r="B183" s="82" t="s">
        <v>195</v>
      </c>
      <c r="C183" s="84">
        <v>25.16220706497537</v>
      </c>
      <c r="D183" s="29">
        <v>20450.034940117202</v>
      </c>
      <c r="E183" s="49">
        <f t="shared" si="41"/>
        <v>1.2783089131337673E-2</v>
      </c>
      <c r="F183" s="49">
        <f t="shared" si="42"/>
        <v>6.6897636279041406E-3</v>
      </c>
      <c r="G183" s="49">
        <f t="shared" si="43"/>
        <v>4.2067458990586205E-2</v>
      </c>
      <c r="H183" s="50">
        <f t="shared" si="44"/>
        <v>0.10808687676914244</v>
      </c>
      <c r="I183" s="49">
        <f t="shared" si="45"/>
        <v>2.386634347120331E-4</v>
      </c>
    </row>
    <row r="184" spans="1:14" ht="12.75" customHeight="1" x14ac:dyDescent="0.25">
      <c r="B184" s="82" t="s">
        <v>5</v>
      </c>
      <c r="C184" s="84">
        <v>63.760730908375784</v>
      </c>
      <c r="D184" s="29">
        <v>49475.746319971244</v>
      </c>
      <c r="E184" s="49">
        <f t="shared" si="41"/>
        <v>3.2392194539068442E-2</v>
      </c>
      <c r="F184" s="49">
        <f t="shared" si="42"/>
        <v>1.6184864679397896E-2</v>
      </c>
      <c r="G184" s="49">
        <f t="shared" si="43"/>
        <v>7.445965352965464E-2</v>
      </c>
      <c r="H184" s="50">
        <f t="shared" si="44"/>
        <v>0.12427174144854033</v>
      </c>
      <c r="I184" s="49">
        <f t="shared" si="45"/>
        <v>9.4298777381053491E-4</v>
      </c>
    </row>
    <row r="185" spans="1:14" ht="12.75" customHeight="1" x14ac:dyDescent="0.25">
      <c r="B185" s="82" t="s">
        <v>9</v>
      </c>
      <c r="C185" s="84">
        <v>121.15404716969931</v>
      </c>
      <c r="D185" s="29">
        <v>119784.51078433092</v>
      </c>
      <c r="E185" s="49">
        <f t="shared" si="41"/>
        <v>6.1549568350397439E-2</v>
      </c>
      <c r="F185" s="49">
        <f t="shared" si="42"/>
        <v>3.9184777227902166E-2</v>
      </c>
      <c r="G185" s="49">
        <f t="shared" si="43"/>
        <v>0.13600922188005207</v>
      </c>
      <c r="H185" s="50">
        <f t="shared" si="44"/>
        <v>0.16345651867644251</v>
      </c>
      <c r="I185" s="49">
        <f t="shared" si="45"/>
        <v>4.1235879981682275E-3</v>
      </c>
    </row>
    <row r="186" spans="1:14" ht="12.75" customHeight="1" x14ac:dyDescent="0.25">
      <c r="B186" s="111" t="s">
        <v>10</v>
      </c>
      <c r="C186" s="84">
        <v>269.86691573503549</v>
      </c>
      <c r="D186" s="29">
        <v>237021.44592026682</v>
      </c>
      <c r="E186" s="49">
        <f t="shared" si="41"/>
        <v>0.13709977143626723</v>
      </c>
      <c r="F186" s="49">
        <f t="shared" si="42"/>
        <v>7.7536173047808091E-2</v>
      </c>
      <c r="G186" s="49">
        <f t="shared" si="43"/>
        <v>0.27310899331631933</v>
      </c>
      <c r="H186" s="50">
        <f t="shared" si="44"/>
        <v>0.24099269172425059</v>
      </c>
      <c r="I186" s="49">
        <f t="shared" si="45"/>
        <v>1.5860730365238117E-2</v>
      </c>
    </row>
    <row r="187" spans="1:14" ht="12.75" customHeight="1" x14ac:dyDescent="0.25">
      <c r="B187" s="82" t="s">
        <v>7</v>
      </c>
      <c r="C187" s="84">
        <v>368.0970843230341</v>
      </c>
      <c r="D187" s="29">
        <v>1339764.2833351614</v>
      </c>
      <c r="E187" s="49">
        <f t="shared" si="41"/>
        <v>0.18700338272140635</v>
      </c>
      <c r="F187" s="49">
        <f t="shared" si="42"/>
        <v>0.43827340143259691</v>
      </c>
      <c r="G187" s="49">
        <f t="shared" si="43"/>
        <v>0.4601123760377257</v>
      </c>
      <c r="H187" s="50">
        <f t="shared" si="44"/>
        <v>0.67926609315684749</v>
      </c>
      <c r="I187" s="49">
        <f t="shared" si="45"/>
        <v>0.1606757117749319</v>
      </c>
    </row>
    <row r="188" spans="1:14" ht="12.75" customHeight="1" x14ac:dyDescent="0.25">
      <c r="B188" s="82" t="s">
        <v>4</v>
      </c>
      <c r="C188" s="84">
        <v>450.59399496771118</v>
      </c>
      <c r="D188" s="29">
        <v>363314.38569269452</v>
      </c>
      <c r="E188" s="49">
        <f t="shared" si="41"/>
        <v>0.22891406881932075</v>
      </c>
      <c r="F188" s="49">
        <f t="shared" si="42"/>
        <v>0.1188500347318915</v>
      </c>
      <c r="G188" s="49">
        <f t="shared" si="43"/>
        <v>0.68902644485704645</v>
      </c>
      <c r="H188" s="50">
        <f t="shared" si="44"/>
        <v>0.79811612788873898</v>
      </c>
      <c r="I188" s="49">
        <f t="shared" si="45"/>
        <v>6.8287594387554246E-2</v>
      </c>
    </row>
    <row r="189" spans="1:14" ht="12.75" customHeight="1" thickBot="1" x14ac:dyDescent="0.3">
      <c r="B189" s="86" t="s">
        <v>8</v>
      </c>
      <c r="C189" s="87">
        <v>612.11972363206985</v>
      </c>
      <c r="D189" s="32">
        <v>617141.72101696266</v>
      </c>
      <c r="E189" s="51">
        <f t="shared" si="41"/>
        <v>0.31097355514295349</v>
      </c>
      <c r="F189" s="51">
        <f t="shared" si="42"/>
        <v>0.20188387211126102</v>
      </c>
      <c r="G189" s="51">
        <f t="shared" si="43"/>
        <v>1</v>
      </c>
      <c r="H189" s="52">
        <f t="shared" si="44"/>
        <v>1</v>
      </c>
      <c r="I189" s="51">
        <f t="shared" si="45"/>
        <v>0.17049359939302891</v>
      </c>
    </row>
    <row r="190" spans="1:14" ht="12.75" customHeight="1" thickBot="1" x14ac:dyDescent="0.3">
      <c r="B190" s="38" t="s">
        <v>12</v>
      </c>
      <c r="C190" s="32">
        <f>SUM(C178:C189)</f>
        <v>1968.3979988288088</v>
      </c>
      <c r="D190" s="32">
        <f>SUM(D178:D189)</f>
        <v>3056914.4259173274</v>
      </c>
      <c r="E190" s="39">
        <f>SUM(E179:E189)</f>
        <v>1</v>
      </c>
      <c r="F190" s="33">
        <f>SUM(F179:F189)</f>
        <v>1</v>
      </c>
      <c r="G190" s="40"/>
      <c r="H190" s="40"/>
      <c r="I190" s="51">
        <f>SUM(I178:I189)</f>
        <v>0.42102440489112603</v>
      </c>
    </row>
    <row r="191" spans="1:14" ht="12.75" customHeight="1" thickBot="1" x14ac:dyDescent="0.3">
      <c r="B191" s="4"/>
      <c r="C191" s="4"/>
      <c r="D191" s="4"/>
      <c r="E191" s="4"/>
      <c r="F191" s="4"/>
      <c r="G191" s="4"/>
      <c r="H191" s="7"/>
      <c r="I191" s="53"/>
    </row>
    <row r="192" spans="1:14" ht="12.75" customHeight="1" thickBot="1" x14ac:dyDescent="0.3">
      <c r="B192" s="4"/>
      <c r="C192" s="4"/>
      <c r="D192" s="4"/>
      <c r="E192" s="4"/>
      <c r="F192" s="4"/>
      <c r="G192" s="5"/>
      <c r="H192" s="24" t="s">
        <v>29</v>
      </c>
      <c r="I192" s="52">
        <f>1-(2*I190)</f>
        <v>0.15795119021774795</v>
      </c>
    </row>
    <row r="193" spans="1:14" ht="12.75" customHeight="1" x14ac:dyDescent="0.25"/>
    <row r="194" spans="1:14" ht="12.75" customHeight="1" x14ac:dyDescent="0.25"/>
    <row r="195" spans="1:14" ht="12.75" customHeight="1" x14ac:dyDescent="0.25"/>
    <row r="196" spans="1:14" ht="12.75" customHeight="1" x14ac:dyDescent="0.25"/>
    <row r="197" spans="1:14" ht="16.2" thickBot="1" x14ac:dyDescent="0.35">
      <c r="B197" s="256" t="s">
        <v>120</v>
      </c>
      <c r="C197" s="256"/>
      <c r="D197" s="256"/>
      <c r="E197" s="256"/>
      <c r="F197" s="256"/>
      <c r="G197" s="256"/>
      <c r="H197" s="256"/>
      <c r="I197" s="256"/>
    </row>
    <row r="198" spans="1:14" ht="27" thickBot="1" x14ac:dyDescent="0.3">
      <c r="A198" s="8"/>
      <c r="B198" s="30" t="s">
        <v>19</v>
      </c>
      <c r="C198" s="31" t="s">
        <v>43</v>
      </c>
      <c r="D198" s="37" t="s">
        <v>115</v>
      </c>
      <c r="E198" s="31" t="s">
        <v>31</v>
      </c>
      <c r="F198" s="31" t="s">
        <v>21</v>
      </c>
      <c r="G198" s="31" t="s">
        <v>32</v>
      </c>
      <c r="H198" s="31" t="s">
        <v>117</v>
      </c>
      <c r="I198" s="31" t="s">
        <v>20</v>
      </c>
      <c r="J198" s="8"/>
      <c r="K198" s="8"/>
      <c r="L198" s="8"/>
      <c r="M198" s="8"/>
      <c r="N198" s="8"/>
    </row>
    <row r="199" spans="1:14" ht="12.75" customHeight="1" x14ac:dyDescent="0.25">
      <c r="B199" s="4"/>
      <c r="C199" s="26">
        <v>0</v>
      </c>
      <c r="D199" s="26">
        <v>0</v>
      </c>
      <c r="E199" s="49">
        <f>C199/$C$127</f>
        <v>0</v>
      </c>
      <c r="F199" s="49">
        <v>0</v>
      </c>
      <c r="G199" s="49">
        <v>0</v>
      </c>
      <c r="H199" s="50">
        <f>F199</f>
        <v>0</v>
      </c>
      <c r="I199" s="49">
        <v>0</v>
      </c>
    </row>
    <row r="200" spans="1:14" ht="12.75" customHeight="1" x14ac:dyDescent="0.25">
      <c r="B200" s="82" t="s">
        <v>3</v>
      </c>
      <c r="C200" s="84">
        <v>11.510442510728991</v>
      </c>
      <c r="D200" s="29">
        <v>24496.645034227455</v>
      </c>
      <c r="E200" s="49">
        <f t="shared" ref="E200:E210" si="46">C200/$C$211</f>
        <v>5.3657375780652326E-3</v>
      </c>
      <c r="F200" s="49">
        <f t="shared" ref="F200:F210" si="47">D200/$D$211</f>
        <v>8.0135200470573958E-3</v>
      </c>
      <c r="G200" s="49">
        <f t="shared" ref="G200:G210" si="48">G199+E200</f>
        <v>5.3657375780652326E-3</v>
      </c>
      <c r="H200" s="50">
        <f t="shared" ref="H200:H210" si="49">F200+H199</f>
        <v>8.0135200470573958E-3</v>
      </c>
      <c r="I200" s="49">
        <f t="shared" ref="I200:I210" si="50">(G199+G200)*0.5*(H200-H199)</f>
        <v>2.1499222824537469E-5</v>
      </c>
    </row>
    <row r="201" spans="1:14" ht="12.75" customHeight="1" x14ac:dyDescent="0.25">
      <c r="B201" s="82" t="s">
        <v>1</v>
      </c>
      <c r="C201" s="84">
        <v>12.176363633955253</v>
      </c>
      <c r="D201" s="29">
        <v>13199.085501550475</v>
      </c>
      <c r="E201" s="49">
        <f t="shared" si="46"/>
        <v>5.676165086963521E-3</v>
      </c>
      <c r="F201" s="49">
        <f t="shared" si="47"/>
        <v>4.3177805010323955E-3</v>
      </c>
      <c r="G201" s="49">
        <f t="shared" si="48"/>
        <v>1.1041902665028754E-2</v>
      </c>
      <c r="H201" s="50">
        <f t="shared" si="49"/>
        <v>1.2331300548089792E-2</v>
      </c>
      <c r="I201" s="49">
        <f t="shared" si="50"/>
        <v>3.542229455479283E-5</v>
      </c>
    </row>
    <row r="202" spans="1:14" ht="12.75" customHeight="1" x14ac:dyDescent="0.25">
      <c r="B202" s="111" t="s">
        <v>6</v>
      </c>
      <c r="C202" s="84">
        <v>19.178798274543777</v>
      </c>
      <c r="D202" s="29">
        <v>20836.189535136225</v>
      </c>
      <c r="E202" s="49">
        <f t="shared" si="46"/>
        <v>8.9404380854976075E-3</v>
      </c>
      <c r="F202" s="49">
        <f t="shared" si="47"/>
        <v>6.8160853174303836E-3</v>
      </c>
      <c r="G202" s="49">
        <f t="shared" si="48"/>
        <v>1.9982340750526361E-2</v>
      </c>
      <c r="H202" s="50">
        <f t="shared" si="49"/>
        <v>1.9147385865520176E-2</v>
      </c>
      <c r="I202" s="49">
        <f t="shared" si="50"/>
        <v>1.0573194501457573E-4</v>
      </c>
    </row>
    <row r="203" spans="1:14" ht="12.75" customHeight="1" x14ac:dyDescent="0.25">
      <c r="B203" s="82" t="s">
        <v>195</v>
      </c>
      <c r="C203" s="84">
        <v>26.348760919978375</v>
      </c>
      <c r="D203" s="29">
        <v>20450.034940117202</v>
      </c>
      <c r="E203" s="49">
        <f t="shared" si="46"/>
        <v>1.2282806370997683E-2</v>
      </c>
      <c r="F203" s="49">
        <f t="shared" si="47"/>
        <v>6.6897636279041406E-3</v>
      </c>
      <c r="G203" s="49">
        <f t="shared" si="48"/>
        <v>3.2265147121524042E-2</v>
      </c>
      <c r="H203" s="50">
        <f t="shared" si="49"/>
        <v>2.5837149493424316E-2</v>
      </c>
      <c r="I203" s="49">
        <f t="shared" si="50"/>
        <v>1.7476167200790272E-4</v>
      </c>
    </row>
    <row r="204" spans="1:14" ht="12.75" customHeight="1" x14ac:dyDescent="0.25">
      <c r="B204" s="82" t="s">
        <v>5</v>
      </c>
      <c r="C204" s="84">
        <v>56.120784967398201</v>
      </c>
      <c r="D204" s="29">
        <v>49475.746319971244</v>
      </c>
      <c r="E204" s="49">
        <f t="shared" si="46"/>
        <v>2.6161409913598142E-2</v>
      </c>
      <c r="F204" s="49">
        <f t="shared" si="47"/>
        <v>1.6184864679397896E-2</v>
      </c>
      <c r="G204" s="49">
        <f t="shared" si="48"/>
        <v>5.8426557035122187E-2</v>
      </c>
      <c r="H204" s="50">
        <f t="shared" si="49"/>
        <v>4.2022014172822211E-2</v>
      </c>
      <c r="I204" s="49">
        <f t="shared" si="50"/>
        <v>7.3391647965965351E-4</v>
      </c>
    </row>
    <row r="205" spans="1:14" ht="12.75" customHeight="1" x14ac:dyDescent="0.25">
      <c r="B205" s="82" t="s">
        <v>2</v>
      </c>
      <c r="C205" s="84">
        <v>62.121962749452486</v>
      </c>
      <c r="D205" s="29">
        <v>251430.37783690859</v>
      </c>
      <c r="E205" s="49">
        <f t="shared" si="46"/>
        <v>2.8958934431687192E-2</v>
      </c>
      <c r="F205" s="49">
        <f t="shared" si="47"/>
        <v>8.2249727275718124E-2</v>
      </c>
      <c r="G205" s="49">
        <f t="shared" si="48"/>
        <v>8.7385491466809379E-2</v>
      </c>
      <c r="H205" s="50">
        <f t="shared" si="49"/>
        <v>0.12427174144854033</v>
      </c>
      <c r="I205" s="49">
        <f t="shared" si="50"/>
        <v>5.9965006113988275E-3</v>
      </c>
    </row>
    <row r="206" spans="1:14" ht="12.75" customHeight="1" x14ac:dyDescent="0.25">
      <c r="B206" s="82" t="s">
        <v>9</v>
      </c>
      <c r="C206" s="84">
        <v>116.98056120230014</v>
      </c>
      <c r="D206" s="29">
        <v>119784.51078433092</v>
      </c>
      <c r="E206" s="49">
        <f t="shared" si="46"/>
        <v>5.4531960223185919E-2</v>
      </c>
      <c r="F206" s="49">
        <f t="shared" si="47"/>
        <v>3.9184777227902166E-2</v>
      </c>
      <c r="G206" s="49">
        <f t="shared" si="48"/>
        <v>0.14191745168999531</v>
      </c>
      <c r="H206" s="50">
        <f t="shared" si="49"/>
        <v>0.16345651867644251</v>
      </c>
      <c r="I206" s="49">
        <f t="shared" si="50"/>
        <v>4.4925923726508539E-3</v>
      </c>
    </row>
    <row r="207" spans="1:14" ht="12.75" customHeight="1" x14ac:dyDescent="0.25">
      <c r="B207" s="111" t="s">
        <v>10</v>
      </c>
      <c r="C207" s="84">
        <v>280.95574944054727</v>
      </c>
      <c r="D207" s="29">
        <v>237021.44592026682</v>
      </c>
      <c r="E207" s="49">
        <f t="shared" si="46"/>
        <v>0.13097105703290182</v>
      </c>
      <c r="F207" s="49">
        <f t="shared" si="47"/>
        <v>7.7536173047808091E-2</v>
      </c>
      <c r="G207" s="49">
        <f t="shared" si="48"/>
        <v>0.27288850872289716</v>
      </c>
      <c r="H207" s="50">
        <f t="shared" si="49"/>
        <v>0.24099269172425059</v>
      </c>
      <c r="I207" s="49">
        <f t="shared" si="50"/>
        <v>1.6081233363918129E-2</v>
      </c>
    </row>
    <row r="208" spans="1:14" ht="12.75" customHeight="1" x14ac:dyDescent="0.25">
      <c r="B208" s="82" t="s">
        <v>4</v>
      </c>
      <c r="C208" s="84">
        <v>352.00180915217976</v>
      </c>
      <c r="D208" s="29">
        <v>363314.38569269452</v>
      </c>
      <c r="E208" s="49">
        <f t="shared" si="46"/>
        <v>0.16409007152889876</v>
      </c>
      <c r="F208" s="49">
        <f t="shared" si="47"/>
        <v>0.1188500347318915</v>
      </c>
      <c r="G208" s="49">
        <f t="shared" si="48"/>
        <v>0.43697858025179592</v>
      </c>
      <c r="H208" s="50">
        <f t="shared" si="49"/>
        <v>0.35984272645614207</v>
      </c>
      <c r="I208" s="49">
        <f t="shared" si="50"/>
        <v>4.2183864089834489E-2</v>
      </c>
    </row>
    <row r="209" spans="1:14" ht="12.75" customHeight="1" x14ac:dyDescent="0.25">
      <c r="B209" s="82" t="s">
        <v>7</v>
      </c>
      <c r="C209" s="84">
        <v>450.8843159365635</v>
      </c>
      <c r="D209" s="29">
        <v>1339764.2833351614</v>
      </c>
      <c r="E209" s="49">
        <f t="shared" si="46"/>
        <v>0.21018539601114189</v>
      </c>
      <c r="F209" s="49">
        <f t="shared" si="47"/>
        <v>0.43827340143259691</v>
      </c>
      <c r="G209" s="49">
        <f t="shared" si="48"/>
        <v>0.64716397626293776</v>
      </c>
      <c r="H209" s="50">
        <f t="shared" si="49"/>
        <v>0.79811612788873898</v>
      </c>
      <c r="I209" s="49">
        <f t="shared" si="50"/>
        <v>0.23757542294077191</v>
      </c>
    </row>
    <row r="210" spans="1:14" ht="12.75" customHeight="1" thickBot="1" x14ac:dyDescent="0.3">
      <c r="B210" s="86" t="s">
        <v>8</v>
      </c>
      <c r="C210" s="87">
        <v>756.89478060611373</v>
      </c>
      <c r="D210" s="32">
        <v>617141.72101696266</v>
      </c>
      <c r="E210" s="51">
        <f t="shared" si="46"/>
        <v>0.35283602373706219</v>
      </c>
      <c r="F210" s="51">
        <f t="shared" si="47"/>
        <v>0.20188387211126102</v>
      </c>
      <c r="G210" s="51">
        <f t="shared" si="48"/>
        <v>1</v>
      </c>
      <c r="H210" s="52">
        <f t="shared" si="49"/>
        <v>1</v>
      </c>
      <c r="I210" s="51">
        <f t="shared" si="50"/>
        <v>0.16626792076507155</v>
      </c>
    </row>
    <row r="211" spans="1:14" ht="12.75" customHeight="1" thickBot="1" x14ac:dyDescent="0.3">
      <c r="B211" s="38" t="s">
        <v>12</v>
      </c>
      <c r="C211" s="32">
        <f>SUM(C199:C210)</f>
        <v>2145.1743293937616</v>
      </c>
      <c r="D211" s="32">
        <f>SUM(D199:D210)</f>
        <v>3056914.4259173274</v>
      </c>
      <c r="E211" s="51">
        <f>SUM(E200:E210)</f>
        <v>1</v>
      </c>
      <c r="F211" s="51">
        <f>SUM(F200:F210)</f>
        <v>1</v>
      </c>
      <c r="G211" s="52"/>
      <c r="H211" s="52"/>
      <c r="I211" s="51">
        <f>SUM(I199:I210)</f>
        <v>0.47366886575770728</v>
      </c>
    </row>
    <row r="212" spans="1:14" ht="12.75" customHeight="1" thickBot="1" x14ac:dyDescent="0.3">
      <c r="B212" s="4"/>
      <c r="C212" s="4"/>
      <c r="D212" s="4"/>
      <c r="E212" s="50"/>
      <c r="F212" s="50"/>
      <c r="G212" s="50"/>
      <c r="H212" s="53"/>
      <c r="I212" s="53"/>
    </row>
    <row r="213" spans="1:14" ht="12.75" customHeight="1" thickBot="1" x14ac:dyDescent="0.3">
      <c r="B213" s="4"/>
      <c r="C213" s="4"/>
      <c r="D213" s="4"/>
      <c r="E213" s="50"/>
      <c r="F213" s="50"/>
      <c r="G213" s="55"/>
      <c r="H213" s="56" t="s">
        <v>29</v>
      </c>
      <c r="I213" s="52">
        <f>1-(2*I211)</f>
        <v>5.2662268484585439E-2</v>
      </c>
    </row>
    <row r="214" spans="1:14" ht="12.75" customHeight="1" x14ac:dyDescent="0.25"/>
    <row r="215" spans="1:14" ht="12.75" customHeight="1" x14ac:dyDescent="0.25"/>
    <row r="216" spans="1:14" ht="12.75" customHeight="1" x14ac:dyDescent="0.25"/>
    <row r="217" spans="1:14" ht="12.75" customHeight="1" x14ac:dyDescent="0.25"/>
    <row r="218" spans="1:14" ht="16.2" thickBot="1" x14ac:dyDescent="0.35">
      <c r="B218" s="256" t="s">
        <v>119</v>
      </c>
      <c r="C218" s="256"/>
      <c r="D218" s="256"/>
      <c r="E218" s="256"/>
      <c r="F218" s="256"/>
      <c r="G218" s="256"/>
      <c r="H218" s="256"/>
      <c r="I218" s="256"/>
    </row>
    <row r="219" spans="1:14" ht="27" thickBot="1" x14ac:dyDescent="0.3">
      <c r="A219" s="8"/>
      <c r="B219" s="30" t="s">
        <v>19</v>
      </c>
      <c r="C219" s="31" t="s">
        <v>38</v>
      </c>
      <c r="D219" s="37" t="s">
        <v>115</v>
      </c>
      <c r="E219" s="31" t="s">
        <v>15</v>
      </c>
      <c r="F219" s="31" t="s">
        <v>21</v>
      </c>
      <c r="G219" s="31" t="s">
        <v>17</v>
      </c>
      <c r="H219" s="31" t="s">
        <v>117</v>
      </c>
      <c r="I219" s="31" t="s">
        <v>20</v>
      </c>
      <c r="J219" s="8"/>
      <c r="K219" s="8"/>
      <c r="L219" s="8"/>
      <c r="M219" s="8"/>
      <c r="N219" s="8"/>
    </row>
    <row r="220" spans="1:14" ht="12.75" customHeight="1" x14ac:dyDescent="0.25">
      <c r="B220" s="4"/>
      <c r="C220" s="26">
        <v>0</v>
      </c>
      <c r="D220" s="26">
        <v>0</v>
      </c>
      <c r="E220" s="49">
        <v>0</v>
      </c>
      <c r="F220" s="49">
        <v>0</v>
      </c>
      <c r="G220" s="49">
        <v>0</v>
      </c>
      <c r="H220" s="50">
        <f>F220</f>
        <v>0</v>
      </c>
      <c r="I220" s="49">
        <v>0</v>
      </c>
    </row>
    <row r="221" spans="1:14" ht="12.75" customHeight="1" x14ac:dyDescent="0.25">
      <c r="B221" s="82" t="s">
        <v>195</v>
      </c>
      <c r="C221" s="84">
        <v>0</v>
      </c>
      <c r="D221" s="29">
        <v>20450.034940117202</v>
      </c>
      <c r="E221" s="49">
        <f t="shared" ref="E221:E231" si="51">C221/$C$232</f>
        <v>0</v>
      </c>
      <c r="F221" s="49">
        <f t="shared" ref="F221:F231" si="52">D221/$D$232</f>
        <v>6.6897636279041406E-3</v>
      </c>
      <c r="G221" s="49">
        <f t="shared" ref="G221:G231" si="53">G220+E221</f>
        <v>0</v>
      </c>
      <c r="H221" s="50">
        <f t="shared" ref="H221:H231" si="54">F221+H220</f>
        <v>6.6897636279041406E-3</v>
      </c>
      <c r="I221" s="49">
        <f t="shared" ref="I221:I231" si="55">(G220+G221)*0.5*(H221-H220)</f>
        <v>0</v>
      </c>
    </row>
    <row r="222" spans="1:14" ht="12.75" customHeight="1" x14ac:dyDescent="0.25">
      <c r="B222" s="82" t="s">
        <v>2</v>
      </c>
      <c r="C222" s="84">
        <v>0</v>
      </c>
      <c r="D222" s="29">
        <v>251430.37783690859</v>
      </c>
      <c r="E222" s="49">
        <f t="shared" si="51"/>
        <v>0</v>
      </c>
      <c r="F222" s="49">
        <f t="shared" si="52"/>
        <v>8.2249727275718124E-2</v>
      </c>
      <c r="G222" s="49">
        <f t="shared" si="53"/>
        <v>0</v>
      </c>
      <c r="H222" s="50">
        <f t="shared" si="54"/>
        <v>8.893949090362227E-2</v>
      </c>
      <c r="I222" s="49">
        <f t="shared" si="55"/>
        <v>0</v>
      </c>
    </row>
    <row r="223" spans="1:14" ht="12.75" customHeight="1" x14ac:dyDescent="0.25">
      <c r="B223" s="82" t="s">
        <v>7</v>
      </c>
      <c r="C223" s="84">
        <v>0</v>
      </c>
      <c r="D223" s="29">
        <v>1339764.2833351614</v>
      </c>
      <c r="E223" s="49">
        <f t="shared" si="51"/>
        <v>0</v>
      </c>
      <c r="F223" s="49">
        <f t="shared" si="52"/>
        <v>0.43827340143259691</v>
      </c>
      <c r="G223" s="49">
        <f t="shared" si="53"/>
        <v>0</v>
      </c>
      <c r="H223" s="50">
        <f t="shared" si="54"/>
        <v>0.52721289233621915</v>
      </c>
      <c r="I223" s="49">
        <f t="shared" si="55"/>
        <v>0</v>
      </c>
    </row>
    <row r="224" spans="1:14" ht="12.75" customHeight="1" x14ac:dyDescent="0.25">
      <c r="B224" s="82" t="s">
        <v>8</v>
      </c>
      <c r="C224" s="84">
        <v>0</v>
      </c>
      <c r="D224" s="29">
        <v>617141.72101696266</v>
      </c>
      <c r="E224" s="49">
        <f t="shared" si="51"/>
        <v>0</v>
      </c>
      <c r="F224" s="49">
        <f t="shared" si="52"/>
        <v>0.20188387211126102</v>
      </c>
      <c r="G224" s="49">
        <f t="shared" si="53"/>
        <v>0</v>
      </c>
      <c r="H224" s="50">
        <f t="shared" si="54"/>
        <v>0.72909676444748017</v>
      </c>
      <c r="I224" s="49">
        <f t="shared" si="55"/>
        <v>0</v>
      </c>
    </row>
    <row r="225" spans="1:14" ht="12.75" customHeight="1" x14ac:dyDescent="0.25">
      <c r="B225" s="111" t="s">
        <v>10</v>
      </c>
      <c r="C225" s="84">
        <v>0</v>
      </c>
      <c r="D225" s="29">
        <v>237021.44592026682</v>
      </c>
      <c r="E225" s="49">
        <f t="shared" si="51"/>
        <v>0</v>
      </c>
      <c r="F225" s="49">
        <f t="shared" si="52"/>
        <v>7.7536173047808091E-2</v>
      </c>
      <c r="G225" s="49">
        <f t="shared" si="53"/>
        <v>0</v>
      </c>
      <c r="H225" s="50">
        <f t="shared" si="54"/>
        <v>0.8066329374952883</v>
      </c>
      <c r="I225" s="49">
        <f t="shared" si="55"/>
        <v>0</v>
      </c>
    </row>
    <row r="226" spans="1:14" ht="12.75" customHeight="1" x14ac:dyDescent="0.25">
      <c r="B226" s="82" t="s">
        <v>3</v>
      </c>
      <c r="C226" s="84">
        <v>1.7243620509396349</v>
      </c>
      <c r="D226" s="29">
        <v>24496.645034227455</v>
      </c>
      <c r="E226" s="49">
        <f t="shared" si="51"/>
        <v>1.2534928538947977E-2</v>
      </c>
      <c r="F226" s="49">
        <f t="shared" si="52"/>
        <v>8.0135200470573958E-3</v>
      </c>
      <c r="G226" s="49">
        <f t="shared" si="53"/>
        <v>1.2534928538947977E-2</v>
      </c>
      <c r="H226" s="50">
        <f t="shared" si="54"/>
        <v>0.81464645754234566</v>
      </c>
      <c r="I226" s="49">
        <f t="shared" si="55"/>
        <v>5.0224450567645482E-5</v>
      </c>
    </row>
    <row r="227" spans="1:14" ht="12.75" customHeight="1" x14ac:dyDescent="0.25">
      <c r="B227" s="111" t="s">
        <v>6</v>
      </c>
      <c r="C227" s="84">
        <v>3.337901207042103</v>
      </c>
      <c r="D227" s="29">
        <v>20836.189535136225</v>
      </c>
      <c r="E227" s="49">
        <f t="shared" si="51"/>
        <v>2.4264250699289874E-2</v>
      </c>
      <c r="F227" s="49">
        <f t="shared" si="52"/>
        <v>6.8160853174303836E-3</v>
      </c>
      <c r="G227" s="49">
        <f t="shared" si="53"/>
        <v>3.6799179238237847E-2</v>
      </c>
      <c r="H227" s="50">
        <f t="shared" si="54"/>
        <v>0.82146254285977605</v>
      </c>
      <c r="I227" s="49">
        <f t="shared" si="55"/>
        <v>1.6813274383430229E-4</v>
      </c>
    </row>
    <row r="228" spans="1:14" ht="12.75" customHeight="1" x14ac:dyDescent="0.25">
      <c r="B228" s="82" t="s">
        <v>1</v>
      </c>
      <c r="C228" s="84">
        <v>3.7154038785419865</v>
      </c>
      <c r="D228" s="29">
        <v>13199.085501550475</v>
      </c>
      <c r="E228" s="49">
        <f t="shared" si="51"/>
        <v>2.7008436009987508E-2</v>
      </c>
      <c r="F228" s="49">
        <f t="shared" si="52"/>
        <v>4.3177805010323955E-3</v>
      </c>
      <c r="G228" s="49">
        <f t="shared" si="53"/>
        <v>6.3807615248225355E-2</v>
      </c>
      <c r="H228" s="50">
        <f t="shared" si="54"/>
        <v>0.82578032336080842</v>
      </c>
      <c r="I228" s="49">
        <f t="shared" si="55"/>
        <v>2.1719902775251115E-4</v>
      </c>
    </row>
    <row r="229" spans="1:14" ht="12.75" customHeight="1" x14ac:dyDescent="0.25">
      <c r="B229" s="82" t="s">
        <v>5</v>
      </c>
      <c r="C229" s="84">
        <v>9.6132768537202793</v>
      </c>
      <c r="D229" s="29">
        <v>49475.746319971244</v>
      </c>
      <c r="E229" s="49">
        <f t="shared" si="51"/>
        <v>6.9881924344625215E-2</v>
      </c>
      <c r="F229" s="49">
        <f t="shared" si="52"/>
        <v>1.6184864679397896E-2</v>
      </c>
      <c r="G229" s="49">
        <f t="shared" si="53"/>
        <v>0.13368953959285057</v>
      </c>
      <c r="H229" s="50">
        <f t="shared" si="54"/>
        <v>0.84196518804020637</v>
      </c>
      <c r="I229" s="49">
        <f t="shared" si="55"/>
        <v>1.5982323628344587E-3</v>
      </c>
    </row>
    <row r="230" spans="1:14" ht="12.75" customHeight="1" x14ac:dyDescent="0.25">
      <c r="B230" s="82" t="s">
        <v>9</v>
      </c>
      <c r="C230" s="84">
        <v>19.922849793244371</v>
      </c>
      <c r="D230" s="29">
        <v>119784.51078433092</v>
      </c>
      <c r="E230" s="49">
        <f t="shared" si="51"/>
        <v>0.14482544330781905</v>
      </c>
      <c r="F230" s="49">
        <f t="shared" si="52"/>
        <v>3.9184777227902166E-2</v>
      </c>
      <c r="G230" s="49">
        <f t="shared" si="53"/>
        <v>0.27851498290066962</v>
      </c>
      <c r="H230" s="50">
        <f t="shared" si="54"/>
        <v>0.88114996526810851</v>
      </c>
      <c r="I230" s="49">
        <f t="shared" si="55"/>
        <v>8.0760711931211846E-3</v>
      </c>
    </row>
    <row r="231" spans="1:14" ht="12.75" customHeight="1" thickBot="1" x14ac:dyDescent="0.3">
      <c r="B231" s="86" t="s">
        <v>4</v>
      </c>
      <c r="C231" s="87">
        <v>99.250775937174438</v>
      </c>
      <c r="D231" s="32">
        <v>363314.38569269452</v>
      </c>
      <c r="E231" s="51">
        <f t="shared" si="51"/>
        <v>0.72148501709933044</v>
      </c>
      <c r="F231" s="51">
        <f t="shared" si="52"/>
        <v>0.1188500347318915</v>
      </c>
      <c r="G231" s="51">
        <f t="shared" si="53"/>
        <v>1</v>
      </c>
      <c r="H231" s="52">
        <f t="shared" si="54"/>
        <v>1</v>
      </c>
      <c r="I231" s="51">
        <f t="shared" si="55"/>
        <v>7.5975775061494125E-2</v>
      </c>
    </row>
    <row r="232" spans="1:14" ht="12.75" customHeight="1" thickBot="1" x14ac:dyDescent="0.3">
      <c r="B232" s="38" t="s">
        <v>12</v>
      </c>
      <c r="C232" s="32">
        <f>SUM(C220:C231)</f>
        <v>137.5645697206628</v>
      </c>
      <c r="D232" s="32">
        <f>SUM(D220:D231)</f>
        <v>3056914.4259173274</v>
      </c>
      <c r="E232" s="51">
        <f>SUM(E221:E231)</f>
        <v>1</v>
      </c>
      <c r="F232" s="51">
        <f>SUM(F221:F231)</f>
        <v>1</v>
      </c>
      <c r="G232" s="52"/>
      <c r="H232" s="52"/>
      <c r="I232" s="51">
        <f>SUM(I220:I231)</f>
        <v>8.6085634839604228E-2</v>
      </c>
    </row>
    <row r="233" spans="1:14" ht="12.75" customHeight="1" thickBot="1" x14ac:dyDescent="0.3">
      <c r="B233" s="4"/>
      <c r="C233" s="4"/>
      <c r="D233" s="4"/>
      <c r="E233" s="50"/>
      <c r="F233" s="50"/>
      <c r="G233" s="50"/>
      <c r="H233" s="53"/>
      <c r="I233" s="53"/>
    </row>
    <row r="234" spans="1:14" ht="12.75" customHeight="1" thickBot="1" x14ac:dyDescent="0.3">
      <c r="B234" s="4"/>
      <c r="C234" s="4"/>
      <c r="D234" s="4"/>
      <c r="E234" s="50"/>
      <c r="F234" s="50"/>
      <c r="G234" s="55"/>
      <c r="H234" s="56" t="s">
        <v>33</v>
      </c>
      <c r="I234" s="52">
        <f>1-(2*I232)</f>
        <v>0.82782873032079152</v>
      </c>
    </row>
    <row r="235" spans="1:14" ht="12.75" customHeight="1" x14ac:dyDescent="0.25"/>
    <row r="236" spans="1:14" ht="12.75" customHeight="1" x14ac:dyDescent="0.25"/>
    <row r="237" spans="1:14" ht="12.75" customHeight="1" x14ac:dyDescent="0.25"/>
    <row r="238" spans="1:14" ht="12.75" customHeight="1" x14ac:dyDescent="0.25"/>
    <row r="239" spans="1:14" ht="16.2" thickBot="1" x14ac:dyDescent="0.35">
      <c r="B239" s="256" t="s">
        <v>118</v>
      </c>
      <c r="C239" s="256"/>
      <c r="D239" s="256"/>
      <c r="E239" s="256"/>
      <c r="F239" s="256"/>
      <c r="G239" s="256"/>
      <c r="H239" s="256"/>
      <c r="I239" s="256"/>
    </row>
    <row r="240" spans="1:14" ht="27" thickBot="1" x14ac:dyDescent="0.3">
      <c r="A240" s="8"/>
      <c r="B240" s="30" t="s">
        <v>19</v>
      </c>
      <c r="C240" s="31" t="s">
        <v>39</v>
      </c>
      <c r="D240" s="37" t="s">
        <v>115</v>
      </c>
      <c r="E240" s="31" t="s">
        <v>15</v>
      </c>
      <c r="F240" s="31" t="s">
        <v>21</v>
      </c>
      <c r="G240" s="31" t="s">
        <v>17</v>
      </c>
      <c r="H240" s="31" t="s">
        <v>117</v>
      </c>
      <c r="I240" s="31" t="s">
        <v>20</v>
      </c>
      <c r="J240" s="8"/>
      <c r="K240" s="8"/>
      <c r="L240" s="8"/>
      <c r="M240" s="8"/>
      <c r="N240" s="8"/>
    </row>
    <row r="241" spans="2:9" ht="12.75" customHeight="1" x14ac:dyDescent="0.25">
      <c r="B241" s="4"/>
      <c r="C241" s="26">
        <v>0</v>
      </c>
      <c r="D241" s="26">
        <v>0</v>
      </c>
      <c r="E241" s="49">
        <v>0</v>
      </c>
      <c r="F241" s="49">
        <v>0</v>
      </c>
      <c r="G241" s="49">
        <v>0</v>
      </c>
      <c r="H241" s="50">
        <f>F241</f>
        <v>0</v>
      </c>
      <c r="I241" s="49">
        <v>0</v>
      </c>
    </row>
    <row r="242" spans="2:9" ht="12.75" customHeight="1" x14ac:dyDescent="0.25">
      <c r="B242" s="82" t="s">
        <v>195</v>
      </c>
      <c r="C242" s="29">
        <v>0</v>
      </c>
      <c r="D242" s="29">
        <v>20450.034940117202</v>
      </c>
      <c r="E242" s="49">
        <f t="shared" ref="E242:E252" si="56">C242/$C$253</f>
        <v>0</v>
      </c>
      <c r="F242" s="49">
        <f t="shared" ref="F242:F252" si="57">D242/$D$253</f>
        <v>6.6897636279041389E-3</v>
      </c>
      <c r="G242" s="49">
        <f t="shared" ref="G242:G252" si="58">G241+E242</f>
        <v>0</v>
      </c>
      <c r="H242" s="50">
        <f t="shared" ref="H242:H252" si="59">F242+H241</f>
        <v>6.6897636279041389E-3</v>
      </c>
      <c r="I242" s="49">
        <f t="shared" ref="I242:I252" si="60">(G241+G242)*0.5*(H242-H241)</f>
        <v>0</v>
      </c>
    </row>
    <row r="243" spans="2:9" ht="12.75" customHeight="1" x14ac:dyDescent="0.25">
      <c r="B243" s="82" t="s">
        <v>3</v>
      </c>
      <c r="C243" s="29">
        <v>1.7243620509396349</v>
      </c>
      <c r="D243" s="29">
        <v>24496.645034227455</v>
      </c>
      <c r="E243" s="49">
        <f t="shared" si="56"/>
        <v>6.2417053793151073E-3</v>
      </c>
      <c r="F243" s="49">
        <f t="shared" si="57"/>
        <v>8.0135200470573941E-3</v>
      </c>
      <c r="G243" s="49">
        <f t="shared" si="58"/>
        <v>6.2417053793151073E-3</v>
      </c>
      <c r="H243" s="50">
        <f t="shared" si="59"/>
        <v>1.4703283674961532E-2</v>
      </c>
      <c r="I243" s="49">
        <f t="shared" si="60"/>
        <v>2.500901559248379E-5</v>
      </c>
    </row>
    <row r="244" spans="2:9" ht="12.75" customHeight="1" x14ac:dyDescent="0.25">
      <c r="B244" s="82" t="s">
        <v>1</v>
      </c>
      <c r="C244" s="29">
        <v>3.7154038785419865</v>
      </c>
      <c r="D244" s="29">
        <v>13199.085501550475</v>
      </c>
      <c r="E244" s="49">
        <f t="shared" si="56"/>
        <v>1.3448716504974607E-2</v>
      </c>
      <c r="F244" s="49">
        <f t="shared" si="57"/>
        <v>4.3177805010323946E-3</v>
      </c>
      <c r="G244" s="49">
        <f t="shared" si="58"/>
        <v>1.9690421884289714E-2</v>
      </c>
      <c r="H244" s="50">
        <f t="shared" si="59"/>
        <v>1.9021064175993925E-2</v>
      </c>
      <c r="I244" s="49">
        <f t="shared" si="60"/>
        <v>5.59846167245417E-5</v>
      </c>
    </row>
    <row r="245" spans="2:9" ht="12.75" customHeight="1" x14ac:dyDescent="0.25">
      <c r="B245" s="111" t="s">
        <v>6</v>
      </c>
      <c r="C245" s="29">
        <v>7.1379012070421028</v>
      </c>
      <c r="D245" s="29">
        <v>20836.189535136225</v>
      </c>
      <c r="E245" s="49">
        <f t="shared" si="56"/>
        <v>2.5837193724332408E-2</v>
      </c>
      <c r="F245" s="49">
        <f t="shared" si="57"/>
        <v>6.8160853174303827E-3</v>
      </c>
      <c r="G245" s="49">
        <f t="shared" si="58"/>
        <v>4.5527615608622118E-2</v>
      </c>
      <c r="H245" s="50">
        <f t="shared" si="59"/>
        <v>2.5837149493424309E-2</v>
      </c>
      <c r="I245" s="49">
        <f t="shared" si="60"/>
        <v>2.2226585389353029E-4</v>
      </c>
    </row>
    <row r="246" spans="2:9" ht="12.75" customHeight="1" x14ac:dyDescent="0.25">
      <c r="B246" s="82" t="s">
        <v>5</v>
      </c>
      <c r="C246" s="29">
        <v>9.6132768537202793</v>
      </c>
      <c r="D246" s="29">
        <v>49475.746319971244</v>
      </c>
      <c r="E246" s="49">
        <f t="shared" si="56"/>
        <v>3.4797356980811815E-2</v>
      </c>
      <c r="F246" s="49">
        <f t="shared" si="57"/>
        <v>1.6184864679397892E-2</v>
      </c>
      <c r="G246" s="49">
        <f t="shared" si="58"/>
        <v>8.0324972589433941E-2</v>
      </c>
      <c r="H246" s="50">
        <f t="shared" si="59"/>
        <v>4.2022014172822197E-2</v>
      </c>
      <c r="I246" s="49">
        <f t="shared" si="60"/>
        <v>1.0184535547687625E-3</v>
      </c>
    </row>
    <row r="247" spans="2:9" ht="12.75" customHeight="1" x14ac:dyDescent="0.25">
      <c r="B247" s="82" t="s">
        <v>9</v>
      </c>
      <c r="C247" s="29">
        <v>19.922849793244371</v>
      </c>
      <c r="D247" s="29">
        <v>119784.51078433092</v>
      </c>
      <c r="E247" s="49">
        <f t="shared" si="56"/>
        <v>7.2115109850636294E-2</v>
      </c>
      <c r="F247" s="49">
        <f t="shared" si="57"/>
        <v>3.9184777227902166E-2</v>
      </c>
      <c r="G247" s="49">
        <f t="shared" si="58"/>
        <v>0.15244008244007023</v>
      </c>
      <c r="H247" s="50">
        <f t="shared" si="59"/>
        <v>8.1206791400724371E-2</v>
      </c>
      <c r="I247" s="49">
        <f t="shared" si="60"/>
        <v>4.5604234138857556E-3</v>
      </c>
    </row>
    <row r="248" spans="2:9" ht="12.75" customHeight="1" x14ac:dyDescent="0.25">
      <c r="B248" s="111" t="s">
        <v>10</v>
      </c>
      <c r="C248" s="29">
        <v>21.1</v>
      </c>
      <c r="D248" s="29">
        <v>237021.44592026682</v>
      </c>
      <c r="E248" s="49">
        <f t="shared" si="56"/>
        <v>7.6376062342466397E-2</v>
      </c>
      <c r="F248" s="49">
        <f t="shared" si="57"/>
        <v>7.7536173047808077E-2</v>
      </c>
      <c r="G248" s="49">
        <f t="shared" si="58"/>
        <v>0.22881614478253665</v>
      </c>
      <c r="H248" s="50">
        <f t="shared" si="59"/>
        <v>0.15874296444853245</v>
      </c>
      <c r="I248" s="49">
        <f t="shared" si="60"/>
        <v>1.4780574404743242E-2</v>
      </c>
    </row>
    <row r="249" spans="2:9" ht="12.75" customHeight="1" x14ac:dyDescent="0.25">
      <c r="B249" s="82" t="s">
        <v>8</v>
      </c>
      <c r="C249" s="29">
        <v>23.5</v>
      </c>
      <c r="D249" s="29">
        <v>617141.72101696266</v>
      </c>
      <c r="E249" s="49">
        <f t="shared" si="56"/>
        <v>8.506338696909764E-2</v>
      </c>
      <c r="F249" s="49">
        <f t="shared" si="57"/>
        <v>0.20188387211126099</v>
      </c>
      <c r="G249" s="49">
        <f t="shared" si="58"/>
        <v>0.3138795317516343</v>
      </c>
      <c r="H249" s="50">
        <f t="shared" si="59"/>
        <v>0.36062683655979344</v>
      </c>
      <c r="I249" s="49">
        <f t="shared" si="60"/>
        <v>5.4780752278379412E-2</v>
      </c>
    </row>
    <row r="250" spans="2:9" ht="12.75" customHeight="1" x14ac:dyDescent="0.25">
      <c r="B250" s="82" t="s">
        <v>7</v>
      </c>
      <c r="C250" s="29">
        <v>33.799999999999997</v>
      </c>
      <c r="D250" s="29">
        <v>1339764.2833351614</v>
      </c>
      <c r="E250" s="49">
        <f t="shared" si="56"/>
        <v>0.12234648849172342</v>
      </c>
      <c r="F250" s="49">
        <f t="shared" si="57"/>
        <v>0.43827340143259685</v>
      </c>
      <c r="G250" s="49">
        <f t="shared" si="58"/>
        <v>0.43622602024335771</v>
      </c>
      <c r="H250" s="50">
        <f t="shared" si="59"/>
        <v>0.79890023799239029</v>
      </c>
      <c r="I250" s="49">
        <f t="shared" si="60"/>
        <v>0.16437565585316039</v>
      </c>
    </row>
    <row r="251" spans="2:9" ht="12.75" customHeight="1" x14ac:dyDescent="0.25">
      <c r="B251" s="82" t="s">
        <v>2</v>
      </c>
      <c r="C251" s="29">
        <v>56.5</v>
      </c>
      <c r="D251" s="29">
        <v>251430.37783690859</v>
      </c>
      <c r="E251" s="49">
        <f t="shared" si="56"/>
        <v>0.20451410058527733</v>
      </c>
      <c r="F251" s="49">
        <f t="shared" si="57"/>
        <v>8.224972727571811E-2</v>
      </c>
      <c r="G251" s="49">
        <f t="shared" si="58"/>
        <v>0.64074012082863507</v>
      </c>
      <c r="H251" s="50">
        <f t="shared" si="59"/>
        <v>0.8811499652681084</v>
      </c>
      <c r="I251" s="49">
        <f t="shared" si="60"/>
        <v>4.4290085694176987E-2</v>
      </c>
    </row>
    <row r="252" spans="2:9" ht="12.75" customHeight="1" thickBot="1" x14ac:dyDescent="0.3">
      <c r="B252" s="86" t="s">
        <v>4</v>
      </c>
      <c r="C252" s="32">
        <v>99.250775937174438</v>
      </c>
      <c r="D252" s="32">
        <v>363314.38569269452</v>
      </c>
      <c r="E252" s="51">
        <f t="shared" si="56"/>
        <v>0.35925987917136487</v>
      </c>
      <c r="F252" s="51">
        <f t="shared" si="57"/>
        <v>0.11885003473189147</v>
      </c>
      <c r="G252" s="51">
        <f t="shared" si="58"/>
        <v>1</v>
      </c>
      <c r="H252" s="52">
        <f t="shared" si="59"/>
        <v>0.99999999999999989</v>
      </c>
      <c r="I252" s="51">
        <f t="shared" si="60"/>
        <v>9.7501010173245556E-2</v>
      </c>
    </row>
    <row r="253" spans="2:9" ht="12.75" customHeight="1" thickBot="1" x14ac:dyDescent="0.3">
      <c r="B253" s="38" t="s">
        <v>12</v>
      </c>
      <c r="C253" s="32">
        <f>SUM(C241:C252)</f>
        <v>276.26456972066285</v>
      </c>
      <c r="D253" s="32">
        <f>SUM(D241:D252)</f>
        <v>3056914.4259173279</v>
      </c>
      <c r="E253" s="51">
        <f>SUM(E242:E252)</f>
        <v>1</v>
      </c>
      <c r="F253" s="51">
        <f>SUM(F242:F252)</f>
        <v>0.99999999999999989</v>
      </c>
      <c r="G253" s="52"/>
      <c r="H253" s="52"/>
      <c r="I253" s="51">
        <f>SUM(I241:I252)</f>
        <v>0.38161021485857061</v>
      </c>
    </row>
    <row r="254" spans="2:9" ht="12.75" customHeight="1" thickBot="1" x14ac:dyDescent="0.3">
      <c r="B254" s="4"/>
      <c r="C254" s="4"/>
      <c r="D254" s="4"/>
      <c r="E254" s="50"/>
      <c r="F254" s="50"/>
      <c r="G254" s="50"/>
      <c r="H254" s="53"/>
      <c r="I254" s="53"/>
    </row>
    <row r="255" spans="2:9" ht="12.75" customHeight="1" thickBot="1" x14ac:dyDescent="0.3">
      <c r="B255" s="4"/>
      <c r="C255" s="4"/>
      <c r="D255" s="4"/>
      <c r="E255" s="50"/>
      <c r="F255" s="50"/>
      <c r="G255" s="55"/>
      <c r="H255" s="57" t="s">
        <v>29</v>
      </c>
      <c r="I255" s="58">
        <f>1-(2*I253)</f>
        <v>0.23677957028285879</v>
      </c>
    </row>
    <row r="256" spans="2:9" ht="12.6" customHeight="1" x14ac:dyDescent="0.25"/>
    <row r="257" ht="12.75" customHeight="1" x14ac:dyDescent="0.25"/>
    <row r="258" ht="12.75" customHeight="1" x14ac:dyDescent="0.25"/>
    <row r="259" ht="12.75" customHeight="1" x14ac:dyDescent="0.25"/>
    <row r="260" ht="12.75" customHeight="1" x14ac:dyDescent="0.25"/>
    <row r="261" ht="12.75" customHeight="1" x14ac:dyDescent="0.25"/>
    <row r="262" ht="12.75" customHeight="1" x14ac:dyDescent="0.25"/>
    <row r="263" ht="12.75" customHeight="1" x14ac:dyDescent="0.25"/>
    <row r="264" ht="12.75" customHeight="1" x14ac:dyDescent="0.25"/>
    <row r="265" ht="12.75" customHeight="1" x14ac:dyDescent="0.25"/>
    <row r="266" ht="12.75" customHeight="1" x14ac:dyDescent="0.25"/>
    <row r="267" ht="12.75" customHeight="1" x14ac:dyDescent="0.25"/>
    <row r="268" ht="12.75" customHeight="1" x14ac:dyDescent="0.25"/>
    <row r="269" ht="12.75" customHeight="1" x14ac:dyDescent="0.25"/>
    <row r="270" ht="12.75" customHeight="1" x14ac:dyDescent="0.25"/>
    <row r="271" ht="12.75" customHeight="1" x14ac:dyDescent="0.25"/>
    <row r="272" ht="12.75" customHeight="1" x14ac:dyDescent="0.25"/>
    <row r="273" ht="12.75" customHeight="1" x14ac:dyDescent="0.25"/>
    <row r="274" ht="12.75" customHeight="1" x14ac:dyDescent="0.25"/>
    <row r="275" ht="12.75" customHeight="1" x14ac:dyDescent="0.25"/>
    <row r="276" ht="12.75" customHeight="1" x14ac:dyDescent="0.25"/>
    <row r="277" ht="12.75" customHeight="1" x14ac:dyDescent="0.25"/>
    <row r="278" ht="12.75" customHeight="1" x14ac:dyDescent="0.25"/>
    <row r="279" ht="12.75" customHeight="1" x14ac:dyDescent="0.25"/>
    <row r="280" ht="12.75" customHeight="1" x14ac:dyDescent="0.25"/>
    <row r="281" ht="12.75" customHeight="1" x14ac:dyDescent="0.25"/>
    <row r="282" ht="12.75" customHeight="1" x14ac:dyDescent="0.25"/>
    <row r="283" ht="12.75" customHeight="1" x14ac:dyDescent="0.25"/>
    <row r="284" ht="12.75" customHeight="1" x14ac:dyDescent="0.25"/>
    <row r="285" ht="12.75" customHeight="1" x14ac:dyDescent="0.25"/>
    <row r="286" ht="12.75" customHeight="1" x14ac:dyDescent="0.25"/>
    <row r="287" ht="12.75" customHeight="1" x14ac:dyDescent="0.25"/>
    <row r="288" ht="12.75" customHeight="1" x14ac:dyDescent="0.25"/>
    <row r="289" ht="12.75" customHeight="1" x14ac:dyDescent="0.25"/>
    <row r="290" ht="12.75" customHeight="1" x14ac:dyDescent="0.25"/>
    <row r="291" ht="12.75" customHeight="1" x14ac:dyDescent="0.25"/>
    <row r="292" ht="12.75" customHeight="1" x14ac:dyDescent="0.25"/>
    <row r="293" ht="12.75" customHeight="1" x14ac:dyDescent="0.25"/>
    <row r="294" ht="12.75" customHeight="1" x14ac:dyDescent="0.25"/>
    <row r="295" ht="12.75" customHeight="1" x14ac:dyDescent="0.25"/>
    <row r="296" ht="12.75" customHeight="1" x14ac:dyDescent="0.25"/>
    <row r="297" ht="12.75" customHeight="1" x14ac:dyDescent="0.25"/>
    <row r="298" ht="12.75" customHeight="1" x14ac:dyDescent="0.25"/>
    <row r="299" ht="12.75" customHeight="1" x14ac:dyDescent="0.25"/>
    <row r="300" ht="12.75" customHeight="1" x14ac:dyDescent="0.25"/>
    <row r="301" ht="12.75" customHeight="1" x14ac:dyDescent="0.25"/>
    <row r="302" ht="12.75" customHeight="1" x14ac:dyDescent="0.25"/>
    <row r="303" ht="12.75" customHeight="1" x14ac:dyDescent="0.25"/>
    <row r="304" ht="12.75" customHeight="1" x14ac:dyDescent="0.25"/>
    <row r="305" ht="12.75" customHeight="1" x14ac:dyDescent="0.25"/>
    <row r="306" ht="12.75" customHeight="1" x14ac:dyDescent="0.25"/>
    <row r="307" ht="12.75" customHeight="1" x14ac:dyDescent="0.25"/>
    <row r="308" ht="12.75" customHeight="1" x14ac:dyDescent="0.25"/>
    <row r="309" ht="12.75" customHeight="1" x14ac:dyDescent="0.25"/>
    <row r="310" ht="12.75" customHeight="1" x14ac:dyDescent="0.25"/>
    <row r="311" ht="12.75" customHeight="1" x14ac:dyDescent="0.25"/>
    <row r="312" ht="12.75" customHeight="1" x14ac:dyDescent="0.25"/>
    <row r="313" ht="12.75" customHeight="1" x14ac:dyDescent="0.25"/>
    <row r="314" ht="12.75" customHeight="1" x14ac:dyDescent="0.25"/>
    <row r="315" ht="12.75" customHeight="1" x14ac:dyDescent="0.25"/>
    <row r="316" ht="12.75" customHeight="1" x14ac:dyDescent="0.25"/>
    <row r="317" ht="12.75" customHeight="1" x14ac:dyDescent="0.25"/>
    <row r="318" ht="12.75" customHeight="1" x14ac:dyDescent="0.25"/>
    <row r="319" ht="12.75" customHeight="1" x14ac:dyDescent="0.25"/>
    <row r="320" ht="12.75" customHeight="1" x14ac:dyDescent="0.25"/>
    <row r="321" ht="12.75" customHeight="1" x14ac:dyDescent="0.25"/>
    <row r="322" ht="12.75" customHeight="1" x14ac:dyDescent="0.25"/>
    <row r="323" ht="12.75" customHeight="1" x14ac:dyDescent="0.25"/>
    <row r="324" ht="12.75" customHeight="1" x14ac:dyDescent="0.25"/>
    <row r="325" ht="12.75" customHeight="1" x14ac:dyDescent="0.25"/>
    <row r="326" ht="12.75" customHeight="1" x14ac:dyDescent="0.25"/>
    <row r="327" ht="12.75" customHeight="1" x14ac:dyDescent="0.25"/>
    <row r="328" ht="12.75" customHeight="1" x14ac:dyDescent="0.25"/>
    <row r="329" ht="12.75" customHeight="1" x14ac:dyDescent="0.25"/>
    <row r="330" ht="12.75" customHeight="1" x14ac:dyDescent="0.25"/>
    <row r="331" ht="12.75" customHeight="1" x14ac:dyDescent="0.25"/>
    <row r="332" ht="12.75" customHeight="1" x14ac:dyDescent="0.25"/>
    <row r="333" ht="12.75" customHeight="1" x14ac:dyDescent="0.25"/>
    <row r="334" ht="12.75" customHeight="1" x14ac:dyDescent="0.25"/>
    <row r="335" ht="12.75" customHeight="1" x14ac:dyDescent="0.25"/>
    <row r="336" ht="12.75" customHeight="1" x14ac:dyDescent="0.25"/>
    <row r="337" ht="12.75" customHeight="1" x14ac:dyDescent="0.25"/>
    <row r="338" ht="12.75" customHeight="1" x14ac:dyDescent="0.25"/>
    <row r="339" ht="12.75" customHeight="1" x14ac:dyDescent="0.25"/>
    <row r="340" ht="12.75" customHeight="1" x14ac:dyDescent="0.25"/>
    <row r="341" ht="12.75" customHeight="1" x14ac:dyDescent="0.25"/>
    <row r="342" ht="12.75" customHeight="1" x14ac:dyDescent="0.25"/>
    <row r="343" ht="12.75" customHeight="1" x14ac:dyDescent="0.25"/>
    <row r="344" ht="12.75" customHeight="1" x14ac:dyDescent="0.25"/>
    <row r="345" ht="12.75" customHeight="1" x14ac:dyDescent="0.25"/>
    <row r="346" ht="12.75" customHeight="1" x14ac:dyDescent="0.25"/>
    <row r="347" ht="12.75" customHeight="1" x14ac:dyDescent="0.25"/>
    <row r="348" ht="12.75" customHeight="1" x14ac:dyDescent="0.25"/>
    <row r="349" ht="12.75" customHeight="1" x14ac:dyDescent="0.25"/>
    <row r="350" ht="12.75" customHeight="1" x14ac:dyDescent="0.25"/>
    <row r="351" ht="12.75" customHeight="1" x14ac:dyDescent="0.25"/>
    <row r="352" ht="12.75" customHeight="1" x14ac:dyDescent="0.25"/>
    <row r="353" ht="12.75" customHeight="1" x14ac:dyDescent="0.25"/>
    <row r="354" ht="12.75" customHeight="1" x14ac:dyDescent="0.25"/>
    <row r="355" ht="12.75" customHeight="1" x14ac:dyDescent="0.25"/>
    <row r="356" ht="12.75" customHeight="1" x14ac:dyDescent="0.25"/>
    <row r="357" ht="12.75" customHeight="1" x14ac:dyDescent="0.25"/>
    <row r="358" ht="12.75" customHeight="1" x14ac:dyDescent="0.25"/>
    <row r="359" ht="12.75" customHeight="1" x14ac:dyDescent="0.25"/>
    <row r="360" ht="12.75" customHeight="1" x14ac:dyDescent="0.25"/>
    <row r="361" ht="12.75" customHeight="1" x14ac:dyDescent="0.25"/>
    <row r="362" ht="12.75" customHeight="1" x14ac:dyDescent="0.25"/>
    <row r="363" ht="12.75" customHeight="1" x14ac:dyDescent="0.25"/>
    <row r="364" ht="12.75" customHeight="1" x14ac:dyDescent="0.25"/>
    <row r="365" ht="12.75" customHeight="1" x14ac:dyDescent="0.25"/>
    <row r="366" ht="12.75" customHeight="1" x14ac:dyDescent="0.25"/>
    <row r="367" ht="12.75" customHeight="1" x14ac:dyDescent="0.25"/>
    <row r="368" ht="12.75" customHeight="1" x14ac:dyDescent="0.25"/>
    <row r="369" ht="12.75" customHeight="1" x14ac:dyDescent="0.25"/>
    <row r="370" ht="12.75" customHeight="1" x14ac:dyDescent="0.25"/>
    <row r="371" ht="12.75" customHeight="1" x14ac:dyDescent="0.25"/>
    <row r="372" ht="12.75" customHeight="1" x14ac:dyDescent="0.25"/>
    <row r="373" ht="12.75" customHeight="1" x14ac:dyDescent="0.25"/>
    <row r="374" ht="12.75" customHeight="1" x14ac:dyDescent="0.25"/>
    <row r="375" ht="12.75" customHeight="1" x14ac:dyDescent="0.25"/>
    <row r="376" ht="12.75" customHeight="1" x14ac:dyDescent="0.25"/>
    <row r="377" ht="12.75" customHeight="1" x14ac:dyDescent="0.25"/>
    <row r="378" ht="12.75" customHeight="1" x14ac:dyDescent="0.25"/>
    <row r="379" ht="12.75" customHeight="1" x14ac:dyDescent="0.25"/>
    <row r="380" ht="12.75" customHeight="1" x14ac:dyDescent="0.25"/>
    <row r="381" ht="12.75" customHeight="1" x14ac:dyDescent="0.25"/>
    <row r="382" ht="12.75" customHeight="1" x14ac:dyDescent="0.25"/>
    <row r="383" ht="12.75" customHeight="1" x14ac:dyDescent="0.25"/>
    <row r="384" ht="12.75" customHeight="1" x14ac:dyDescent="0.25"/>
    <row r="385" ht="12.75" customHeight="1" x14ac:dyDescent="0.25"/>
    <row r="386" ht="12.75" customHeight="1" x14ac:dyDescent="0.25"/>
    <row r="387" ht="12.75" customHeight="1" x14ac:dyDescent="0.25"/>
    <row r="388" ht="12.75" customHeight="1" x14ac:dyDescent="0.25"/>
    <row r="389" ht="12.75" customHeight="1" x14ac:dyDescent="0.25"/>
    <row r="390" ht="12.75" customHeight="1" x14ac:dyDescent="0.25"/>
    <row r="391" ht="12.75" customHeight="1" x14ac:dyDescent="0.25"/>
    <row r="392" ht="12.75" customHeight="1" x14ac:dyDescent="0.25"/>
    <row r="393" ht="12.75" customHeight="1" x14ac:dyDescent="0.25"/>
    <row r="394" ht="12.75" customHeight="1" x14ac:dyDescent="0.25"/>
    <row r="395" ht="12.75" customHeight="1" x14ac:dyDescent="0.25"/>
    <row r="396" ht="12.75" customHeight="1" x14ac:dyDescent="0.25"/>
    <row r="397" ht="12.75" customHeight="1" x14ac:dyDescent="0.25"/>
    <row r="398" ht="12.75" customHeight="1" x14ac:dyDescent="0.25"/>
    <row r="399" ht="12.75" customHeight="1" x14ac:dyDescent="0.25"/>
    <row r="400" ht="12.75" customHeight="1" x14ac:dyDescent="0.25"/>
    <row r="401" ht="12.75" customHeight="1" x14ac:dyDescent="0.25"/>
    <row r="402" ht="12.75" customHeight="1" x14ac:dyDescent="0.25"/>
    <row r="403" ht="12.75" customHeight="1" x14ac:dyDescent="0.25"/>
    <row r="404" ht="12.75" customHeight="1" x14ac:dyDescent="0.25"/>
    <row r="405" ht="12.75" customHeight="1" x14ac:dyDescent="0.25"/>
    <row r="406" ht="12.75" customHeight="1" x14ac:dyDescent="0.25"/>
    <row r="407" ht="12.75" customHeight="1" x14ac:dyDescent="0.25"/>
    <row r="408" ht="12.75" customHeight="1" x14ac:dyDescent="0.25"/>
    <row r="409" ht="12.75" customHeight="1" x14ac:dyDescent="0.25"/>
    <row r="410" ht="12.75" customHeight="1" x14ac:dyDescent="0.25"/>
    <row r="411" ht="12.75" customHeight="1" x14ac:dyDescent="0.25"/>
    <row r="412" ht="12.75" customHeight="1" x14ac:dyDescent="0.25"/>
    <row r="413" ht="12.75" customHeight="1" x14ac:dyDescent="0.25"/>
    <row r="414" ht="12.75" customHeight="1" x14ac:dyDescent="0.25"/>
    <row r="415" ht="12.75" customHeight="1" x14ac:dyDescent="0.25"/>
    <row r="416" ht="12.75" customHeight="1" x14ac:dyDescent="0.25"/>
    <row r="417" ht="12.75" customHeight="1" x14ac:dyDescent="0.25"/>
    <row r="418" ht="12.75" customHeight="1" x14ac:dyDescent="0.25"/>
    <row r="419" ht="12.75" customHeight="1" x14ac:dyDescent="0.25"/>
    <row r="420" ht="12.75" customHeight="1" x14ac:dyDescent="0.25"/>
    <row r="421" ht="12.75" customHeight="1" x14ac:dyDescent="0.25"/>
    <row r="422" ht="12.75" customHeight="1" x14ac:dyDescent="0.25"/>
    <row r="423" ht="12.75" customHeight="1" x14ac:dyDescent="0.25"/>
    <row r="424" ht="12.75" customHeight="1" x14ac:dyDescent="0.25"/>
    <row r="425" ht="12.75" customHeight="1" x14ac:dyDescent="0.25"/>
    <row r="426" ht="12.75" customHeight="1" x14ac:dyDescent="0.25"/>
    <row r="427" ht="12.75" customHeight="1" x14ac:dyDescent="0.25"/>
    <row r="428" ht="12.75" customHeight="1" x14ac:dyDescent="0.25"/>
    <row r="429" ht="12.75" customHeight="1" x14ac:dyDescent="0.25"/>
    <row r="430" ht="12.75" customHeight="1" x14ac:dyDescent="0.25"/>
    <row r="431" ht="12.75" customHeight="1" x14ac:dyDescent="0.25"/>
    <row r="432" ht="12.75" customHeight="1" x14ac:dyDescent="0.25"/>
    <row r="433" ht="12.75" customHeight="1" x14ac:dyDescent="0.25"/>
    <row r="434" ht="12.75" customHeight="1" x14ac:dyDescent="0.25"/>
    <row r="435" ht="12.75" customHeight="1" x14ac:dyDescent="0.25"/>
    <row r="436" ht="12.75" customHeight="1" x14ac:dyDescent="0.25"/>
    <row r="437" ht="12.75" customHeight="1" x14ac:dyDescent="0.25"/>
    <row r="438" ht="12.75" customHeight="1" x14ac:dyDescent="0.25"/>
    <row r="439" ht="12.75" customHeight="1" x14ac:dyDescent="0.25"/>
    <row r="440" ht="12.75" customHeight="1" x14ac:dyDescent="0.25"/>
    <row r="441" ht="12.75" customHeight="1" x14ac:dyDescent="0.25"/>
    <row r="442" ht="12.75" customHeight="1" x14ac:dyDescent="0.25"/>
    <row r="443" ht="12.75" customHeight="1" x14ac:dyDescent="0.25"/>
    <row r="444" ht="12.75" customHeight="1" x14ac:dyDescent="0.25"/>
    <row r="445" ht="12.75" customHeight="1" x14ac:dyDescent="0.25"/>
    <row r="446" ht="12.75" customHeight="1" x14ac:dyDescent="0.25"/>
    <row r="447" ht="12.75" customHeight="1" x14ac:dyDescent="0.25"/>
    <row r="448" ht="12.75" customHeight="1" x14ac:dyDescent="0.25"/>
    <row r="449" ht="12.75" customHeight="1" x14ac:dyDescent="0.25"/>
    <row r="450" ht="12.75" customHeight="1" x14ac:dyDescent="0.25"/>
    <row r="451" ht="12.75" customHeight="1" x14ac:dyDescent="0.25"/>
    <row r="452" ht="12.75" customHeight="1" x14ac:dyDescent="0.25"/>
    <row r="453" ht="12.75" customHeight="1" x14ac:dyDescent="0.25"/>
    <row r="454" ht="12.75" customHeight="1" x14ac:dyDescent="0.25"/>
    <row r="455" ht="12.75" customHeight="1" x14ac:dyDescent="0.25"/>
    <row r="456" ht="12.75" customHeight="1" x14ac:dyDescent="0.25"/>
    <row r="457" ht="12.75" customHeight="1" x14ac:dyDescent="0.25"/>
    <row r="458" ht="12.75" customHeight="1" x14ac:dyDescent="0.25"/>
    <row r="459" ht="12.75" customHeight="1" x14ac:dyDescent="0.25"/>
    <row r="460" ht="12.75" customHeight="1" x14ac:dyDescent="0.25"/>
    <row r="461" ht="12.75" customHeight="1" x14ac:dyDescent="0.25"/>
    <row r="462" ht="12.75" customHeight="1" x14ac:dyDescent="0.25"/>
    <row r="463" ht="12.75" customHeight="1" x14ac:dyDescent="0.25"/>
    <row r="464" ht="12.75" customHeight="1" x14ac:dyDescent="0.25"/>
    <row r="465" ht="12.75" customHeight="1" x14ac:dyDescent="0.25"/>
    <row r="466" ht="12.75" customHeight="1" x14ac:dyDescent="0.25"/>
    <row r="467" ht="12.75" customHeight="1" x14ac:dyDescent="0.25"/>
    <row r="468" ht="12.75" customHeight="1" x14ac:dyDescent="0.25"/>
    <row r="469" ht="12.75" customHeight="1" x14ac:dyDescent="0.25"/>
    <row r="470" ht="12.75" customHeight="1" x14ac:dyDescent="0.25"/>
    <row r="471" ht="12.75" customHeight="1" x14ac:dyDescent="0.25"/>
    <row r="472" ht="12.75" customHeight="1" x14ac:dyDescent="0.25"/>
    <row r="473" ht="12.75" customHeight="1" x14ac:dyDescent="0.25"/>
    <row r="474" ht="12.75" customHeight="1" x14ac:dyDescent="0.25"/>
    <row r="475" ht="12.75" customHeight="1" x14ac:dyDescent="0.25"/>
    <row r="476" ht="12.75" customHeight="1" x14ac:dyDescent="0.25"/>
    <row r="477" ht="12.75" customHeight="1" x14ac:dyDescent="0.25"/>
    <row r="478" ht="12.75" customHeight="1" x14ac:dyDescent="0.25"/>
    <row r="479" ht="12.75" customHeight="1" x14ac:dyDescent="0.25"/>
    <row r="480" ht="12.75" customHeight="1" x14ac:dyDescent="0.25"/>
    <row r="481" ht="12.75" customHeight="1" x14ac:dyDescent="0.25"/>
    <row r="482" ht="12.75" customHeight="1" x14ac:dyDescent="0.25"/>
    <row r="483" ht="12.75" customHeight="1" x14ac:dyDescent="0.25"/>
    <row r="484" ht="12.75" customHeight="1" x14ac:dyDescent="0.25"/>
    <row r="485" ht="12.75" customHeight="1" x14ac:dyDescent="0.25"/>
    <row r="486" ht="12.75" customHeight="1" x14ac:dyDescent="0.25"/>
    <row r="487" ht="12.75" customHeight="1" x14ac:dyDescent="0.25"/>
    <row r="488" ht="12.75" customHeight="1" x14ac:dyDescent="0.25"/>
    <row r="489" ht="12.75" customHeight="1" x14ac:dyDescent="0.25"/>
    <row r="490" ht="12.75" customHeight="1" x14ac:dyDescent="0.25"/>
    <row r="491" ht="12.75" customHeight="1" x14ac:dyDescent="0.25"/>
    <row r="492" ht="12.75" customHeight="1" x14ac:dyDescent="0.25"/>
    <row r="493" ht="12.75" customHeight="1" x14ac:dyDescent="0.25"/>
    <row r="494" ht="12.75" customHeight="1" x14ac:dyDescent="0.25"/>
    <row r="495" ht="12.75" customHeight="1" x14ac:dyDescent="0.25"/>
    <row r="496" ht="12.75" customHeight="1" x14ac:dyDescent="0.25"/>
    <row r="497" ht="12.75" customHeight="1" x14ac:dyDescent="0.25"/>
    <row r="498" ht="12.75" customHeight="1" x14ac:dyDescent="0.25"/>
    <row r="499" ht="12.75" customHeight="1" x14ac:dyDescent="0.25"/>
    <row r="500" ht="12.75" customHeight="1" x14ac:dyDescent="0.25"/>
    <row r="501" ht="12.75" customHeight="1" x14ac:dyDescent="0.25"/>
    <row r="502" ht="12.75" customHeight="1" x14ac:dyDescent="0.25"/>
    <row r="503" ht="12.75" customHeight="1" x14ac:dyDescent="0.25"/>
    <row r="504" ht="12.75" customHeight="1" x14ac:dyDescent="0.25"/>
    <row r="505" ht="12.75" customHeight="1" x14ac:dyDescent="0.25"/>
    <row r="506" ht="12.75" customHeight="1" x14ac:dyDescent="0.25"/>
    <row r="507" ht="12.75" customHeight="1" x14ac:dyDescent="0.25"/>
    <row r="508" ht="12.75" customHeight="1" x14ac:dyDescent="0.25"/>
    <row r="509" ht="12.75" customHeight="1" x14ac:dyDescent="0.25"/>
    <row r="510" ht="12.75" customHeight="1" x14ac:dyDescent="0.25"/>
    <row r="511" ht="12.75" customHeight="1" x14ac:dyDescent="0.25"/>
    <row r="512" ht="12.75" customHeight="1" x14ac:dyDescent="0.25"/>
    <row r="513" ht="12.75" customHeight="1" x14ac:dyDescent="0.25"/>
    <row r="514" ht="12.75" customHeight="1" x14ac:dyDescent="0.25"/>
    <row r="515" ht="12.75" customHeight="1" x14ac:dyDescent="0.25"/>
    <row r="516" ht="12.75" customHeight="1" x14ac:dyDescent="0.25"/>
    <row r="517" ht="12.75" customHeight="1" x14ac:dyDescent="0.25"/>
    <row r="518" ht="12.75" customHeight="1" x14ac:dyDescent="0.25"/>
    <row r="519" ht="12.75" customHeight="1" x14ac:dyDescent="0.25"/>
    <row r="520" ht="12.75" customHeight="1" x14ac:dyDescent="0.25"/>
  </sheetData>
  <sortState ref="B241:I253">
    <sortCondition ref="C242"/>
  </sortState>
  <mergeCells count="15">
    <mergeCell ref="B197:I197"/>
    <mergeCell ref="B218:I218"/>
    <mergeCell ref="B239:I239"/>
    <mergeCell ref="B92:I92"/>
    <mergeCell ref="B113:I113"/>
    <mergeCell ref="B134:I134"/>
    <mergeCell ref="B155:I155"/>
    <mergeCell ref="A174:F174"/>
    <mergeCell ref="B176:I176"/>
    <mergeCell ref="A89:F89"/>
    <mergeCell ref="A1:F1"/>
    <mergeCell ref="B4:I4"/>
    <mergeCell ref="B25:I25"/>
    <mergeCell ref="B47:I47"/>
    <mergeCell ref="B68:I68"/>
  </mergeCells>
  <pageMargins left="0.7" right="0.7" top="0.75" bottom="0.75" header="0" footer="0"/>
  <pageSetup paperSize="9" orientation="portrait" r:id="rId1"/>
  <ignoredErrors>
    <ignoredError sqref="C106" formulaRange="1"/>
    <ignoredError sqref="D106" formula="1"/>
  </ignoredErrors>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37CE66-D0B3-43BA-8050-F6040088580E}">
  <dimension ref="A1:Y520"/>
  <sheetViews>
    <sheetView showGridLines="0" zoomScale="55" zoomScaleNormal="55" workbookViewId="0">
      <selection activeCell="X21" sqref="X21"/>
    </sheetView>
  </sheetViews>
  <sheetFormatPr defaultColWidth="12.6640625" defaultRowHeight="15" customHeight="1" x14ac:dyDescent="0.25"/>
  <cols>
    <col min="1" max="1" width="8.6640625" style="2" customWidth="1"/>
    <col min="2" max="2" width="15.109375" style="2" bestFit="1" customWidth="1"/>
    <col min="3" max="3" width="16.33203125" style="2" bestFit="1" customWidth="1"/>
    <col min="4" max="4" width="13.21875" style="2" customWidth="1"/>
    <col min="5" max="5" width="9.6640625" style="2" customWidth="1"/>
    <col min="6" max="6" width="13.33203125" style="2" customWidth="1"/>
    <col min="7" max="7" width="14" style="2" bestFit="1" customWidth="1"/>
    <col min="8" max="8" width="14.21875" style="2" bestFit="1" customWidth="1"/>
    <col min="9" max="9" width="20.21875" style="2" bestFit="1" customWidth="1"/>
    <col min="10" max="13" width="16.109375" style="2" customWidth="1"/>
    <col min="14" max="14" width="20" style="2" customWidth="1"/>
    <col min="15" max="15" width="12.6640625" style="2"/>
    <col min="16" max="16" width="27.77734375" style="2" customWidth="1"/>
    <col min="17" max="17" width="17.21875" style="2" bestFit="1" customWidth="1"/>
    <col min="18" max="18" width="12" style="2" bestFit="1" customWidth="1"/>
    <col min="19" max="20" width="12.44140625" style="2" bestFit="1" customWidth="1"/>
    <col min="21" max="21" width="17.21875" style="2" bestFit="1" customWidth="1"/>
    <col min="22" max="22" width="12" style="2" bestFit="1" customWidth="1"/>
    <col min="23" max="23" width="7.88671875" style="2" customWidth="1"/>
    <col min="24" max="24" width="13" style="2" customWidth="1"/>
    <col min="25" max="25" width="15.21875" style="2" customWidth="1"/>
    <col min="26" max="16384" width="12.6640625" style="2"/>
  </cols>
  <sheetData>
    <row r="1" spans="1:25" ht="25.05" customHeight="1" x14ac:dyDescent="0.25">
      <c r="A1" s="252" t="s">
        <v>81</v>
      </c>
      <c r="B1" s="252"/>
      <c r="C1" s="252"/>
      <c r="D1" s="252"/>
      <c r="E1" s="252"/>
      <c r="F1" s="252"/>
    </row>
    <row r="2" spans="1:25" ht="12.75" customHeight="1" x14ac:dyDescent="0.25">
      <c r="D2" s="1"/>
    </row>
    <row r="3" spans="1:25" ht="12.75" customHeight="1" x14ac:dyDescent="0.25"/>
    <row r="4" spans="1:25" ht="21" customHeight="1" thickBot="1" x14ac:dyDescent="0.35">
      <c r="B4" s="256" t="s">
        <v>95</v>
      </c>
      <c r="C4" s="256"/>
      <c r="D4" s="256"/>
      <c r="E4" s="256"/>
      <c r="F4" s="256"/>
      <c r="G4" s="256"/>
      <c r="H4" s="256"/>
      <c r="I4" s="256"/>
    </row>
    <row r="5" spans="1:25" s="8" customFormat="1" ht="40.200000000000003" customHeight="1" thickBot="1" x14ac:dyDescent="0.3">
      <c r="B5" s="36" t="s">
        <v>19</v>
      </c>
      <c r="C5" s="37" t="s">
        <v>42</v>
      </c>
      <c r="D5" s="37" t="s">
        <v>41</v>
      </c>
      <c r="E5" s="37" t="s">
        <v>27</v>
      </c>
      <c r="F5" s="37" t="s">
        <v>16</v>
      </c>
      <c r="G5" s="37" t="s">
        <v>28</v>
      </c>
      <c r="H5" s="37" t="s">
        <v>116</v>
      </c>
      <c r="I5" s="37" t="s">
        <v>20</v>
      </c>
      <c r="U5" s="23"/>
      <c r="V5" s="121" t="s">
        <v>131</v>
      </c>
      <c r="W5" s="127" t="s">
        <v>134</v>
      </c>
      <c r="X5" s="127" t="s">
        <v>132</v>
      </c>
      <c r="Y5" s="127" t="s">
        <v>133</v>
      </c>
    </row>
    <row r="6" spans="1:25" ht="12.75" customHeight="1" x14ac:dyDescent="0.25">
      <c r="B6" s="4"/>
      <c r="C6" s="26">
        <v>0</v>
      </c>
      <c r="D6" s="26">
        <v>0</v>
      </c>
      <c r="E6" s="49">
        <v>0</v>
      </c>
      <c r="F6" s="49">
        <v>0</v>
      </c>
      <c r="G6" s="49">
        <v>0</v>
      </c>
      <c r="H6" s="50">
        <f>F6</f>
        <v>0</v>
      </c>
      <c r="I6" s="49">
        <v>0</v>
      </c>
      <c r="P6" s="18"/>
      <c r="Q6" s="14"/>
      <c r="R6" s="15"/>
      <c r="U6" s="18" t="s">
        <v>0</v>
      </c>
      <c r="V6" s="60">
        <f>I20</f>
        <v>0.57056231321795958</v>
      </c>
      <c r="W6" s="60">
        <f>I41</f>
        <v>0.5408343586914911</v>
      </c>
      <c r="X6" s="60">
        <f>I63</f>
        <v>0.71428167252316843</v>
      </c>
      <c r="Y6" s="60">
        <f>I84</f>
        <v>0.19201470138638654</v>
      </c>
    </row>
    <row r="7" spans="1:25" ht="12.75" customHeight="1" x14ac:dyDescent="0.25">
      <c r="B7" s="82" t="s">
        <v>2</v>
      </c>
      <c r="C7" s="29">
        <v>3.3803673657372775</v>
      </c>
      <c r="D7" s="29">
        <v>79.244468966812633</v>
      </c>
      <c r="E7" s="49">
        <f t="shared" ref="E7:E17" si="0">C7/$C$18</f>
        <v>1.6224065801728926E-3</v>
      </c>
      <c r="F7" s="49">
        <f t="shared" ref="F7:F17" si="1">D7/$D$18</f>
        <v>0.31853588649418857</v>
      </c>
      <c r="G7" s="49">
        <f t="shared" ref="G7:G17" si="2">G6+E7</f>
        <v>1.6224065801728926E-3</v>
      </c>
      <c r="H7" s="50">
        <f t="shared" ref="H7:H17" si="3">F7+H6</f>
        <v>0.31853588649418857</v>
      </c>
      <c r="I7" s="49">
        <f t="shared" ref="I7:I17" si="4">(G6+G7)*0.5*(H7-H6)</f>
        <v>2.5839735913468857E-4</v>
      </c>
      <c r="P7" s="18"/>
      <c r="Q7" s="14"/>
      <c r="R7" s="15"/>
      <c r="U7" s="18" t="s">
        <v>130</v>
      </c>
      <c r="V7" s="60">
        <f>I108</f>
        <v>0.33222542043780168</v>
      </c>
      <c r="W7" s="60">
        <f>I129</f>
        <v>0.33024077254479434</v>
      </c>
      <c r="X7" s="60">
        <f>I150</f>
        <v>0.53088882739263021</v>
      </c>
      <c r="Y7" s="60">
        <f>I171</f>
        <v>0.1708488160625663</v>
      </c>
    </row>
    <row r="8" spans="1:25" ht="12.75" customHeight="1" thickBot="1" x14ac:dyDescent="0.3">
      <c r="B8" s="82" t="s">
        <v>3</v>
      </c>
      <c r="C8" s="29">
        <v>14.400136359321918</v>
      </c>
      <c r="D8" s="29">
        <v>1.2370418530422047</v>
      </c>
      <c r="E8" s="49">
        <f t="shared" si="0"/>
        <v>6.9113423060322386E-3</v>
      </c>
      <c r="F8" s="49">
        <f t="shared" si="1"/>
        <v>4.9724886597982782E-3</v>
      </c>
      <c r="G8" s="49">
        <f t="shared" si="2"/>
        <v>8.5337488862051308E-3</v>
      </c>
      <c r="H8" s="50">
        <f t="shared" si="3"/>
        <v>0.32350837515398684</v>
      </c>
      <c r="I8" s="49">
        <f t="shared" si="4"/>
        <v>2.5250683941856458E-5</v>
      </c>
      <c r="P8" s="18"/>
      <c r="Q8" s="14"/>
      <c r="R8" s="15"/>
      <c r="U8" s="125" t="s">
        <v>135</v>
      </c>
      <c r="V8" s="126">
        <f>I192</f>
        <v>0.14764785315019635</v>
      </c>
      <c r="W8" s="126">
        <f>I213</f>
        <v>4.4088302699293758E-2</v>
      </c>
      <c r="X8" s="126">
        <f>I234</f>
        <v>0.78722873396663728</v>
      </c>
      <c r="Y8" s="126">
        <f>I255</f>
        <v>0.35443641867385545</v>
      </c>
    </row>
    <row r="9" spans="1:25" ht="12.75" customHeight="1" x14ac:dyDescent="0.25">
      <c r="B9" s="82" t="s">
        <v>1</v>
      </c>
      <c r="C9" s="29">
        <v>15.589621527401139</v>
      </c>
      <c r="D9" s="29">
        <v>5.6263992616047176</v>
      </c>
      <c r="E9" s="49">
        <f t="shared" si="0"/>
        <v>7.4822354531115009E-3</v>
      </c>
      <c r="F9" s="49">
        <f t="shared" si="1"/>
        <v>2.261621662599669E-2</v>
      </c>
      <c r="G9" s="49">
        <f t="shared" si="2"/>
        <v>1.6015984339316631E-2</v>
      </c>
      <c r="H9" s="50">
        <f t="shared" si="3"/>
        <v>0.3461245917799835</v>
      </c>
      <c r="I9" s="49">
        <f t="shared" si="4"/>
        <v>2.77611042369414E-4</v>
      </c>
      <c r="P9" s="18"/>
      <c r="Q9" s="14"/>
      <c r="R9" s="15"/>
    </row>
    <row r="10" spans="1:25" ht="12.75" customHeight="1" x14ac:dyDescent="0.25">
      <c r="B10" s="111" t="s">
        <v>6</v>
      </c>
      <c r="C10" s="29">
        <v>21.331893349594765</v>
      </c>
      <c r="D10" s="29">
        <v>10.585778959789884</v>
      </c>
      <c r="E10" s="49">
        <f t="shared" si="0"/>
        <v>1.0238237562200726E-2</v>
      </c>
      <c r="F10" s="49">
        <f t="shared" si="1"/>
        <v>4.2551240851905557E-2</v>
      </c>
      <c r="G10" s="49">
        <f t="shared" si="2"/>
        <v>2.6254221901517355E-2</v>
      </c>
      <c r="H10" s="50">
        <f t="shared" si="3"/>
        <v>0.38867583263188904</v>
      </c>
      <c r="I10" s="49">
        <f t="shared" si="4"/>
        <v>8.993248633067237E-4</v>
      </c>
      <c r="P10" s="18"/>
      <c r="Q10" s="14"/>
      <c r="R10" s="15"/>
    </row>
    <row r="11" spans="1:25" ht="12.75" customHeight="1" x14ac:dyDescent="0.25">
      <c r="B11" s="82" t="s">
        <v>195</v>
      </c>
      <c r="C11" s="29">
        <v>23.724017140818511</v>
      </c>
      <c r="D11" s="29">
        <v>3.5269001406054343</v>
      </c>
      <c r="E11" s="49">
        <f t="shared" si="0"/>
        <v>1.1386336854250027E-2</v>
      </c>
      <c r="F11" s="49">
        <f t="shared" si="1"/>
        <v>1.4176942283943195E-2</v>
      </c>
      <c r="G11" s="49">
        <f t="shared" si="2"/>
        <v>3.7640558755767384E-2</v>
      </c>
      <c r="H11" s="50">
        <f t="shared" si="3"/>
        <v>0.40285277491583221</v>
      </c>
      <c r="I11" s="49">
        <f t="shared" si="4"/>
        <v>4.5291630881176716E-4</v>
      </c>
      <c r="P11" s="18"/>
      <c r="Q11" s="14"/>
      <c r="R11" s="15"/>
    </row>
    <row r="12" spans="1:25" ht="12.75" customHeight="1" x14ac:dyDescent="0.25">
      <c r="B12" s="82" t="s">
        <v>5</v>
      </c>
      <c r="C12" s="29">
        <v>72.980329509151488</v>
      </c>
      <c r="D12" s="29">
        <v>18.451624510851893</v>
      </c>
      <c r="E12" s="49">
        <f t="shared" si="0"/>
        <v>3.5026893236205635E-2</v>
      </c>
      <c r="F12" s="49">
        <f t="shared" si="1"/>
        <v>7.4169271968793041E-2</v>
      </c>
      <c r="G12" s="49">
        <f t="shared" si="2"/>
        <v>7.2667451991973026E-2</v>
      </c>
      <c r="H12" s="50">
        <f t="shared" si="3"/>
        <v>0.47702204688462524</v>
      </c>
      <c r="I12" s="49">
        <f t="shared" si="4"/>
        <v>4.0907324247428517E-3</v>
      </c>
      <c r="P12" s="18"/>
      <c r="Q12" s="14"/>
      <c r="R12" s="15"/>
    </row>
    <row r="13" spans="1:25" ht="12.75" customHeight="1" x14ac:dyDescent="0.25">
      <c r="B13" s="82" t="s">
        <v>9</v>
      </c>
      <c r="C13" s="29">
        <v>130.37580876063711</v>
      </c>
      <c r="D13" s="29">
        <v>10.984651987881014</v>
      </c>
      <c r="E13" s="49">
        <f t="shared" si="0"/>
        <v>6.2573840989168947E-2</v>
      </c>
      <c r="F13" s="49">
        <f t="shared" si="1"/>
        <v>4.4154575131990642E-2</v>
      </c>
      <c r="G13" s="49">
        <f t="shared" si="2"/>
        <v>0.13524129298114196</v>
      </c>
      <c r="H13" s="50">
        <f t="shared" si="3"/>
        <v>0.52117662201661585</v>
      </c>
      <c r="I13" s="49">
        <f t="shared" si="4"/>
        <v>4.5900611502566408E-3</v>
      </c>
      <c r="P13" s="18"/>
      <c r="Q13" s="14"/>
      <c r="R13" s="15"/>
    </row>
    <row r="14" spans="1:25" ht="12.75" customHeight="1" x14ac:dyDescent="0.25">
      <c r="B14" s="111" t="s">
        <v>10</v>
      </c>
      <c r="C14" s="29">
        <v>292.66694540931792</v>
      </c>
      <c r="D14" s="29">
        <v>38.006093743829318</v>
      </c>
      <c r="E14" s="49">
        <f t="shared" si="0"/>
        <v>0.14046543663978844</v>
      </c>
      <c r="F14" s="49">
        <f t="shared" si="1"/>
        <v>0.15277160564912098</v>
      </c>
      <c r="G14" s="49">
        <f t="shared" si="2"/>
        <v>0.2757067296209304</v>
      </c>
      <c r="H14" s="50">
        <f t="shared" si="3"/>
        <v>0.67394822766573681</v>
      </c>
      <c r="I14" s="49">
        <f t="shared" si="4"/>
        <v>3.1390594625624921E-2</v>
      </c>
      <c r="P14" s="18"/>
      <c r="Q14" s="14"/>
      <c r="R14" s="15"/>
    </row>
    <row r="15" spans="1:25" ht="12.75" customHeight="1" x14ac:dyDescent="0.25">
      <c r="B15" s="82" t="s">
        <v>7</v>
      </c>
      <c r="C15" s="29">
        <v>404.09091338939459</v>
      </c>
      <c r="D15" s="29">
        <v>34.422766266315072</v>
      </c>
      <c r="E15" s="49">
        <f t="shared" si="0"/>
        <v>0.19394334577834801</v>
      </c>
      <c r="F15" s="49">
        <f t="shared" si="1"/>
        <v>0.1383678446102653</v>
      </c>
      <c r="G15" s="49">
        <f t="shared" si="2"/>
        <v>0.46965007539927839</v>
      </c>
      <c r="H15" s="50">
        <f t="shared" si="3"/>
        <v>0.81231607227600211</v>
      </c>
      <c r="I15" s="49">
        <f t="shared" si="4"/>
        <v>5.1566707288120031E-2</v>
      </c>
      <c r="P15" s="18"/>
      <c r="Q15" s="14"/>
      <c r="R15" s="15"/>
    </row>
    <row r="16" spans="1:25" ht="12.75" customHeight="1" x14ac:dyDescent="0.25">
      <c r="B16" s="82" t="s">
        <v>4</v>
      </c>
      <c r="C16" s="29">
        <v>484.06868290093661</v>
      </c>
      <c r="D16" s="29">
        <v>36.16595782381809</v>
      </c>
      <c r="E16" s="49">
        <f t="shared" si="0"/>
        <v>0.2323286588180673</v>
      </c>
      <c r="F16" s="49">
        <f t="shared" si="1"/>
        <v>0.14537488340222129</v>
      </c>
      <c r="G16" s="49">
        <f t="shared" si="2"/>
        <v>0.70197873421734569</v>
      </c>
      <c r="H16" s="50">
        <f t="shared" si="3"/>
        <v>0.95769095567822338</v>
      </c>
      <c r="I16" s="49">
        <f t="shared" si="4"/>
        <v>8.516270079435001E-2</v>
      </c>
      <c r="P16" s="18"/>
      <c r="Q16" s="14"/>
      <c r="R16" s="15"/>
    </row>
    <row r="17" spans="1:14" ht="12.75" customHeight="1" thickBot="1" x14ac:dyDescent="0.3">
      <c r="B17" s="86" t="s">
        <v>8</v>
      </c>
      <c r="C17" s="32">
        <v>620.94260061497255</v>
      </c>
      <c r="D17" s="32">
        <v>10.525525982874386</v>
      </c>
      <c r="E17" s="51">
        <f t="shared" si="0"/>
        <v>0.2980212657826542</v>
      </c>
      <c r="F17" s="51">
        <f t="shared" si="1"/>
        <v>4.2309044321776373E-2</v>
      </c>
      <c r="G17" s="49">
        <f t="shared" si="2"/>
        <v>0.99999999999999989</v>
      </c>
      <c r="H17" s="52">
        <f t="shared" si="3"/>
        <v>0.99999999999999978</v>
      </c>
      <c r="I17" s="51">
        <f t="shared" si="4"/>
        <v>3.6004546850361287E-2</v>
      </c>
    </row>
    <row r="18" spans="1:14" ht="12.75" customHeight="1" thickBot="1" x14ac:dyDescent="0.3">
      <c r="B18" s="35" t="s">
        <v>12</v>
      </c>
      <c r="C18" s="6">
        <f>SUM(C6:C17)</f>
        <v>2083.551316327284</v>
      </c>
      <c r="D18" s="6">
        <f>SUM(D6:D17)</f>
        <v>248.77720949742468</v>
      </c>
      <c r="E18" s="59">
        <f>SUM(E7:E17)</f>
        <v>0.99999999999999989</v>
      </c>
      <c r="F18" s="59">
        <f>SUM(F7:F17)</f>
        <v>0.99999999999999978</v>
      </c>
      <c r="G18" s="53"/>
      <c r="H18" s="53"/>
      <c r="I18" s="59">
        <f>SUM(I6:I17)</f>
        <v>0.21471884339102018</v>
      </c>
    </row>
    <row r="19" spans="1:14" ht="12.75" customHeight="1" thickBot="1" x14ac:dyDescent="0.3">
      <c r="B19" s="4"/>
      <c r="C19" s="4"/>
      <c r="D19" s="4"/>
      <c r="E19" s="50"/>
      <c r="F19" s="50"/>
      <c r="G19" s="50"/>
      <c r="H19" s="53"/>
      <c r="I19" s="53"/>
    </row>
    <row r="20" spans="1:14" ht="12.75" customHeight="1" thickBot="1" x14ac:dyDescent="0.3">
      <c r="B20" s="4"/>
      <c r="C20" s="4"/>
      <c r="D20" s="4"/>
      <c r="E20" s="50"/>
      <c r="F20" s="50"/>
      <c r="G20" s="55"/>
      <c r="H20" s="56" t="s">
        <v>30</v>
      </c>
      <c r="I20" s="52">
        <f>1-(2*I18)</f>
        <v>0.57056231321795958</v>
      </c>
    </row>
    <row r="21" spans="1:14" ht="12.75" customHeight="1" x14ac:dyDescent="0.25"/>
    <row r="22" spans="1:14" ht="12.75" customHeight="1" x14ac:dyDescent="0.25"/>
    <row r="23" spans="1:14" ht="12.75" customHeight="1" x14ac:dyDescent="0.25"/>
    <row r="24" spans="1:14" ht="13.2" customHeight="1" x14ac:dyDescent="0.25"/>
    <row r="25" spans="1:14" ht="14.4" customHeight="1" thickBot="1" x14ac:dyDescent="0.35">
      <c r="B25" s="256" t="s">
        <v>96</v>
      </c>
      <c r="C25" s="256"/>
      <c r="D25" s="256"/>
      <c r="E25" s="256"/>
      <c r="F25" s="256"/>
      <c r="G25" s="256"/>
      <c r="H25" s="256"/>
      <c r="I25" s="256"/>
    </row>
    <row r="26" spans="1:14" ht="12.6" customHeight="1" thickBot="1" x14ac:dyDescent="0.3">
      <c r="B26" s="36" t="s">
        <v>19</v>
      </c>
      <c r="C26" s="37" t="s">
        <v>97</v>
      </c>
      <c r="D26" s="37" t="s">
        <v>41</v>
      </c>
      <c r="E26" s="37" t="s">
        <v>31</v>
      </c>
      <c r="F26" s="37" t="s">
        <v>16</v>
      </c>
      <c r="G26" s="37" t="s">
        <v>32</v>
      </c>
      <c r="H26" s="37" t="s">
        <v>116</v>
      </c>
      <c r="I26" s="37" t="s">
        <v>20</v>
      </c>
      <c r="J26" s="8"/>
      <c r="K26" s="8"/>
      <c r="L26" s="8"/>
      <c r="M26" s="8"/>
      <c r="N26" s="8"/>
    </row>
    <row r="27" spans="1:14" ht="12.75" customHeight="1" x14ac:dyDescent="0.25">
      <c r="B27" s="4"/>
      <c r="C27" s="26">
        <v>0</v>
      </c>
      <c r="D27" s="26">
        <v>0</v>
      </c>
      <c r="E27" s="49">
        <f t="shared" ref="E27:E38" si="5">C27/$C$39</f>
        <v>0</v>
      </c>
      <c r="F27" s="49">
        <f t="shared" ref="F27:F38" si="6">D27/$D$39</f>
        <v>0</v>
      </c>
      <c r="G27" s="49">
        <v>0</v>
      </c>
      <c r="H27" s="50">
        <f>F27</f>
        <v>0</v>
      </c>
      <c r="I27" s="49">
        <v>0</v>
      </c>
    </row>
    <row r="28" spans="1:14" ht="13.2" x14ac:dyDescent="0.25">
      <c r="A28" s="8"/>
      <c r="B28" s="82" t="s">
        <v>3</v>
      </c>
      <c r="C28" s="29">
        <v>11.171359418917772</v>
      </c>
      <c r="D28" s="29">
        <v>1.2370418530422047</v>
      </c>
      <c r="E28" s="49">
        <f t="shared" si="5"/>
        <v>5.2999093049631314E-3</v>
      </c>
      <c r="F28" s="49">
        <f t="shared" si="6"/>
        <v>4.9724886597982782E-3</v>
      </c>
      <c r="G28" s="49">
        <f t="shared" ref="G28:G38" si="7">G27+E28</f>
        <v>5.2999093049631314E-3</v>
      </c>
      <c r="H28" s="50">
        <f t="shared" ref="H28:H38" si="8">F28+H27</f>
        <v>4.9724886597982782E-3</v>
      </c>
      <c r="I28" s="49">
        <f t="shared" ref="I28:I38" si="9">(G27+G28)*0.5*(H28-H27)</f>
        <v>1.3176869458444273E-5</v>
      </c>
    </row>
    <row r="29" spans="1:14" ht="12.75" customHeight="1" x14ac:dyDescent="0.25">
      <c r="B29" s="82" t="s">
        <v>1</v>
      </c>
      <c r="C29" s="29">
        <v>13.62551145548483</v>
      </c>
      <c r="D29" s="29">
        <v>5.6263992616047176</v>
      </c>
      <c r="E29" s="49">
        <f t="shared" si="5"/>
        <v>6.4642065696603936E-3</v>
      </c>
      <c r="F29" s="49">
        <f t="shared" si="6"/>
        <v>2.261621662599669E-2</v>
      </c>
      <c r="G29" s="49">
        <f t="shared" si="7"/>
        <v>1.1764115874623525E-2</v>
      </c>
      <c r="H29" s="50">
        <f t="shared" si="8"/>
        <v>2.7588705285794969E-2</v>
      </c>
      <c r="I29" s="49">
        <f t="shared" si="9"/>
        <v>1.9296184498649694E-4</v>
      </c>
    </row>
    <row r="30" spans="1:14" ht="12.75" customHeight="1" x14ac:dyDescent="0.25">
      <c r="B30" s="111" t="s">
        <v>6</v>
      </c>
      <c r="C30" s="29">
        <v>19.890651093947945</v>
      </c>
      <c r="D30" s="29">
        <v>10.585778959789884</v>
      </c>
      <c r="E30" s="49">
        <f t="shared" si="5"/>
        <v>9.4365101740502624E-3</v>
      </c>
      <c r="F30" s="49">
        <f t="shared" si="6"/>
        <v>4.2551240851905557E-2</v>
      </c>
      <c r="G30" s="49">
        <f t="shared" si="7"/>
        <v>2.1200626048673787E-2</v>
      </c>
      <c r="H30" s="50">
        <f t="shared" si="8"/>
        <v>7.0139946137700526E-2</v>
      </c>
      <c r="I30" s="49">
        <f t="shared" si="9"/>
        <v>7.0134533659956617E-4</v>
      </c>
    </row>
    <row r="31" spans="1:14" ht="12.75" customHeight="1" x14ac:dyDescent="0.25">
      <c r="B31" s="82" t="s">
        <v>195</v>
      </c>
      <c r="C31" s="29">
        <v>26.053635154547475</v>
      </c>
      <c r="D31" s="29">
        <v>3.5269001406054343</v>
      </c>
      <c r="E31" s="49">
        <f t="shared" si="5"/>
        <v>1.2360349193480467E-2</v>
      </c>
      <c r="F31" s="49">
        <f t="shared" si="6"/>
        <v>1.4176942283943195E-2</v>
      </c>
      <c r="G31" s="49">
        <f t="shared" si="7"/>
        <v>3.3560975242154255E-2</v>
      </c>
      <c r="H31" s="50">
        <f t="shared" si="8"/>
        <v>8.4316888421643726E-2</v>
      </c>
      <c r="I31" s="49">
        <f t="shared" si="9"/>
        <v>3.881760304381893E-4</v>
      </c>
    </row>
    <row r="32" spans="1:14" ht="12.75" customHeight="1" x14ac:dyDescent="0.25">
      <c r="B32" s="82" t="s">
        <v>5</v>
      </c>
      <c r="C32" s="29">
        <v>58.065831028798335</v>
      </c>
      <c r="D32" s="29">
        <v>18.451624510851893</v>
      </c>
      <c r="E32" s="49">
        <f t="shared" si="5"/>
        <v>2.7547555013654544E-2</v>
      </c>
      <c r="F32" s="49">
        <f t="shared" si="6"/>
        <v>7.4169271968793041E-2</v>
      </c>
      <c r="G32" s="49">
        <f t="shared" si="7"/>
        <v>6.1108530255808799E-2</v>
      </c>
      <c r="H32" s="50">
        <f t="shared" si="8"/>
        <v>0.15848616039043678</v>
      </c>
      <c r="I32" s="49">
        <f t="shared" si="9"/>
        <v>3.5107841502147854E-3</v>
      </c>
    </row>
    <row r="33" spans="2:14" ht="12.75" customHeight="1" x14ac:dyDescent="0.25">
      <c r="B33" s="82" t="s">
        <v>2</v>
      </c>
      <c r="C33" s="29">
        <v>63.208496046190042</v>
      </c>
      <c r="D33" s="29">
        <v>79.244468966812633</v>
      </c>
      <c r="E33" s="49">
        <f t="shared" si="5"/>
        <v>2.9987334914731531E-2</v>
      </c>
      <c r="F33" s="49">
        <f t="shared" si="6"/>
        <v>0.31853588649418857</v>
      </c>
      <c r="G33" s="49">
        <f t="shared" si="7"/>
        <v>9.109586517054033E-2</v>
      </c>
      <c r="H33" s="50">
        <f t="shared" si="8"/>
        <v>0.47702204688462535</v>
      </c>
      <c r="I33" s="49">
        <f t="shared" si="9"/>
        <v>2.4241281012722066E-2</v>
      </c>
    </row>
    <row r="34" spans="2:14" ht="12.75" customHeight="1" x14ac:dyDescent="0.25">
      <c r="B34" s="82" t="s">
        <v>9</v>
      </c>
      <c r="C34" s="29">
        <v>113.8115207203455</v>
      </c>
      <c r="D34" s="29">
        <v>10.984651987881014</v>
      </c>
      <c r="E34" s="49">
        <f t="shared" si="5"/>
        <v>5.3994390034243257E-2</v>
      </c>
      <c r="F34" s="49">
        <f t="shared" si="6"/>
        <v>4.4154575131990642E-2</v>
      </c>
      <c r="G34" s="49">
        <f t="shared" si="7"/>
        <v>0.14509025520478358</v>
      </c>
      <c r="H34" s="50">
        <f t="shared" si="8"/>
        <v>0.52117662201661596</v>
      </c>
      <c r="I34" s="49">
        <f t="shared" si="9"/>
        <v>5.2143488986228096E-3</v>
      </c>
    </row>
    <row r="35" spans="2:14" ht="12.75" customHeight="1" x14ac:dyDescent="0.25">
      <c r="B35" s="111" t="s">
        <v>10</v>
      </c>
      <c r="C35" s="29">
        <v>276.95149598433915</v>
      </c>
      <c r="D35" s="29">
        <v>38.006093743829318</v>
      </c>
      <c r="E35" s="49">
        <f t="shared" si="5"/>
        <v>0.13139115442881824</v>
      </c>
      <c r="F35" s="49">
        <f t="shared" si="6"/>
        <v>0.15277160564912098</v>
      </c>
      <c r="G35" s="49">
        <f t="shared" si="7"/>
        <v>0.27648140963360179</v>
      </c>
      <c r="H35" s="50">
        <f t="shared" si="8"/>
        <v>0.67394822766573692</v>
      </c>
      <c r="I35" s="49">
        <f t="shared" si="9"/>
        <v>3.2202090066766602E-2</v>
      </c>
    </row>
    <row r="36" spans="2:14" ht="12.75" customHeight="1" x14ac:dyDescent="0.25">
      <c r="B36" s="82" t="s">
        <v>4</v>
      </c>
      <c r="C36" s="29">
        <v>353.6026358725851</v>
      </c>
      <c r="D36" s="29">
        <v>36.16595782381809</v>
      </c>
      <c r="E36" s="49">
        <f t="shared" si="5"/>
        <v>0.16775593997513275</v>
      </c>
      <c r="F36" s="49">
        <f t="shared" si="6"/>
        <v>0.14537488340222129</v>
      </c>
      <c r="G36" s="49">
        <f t="shared" si="7"/>
        <v>0.44423734960873451</v>
      </c>
      <c r="H36" s="50">
        <f t="shared" si="8"/>
        <v>0.81932311106795819</v>
      </c>
      <c r="I36" s="49">
        <f t="shared" si="9"/>
        <v>5.2387202795324113E-2</v>
      </c>
    </row>
    <row r="37" spans="2:14" ht="12.75" customHeight="1" x14ac:dyDescent="0.25">
      <c r="B37" s="82" t="s">
        <v>7</v>
      </c>
      <c r="C37" s="29">
        <v>436.58135275731689</v>
      </c>
      <c r="D37" s="29">
        <v>34.422766266315072</v>
      </c>
      <c r="E37" s="49">
        <f t="shared" si="5"/>
        <v>0.20712265061793605</v>
      </c>
      <c r="F37" s="49">
        <f t="shared" si="6"/>
        <v>0.1383678446102653</v>
      </c>
      <c r="G37" s="49">
        <f t="shared" si="7"/>
        <v>0.65136000022667062</v>
      </c>
      <c r="H37" s="50">
        <f t="shared" si="8"/>
        <v>0.95769095567822349</v>
      </c>
      <c r="I37" s="49">
        <f t="shared" si="9"/>
        <v>7.5797721928721917E-2</v>
      </c>
    </row>
    <row r="38" spans="2:14" ht="12.75" customHeight="1" thickBot="1" x14ac:dyDescent="0.3">
      <c r="B38" s="86" t="s">
        <v>8</v>
      </c>
      <c r="C38" s="32">
        <v>734.87724433925337</v>
      </c>
      <c r="D38" s="32">
        <v>10.525525982874386</v>
      </c>
      <c r="E38" s="51">
        <f t="shared" si="5"/>
        <v>0.34863999977332938</v>
      </c>
      <c r="F38" s="49">
        <f t="shared" si="6"/>
        <v>4.2309044321776373E-2</v>
      </c>
      <c r="G38" s="51">
        <f t="shared" si="7"/>
        <v>1</v>
      </c>
      <c r="H38" s="52">
        <f t="shared" si="8"/>
        <v>0.99999999999999989</v>
      </c>
      <c r="I38" s="51">
        <f t="shared" si="9"/>
        <v>3.4933731720399451E-2</v>
      </c>
    </row>
    <row r="39" spans="2:14" ht="12.75" customHeight="1" thickBot="1" x14ac:dyDescent="0.3">
      <c r="B39" s="35" t="s">
        <v>12</v>
      </c>
      <c r="C39" s="6">
        <f>SUM(C27:C38)</f>
        <v>2107.8397338717264</v>
      </c>
      <c r="D39" s="6">
        <f>SUM(D27:D38)</f>
        <v>248.77720949742468</v>
      </c>
      <c r="E39" s="51">
        <f>SUM(E28:E38)</f>
        <v>1</v>
      </c>
      <c r="F39" s="59">
        <f>SUM(F28:F38)</f>
        <v>0.99999999999999989</v>
      </c>
      <c r="G39" s="53"/>
      <c r="H39" s="53"/>
      <c r="I39" s="59">
        <f>SUM(I27:I38)</f>
        <v>0.22958282065425445</v>
      </c>
    </row>
    <row r="40" spans="2:14" ht="12.75" customHeight="1" thickBot="1" x14ac:dyDescent="0.3">
      <c r="B40" s="4"/>
      <c r="C40" s="4"/>
      <c r="D40" s="4"/>
      <c r="E40" s="50"/>
      <c r="F40" s="50"/>
      <c r="G40" s="50"/>
      <c r="H40" s="53"/>
      <c r="I40" s="53"/>
    </row>
    <row r="41" spans="2:14" ht="12.75" customHeight="1" thickBot="1" x14ac:dyDescent="0.3">
      <c r="B41" s="4"/>
      <c r="C41" s="4"/>
      <c r="D41" s="4"/>
      <c r="E41" s="50"/>
      <c r="F41" s="50"/>
      <c r="G41" s="55"/>
      <c r="H41" s="56" t="s">
        <v>29</v>
      </c>
      <c r="I41" s="52">
        <f>1-(2*I39)</f>
        <v>0.5408343586914911</v>
      </c>
    </row>
    <row r="42" spans="2:14" ht="12.75" customHeight="1" x14ac:dyDescent="0.25">
      <c r="E42" s="60"/>
      <c r="F42" s="60"/>
      <c r="G42" s="60"/>
      <c r="H42" s="60"/>
      <c r="I42" s="60"/>
    </row>
    <row r="43" spans="2:14" ht="12.75" customHeight="1" x14ac:dyDescent="0.25"/>
    <row r="44" spans="2:14" ht="12.75" customHeight="1" x14ac:dyDescent="0.25"/>
    <row r="45" spans="2:14" ht="12.75" customHeight="1" x14ac:dyDescent="0.25"/>
    <row r="46" spans="2:14" ht="12.75" customHeight="1" x14ac:dyDescent="0.25"/>
    <row r="47" spans="2:14" ht="16.2" thickBot="1" x14ac:dyDescent="0.35">
      <c r="B47" s="257" t="s">
        <v>104</v>
      </c>
      <c r="C47" s="257"/>
      <c r="D47" s="257"/>
      <c r="E47" s="257"/>
      <c r="F47" s="257"/>
      <c r="G47" s="257"/>
      <c r="H47" s="257"/>
      <c r="I47" s="257"/>
      <c r="J47" s="122"/>
    </row>
    <row r="48" spans="2:14" ht="27" thickBot="1" x14ac:dyDescent="0.3">
      <c r="B48" s="30" t="s">
        <v>19</v>
      </c>
      <c r="C48" s="31" t="s">
        <v>38</v>
      </c>
      <c r="D48" s="31" t="s">
        <v>41</v>
      </c>
      <c r="E48" s="31" t="s">
        <v>15</v>
      </c>
      <c r="F48" s="31" t="s">
        <v>16</v>
      </c>
      <c r="G48" s="31" t="s">
        <v>17</v>
      </c>
      <c r="H48" s="31" t="s">
        <v>116</v>
      </c>
      <c r="I48" s="31" t="s">
        <v>20</v>
      </c>
      <c r="J48" s="25"/>
      <c r="K48" s="8"/>
      <c r="L48" s="8"/>
      <c r="M48" s="8"/>
      <c r="N48" s="8"/>
    </row>
    <row r="49" spans="1:10" ht="12.75" customHeight="1" x14ac:dyDescent="0.25">
      <c r="B49" s="4"/>
      <c r="C49" s="26">
        <v>0</v>
      </c>
      <c r="D49" s="26">
        <v>0</v>
      </c>
      <c r="E49" s="49">
        <f t="shared" ref="E49:E60" si="10">C49/$C$61</f>
        <v>0</v>
      </c>
      <c r="F49" s="49">
        <f t="shared" ref="F49:F60" si="11">D49/$D$61</f>
        <v>0</v>
      </c>
      <c r="G49" s="49">
        <v>0</v>
      </c>
      <c r="H49" s="50">
        <f>F49</f>
        <v>0</v>
      </c>
      <c r="I49" s="49">
        <v>0</v>
      </c>
      <c r="J49" s="28"/>
    </row>
    <row r="50" spans="1:10" ht="12.75" customHeight="1" x14ac:dyDescent="0.25">
      <c r="B50" s="82" t="s">
        <v>195</v>
      </c>
      <c r="C50" s="29">
        <v>0</v>
      </c>
      <c r="D50" s="29">
        <v>3.5269001406054343</v>
      </c>
      <c r="E50" s="49">
        <f t="shared" si="10"/>
        <v>0</v>
      </c>
      <c r="F50" s="49">
        <f t="shared" si="11"/>
        <v>1.4176942283943195E-2</v>
      </c>
      <c r="G50" s="49">
        <f t="shared" ref="G50:G60" si="12">G49+E50</f>
        <v>0</v>
      </c>
      <c r="H50" s="50">
        <f t="shared" ref="H50:H60" si="13">F50+H49</f>
        <v>1.4176942283943195E-2</v>
      </c>
      <c r="I50" s="49">
        <f t="shared" ref="I50:I60" si="14">(G49+G50)*0.5*(H50-H49)</f>
        <v>0</v>
      </c>
      <c r="J50" s="28"/>
    </row>
    <row r="51" spans="1:10" ht="12.75" customHeight="1" x14ac:dyDescent="0.25">
      <c r="A51" s="8"/>
      <c r="B51" s="82" t="s">
        <v>2</v>
      </c>
      <c r="C51" s="29">
        <v>0</v>
      </c>
      <c r="D51" s="29">
        <v>79.244468966812633</v>
      </c>
      <c r="E51" s="49">
        <f t="shared" si="10"/>
        <v>0</v>
      </c>
      <c r="F51" s="49">
        <f t="shared" si="11"/>
        <v>0.31853588649418857</v>
      </c>
      <c r="G51" s="49">
        <f t="shared" si="12"/>
        <v>0</v>
      </c>
      <c r="H51" s="50">
        <f t="shared" si="13"/>
        <v>0.33271282877813174</v>
      </c>
      <c r="I51" s="49">
        <f t="shared" si="14"/>
        <v>0</v>
      </c>
      <c r="J51" s="28"/>
    </row>
    <row r="52" spans="1:10" ht="12.75" customHeight="1" x14ac:dyDescent="0.25">
      <c r="B52" s="82" t="s">
        <v>7</v>
      </c>
      <c r="C52" s="29">
        <v>0</v>
      </c>
      <c r="D52" s="29">
        <v>34.422766266315072</v>
      </c>
      <c r="E52" s="49">
        <f t="shared" si="10"/>
        <v>0</v>
      </c>
      <c r="F52" s="49">
        <f t="shared" si="11"/>
        <v>0.1383678446102653</v>
      </c>
      <c r="G52" s="49">
        <f t="shared" si="12"/>
        <v>0</v>
      </c>
      <c r="H52" s="50">
        <f t="shared" si="13"/>
        <v>0.47108067338839704</v>
      </c>
      <c r="I52" s="49">
        <f t="shared" si="14"/>
        <v>0</v>
      </c>
      <c r="J52" s="28"/>
    </row>
    <row r="53" spans="1:10" ht="12.75" customHeight="1" x14ac:dyDescent="0.25">
      <c r="B53" s="82" t="s">
        <v>8</v>
      </c>
      <c r="C53" s="29">
        <v>0</v>
      </c>
      <c r="D53" s="29">
        <v>10.525525982874386</v>
      </c>
      <c r="E53" s="49">
        <f t="shared" si="10"/>
        <v>0</v>
      </c>
      <c r="F53" s="49">
        <f t="shared" si="11"/>
        <v>4.2309044321776373E-2</v>
      </c>
      <c r="G53" s="49">
        <f t="shared" si="12"/>
        <v>0</v>
      </c>
      <c r="H53" s="50">
        <f t="shared" si="13"/>
        <v>0.51338971771017339</v>
      </c>
      <c r="I53" s="49">
        <f t="shared" si="14"/>
        <v>0</v>
      </c>
      <c r="J53" s="28"/>
    </row>
    <row r="54" spans="1:10" ht="12.75" customHeight="1" x14ac:dyDescent="0.25">
      <c r="B54" s="111" t="s">
        <v>6</v>
      </c>
      <c r="C54" s="29">
        <v>1.5386391808328861</v>
      </c>
      <c r="D54" s="29">
        <v>10.585778959789884</v>
      </c>
      <c r="E54" s="49">
        <f t="shared" si="10"/>
        <v>7.5433856413997481E-3</v>
      </c>
      <c r="F54" s="49">
        <f t="shared" si="11"/>
        <v>4.2551240851905557E-2</v>
      </c>
      <c r="G54" s="49">
        <f t="shared" si="12"/>
        <v>7.5433856413997481E-3</v>
      </c>
      <c r="H54" s="50">
        <f t="shared" si="13"/>
        <v>0.55594095856207892</v>
      </c>
      <c r="I54" s="49">
        <f t="shared" si="14"/>
        <v>1.6049020963300332E-4</v>
      </c>
      <c r="J54" s="28"/>
    </row>
    <row r="55" spans="1:10" ht="12.75" customHeight="1" x14ac:dyDescent="0.25">
      <c r="B55" s="82" t="s">
        <v>1</v>
      </c>
      <c r="C55" s="29">
        <v>1.9832072109514134</v>
      </c>
      <c r="D55" s="29">
        <v>5.6263992616047176</v>
      </c>
      <c r="E55" s="49">
        <f t="shared" si="10"/>
        <v>9.7229402353534444E-3</v>
      </c>
      <c r="F55" s="49">
        <f t="shared" si="11"/>
        <v>2.261621662599669E-2</v>
      </c>
      <c r="G55" s="49">
        <f t="shared" si="12"/>
        <v>1.7266325876753193E-2</v>
      </c>
      <c r="H55" s="50">
        <f t="shared" si="13"/>
        <v>0.57855717518807559</v>
      </c>
      <c r="I55" s="49">
        <f t="shared" si="14"/>
        <v>2.8055090506151577E-4</v>
      </c>
      <c r="J55" s="28"/>
    </row>
    <row r="56" spans="1:10" ht="12.75" customHeight="1" x14ac:dyDescent="0.25">
      <c r="B56" s="82" t="s">
        <v>3</v>
      </c>
      <c r="C56" s="29">
        <v>3.2750912718752518</v>
      </c>
      <c r="D56" s="29">
        <v>1.2370418530422047</v>
      </c>
      <c r="E56" s="49">
        <f t="shared" si="10"/>
        <v>1.6056575695130883E-2</v>
      </c>
      <c r="F56" s="49">
        <f t="shared" si="11"/>
        <v>4.9724886597982782E-3</v>
      </c>
      <c r="G56" s="49">
        <f t="shared" si="12"/>
        <v>3.3322901571884077E-2</v>
      </c>
      <c r="H56" s="50">
        <f t="shared" si="13"/>
        <v>0.58352966384787386</v>
      </c>
      <c r="I56" s="49">
        <f t="shared" si="14"/>
        <v>1.2577717989815205E-4</v>
      </c>
      <c r="J56" s="28"/>
    </row>
    <row r="57" spans="1:10" ht="12.75" customHeight="1" x14ac:dyDescent="0.25">
      <c r="B57" s="82" t="s">
        <v>5</v>
      </c>
      <c r="C57" s="29">
        <v>16.052819884560293</v>
      </c>
      <c r="D57" s="29">
        <v>18.451624510851893</v>
      </c>
      <c r="E57" s="49">
        <f t="shared" si="10"/>
        <v>7.8701109740114253E-2</v>
      </c>
      <c r="F57" s="49">
        <f t="shared" si="11"/>
        <v>7.4169271968793041E-2</v>
      </c>
      <c r="G57" s="49">
        <f t="shared" si="12"/>
        <v>0.11202401131199832</v>
      </c>
      <c r="H57" s="50">
        <f t="shared" si="13"/>
        <v>0.65769893581666694</v>
      </c>
      <c r="I57" s="49">
        <f t="shared" si="14"/>
        <v>5.3901373557545748E-3</v>
      </c>
      <c r="J57" s="28"/>
    </row>
    <row r="58" spans="1:10" ht="12.75" customHeight="1" x14ac:dyDescent="0.25">
      <c r="B58" s="111" t="s">
        <v>10</v>
      </c>
      <c r="C58" s="29">
        <v>22.251590870161746</v>
      </c>
      <c r="D58" s="29">
        <v>38.006093743829318</v>
      </c>
      <c r="E58" s="49">
        <f t="shared" si="10"/>
        <v>0.1090914186764821</v>
      </c>
      <c r="F58" s="49">
        <f t="shared" si="11"/>
        <v>0.15277160564912098</v>
      </c>
      <c r="G58" s="49">
        <f t="shared" si="12"/>
        <v>0.22111542998848044</v>
      </c>
      <c r="H58" s="50">
        <f t="shared" si="13"/>
        <v>0.8104705414657879</v>
      </c>
      <c r="I58" s="49">
        <f t="shared" si="14"/>
        <v>2.5447123676262614E-2</v>
      </c>
      <c r="J58" s="28"/>
    </row>
    <row r="59" spans="1:10" ht="12.75" customHeight="1" x14ac:dyDescent="0.25">
      <c r="B59" s="82" t="s">
        <v>9</v>
      </c>
      <c r="C59" s="29">
        <v>27.835036451662162</v>
      </c>
      <c r="D59" s="29">
        <v>10.984651987881014</v>
      </c>
      <c r="E59" s="49">
        <f t="shared" si="10"/>
        <v>0.13646501201382844</v>
      </c>
      <c r="F59" s="49">
        <f t="shared" si="11"/>
        <v>4.4154575131990642E-2</v>
      </c>
      <c r="G59" s="49">
        <f t="shared" si="12"/>
        <v>0.35758044200230887</v>
      </c>
      <c r="H59" s="50">
        <f t="shared" si="13"/>
        <v>0.85462511659777851</v>
      </c>
      <c r="I59" s="49">
        <f t="shared" si="14"/>
        <v>1.2776035179195065E-2</v>
      </c>
      <c r="J59" s="28"/>
    </row>
    <row r="60" spans="1:10" ht="12.75" customHeight="1" thickBot="1" x14ac:dyDescent="0.3">
      <c r="B60" s="86" t="s">
        <v>4</v>
      </c>
      <c r="C60" s="32">
        <v>131.03557864571476</v>
      </c>
      <c r="D60" s="32">
        <v>36.16595782381809</v>
      </c>
      <c r="E60" s="49">
        <f t="shared" si="10"/>
        <v>0.64241955799769113</v>
      </c>
      <c r="F60" s="49">
        <f t="shared" si="11"/>
        <v>0.14537488340222129</v>
      </c>
      <c r="G60" s="51">
        <f t="shared" si="12"/>
        <v>1</v>
      </c>
      <c r="H60" s="52">
        <f t="shared" si="13"/>
        <v>0.99999999999999978</v>
      </c>
      <c r="I60" s="51">
        <f t="shared" si="14"/>
        <v>9.8679049232610838E-2</v>
      </c>
      <c r="J60" s="28"/>
    </row>
    <row r="61" spans="1:10" ht="12.75" customHeight="1" thickBot="1" x14ac:dyDescent="0.3">
      <c r="B61" s="35" t="s">
        <v>12</v>
      </c>
      <c r="C61" s="6">
        <f t="shared" ref="C61:I61" si="15">SUM(C49:C60)</f>
        <v>203.97196351575852</v>
      </c>
      <c r="D61" s="6">
        <f t="shared" si="15"/>
        <v>248.77720949742468</v>
      </c>
      <c r="E61" s="6">
        <f t="shared" si="15"/>
        <v>1</v>
      </c>
      <c r="F61" s="6">
        <f t="shared" si="15"/>
        <v>0.99999999999999978</v>
      </c>
      <c r="G61" s="6">
        <f t="shared" si="15"/>
        <v>1.7488524963928247</v>
      </c>
      <c r="H61" s="6">
        <f t="shared" si="15"/>
        <v>6.3721825536389076</v>
      </c>
      <c r="I61" s="106">
        <f t="shared" si="15"/>
        <v>0.14285916373841576</v>
      </c>
      <c r="J61" s="28"/>
    </row>
    <row r="62" spans="1:10" ht="12.75" customHeight="1" thickBot="1" x14ac:dyDescent="0.3">
      <c r="B62" s="4"/>
      <c r="C62" s="4"/>
      <c r="D62" s="4"/>
      <c r="E62" s="50"/>
      <c r="F62" s="50"/>
      <c r="G62" s="50"/>
      <c r="H62" s="53"/>
      <c r="I62" s="53"/>
      <c r="J62" s="9"/>
    </row>
    <row r="63" spans="1:10" ht="12.75" customHeight="1" thickBot="1" x14ac:dyDescent="0.3">
      <c r="B63" s="4"/>
      <c r="C63" s="4"/>
      <c r="D63" s="4"/>
      <c r="E63" s="50"/>
      <c r="F63" s="50"/>
      <c r="G63" s="55"/>
      <c r="H63" s="56" t="s">
        <v>29</v>
      </c>
      <c r="I63" s="52">
        <f>1-(2*I61)</f>
        <v>0.71428167252316843</v>
      </c>
      <c r="J63" s="9"/>
    </row>
    <row r="64" spans="1:10" ht="12.75" customHeight="1" x14ac:dyDescent="0.25"/>
    <row r="65" spans="2:14" ht="12.75" customHeight="1" x14ac:dyDescent="0.25"/>
    <row r="66" spans="2:14" ht="12.75" customHeight="1" x14ac:dyDescent="0.25"/>
    <row r="67" spans="2:14" ht="12.75" customHeight="1" x14ac:dyDescent="0.25"/>
    <row r="68" spans="2:14" ht="16.2" thickBot="1" x14ac:dyDescent="0.35">
      <c r="B68" s="256" t="s">
        <v>98</v>
      </c>
      <c r="C68" s="256"/>
      <c r="D68" s="256"/>
      <c r="E68" s="256"/>
      <c r="F68" s="256"/>
      <c r="G68" s="256"/>
      <c r="H68" s="256"/>
      <c r="I68" s="256"/>
    </row>
    <row r="69" spans="2:14" ht="37.200000000000003" customHeight="1" thickBot="1" x14ac:dyDescent="0.3">
      <c r="B69" s="36" t="s">
        <v>19</v>
      </c>
      <c r="C69" s="37" t="s">
        <v>93</v>
      </c>
      <c r="D69" s="37" t="s">
        <v>41</v>
      </c>
      <c r="E69" s="37" t="s">
        <v>91</v>
      </c>
      <c r="F69" s="37" t="s">
        <v>16</v>
      </c>
      <c r="G69" s="37" t="s">
        <v>92</v>
      </c>
      <c r="H69" s="37" t="s">
        <v>116</v>
      </c>
      <c r="I69" s="37" t="s">
        <v>20</v>
      </c>
      <c r="J69" s="8"/>
      <c r="K69" s="8"/>
      <c r="L69" s="8"/>
      <c r="M69" s="8"/>
      <c r="N69" s="8"/>
    </row>
    <row r="70" spans="2:14" ht="12.75" customHeight="1" x14ac:dyDescent="0.25">
      <c r="B70" s="4"/>
      <c r="C70" s="26">
        <v>0</v>
      </c>
      <c r="D70" s="26">
        <v>0</v>
      </c>
      <c r="E70" s="49">
        <f t="shared" ref="E70:E81" si="16">C70/$C$82</f>
        <v>0</v>
      </c>
      <c r="F70" s="49">
        <v>0</v>
      </c>
      <c r="G70" s="49">
        <v>0</v>
      </c>
      <c r="H70" s="50">
        <f>F70</f>
        <v>0</v>
      </c>
      <c r="I70" s="49">
        <v>0</v>
      </c>
    </row>
    <row r="71" spans="2:14" ht="12.75" customHeight="1" x14ac:dyDescent="0.25">
      <c r="B71" s="82" t="s">
        <v>195</v>
      </c>
      <c r="C71" s="29">
        <v>0</v>
      </c>
      <c r="D71" s="29">
        <v>3.5269001406054343</v>
      </c>
      <c r="E71" s="49">
        <f t="shared" si="16"/>
        <v>0</v>
      </c>
      <c r="F71" s="49">
        <f t="shared" ref="F71:F81" si="17">D71/$D$82</f>
        <v>1.4176942283943195E-2</v>
      </c>
      <c r="G71" s="49">
        <f t="shared" ref="G71:G81" si="18">G70+E71</f>
        <v>0</v>
      </c>
      <c r="H71" s="50">
        <f t="shared" ref="H71:H81" si="19">F71+H70</f>
        <v>1.4176942283943195E-2</v>
      </c>
      <c r="I71" s="49">
        <f t="shared" ref="I71:I81" si="20">(G70+G71)*0.5*(H71-H70)</f>
        <v>0</v>
      </c>
    </row>
    <row r="72" spans="2:14" ht="12.75" customHeight="1" x14ac:dyDescent="0.25">
      <c r="B72" s="82" t="s">
        <v>1</v>
      </c>
      <c r="C72" s="29">
        <v>1.9832072109514134</v>
      </c>
      <c r="D72" s="29">
        <v>5.6263992616047176</v>
      </c>
      <c r="E72" s="49">
        <f t="shared" si="16"/>
        <v>5.7874802204534925E-3</v>
      </c>
      <c r="F72" s="49">
        <f t="shared" si="17"/>
        <v>2.261621662599669E-2</v>
      </c>
      <c r="G72" s="49">
        <f t="shared" si="18"/>
        <v>5.7874802204534925E-3</v>
      </c>
      <c r="H72" s="50">
        <f t="shared" si="19"/>
        <v>3.6793158909939887E-2</v>
      </c>
      <c r="I72" s="49">
        <f t="shared" si="20"/>
        <v>6.5445453192223638E-5</v>
      </c>
    </row>
    <row r="73" spans="2:14" ht="12.75" customHeight="1" x14ac:dyDescent="0.25">
      <c r="B73" s="82" t="s">
        <v>3</v>
      </c>
      <c r="C73" s="29">
        <v>3.2750912718752518</v>
      </c>
      <c r="D73" s="29">
        <v>1.2370418530422047</v>
      </c>
      <c r="E73" s="49">
        <f t="shared" si="16"/>
        <v>9.5575116162797472E-3</v>
      </c>
      <c r="F73" s="49">
        <f t="shared" si="17"/>
        <v>4.9724886597982782E-3</v>
      </c>
      <c r="G73" s="49">
        <f t="shared" si="18"/>
        <v>1.5344991836733241E-2</v>
      </c>
      <c r="H73" s="50">
        <f t="shared" si="19"/>
        <v>4.1765647569738162E-2</v>
      </c>
      <c r="I73" s="49">
        <f t="shared" si="20"/>
        <v>5.2540488828932487E-5</v>
      </c>
    </row>
    <row r="74" spans="2:14" ht="12.75" customHeight="1" x14ac:dyDescent="0.25">
      <c r="B74" s="111" t="s">
        <v>6</v>
      </c>
      <c r="C74" s="29">
        <v>5.3386391808328861</v>
      </c>
      <c r="D74" s="29">
        <v>10.585778959789884</v>
      </c>
      <c r="E74" s="49">
        <f t="shared" si="16"/>
        <v>1.5579445502513009E-2</v>
      </c>
      <c r="F74" s="49">
        <f t="shared" si="17"/>
        <v>4.2551240851905557E-2</v>
      </c>
      <c r="G74" s="49">
        <f t="shared" si="18"/>
        <v>3.0924437339246248E-2</v>
      </c>
      <c r="H74" s="50">
        <f t="shared" si="19"/>
        <v>8.4316888421643726E-2</v>
      </c>
      <c r="I74" s="49">
        <f t="shared" si="20"/>
        <v>9.844108124736448E-4</v>
      </c>
    </row>
    <row r="75" spans="2:14" ht="12.75" customHeight="1" x14ac:dyDescent="0.25">
      <c r="B75" s="82" t="s">
        <v>5</v>
      </c>
      <c r="C75" s="29">
        <v>16.052819884560293</v>
      </c>
      <c r="D75" s="29">
        <v>18.451624510851893</v>
      </c>
      <c r="E75" s="49">
        <f t="shared" si="16"/>
        <v>4.6846026502609016E-2</v>
      </c>
      <c r="F75" s="49">
        <f t="shared" si="17"/>
        <v>7.4169271968793041E-2</v>
      </c>
      <c r="G75" s="49">
        <f t="shared" si="18"/>
        <v>7.7770463841855264E-2</v>
      </c>
      <c r="H75" s="50">
        <f t="shared" si="19"/>
        <v>0.15848616039043678</v>
      </c>
      <c r="I75" s="49">
        <f t="shared" si="20"/>
        <v>4.0309108436611014E-3</v>
      </c>
    </row>
    <row r="76" spans="2:14" ht="12.75" customHeight="1" x14ac:dyDescent="0.25">
      <c r="B76" s="82" t="s">
        <v>8</v>
      </c>
      <c r="C76" s="29">
        <v>23.5</v>
      </c>
      <c r="D76" s="29">
        <v>10.525525982874386</v>
      </c>
      <c r="E76" s="49">
        <f t="shared" si="16"/>
        <v>6.8578706465780945E-2</v>
      </c>
      <c r="F76" s="49">
        <f t="shared" si="17"/>
        <v>4.2309044321776373E-2</v>
      </c>
      <c r="G76" s="49">
        <f t="shared" si="18"/>
        <v>0.14634917030763622</v>
      </c>
      <c r="H76" s="50">
        <f t="shared" si="19"/>
        <v>0.20079520471221315</v>
      </c>
      <c r="I76" s="49">
        <f t="shared" si="20"/>
        <v>4.7411437673055704E-3</v>
      </c>
    </row>
    <row r="77" spans="2:14" ht="12.75" customHeight="1" x14ac:dyDescent="0.25">
      <c r="B77" s="82" t="s">
        <v>9</v>
      </c>
      <c r="C77" s="29">
        <v>27.835036451662162</v>
      </c>
      <c r="D77" s="29">
        <v>10.984651987881014</v>
      </c>
      <c r="E77" s="49">
        <f t="shared" si="16"/>
        <v>8.1229395501397961E-2</v>
      </c>
      <c r="F77" s="49">
        <f t="shared" si="17"/>
        <v>4.4154575131990642E-2</v>
      </c>
      <c r="G77" s="49">
        <f t="shared" si="18"/>
        <v>0.22757856580903418</v>
      </c>
      <c r="H77" s="50">
        <f t="shared" si="19"/>
        <v>0.2449497798442038</v>
      </c>
      <c r="I77" s="49">
        <f t="shared" si="20"/>
        <v>8.2553101591493466E-3</v>
      </c>
    </row>
    <row r="78" spans="2:14" ht="12.75" customHeight="1" x14ac:dyDescent="0.25">
      <c r="B78" s="82" t="s">
        <v>7</v>
      </c>
      <c r="C78" s="29">
        <v>33.799999999999997</v>
      </c>
      <c r="D78" s="29">
        <v>34.422766266315072</v>
      </c>
      <c r="E78" s="49">
        <f t="shared" si="16"/>
        <v>9.8636607597591297E-2</v>
      </c>
      <c r="F78" s="49">
        <f t="shared" si="17"/>
        <v>0.1383678446102653</v>
      </c>
      <c r="G78" s="49">
        <f t="shared" si="18"/>
        <v>0.32621517340662548</v>
      </c>
      <c r="H78" s="50">
        <f t="shared" si="19"/>
        <v>0.3833176244544691</v>
      </c>
      <c r="I78" s="49">
        <f t="shared" si="20"/>
        <v>3.8313623026965088E-2</v>
      </c>
    </row>
    <row r="79" spans="2:14" ht="12.75" customHeight="1" x14ac:dyDescent="0.25">
      <c r="B79" s="111" t="s">
        <v>10</v>
      </c>
      <c r="C79" s="29">
        <v>43.351590870161743</v>
      </c>
      <c r="D79" s="29">
        <v>38.006093743829318</v>
      </c>
      <c r="E79" s="49">
        <f t="shared" si="16"/>
        <v>0.12651046915359365</v>
      </c>
      <c r="F79" s="49">
        <f t="shared" si="17"/>
        <v>0.15277160564912098</v>
      </c>
      <c r="G79" s="49">
        <f t="shared" si="18"/>
        <v>0.45272564256021913</v>
      </c>
      <c r="H79" s="50">
        <f t="shared" si="19"/>
        <v>0.53608923010359011</v>
      </c>
      <c r="I79" s="49">
        <f t="shared" si="20"/>
        <v>5.9500019580445665E-2</v>
      </c>
    </row>
    <row r="80" spans="2:14" ht="12.75" customHeight="1" x14ac:dyDescent="0.25">
      <c r="B80" s="82" t="s">
        <v>2</v>
      </c>
      <c r="C80" s="29">
        <v>56.5</v>
      </c>
      <c r="D80" s="29">
        <v>79.244468966812633</v>
      </c>
      <c r="E80" s="49">
        <f t="shared" si="16"/>
        <v>0.16488071980070737</v>
      </c>
      <c r="F80" s="49">
        <f t="shared" si="17"/>
        <v>0.31853588649418857</v>
      </c>
      <c r="G80" s="49">
        <f t="shared" si="18"/>
        <v>0.61760636236092648</v>
      </c>
      <c r="H80" s="50">
        <f t="shared" si="19"/>
        <v>0.85462511659777873</v>
      </c>
      <c r="I80" s="49">
        <f t="shared" si="20"/>
        <v>0.17046957701532969</v>
      </c>
    </row>
    <row r="81" spans="1:14" ht="12.75" customHeight="1" thickBot="1" x14ac:dyDescent="0.3">
      <c r="B81" s="86" t="s">
        <v>4</v>
      </c>
      <c r="C81" s="32">
        <v>131.03557864571476</v>
      </c>
      <c r="D81" s="32">
        <v>36.16595782381809</v>
      </c>
      <c r="E81" s="51">
        <f t="shared" si="16"/>
        <v>0.38239363763907347</v>
      </c>
      <c r="F81" s="51">
        <f t="shared" si="17"/>
        <v>0.14537488340222129</v>
      </c>
      <c r="G81" s="51">
        <f t="shared" si="18"/>
        <v>1</v>
      </c>
      <c r="H81" s="52">
        <f t="shared" si="19"/>
        <v>1</v>
      </c>
      <c r="I81" s="51">
        <f t="shared" si="20"/>
        <v>0.11757966815945549</v>
      </c>
    </row>
    <row r="82" spans="1:14" ht="12.75" customHeight="1" thickBot="1" x14ac:dyDescent="0.3">
      <c r="B82" s="38" t="s">
        <v>12</v>
      </c>
      <c r="C82" s="32">
        <f>SUM(C70:C81)</f>
        <v>342.67196351575853</v>
      </c>
      <c r="D82" s="32">
        <f>SUM(D70:D81)</f>
        <v>248.77720949742468</v>
      </c>
      <c r="E82" s="51">
        <f>SUM(E71:E81)</f>
        <v>1</v>
      </c>
      <c r="F82" s="51">
        <f>SUM(F71:F81)</f>
        <v>1</v>
      </c>
      <c r="G82" s="52"/>
      <c r="H82" s="52"/>
      <c r="I82" s="51">
        <f>SUM(I70:I81)</f>
        <v>0.40399264930680673</v>
      </c>
    </row>
    <row r="83" spans="1:14" ht="12.75" customHeight="1" thickBot="1" x14ac:dyDescent="0.3">
      <c r="B83" s="47"/>
      <c r="C83" s="29"/>
      <c r="D83" s="29"/>
      <c r="E83" s="26"/>
      <c r="F83" s="27"/>
      <c r="G83" s="4"/>
      <c r="H83" s="40"/>
      <c r="I83" s="34"/>
    </row>
    <row r="84" spans="1:14" ht="12.75" customHeight="1" thickBot="1" x14ac:dyDescent="0.3">
      <c r="B84" s="4"/>
      <c r="C84" s="4"/>
      <c r="D84" s="4"/>
      <c r="E84" s="4"/>
      <c r="F84" s="4"/>
      <c r="G84" s="5"/>
      <c r="H84" s="48" t="s">
        <v>37</v>
      </c>
      <c r="I84" s="61">
        <f>1-(2*I82)</f>
        <v>0.19201470138638654</v>
      </c>
    </row>
    <row r="85" spans="1:14" ht="12.75" customHeight="1" x14ac:dyDescent="0.25">
      <c r="B85" s="4"/>
      <c r="C85" s="4"/>
      <c r="D85" s="4"/>
      <c r="E85" s="4"/>
      <c r="F85" s="4"/>
      <c r="G85" s="5"/>
      <c r="H85" s="107"/>
      <c r="I85" s="108"/>
    </row>
    <row r="86" spans="1:14" ht="12.75" customHeight="1" x14ac:dyDescent="0.25">
      <c r="B86" s="4"/>
      <c r="C86" s="4"/>
      <c r="D86" s="4"/>
      <c r="E86" s="4"/>
      <c r="F86" s="4"/>
      <c r="G86" s="5"/>
      <c r="H86" s="107"/>
      <c r="I86" s="108"/>
    </row>
    <row r="87" spans="1:14" ht="12.75" customHeight="1" x14ac:dyDescent="0.25"/>
    <row r="88" spans="1:14" ht="12.75" customHeight="1" x14ac:dyDescent="0.25"/>
    <row r="89" spans="1:14" ht="23.55" customHeight="1" x14ac:dyDescent="0.25">
      <c r="A89" s="252" t="s">
        <v>113</v>
      </c>
      <c r="B89" s="252"/>
      <c r="C89" s="252"/>
      <c r="D89" s="252"/>
      <c r="E89" s="252"/>
      <c r="F89" s="252"/>
    </row>
    <row r="90" spans="1:14" ht="12.75" customHeight="1" x14ac:dyDescent="0.25">
      <c r="D90" s="1"/>
    </row>
    <row r="91" spans="1:14" ht="12.75" customHeight="1" x14ac:dyDescent="0.25"/>
    <row r="92" spans="1:14" ht="16.2" thickBot="1" x14ac:dyDescent="0.35">
      <c r="B92" s="256" t="s">
        <v>99</v>
      </c>
      <c r="C92" s="256"/>
      <c r="D92" s="256"/>
      <c r="E92" s="256"/>
      <c r="F92" s="256"/>
      <c r="G92" s="256"/>
      <c r="H92" s="256"/>
      <c r="I92" s="256"/>
    </row>
    <row r="93" spans="1:14" ht="27" thickBot="1" x14ac:dyDescent="0.3">
      <c r="A93" s="8"/>
      <c r="B93" s="36" t="s">
        <v>19</v>
      </c>
      <c r="C93" s="37" t="s">
        <v>42</v>
      </c>
      <c r="D93" s="37" t="s">
        <v>44</v>
      </c>
      <c r="E93" s="37" t="s">
        <v>27</v>
      </c>
      <c r="F93" s="37" t="s">
        <v>21</v>
      </c>
      <c r="G93" s="37" t="s">
        <v>28</v>
      </c>
      <c r="H93" s="37" t="s">
        <v>117</v>
      </c>
      <c r="I93" s="37" t="s">
        <v>20</v>
      </c>
      <c r="J93" s="8"/>
      <c r="K93" s="8"/>
      <c r="L93" s="8"/>
      <c r="M93" s="8"/>
      <c r="N93" s="8"/>
    </row>
    <row r="94" spans="1:14" ht="12.75" customHeight="1" x14ac:dyDescent="0.25">
      <c r="B94" s="4"/>
      <c r="C94" s="26">
        <v>0</v>
      </c>
      <c r="D94" s="26">
        <v>0</v>
      </c>
      <c r="E94" s="49">
        <v>0</v>
      </c>
      <c r="F94" s="49">
        <v>0</v>
      </c>
      <c r="G94" s="49">
        <v>0</v>
      </c>
      <c r="H94" s="50">
        <f>F94</f>
        <v>0</v>
      </c>
      <c r="I94" s="49">
        <v>0</v>
      </c>
    </row>
    <row r="95" spans="1:14" ht="12.75" customHeight="1" x14ac:dyDescent="0.25">
      <c r="B95" s="82" t="s">
        <v>2</v>
      </c>
      <c r="C95" s="29">
        <v>3.3803673657372775</v>
      </c>
      <c r="D95" s="29">
        <v>33738.127951375733</v>
      </c>
      <c r="E95" s="49">
        <f t="shared" ref="E95:E105" si="21">C95/$C$106</f>
        <v>1.6224065801728926E-3</v>
      </c>
      <c r="F95" s="49">
        <f t="shared" ref="F95:F105" si="22">D95/$D$106</f>
        <v>6.1580410728501248E-2</v>
      </c>
      <c r="G95" s="49">
        <f t="shared" ref="G95:G105" si="23">G94+E95</f>
        <v>1.6224065801728926E-3</v>
      </c>
      <c r="H95" s="50">
        <f t="shared" ref="H95:H105" si="24">F95+H94</f>
        <v>6.1580410728501248E-2</v>
      </c>
      <c r="I95" s="49">
        <f t="shared" ref="I95:I105" si="25">(G94+G95)*0.5*(H95-H94)</f>
        <v>4.9954231787834907E-5</v>
      </c>
    </row>
    <row r="96" spans="1:14" ht="12.75" customHeight="1" x14ac:dyDescent="0.25">
      <c r="B96" s="82" t="s">
        <v>3</v>
      </c>
      <c r="C96" s="29">
        <v>14.400136359321918</v>
      </c>
      <c r="D96" s="29">
        <v>4739.5256339269945</v>
      </c>
      <c r="E96" s="49">
        <f t="shared" si="21"/>
        <v>6.9113423060322386E-3</v>
      </c>
      <c r="F96" s="49">
        <f t="shared" si="22"/>
        <v>8.6508040877704764E-3</v>
      </c>
      <c r="G96" s="49">
        <f t="shared" si="23"/>
        <v>8.5337488862051308E-3</v>
      </c>
      <c r="H96" s="50">
        <f t="shared" si="24"/>
        <v>7.0231214816271731E-2</v>
      </c>
      <c r="I96" s="49">
        <f t="shared" si="25"/>
        <v>4.3929455612287771E-5</v>
      </c>
    </row>
    <row r="97" spans="2:9" ht="12.75" customHeight="1" x14ac:dyDescent="0.25">
      <c r="B97" s="82" t="s">
        <v>1</v>
      </c>
      <c r="C97" s="29">
        <v>15.589621527401139</v>
      </c>
      <c r="D97" s="29">
        <v>7498.2226388555227</v>
      </c>
      <c r="E97" s="49">
        <f t="shared" si="21"/>
        <v>7.4822354531115009E-3</v>
      </c>
      <c r="F97" s="49">
        <f t="shared" si="22"/>
        <v>1.3686107021111144E-2</v>
      </c>
      <c r="G97" s="49">
        <f t="shared" si="23"/>
        <v>1.6015984339316631E-2</v>
      </c>
      <c r="H97" s="50">
        <f t="shared" si="24"/>
        <v>8.3917321837382874E-2</v>
      </c>
      <c r="I97" s="49">
        <f t="shared" si="25"/>
        <v>1.6799513813210945E-4</v>
      </c>
    </row>
    <row r="98" spans="2:9" ht="12.75" customHeight="1" x14ac:dyDescent="0.25">
      <c r="B98" s="111" t="s">
        <v>6</v>
      </c>
      <c r="C98" s="29">
        <v>21.331893349594765</v>
      </c>
      <c r="D98" s="29">
        <v>12709.055149886017</v>
      </c>
      <c r="E98" s="49">
        <f t="shared" si="21"/>
        <v>1.0238237562200726E-2</v>
      </c>
      <c r="F98" s="49">
        <f t="shared" si="22"/>
        <v>2.3197162487174745E-2</v>
      </c>
      <c r="G98" s="49">
        <f t="shared" si="23"/>
        <v>2.6254221901517355E-2</v>
      </c>
      <c r="H98" s="50">
        <f t="shared" si="24"/>
        <v>0.10711448432455761</v>
      </c>
      <c r="I98" s="49">
        <f t="shared" si="25"/>
        <v>4.9027442126750673E-4</v>
      </c>
    </row>
    <row r="99" spans="2:9" ht="12.75" customHeight="1" x14ac:dyDescent="0.25">
      <c r="B99" s="82" t="s">
        <v>195</v>
      </c>
      <c r="C99" s="29">
        <v>23.724017140818511</v>
      </c>
      <c r="D99" s="29">
        <v>4549.0211045835586</v>
      </c>
      <c r="E99" s="49">
        <f t="shared" si="21"/>
        <v>1.1386336854250027E-2</v>
      </c>
      <c r="F99" s="49">
        <f t="shared" si="22"/>
        <v>8.3030863015460567E-3</v>
      </c>
      <c r="G99" s="49">
        <f t="shared" si="23"/>
        <v>3.7640558755767384E-2</v>
      </c>
      <c r="H99" s="50">
        <f t="shared" si="24"/>
        <v>0.11541757062610367</v>
      </c>
      <c r="I99" s="49">
        <f t="shared" si="25"/>
        <v>2.6526193900789535E-4</v>
      </c>
    </row>
    <row r="100" spans="2:9" ht="12.75" customHeight="1" x14ac:dyDescent="0.25">
      <c r="B100" s="82" t="s">
        <v>5</v>
      </c>
      <c r="C100" s="29">
        <v>72.980329509151488</v>
      </c>
      <c r="D100" s="29">
        <v>34543.134541376516</v>
      </c>
      <c r="E100" s="49">
        <f t="shared" si="21"/>
        <v>3.5026893236205635E-2</v>
      </c>
      <c r="F100" s="49">
        <f t="shared" si="22"/>
        <v>6.3049746446323052E-2</v>
      </c>
      <c r="G100" s="49">
        <f t="shared" si="23"/>
        <v>7.2667451991973026E-2</v>
      </c>
      <c r="H100" s="50">
        <f t="shared" si="24"/>
        <v>0.17846731707242672</v>
      </c>
      <c r="I100" s="49">
        <f t="shared" si="25"/>
        <v>3.4774460543216556E-3</v>
      </c>
    </row>
    <row r="101" spans="2:9" ht="12.75" customHeight="1" x14ac:dyDescent="0.25">
      <c r="B101" s="82" t="s">
        <v>9</v>
      </c>
      <c r="C101" s="29">
        <v>130.37580876063711</v>
      </c>
      <c r="D101" s="29">
        <v>43226.930239887697</v>
      </c>
      <c r="E101" s="49">
        <f t="shared" si="21"/>
        <v>6.2573840989168947E-2</v>
      </c>
      <c r="F101" s="49">
        <f t="shared" si="22"/>
        <v>7.8899816923481969E-2</v>
      </c>
      <c r="G101" s="49">
        <f t="shared" si="23"/>
        <v>0.13524129298114196</v>
      </c>
      <c r="H101" s="50">
        <f t="shared" si="24"/>
        <v>0.25736713399590871</v>
      </c>
      <c r="I101" s="49">
        <f t="shared" si="25"/>
        <v>8.2019809575848406E-3</v>
      </c>
    </row>
    <row r="102" spans="2:9" ht="12.75" customHeight="1" x14ac:dyDescent="0.25">
      <c r="B102" s="111" t="s">
        <v>10</v>
      </c>
      <c r="C102" s="29">
        <v>292.66694540931792</v>
      </c>
      <c r="D102" s="29">
        <v>69411.089457609574</v>
      </c>
      <c r="E102" s="49">
        <f t="shared" si="21"/>
        <v>0.14046543663978844</v>
      </c>
      <c r="F102" s="49">
        <f t="shared" si="22"/>
        <v>0.12669237024865945</v>
      </c>
      <c r="G102" s="49">
        <f t="shared" si="23"/>
        <v>0.2757067296209304</v>
      </c>
      <c r="H102" s="50">
        <f t="shared" si="24"/>
        <v>0.38405950424456814</v>
      </c>
      <c r="I102" s="49">
        <f t="shared" si="25"/>
        <v>2.6031989516228107E-2</v>
      </c>
    </row>
    <row r="103" spans="2:9" ht="12.75" customHeight="1" x14ac:dyDescent="0.25">
      <c r="B103" s="82" t="s">
        <v>7</v>
      </c>
      <c r="C103" s="29">
        <v>404.09091338939459</v>
      </c>
      <c r="D103" s="29">
        <v>179268.67227891536</v>
      </c>
      <c r="E103" s="49">
        <f t="shared" si="21"/>
        <v>0.19394334577834801</v>
      </c>
      <c r="F103" s="49">
        <f t="shared" si="22"/>
        <v>0.327209573856588</v>
      </c>
      <c r="G103" s="49">
        <f t="shared" si="23"/>
        <v>0.46965007539927839</v>
      </c>
      <c r="H103" s="50">
        <f t="shared" si="24"/>
        <v>0.71126907810115614</v>
      </c>
      <c r="I103" s="49">
        <f t="shared" si="25"/>
        <v>0.12194394127088524</v>
      </c>
    </row>
    <row r="104" spans="2:9" ht="12.75" customHeight="1" x14ac:dyDescent="0.25">
      <c r="B104" s="82" t="s">
        <v>4</v>
      </c>
      <c r="C104" s="29">
        <v>484.06868290093661</v>
      </c>
      <c r="D104" s="29">
        <v>149774.72401466093</v>
      </c>
      <c r="E104" s="49">
        <f t="shared" si="21"/>
        <v>0.2323286588180673</v>
      </c>
      <c r="F104" s="49">
        <f t="shared" si="22"/>
        <v>0.273375838602054</v>
      </c>
      <c r="G104" s="49">
        <f t="shared" si="23"/>
        <v>0.70197873421734569</v>
      </c>
      <c r="H104" s="50">
        <f t="shared" si="24"/>
        <v>0.98464491670321008</v>
      </c>
      <c r="I104" s="49">
        <f t="shared" si="25"/>
        <v>0.16014750417963541</v>
      </c>
    </row>
    <row r="105" spans="2:9" ht="12.75" customHeight="1" thickBot="1" x14ac:dyDescent="0.3">
      <c r="B105" s="86" t="s">
        <v>8</v>
      </c>
      <c r="C105" s="32">
        <v>620.94260061497255</v>
      </c>
      <c r="D105" s="32">
        <v>8412.6065227973904</v>
      </c>
      <c r="E105" s="51">
        <f t="shared" si="21"/>
        <v>0.2980212657826542</v>
      </c>
      <c r="F105" s="51">
        <f t="shared" si="22"/>
        <v>1.5355083296789959E-2</v>
      </c>
      <c r="G105" s="51">
        <f t="shared" si="23"/>
        <v>0.99999999999999989</v>
      </c>
      <c r="H105" s="52">
        <f t="shared" si="24"/>
        <v>1</v>
      </c>
      <c r="I105" s="51">
        <f t="shared" si="25"/>
        <v>1.3067012616636205E-2</v>
      </c>
    </row>
    <row r="106" spans="2:9" ht="12.75" customHeight="1" thickBot="1" x14ac:dyDescent="0.3">
      <c r="B106" s="38" t="s">
        <v>12</v>
      </c>
      <c r="C106" s="32">
        <f>SUM(C95:C105)</f>
        <v>2083.551316327284</v>
      </c>
      <c r="D106" s="32">
        <f>SUM(D94:D105)</f>
        <v>547871.10953387525</v>
      </c>
      <c r="E106" s="39">
        <f>SUM(E95:E105)</f>
        <v>0.99999999999999989</v>
      </c>
      <c r="F106" s="33">
        <f>SUM(F95:F105)</f>
        <v>1</v>
      </c>
      <c r="G106" s="40"/>
      <c r="H106" s="40"/>
      <c r="I106" s="51">
        <f>SUM(I94:I105)</f>
        <v>0.33388728978109916</v>
      </c>
    </row>
    <row r="107" spans="2:9" ht="12.75" customHeight="1" thickBot="1" x14ac:dyDescent="0.3">
      <c r="B107" s="4"/>
      <c r="C107" s="4"/>
      <c r="D107" s="4"/>
      <c r="E107" s="4"/>
      <c r="F107" s="4"/>
      <c r="G107" s="4"/>
      <c r="H107" s="7"/>
      <c r="I107" s="53"/>
    </row>
    <row r="108" spans="2:9" ht="12.75" customHeight="1" thickBot="1" x14ac:dyDescent="0.3">
      <c r="B108" s="4"/>
      <c r="C108" s="4"/>
      <c r="D108" s="4"/>
      <c r="E108" s="4"/>
      <c r="F108" s="4"/>
      <c r="G108" s="5"/>
      <c r="H108" s="24" t="s">
        <v>29</v>
      </c>
      <c r="I108" s="52">
        <f>1-(2*I106)</f>
        <v>0.33222542043780168</v>
      </c>
    </row>
    <row r="109" spans="2:9" ht="12.75" customHeight="1" x14ac:dyDescent="0.25"/>
    <row r="110" spans="2:9" ht="12.75" customHeight="1" x14ac:dyDescent="0.25"/>
    <row r="111" spans="2:9" ht="12.75" customHeight="1" x14ac:dyDescent="0.25"/>
    <row r="112" spans="2:9" ht="12.75" customHeight="1" x14ac:dyDescent="0.25"/>
    <row r="113" spans="1:14" ht="16.2" thickBot="1" x14ac:dyDescent="0.35">
      <c r="B113" s="256" t="s">
        <v>100</v>
      </c>
      <c r="C113" s="256"/>
      <c r="D113" s="256"/>
      <c r="E113" s="256"/>
      <c r="F113" s="256"/>
      <c r="G113" s="256"/>
      <c r="H113" s="256"/>
      <c r="I113" s="256"/>
    </row>
    <row r="114" spans="1:14" ht="27" thickBot="1" x14ac:dyDescent="0.3">
      <c r="A114" s="8"/>
      <c r="B114" s="30" t="s">
        <v>19</v>
      </c>
      <c r="C114" s="31" t="s">
        <v>43</v>
      </c>
      <c r="D114" s="31" t="s">
        <v>44</v>
      </c>
      <c r="E114" s="31" t="s">
        <v>31</v>
      </c>
      <c r="F114" s="31" t="s">
        <v>21</v>
      </c>
      <c r="G114" s="31" t="s">
        <v>32</v>
      </c>
      <c r="H114" s="31" t="s">
        <v>117</v>
      </c>
      <c r="I114" s="31" t="s">
        <v>20</v>
      </c>
      <c r="J114" s="8"/>
      <c r="K114" s="8"/>
      <c r="L114" s="8"/>
      <c r="M114" s="8"/>
      <c r="N114" s="8"/>
    </row>
    <row r="115" spans="1:14" ht="12.75" customHeight="1" x14ac:dyDescent="0.25">
      <c r="B115" s="4"/>
      <c r="C115" s="26">
        <v>0</v>
      </c>
      <c r="D115" s="26">
        <v>0</v>
      </c>
      <c r="E115" s="49">
        <f t="shared" ref="E115:E126" si="26">C115/$C$127</f>
        <v>0</v>
      </c>
      <c r="F115" s="49">
        <v>0</v>
      </c>
      <c r="G115" s="49">
        <v>0</v>
      </c>
      <c r="H115" s="50">
        <f>F115</f>
        <v>0</v>
      </c>
      <c r="I115" s="49">
        <v>0</v>
      </c>
    </row>
    <row r="116" spans="1:14" ht="12.75" customHeight="1" x14ac:dyDescent="0.25">
      <c r="B116" s="82" t="s">
        <v>3</v>
      </c>
      <c r="C116" s="29">
        <v>11.171359418917772</v>
      </c>
      <c r="D116" s="29">
        <v>4739.5256339269945</v>
      </c>
      <c r="E116" s="49">
        <f t="shared" si="26"/>
        <v>5.2999093049631314E-3</v>
      </c>
      <c r="F116" s="49">
        <f t="shared" ref="F116:F126" si="27">D116/$D$127</f>
        <v>8.6508040877704764E-3</v>
      </c>
      <c r="G116" s="49">
        <f t="shared" ref="G116:G126" si="28">G115+E116</f>
        <v>5.2999093049631314E-3</v>
      </c>
      <c r="H116" s="50">
        <f t="shared" ref="H116:H126" si="29">F116+H115</f>
        <v>8.6508040877704764E-3</v>
      </c>
      <c r="I116" s="49">
        <f t="shared" ref="I116:I126" si="30">(G115+G116)*0.5*(H116-H115)</f>
        <v>2.292423854009392E-5</v>
      </c>
    </row>
    <row r="117" spans="1:14" ht="12.75" customHeight="1" x14ac:dyDescent="0.25">
      <c r="B117" s="82" t="s">
        <v>1</v>
      </c>
      <c r="C117" s="29">
        <v>13.62551145548483</v>
      </c>
      <c r="D117" s="29">
        <v>7498.2226388555227</v>
      </c>
      <c r="E117" s="49">
        <f t="shared" si="26"/>
        <v>6.4642065696603936E-3</v>
      </c>
      <c r="F117" s="49">
        <f t="shared" si="27"/>
        <v>1.3686107021111144E-2</v>
      </c>
      <c r="G117" s="49">
        <f t="shared" si="28"/>
        <v>1.1764115874623525E-2</v>
      </c>
      <c r="H117" s="50">
        <f t="shared" si="29"/>
        <v>2.233691110888162E-2</v>
      </c>
      <c r="I117" s="49">
        <f t="shared" si="30"/>
        <v>1.1677003740937912E-4</v>
      </c>
    </row>
    <row r="118" spans="1:14" ht="12.75" customHeight="1" x14ac:dyDescent="0.25">
      <c r="B118" s="111" t="s">
        <v>6</v>
      </c>
      <c r="C118" s="29">
        <v>19.890651093947945</v>
      </c>
      <c r="D118" s="29">
        <v>12709.055149886017</v>
      </c>
      <c r="E118" s="49">
        <f t="shared" si="26"/>
        <v>9.4365101740502624E-3</v>
      </c>
      <c r="F118" s="49">
        <f t="shared" si="27"/>
        <v>2.3197162487174745E-2</v>
      </c>
      <c r="G118" s="49">
        <f t="shared" si="28"/>
        <v>2.1200626048673787E-2</v>
      </c>
      <c r="H118" s="50">
        <f t="shared" si="29"/>
        <v>4.5534073596056365E-2</v>
      </c>
      <c r="I118" s="49">
        <f t="shared" si="30"/>
        <v>3.8234423737125455E-4</v>
      </c>
    </row>
    <row r="119" spans="1:14" ht="12.75" customHeight="1" x14ac:dyDescent="0.25">
      <c r="B119" s="82" t="s">
        <v>195</v>
      </c>
      <c r="C119" s="29">
        <v>26.053635154547475</v>
      </c>
      <c r="D119" s="29">
        <v>4549.0211045835586</v>
      </c>
      <c r="E119" s="49">
        <f t="shared" si="26"/>
        <v>1.2360349193480467E-2</v>
      </c>
      <c r="F119" s="49">
        <f t="shared" si="27"/>
        <v>8.3030863015460567E-3</v>
      </c>
      <c r="G119" s="49">
        <f t="shared" si="28"/>
        <v>3.3560975242154255E-2</v>
      </c>
      <c r="H119" s="50">
        <f t="shared" si="29"/>
        <v>5.3837159897602418E-2</v>
      </c>
      <c r="I119" s="49">
        <f t="shared" si="30"/>
        <v>2.2734515076430048E-4</v>
      </c>
    </row>
    <row r="120" spans="1:14" ht="12.75" customHeight="1" x14ac:dyDescent="0.25">
      <c r="B120" s="82" t="s">
        <v>5</v>
      </c>
      <c r="C120" s="29">
        <v>58.065831028798335</v>
      </c>
      <c r="D120" s="29">
        <v>34543.134541376516</v>
      </c>
      <c r="E120" s="49">
        <f t="shared" si="26"/>
        <v>2.7547555013654544E-2</v>
      </c>
      <c r="F120" s="49">
        <f t="shared" si="27"/>
        <v>6.3049746446323052E-2</v>
      </c>
      <c r="G120" s="49">
        <f t="shared" si="28"/>
        <v>6.1108530255808799E-2</v>
      </c>
      <c r="H120" s="50">
        <f t="shared" si="29"/>
        <v>0.11688690634392547</v>
      </c>
      <c r="I120" s="49">
        <f t="shared" si="30"/>
        <v>2.9844441589226781E-3</v>
      </c>
    </row>
    <row r="121" spans="1:14" ht="12.75" customHeight="1" x14ac:dyDescent="0.25">
      <c r="B121" s="82" t="s">
        <v>2</v>
      </c>
      <c r="C121" s="29">
        <v>63.208496046190042</v>
      </c>
      <c r="D121" s="29">
        <v>33738.127951375733</v>
      </c>
      <c r="E121" s="49">
        <f t="shared" si="26"/>
        <v>2.9987334914731531E-2</v>
      </c>
      <c r="F121" s="49">
        <f t="shared" si="27"/>
        <v>6.1580410728501248E-2</v>
      </c>
      <c r="G121" s="49">
        <f t="shared" si="28"/>
        <v>9.109586517054033E-2</v>
      </c>
      <c r="H121" s="50">
        <f t="shared" si="29"/>
        <v>0.17846731707242672</v>
      </c>
      <c r="I121" s="49">
        <f t="shared" si="30"/>
        <v>4.6864045925188976E-3</v>
      </c>
    </row>
    <row r="122" spans="1:14" ht="12.75" customHeight="1" x14ac:dyDescent="0.25">
      <c r="B122" s="82" t="s">
        <v>9</v>
      </c>
      <c r="C122" s="29">
        <v>113.8115207203455</v>
      </c>
      <c r="D122" s="29">
        <v>43226.930239887697</v>
      </c>
      <c r="E122" s="49">
        <f t="shared" si="26"/>
        <v>5.3994390034243257E-2</v>
      </c>
      <c r="F122" s="49">
        <f t="shared" si="27"/>
        <v>7.8899816923481969E-2</v>
      </c>
      <c r="G122" s="49">
        <f t="shared" si="28"/>
        <v>0.14509025520478358</v>
      </c>
      <c r="H122" s="50">
        <f t="shared" si="29"/>
        <v>0.25736713399590871</v>
      </c>
      <c r="I122" s="49">
        <f t="shared" si="30"/>
        <v>9.3175208287402684E-3</v>
      </c>
    </row>
    <row r="123" spans="1:14" ht="12.75" customHeight="1" x14ac:dyDescent="0.25">
      <c r="B123" s="111" t="s">
        <v>10</v>
      </c>
      <c r="C123" s="29">
        <v>276.95149598433915</v>
      </c>
      <c r="D123" s="29">
        <v>69411.089457609574</v>
      </c>
      <c r="E123" s="49">
        <f t="shared" si="26"/>
        <v>0.13139115442881824</v>
      </c>
      <c r="F123" s="49">
        <f t="shared" si="27"/>
        <v>0.12669237024865945</v>
      </c>
      <c r="G123" s="49">
        <f t="shared" si="28"/>
        <v>0.27648140963360179</v>
      </c>
      <c r="H123" s="50">
        <f t="shared" si="29"/>
        <v>0.38405950424456814</v>
      </c>
      <c r="I123" s="49">
        <f t="shared" si="30"/>
        <v>2.6704956724024238E-2</v>
      </c>
    </row>
    <row r="124" spans="1:14" ht="12.75" customHeight="1" x14ac:dyDescent="0.25">
      <c r="B124" s="82" t="s">
        <v>4</v>
      </c>
      <c r="C124" s="29">
        <v>353.6026358725851</v>
      </c>
      <c r="D124" s="29">
        <v>149774.72401466093</v>
      </c>
      <c r="E124" s="49">
        <f t="shared" si="26"/>
        <v>0.16775593997513275</v>
      </c>
      <c r="F124" s="49">
        <f t="shared" si="27"/>
        <v>0.273375838602054</v>
      </c>
      <c r="G124" s="49">
        <f t="shared" si="28"/>
        <v>0.44423734960873451</v>
      </c>
      <c r="H124" s="50">
        <f t="shared" si="29"/>
        <v>0.65743534284662219</v>
      </c>
      <c r="I124" s="49">
        <f t="shared" si="30"/>
        <v>9.8513547602052789E-2</v>
      </c>
    </row>
    <row r="125" spans="1:14" ht="12.75" customHeight="1" x14ac:dyDescent="0.25">
      <c r="B125" s="82" t="s">
        <v>7</v>
      </c>
      <c r="C125" s="29">
        <v>436.58135275731689</v>
      </c>
      <c r="D125" s="29">
        <v>179268.67227891536</v>
      </c>
      <c r="E125" s="49">
        <f t="shared" si="26"/>
        <v>0.20712265061793605</v>
      </c>
      <c r="F125" s="49">
        <f t="shared" si="27"/>
        <v>0.327209573856588</v>
      </c>
      <c r="G125" s="49">
        <f t="shared" si="28"/>
        <v>0.65136000022667062</v>
      </c>
      <c r="H125" s="50">
        <f t="shared" si="29"/>
        <v>0.98464491670321019</v>
      </c>
      <c r="I125" s="49">
        <f t="shared" si="30"/>
        <v>0.17924497097902506</v>
      </c>
    </row>
    <row r="126" spans="1:14" ht="12.75" customHeight="1" thickBot="1" x14ac:dyDescent="0.3">
      <c r="B126" s="86" t="s">
        <v>8</v>
      </c>
      <c r="C126" s="32">
        <v>734.87724433925337</v>
      </c>
      <c r="D126" s="32">
        <v>8412.6065227973904</v>
      </c>
      <c r="E126" s="51">
        <f t="shared" si="26"/>
        <v>0.34863999977332938</v>
      </c>
      <c r="F126" s="51">
        <f t="shared" si="27"/>
        <v>1.5355083296789959E-2</v>
      </c>
      <c r="G126" s="51">
        <f t="shared" si="28"/>
        <v>1</v>
      </c>
      <c r="H126" s="52">
        <f t="shared" si="29"/>
        <v>1.0000000000000002</v>
      </c>
      <c r="I126" s="51">
        <f t="shared" si="30"/>
        <v>1.2678385178233864E-2</v>
      </c>
    </row>
    <row r="127" spans="1:14" ht="12.75" customHeight="1" thickBot="1" x14ac:dyDescent="0.3">
      <c r="B127" s="38" t="s">
        <v>12</v>
      </c>
      <c r="C127" s="32">
        <f>SUM(C115:C126)</f>
        <v>2107.8397338717264</v>
      </c>
      <c r="D127" s="32">
        <f>SUM(D115:D126)</f>
        <v>547871.10953387525</v>
      </c>
      <c r="E127" s="51">
        <f>SUM(E116:E126)</f>
        <v>1</v>
      </c>
      <c r="F127" s="51">
        <f>SUM(F116:F126)</f>
        <v>1.0000000000000002</v>
      </c>
      <c r="G127" s="52"/>
      <c r="H127" s="52"/>
      <c r="I127" s="51">
        <f>SUM(I115:I126)</f>
        <v>0.33487961372760283</v>
      </c>
    </row>
    <row r="128" spans="1:14" ht="12.75" customHeight="1" thickBot="1" x14ac:dyDescent="0.3">
      <c r="B128" s="4"/>
      <c r="C128" s="4"/>
      <c r="D128" s="4"/>
      <c r="E128" s="50"/>
      <c r="F128" s="50"/>
      <c r="G128" s="50"/>
      <c r="H128" s="53"/>
      <c r="I128" s="53"/>
    </row>
    <row r="129" spans="1:14" ht="12.75" customHeight="1" thickBot="1" x14ac:dyDescent="0.3">
      <c r="B129" s="4"/>
      <c r="C129" s="4"/>
      <c r="D129" s="4"/>
      <c r="E129" s="50"/>
      <c r="F129" s="50"/>
      <c r="G129" s="55"/>
      <c r="H129" s="56" t="s">
        <v>29</v>
      </c>
      <c r="I129" s="52">
        <f>1-(2*I127)</f>
        <v>0.33024077254479434</v>
      </c>
    </row>
    <row r="130" spans="1:14" ht="12.75" customHeight="1" x14ac:dyDescent="0.25"/>
    <row r="131" spans="1:14" ht="12.75" customHeight="1" x14ac:dyDescent="0.25"/>
    <row r="132" spans="1:14" ht="12.75" customHeight="1" x14ac:dyDescent="0.25"/>
    <row r="133" spans="1:14" ht="12.75" customHeight="1" x14ac:dyDescent="0.25"/>
    <row r="134" spans="1:14" ht="16.2" thickBot="1" x14ac:dyDescent="0.35">
      <c r="B134" s="256" t="s">
        <v>105</v>
      </c>
      <c r="C134" s="256"/>
      <c r="D134" s="256"/>
      <c r="E134" s="256"/>
      <c r="F134" s="256"/>
      <c r="G134" s="256"/>
      <c r="H134" s="256"/>
      <c r="I134" s="256"/>
    </row>
    <row r="135" spans="1:14" ht="27" thickBot="1" x14ac:dyDescent="0.3">
      <c r="A135" s="8"/>
      <c r="B135" s="30" t="s">
        <v>19</v>
      </c>
      <c r="C135" s="31" t="s">
        <v>38</v>
      </c>
      <c r="D135" s="31" t="s">
        <v>34</v>
      </c>
      <c r="E135" s="31" t="s">
        <v>15</v>
      </c>
      <c r="F135" s="31" t="s">
        <v>21</v>
      </c>
      <c r="G135" s="31" t="s">
        <v>17</v>
      </c>
      <c r="H135" s="31" t="s">
        <v>117</v>
      </c>
      <c r="I135" s="31" t="s">
        <v>20</v>
      </c>
      <c r="J135" s="8"/>
      <c r="K135" s="8"/>
      <c r="L135" s="8"/>
      <c r="M135" s="8"/>
      <c r="N135" s="8"/>
    </row>
    <row r="136" spans="1:14" ht="12.75" customHeight="1" x14ac:dyDescent="0.25">
      <c r="B136" s="4"/>
      <c r="C136" s="26">
        <v>0</v>
      </c>
      <c r="D136" s="26">
        <v>0</v>
      </c>
      <c r="E136" s="49">
        <v>0</v>
      </c>
      <c r="F136" s="49">
        <v>0</v>
      </c>
      <c r="G136" s="49">
        <v>0</v>
      </c>
      <c r="H136" s="50">
        <f>F136</f>
        <v>0</v>
      </c>
      <c r="I136" s="49">
        <v>0</v>
      </c>
    </row>
    <row r="137" spans="1:14" ht="12.75" customHeight="1" x14ac:dyDescent="0.25">
      <c r="B137" s="82" t="s">
        <v>195</v>
      </c>
      <c r="C137" s="29">
        <v>0</v>
      </c>
      <c r="D137" s="29">
        <v>4549.0211045835586</v>
      </c>
      <c r="E137" s="49">
        <f t="shared" ref="E137:E147" si="31">C137/$C$148</f>
        <v>0</v>
      </c>
      <c r="F137" s="49">
        <f t="shared" ref="F137:F147" si="32">D137/$D$148</f>
        <v>8.3030863015460567E-3</v>
      </c>
      <c r="G137" s="49">
        <f t="shared" ref="G137:G147" si="33">G136+E137</f>
        <v>0</v>
      </c>
      <c r="H137" s="50">
        <f t="shared" ref="H137:H147" si="34">F137+H136</f>
        <v>8.3030863015460567E-3</v>
      </c>
      <c r="I137" s="49">
        <f t="shared" ref="I137:I147" si="35">(G136+G137)*0.5*(H137-H136)</f>
        <v>0</v>
      </c>
    </row>
    <row r="138" spans="1:14" ht="12.75" customHeight="1" x14ac:dyDescent="0.25">
      <c r="B138" s="82" t="s">
        <v>2</v>
      </c>
      <c r="C138" s="29">
        <v>0</v>
      </c>
      <c r="D138" s="29">
        <v>33738.127951375733</v>
      </c>
      <c r="E138" s="49">
        <f t="shared" si="31"/>
        <v>0</v>
      </c>
      <c r="F138" s="49">
        <f t="shared" si="32"/>
        <v>6.1580410728501248E-2</v>
      </c>
      <c r="G138" s="49">
        <f t="shared" si="33"/>
        <v>0</v>
      </c>
      <c r="H138" s="50">
        <f t="shared" si="34"/>
        <v>6.9883497030047301E-2</v>
      </c>
      <c r="I138" s="49">
        <f t="shared" si="35"/>
        <v>0</v>
      </c>
    </row>
    <row r="139" spans="1:14" ht="12.75" customHeight="1" x14ac:dyDescent="0.25">
      <c r="B139" s="82" t="s">
        <v>7</v>
      </c>
      <c r="C139" s="29">
        <v>0</v>
      </c>
      <c r="D139" s="29">
        <v>179268.67227891536</v>
      </c>
      <c r="E139" s="49">
        <f t="shared" si="31"/>
        <v>0</v>
      </c>
      <c r="F139" s="49">
        <f t="shared" si="32"/>
        <v>0.327209573856588</v>
      </c>
      <c r="G139" s="49">
        <f t="shared" si="33"/>
        <v>0</v>
      </c>
      <c r="H139" s="50">
        <f t="shared" si="34"/>
        <v>0.39709307088663531</v>
      </c>
      <c r="I139" s="49">
        <f t="shared" si="35"/>
        <v>0</v>
      </c>
    </row>
    <row r="140" spans="1:14" ht="12.75" customHeight="1" x14ac:dyDescent="0.25">
      <c r="B140" s="82" t="s">
        <v>8</v>
      </c>
      <c r="C140" s="29">
        <v>0</v>
      </c>
      <c r="D140" s="29">
        <v>8412.6065227973904</v>
      </c>
      <c r="E140" s="49">
        <f t="shared" si="31"/>
        <v>0</v>
      </c>
      <c r="F140" s="49">
        <f t="shared" si="32"/>
        <v>1.5355083296789959E-2</v>
      </c>
      <c r="G140" s="49">
        <f t="shared" si="33"/>
        <v>0</v>
      </c>
      <c r="H140" s="50">
        <f t="shared" si="34"/>
        <v>0.41244815418342529</v>
      </c>
      <c r="I140" s="49">
        <f t="shared" si="35"/>
        <v>0</v>
      </c>
    </row>
    <row r="141" spans="1:14" ht="12.75" customHeight="1" x14ac:dyDescent="0.25">
      <c r="B141" s="111" t="s">
        <v>6</v>
      </c>
      <c r="C141" s="29">
        <v>1.5386391808328861</v>
      </c>
      <c r="D141" s="29">
        <v>12709.055149886017</v>
      </c>
      <c r="E141" s="49">
        <f t="shared" si="31"/>
        <v>7.5433856413997481E-3</v>
      </c>
      <c r="F141" s="49">
        <f t="shared" si="32"/>
        <v>2.3197162487174745E-2</v>
      </c>
      <c r="G141" s="49">
        <f t="shared" si="33"/>
        <v>7.5433856413997481E-3</v>
      </c>
      <c r="H141" s="50">
        <f t="shared" si="34"/>
        <v>0.43564531667060002</v>
      </c>
      <c r="I141" s="49">
        <f t="shared" si="35"/>
        <v>8.7492571213485388E-5</v>
      </c>
    </row>
    <row r="142" spans="1:14" ht="12.75" customHeight="1" x14ac:dyDescent="0.25">
      <c r="B142" s="82" t="s">
        <v>1</v>
      </c>
      <c r="C142" s="29">
        <v>1.9832072109514134</v>
      </c>
      <c r="D142" s="29">
        <v>7498.2226388555227</v>
      </c>
      <c r="E142" s="49">
        <f t="shared" si="31"/>
        <v>9.7229402353534444E-3</v>
      </c>
      <c r="F142" s="49">
        <f t="shared" si="32"/>
        <v>1.3686107021111144E-2</v>
      </c>
      <c r="G142" s="49">
        <f t="shared" si="33"/>
        <v>1.7266325876753193E-2</v>
      </c>
      <c r="H142" s="50">
        <f t="shared" si="34"/>
        <v>0.4493314236917112</v>
      </c>
      <c r="I142" s="49">
        <f t="shared" si="35"/>
        <v>1.6977418350016784E-4</v>
      </c>
    </row>
    <row r="143" spans="1:14" ht="12.75" customHeight="1" x14ac:dyDescent="0.25">
      <c r="B143" s="82" t="s">
        <v>3</v>
      </c>
      <c r="C143" s="29">
        <v>3.2750912718752518</v>
      </c>
      <c r="D143" s="29">
        <v>4739.5256339269945</v>
      </c>
      <c r="E143" s="49">
        <f t="shared" si="31"/>
        <v>1.6056575695130883E-2</v>
      </c>
      <c r="F143" s="49">
        <f t="shared" si="32"/>
        <v>8.6508040877704764E-3</v>
      </c>
      <c r="G143" s="49">
        <f t="shared" si="33"/>
        <v>3.3322901571884077E-2</v>
      </c>
      <c r="H143" s="50">
        <f t="shared" si="34"/>
        <v>0.45798222777948167</v>
      </c>
      <c r="I143" s="49">
        <f t="shared" si="35"/>
        <v>2.1881874780491065E-4</v>
      </c>
    </row>
    <row r="144" spans="1:14" ht="12.75" customHeight="1" x14ac:dyDescent="0.25">
      <c r="B144" s="82" t="s">
        <v>5</v>
      </c>
      <c r="C144" s="29">
        <v>16.052819884560293</v>
      </c>
      <c r="D144" s="29">
        <v>34543.134541376516</v>
      </c>
      <c r="E144" s="49">
        <f t="shared" si="31"/>
        <v>7.8701109740114253E-2</v>
      </c>
      <c r="F144" s="49">
        <f t="shared" si="32"/>
        <v>6.3049746446323052E-2</v>
      </c>
      <c r="G144" s="49">
        <f t="shared" si="33"/>
        <v>0.11202401131199832</v>
      </c>
      <c r="H144" s="50">
        <f t="shared" si="34"/>
        <v>0.52103197422580472</v>
      </c>
      <c r="I144" s="49">
        <f t="shared" si="35"/>
        <v>4.5820430020422952E-3</v>
      </c>
    </row>
    <row r="145" spans="1:14" ht="12.75" customHeight="1" x14ac:dyDescent="0.25">
      <c r="B145" s="111" t="s">
        <v>10</v>
      </c>
      <c r="C145" s="29">
        <v>22.251590870161746</v>
      </c>
      <c r="D145" s="29">
        <v>69411.089457609574</v>
      </c>
      <c r="E145" s="49">
        <f t="shared" si="31"/>
        <v>0.1090914186764821</v>
      </c>
      <c r="F145" s="49">
        <f t="shared" si="32"/>
        <v>0.12669237024865945</v>
      </c>
      <c r="G145" s="49">
        <f t="shared" si="33"/>
        <v>0.22111542998848044</v>
      </c>
      <c r="H145" s="50">
        <f t="shared" si="34"/>
        <v>0.64772434447446414</v>
      </c>
      <c r="I145" s="49">
        <f t="shared" si="35"/>
        <v>2.1103112720835902E-2</v>
      </c>
    </row>
    <row r="146" spans="1:14" ht="12.75" customHeight="1" x14ac:dyDescent="0.25">
      <c r="B146" s="82" t="s">
        <v>9</v>
      </c>
      <c r="C146" s="29">
        <v>27.835036451662162</v>
      </c>
      <c r="D146" s="29">
        <v>43226.930239887697</v>
      </c>
      <c r="E146" s="49">
        <f t="shared" si="31"/>
        <v>0.13646501201382844</v>
      </c>
      <c r="F146" s="49">
        <f t="shared" si="32"/>
        <v>7.8899816923481969E-2</v>
      </c>
      <c r="G146" s="49">
        <f t="shared" si="33"/>
        <v>0.35758044200230887</v>
      </c>
      <c r="H146" s="50">
        <f t="shared" si="34"/>
        <v>0.72662416139794606</v>
      </c>
      <c r="I146" s="49">
        <f t="shared" si="35"/>
        <v>2.2829499177224002E-2</v>
      </c>
    </row>
    <row r="147" spans="1:14" ht="12.75" customHeight="1" thickBot="1" x14ac:dyDescent="0.3">
      <c r="B147" s="86" t="s">
        <v>4</v>
      </c>
      <c r="C147" s="32">
        <v>131.03557864571476</v>
      </c>
      <c r="D147" s="32">
        <v>149774.72401466093</v>
      </c>
      <c r="E147" s="51">
        <f t="shared" si="31"/>
        <v>0.64241955799769113</v>
      </c>
      <c r="F147" s="51">
        <f t="shared" si="32"/>
        <v>0.273375838602054</v>
      </c>
      <c r="G147" s="51">
        <f t="shared" si="33"/>
        <v>1</v>
      </c>
      <c r="H147" s="52">
        <f t="shared" si="34"/>
        <v>1</v>
      </c>
      <c r="I147" s="51">
        <f t="shared" si="35"/>
        <v>0.18556484590106415</v>
      </c>
    </row>
    <row r="148" spans="1:14" ht="12.75" customHeight="1" thickBot="1" x14ac:dyDescent="0.3">
      <c r="B148" s="38" t="s">
        <v>12</v>
      </c>
      <c r="C148" s="32">
        <f>SUM(C136:C147)</f>
        <v>203.97196351575852</v>
      </c>
      <c r="D148" s="32">
        <f>SUM(D136:D147)</f>
        <v>547871.10953387525</v>
      </c>
      <c r="E148" s="51">
        <f>SUM(E137:E147)</f>
        <v>1</v>
      </c>
      <c r="F148" s="51">
        <f>SUM(F137:F147)</f>
        <v>1</v>
      </c>
      <c r="G148" s="52"/>
      <c r="H148" s="52"/>
      <c r="I148" s="51">
        <f>SUM(I136:I147)</f>
        <v>0.23455558630368489</v>
      </c>
    </row>
    <row r="149" spans="1:14" ht="12.75" customHeight="1" thickBot="1" x14ac:dyDescent="0.3">
      <c r="B149" s="4"/>
      <c r="C149" s="4"/>
      <c r="D149" s="4"/>
      <c r="E149" s="50"/>
      <c r="F149" s="50"/>
      <c r="G149" s="50"/>
      <c r="H149" s="53"/>
      <c r="I149" s="53"/>
    </row>
    <row r="150" spans="1:14" ht="12.75" customHeight="1" thickBot="1" x14ac:dyDescent="0.3">
      <c r="B150" s="4"/>
      <c r="C150" s="4"/>
      <c r="D150" s="4"/>
      <c r="E150" s="50"/>
      <c r="F150" s="50"/>
      <c r="G150" s="55"/>
      <c r="H150" s="56" t="s">
        <v>33</v>
      </c>
      <c r="I150" s="52">
        <f>1-(2*I148)</f>
        <v>0.53088882739263021</v>
      </c>
    </row>
    <row r="151" spans="1:14" ht="12.75" customHeight="1" x14ac:dyDescent="0.25"/>
    <row r="152" spans="1:14" ht="12.75" customHeight="1" x14ac:dyDescent="0.25"/>
    <row r="153" spans="1:14" ht="12.75" customHeight="1" x14ac:dyDescent="0.25"/>
    <row r="154" spans="1:14" ht="12.75" customHeight="1" x14ac:dyDescent="0.25"/>
    <row r="155" spans="1:14" ht="16.2" thickBot="1" x14ac:dyDescent="0.35">
      <c r="B155" s="256" t="s">
        <v>101</v>
      </c>
      <c r="C155" s="256"/>
      <c r="D155" s="256"/>
      <c r="E155" s="256"/>
      <c r="F155" s="256"/>
      <c r="G155" s="256"/>
      <c r="H155" s="256"/>
      <c r="I155" s="256"/>
    </row>
    <row r="156" spans="1:14" ht="27" thickBot="1" x14ac:dyDescent="0.3">
      <c r="A156" s="8"/>
      <c r="B156" s="30" t="s">
        <v>19</v>
      </c>
      <c r="C156" s="31" t="s">
        <v>39</v>
      </c>
      <c r="D156" s="31" t="s">
        <v>40</v>
      </c>
      <c r="E156" s="31" t="s">
        <v>15</v>
      </c>
      <c r="F156" s="31" t="s">
        <v>21</v>
      </c>
      <c r="G156" s="31" t="s">
        <v>17</v>
      </c>
      <c r="H156" s="31" t="s">
        <v>117</v>
      </c>
      <c r="I156" s="31" t="s">
        <v>20</v>
      </c>
      <c r="J156" s="8"/>
      <c r="K156" s="8"/>
      <c r="L156" s="8"/>
      <c r="M156" s="8"/>
      <c r="N156" s="8"/>
    </row>
    <row r="157" spans="1:14" ht="12.75" customHeight="1" x14ac:dyDescent="0.25">
      <c r="B157" s="4"/>
      <c r="C157" s="26">
        <v>0</v>
      </c>
      <c r="D157" s="26">
        <v>0</v>
      </c>
      <c r="E157" s="49">
        <v>0</v>
      </c>
      <c r="F157" s="49">
        <v>0</v>
      </c>
      <c r="G157" s="49">
        <v>0</v>
      </c>
      <c r="H157" s="50">
        <f>F157</f>
        <v>0</v>
      </c>
      <c r="I157" s="49">
        <v>0</v>
      </c>
    </row>
    <row r="158" spans="1:14" ht="12.75" customHeight="1" x14ac:dyDescent="0.25">
      <c r="B158" s="82" t="s">
        <v>195</v>
      </c>
      <c r="C158" s="29">
        <v>0</v>
      </c>
      <c r="D158" s="29">
        <v>4549.0211045835586</v>
      </c>
      <c r="E158" s="49">
        <f t="shared" ref="E158:E168" si="36">C158/$C$169</f>
        <v>0</v>
      </c>
      <c r="F158" s="49">
        <f t="shared" ref="F158:F168" si="37">D158/$D$169</f>
        <v>8.3030863015460567E-3</v>
      </c>
      <c r="G158" s="49">
        <f t="shared" ref="G158:G168" si="38">G157+E158</f>
        <v>0</v>
      </c>
      <c r="H158" s="50">
        <f t="shared" ref="H158:H168" si="39">F158+H157</f>
        <v>8.3030863015460567E-3</v>
      </c>
      <c r="I158" s="49">
        <f t="shared" ref="I158:I168" si="40">(G157+G158)*0.5*(H158-H157)</f>
        <v>0</v>
      </c>
    </row>
    <row r="159" spans="1:14" ht="12.75" customHeight="1" x14ac:dyDescent="0.25">
      <c r="B159" s="82" t="s">
        <v>1</v>
      </c>
      <c r="C159" s="29">
        <v>1.9832072109514134</v>
      </c>
      <c r="D159" s="29">
        <v>7498.2226388555227</v>
      </c>
      <c r="E159" s="49">
        <f t="shared" si="36"/>
        <v>5.7874802204534925E-3</v>
      </c>
      <c r="F159" s="49">
        <f t="shared" si="37"/>
        <v>1.3686107021111144E-2</v>
      </c>
      <c r="G159" s="49">
        <f t="shared" si="38"/>
        <v>5.7874802204534925E-3</v>
      </c>
      <c r="H159" s="50">
        <f t="shared" si="39"/>
        <v>2.19891933226572E-2</v>
      </c>
      <c r="I159" s="49">
        <f t="shared" si="40"/>
        <v>3.9604036839845209E-5</v>
      </c>
    </row>
    <row r="160" spans="1:14" ht="12.75" customHeight="1" x14ac:dyDescent="0.25">
      <c r="B160" s="82" t="s">
        <v>3</v>
      </c>
      <c r="C160" s="29">
        <v>3.2750912718752518</v>
      </c>
      <c r="D160" s="29">
        <v>4739.5256339269945</v>
      </c>
      <c r="E160" s="49">
        <f t="shared" si="36"/>
        <v>9.5575116162797472E-3</v>
      </c>
      <c r="F160" s="49">
        <f t="shared" si="37"/>
        <v>8.6508040877704764E-3</v>
      </c>
      <c r="G160" s="49">
        <f t="shared" si="38"/>
        <v>1.5344991836733241E-2</v>
      </c>
      <c r="H160" s="50">
        <f t="shared" si="39"/>
        <v>3.0639997410427677E-2</v>
      </c>
      <c r="I160" s="49">
        <f t="shared" si="40"/>
        <v>9.1406437828503187E-5</v>
      </c>
    </row>
    <row r="161" spans="1:9" ht="12.75" customHeight="1" x14ac:dyDescent="0.25">
      <c r="B161" s="111" t="s">
        <v>6</v>
      </c>
      <c r="C161" s="29">
        <v>5.3386391808328861</v>
      </c>
      <c r="D161" s="29">
        <v>12709.055149886017</v>
      </c>
      <c r="E161" s="49">
        <f t="shared" si="36"/>
        <v>1.5579445502513009E-2</v>
      </c>
      <c r="F161" s="49">
        <f t="shared" si="37"/>
        <v>2.3197162487174745E-2</v>
      </c>
      <c r="G161" s="49">
        <f t="shared" si="38"/>
        <v>3.0924437339246248E-2</v>
      </c>
      <c r="H161" s="50">
        <f t="shared" si="39"/>
        <v>5.3837159897602418E-2</v>
      </c>
      <c r="I161" s="49">
        <f t="shared" si="40"/>
        <v>5.3665973339200998E-4</v>
      </c>
    </row>
    <row r="162" spans="1:9" ht="12.75" customHeight="1" x14ac:dyDescent="0.25">
      <c r="B162" s="82" t="s">
        <v>5</v>
      </c>
      <c r="C162" s="29">
        <v>16.052819884560293</v>
      </c>
      <c r="D162" s="29">
        <v>34543.134541376516</v>
      </c>
      <c r="E162" s="49">
        <f t="shared" si="36"/>
        <v>4.6846026502609016E-2</v>
      </c>
      <c r="F162" s="49">
        <f t="shared" si="37"/>
        <v>6.3049746446323052E-2</v>
      </c>
      <c r="G162" s="49">
        <f t="shared" si="38"/>
        <v>7.7770463841855264E-2</v>
      </c>
      <c r="H162" s="50">
        <f t="shared" si="39"/>
        <v>0.11688690634392547</v>
      </c>
      <c r="I162" s="49">
        <f t="shared" si="40"/>
        <v>3.4265929797382948E-3</v>
      </c>
    </row>
    <row r="163" spans="1:9" ht="12.75" customHeight="1" x14ac:dyDescent="0.25">
      <c r="B163" s="82" t="s">
        <v>8</v>
      </c>
      <c r="C163" s="29">
        <v>23.5</v>
      </c>
      <c r="D163" s="29">
        <v>8412.6065227973904</v>
      </c>
      <c r="E163" s="49">
        <f t="shared" si="36"/>
        <v>6.8578706465780945E-2</v>
      </c>
      <c r="F163" s="49">
        <f t="shared" si="37"/>
        <v>1.5355083296789959E-2</v>
      </c>
      <c r="G163" s="49">
        <f t="shared" si="38"/>
        <v>0.14634917030763622</v>
      </c>
      <c r="H163" s="50">
        <f t="shared" si="39"/>
        <v>0.13224198964071543</v>
      </c>
      <c r="I163" s="49">
        <f t="shared" si="40"/>
        <v>1.7206878254057666E-3</v>
      </c>
    </row>
    <row r="164" spans="1:9" ht="12.75" customHeight="1" x14ac:dyDescent="0.25">
      <c r="B164" s="82" t="s">
        <v>9</v>
      </c>
      <c r="C164" s="29">
        <v>27.835036451662162</v>
      </c>
      <c r="D164" s="29">
        <v>43226.930239887697</v>
      </c>
      <c r="E164" s="49">
        <f t="shared" si="36"/>
        <v>8.1229395501397961E-2</v>
      </c>
      <c r="F164" s="49">
        <f t="shared" si="37"/>
        <v>7.8899816923481969E-2</v>
      </c>
      <c r="G164" s="49">
        <f t="shared" si="38"/>
        <v>0.22757856580903418</v>
      </c>
      <c r="H164" s="50">
        <f t="shared" si="39"/>
        <v>0.2111418065641974</v>
      </c>
      <c r="I164" s="49">
        <f t="shared" si="40"/>
        <v>1.4751414961108687E-2</v>
      </c>
    </row>
    <row r="165" spans="1:9" ht="12.75" customHeight="1" x14ac:dyDescent="0.25">
      <c r="B165" s="82" t="s">
        <v>7</v>
      </c>
      <c r="C165" s="29">
        <v>33.799999999999997</v>
      </c>
      <c r="D165" s="29">
        <v>179268.67227891536</v>
      </c>
      <c r="E165" s="49">
        <f t="shared" si="36"/>
        <v>9.8636607597591297E-2</v>
      </c>
      <c r="F165" s="49">
        <f t="shared" si="37"/>
        <v>0.327209573856588</v>
      </c>
      <c r="G165" s="49">
        <f t="shared" si="38"/>
        <v>0.32621517340662548</v>
      </c>
      <c r="H165" s="50">
        <f t="shared" si="39"/>
        <v>0.53835138042078534</v>
      </c>
      <c r="I165" s="49">
        <f t="shared" si="40"/>
        <v>9.0603306706601203E-2</v>
      </c>
    </row>
    <row r="166" spans="1:9" ht="12.75" customHeight="1" x14ac:dyDescent="0.25">
      <c r="B166" s="111" t="s">
        <v>10</v>
      </c>
      <c r="C166" s="29">
        <v>43.351590870161743</v>
      </c>
      <c r="D166" s="29">
        <v>69411.089457609574</v>
      </c>
      <c r="E166" s="49">
        <f t="shared" si="36"/>
        <v>0.12651046915359365</v>
      </c>
      <c r="F166" s="49">
        <f t="shared" si="37"/>
        <v>0.12669237024865945</v>
      </c>
      <c r="G166" s="49">
        <f t="shared" si="38"/>
        <v>0.45272564256021913</v>
      </c>
      <c r="H166" s="50">
        <f t="shared" si="39"/>
        <v>0.66504375066944477</v>
      </c>
      <c r="I166" s="49">
        <f t="shared" si="40"/>
        <v>4.9342929129132178E-2</v>
      </c>
    </row>
    <row r="167" spans="1:9" ht="12.75" customHeight="1" x14ac:dyDescent="0.25">
      <c r="B167" s="82" t="s">
        <v>2</v>
      </c>
      <c r="C167" s="29">
        <v>56.5</v>
      </c>
      <c r="D167" s="29">
        <v>33738.127951375733</v>
      </c>
      <c r="E167" s="49">
        <f t="shared" si="36"/>
        <v>0.16488071980070737</v>
      </c>
      <c r="F167" s="49">
        <f t="shared" si="37"/>
        <v>6.1580410728501248E-2</v>
      </c>
      <c r="G167" s="49">
        <f t="shared" si="38"/>
        <v>0.61760636236092648</v>
      </c>
      <c r="H167" s="50">
        <f t="shared" si="39"/>
        <v>0.72662416139794606</v>
      </c>
      <c r="I167" s="49">
        <f t="shared" si="40"/>
        <v>3.2955742239452204E-2</v>
      </c>
    </row>
    <row r="168" spans="1:9" ht="12.75" customHeight="1" thickBot="1" x14ac:dyDescent="0.3">
      <c r="B168" s="86" t="s">
        <v>4</v>
      </c>
      <c r="C168" s="32">
        <v>131.03557864571476</v>
      </c>
      <c r="D168" s="32">
        <v>149774.72401466093</v>
      </c>
      <c r="E168" s="51">
        <f t="shared" si="36"/>
        <v>0.38239363763907347</v>
      </c>
      <c r="F168" s="51">
        <f t="shared" si="37"/>
        <v>0.273375838602054</v>
      </c>
      <c r="G168" s="51">
        <f t="shared" si="38"/>
        <v>1</v>
      </c>
      <c r="H168" s="52">
        <f t="shared" si="39"/>
        <v>1</v>
      </c>
      <c r="I168" s="51">
        <f t="shared" si="40"/>
        <v>0.22110724791921813</v>
      </c>
    </row>
    <row r="169" spans="1:9" ht="12.75" customHeight="1" thickBot="1" x14ac:dyDescent="0.3">
      <c r="B169" s="38" t="s">
        <v>12</v>
      </c>
      <c r="C169" s="32">
        <f>SUM(C157:C168)</f>
        <v>342.67196351575853</v>
      </c>
      <c r="D169" s="32">
        <f>SUM(D157:D168)</f>
        <v>547871.10953387525</v>
      </c>
      <c r="E169" s="51">
        <f>SUM(E158:E168)</f>
        <v>1</v>
      </c>
      <c r="F169" s="51">
        <f>SUM(F158:F168)</f>
        <v>1</v>
      </c>
      <c r="G169" s="52"/>
      <c r="H169" s="52"/>
      <c r="I169" s="51">
        <f>SUM(I157:I168)</f>
        <v>0.41457559196871685</v>
      </c>
    </row>
    <row r="170" spans="1:9" ht="12.75" customHeight="1" thickBot="1" x14ac:dyDescent="0.3">
      <c r="B170" s="4"/>
      <c r="C170" s="4"/>
      <c r="D170" s="4"/>
      <c r="E170" s="50"/>
      <c r="F170" s="50"/>
      <c r="G170" s="50"/>
      <c r="H170" s="53"/>
      <c r="I170" s="53"/>
    </row>
    <row r="171" spans="1:9" ht="12.75" customHeight="1" thickBot="1" x14ac:dyDescent="0.3">
      <c r="B171" s="4"/>
      <c r="C171" s="4"/>
      <c r="D171" s="4"/>
      <c r="E171" s="50"/>
      <c r="F171" s="50"/>
      <c r="G171" s="55"/>
      <c r="H171" s="57" t="s">
        <v>29</v>
      </c>
      <c r="I171" s="58">
        <f>1-(2*I169)</f>
        <v>0.1708488160625663</v>
      </c>
    </row>
    <row r="172" spans="1:9" ht="12.75" customHeight="1" x14ac:dyDescent="0.25">
      <c r="B172" s="4"/>
      <c r="C172" s="4"/>
      <c r="D172" s="4"/>
      <c r="E172" s="50"/>
      <c r="F172" s="50"/>
      <c r="G172" s="55"/>
      <c r="H172" s="116"/>
      <c r="I172" s="108"/>
    </row>
    <row r="173" spans="1:9" ht="12.75" customHeight="1" x14ac:dyDescent="0.25">
      <c r="B173" s="4"/>
      <c r="C173" s="4"/>
      <c r="D173" s="4"/>
      <c r="E173" s="50"/>
      <c r="F173" s="50"/>
      <c r="G173" s="55"/>
      <c r="H173" s="116"/>
      <c r="I173" s="108"/>
    </row>
    <row r="174" spans="1:9" ht="28.2" customHeight="1" x14ac:dyDescent="0.25">
      <c r="A174" s="252" t="s">
        <v>94</v>
      </c>
      <c r="B174" s="252"/>
      <c r="C174" s="252"/>
      <c r="D174" s="252"/>
      <c r="E174" s="252"/>
      <c r="F174" s="252"/>
      <c r="G174" s="55"/>
      <c r="H174" s="116"/>
      <c r="I174" s="108"/>
    </row>
    <row r="175" spans="1:9" ht="12.75" customHeight="1" x14ac:dyDescent="0.25"/>
    <row r="176" spans="1:9" ht="16.2" thickBot="1" x14ac:dyDescent="0.35">
      <c r="B176" s="256" t="s">
        <v>114</v>
      </c>
      <c r="C176" s="256"/>
      <c r="D176" s="256"/>
      <c r="E176" s="256"/>
      <c r="F176" s="256"/>
      <c r="G176" s="256"/>
      <c r="H176" s="256"/>
      <c r="I176" s="256"/>
    </row>
    <row r="177" spans="1:14" ht="42.6" customHeight="1" thickBot="1" x14ac:dyDescent="0.3">
      <c r="A177" s="8"/>
      <c r="B177" s="36" t="s">
        <v>19</v>
      </c>
      <c r="C177" s="37" t="s">
        <v>42</v>
      </c>
      <c r="D177" s="37" t="s">
        <v>115</v>
      </c>
      <c r="E177" s="37" t="s">
        <v>27</v>
      </c>
      <c r="F177" s="37" t="s">
        <v>21</v>
      </c>
      <c r="G177" s="37" t="s">
        <v>28</v>
      </c>
      <c r="H177" s="37" t="s">
        <v>117</v>
      </c>
      <c r="I177" s="37" t="s">
        <v>20</v>
      </c>
      <c r="J177" s="8"/>
      <c r="K177" s="8"/>
      <c r="L177" s="8"/>
      <c r="M177" s="8"/>
      <c r="N177" s="8"/>
    </row>
    <row r="178" spans="1:14" ht="12.75" customHeight="1" x14ac:dyDescent="0.25">
      <c r="B178" s="4"/>
      <c r="C178" s="26">
        <v>0</v>
      </c>
      <c r="D178" s="26">
        <v>0</v>
      </c>
      <c r="E178" s="49">
        <v>0</v>
      </c>
      <c r="F178" s="49">
        <v>0</v>
      </c>
      <c r="G178" s="49">
        <v>0</v>
      </c>
      <c r="H178" s="50">
        <f>F178</f>
        <v>0</v>
      </c>
      <c r="I178" s="49">
        <v>0</v>
      </c>
    </row>
    <row r="179" spans="1:14" ht="12.75" customHeight="1" x14ac:dyDescent="0.25">
      <c r="B179" s="82" t="s">
        <v>2</v>
      </c>
      <c r="C179" s="84">
        <v>3.3803673657372775</v>
      </c>
      <c r="D179" s="29">
        <v>251430.37783690859</v>
      </c>
      <c r="E179" s="49">
        <f t="shared" ref="E179:E189" si="41">C179/$C$190</f>
        <v>1.6224065801728926E-3</v>
      </c>
      <c r="F179" s="49">
        <f t="shared" ref="F179:F189" si="42">D179/$D$190</f>
        <v>8.2249727275718124E-2</v>
      </c>
      <c r="G179" s="49">
        <f t="shared" ref="G179:G189" si="43">G178+E179</f>
        <v>1.6224065801728926E-3</v>
      </c>
      <c r="H179" s="50">
        <f t="shared" ref="H179:H189" si="44">F179+H178</f>
        <v>8.2249727275718124E-2</v>
      </c>
      <c r="I179" s="49">
        <f t="shared" ref="I179:I189" si="45">(G178+G179)*0.5*(H179-H178)</f>
        <v>6.6721249374775469E-5</v>
      </c>
    </row>
    <row r="180" spans="1:14" ht="12.75" customHeight="1" x14ac:dyDescent="0.25">
      <c r="B180" s="82" t="s">
        <v>3</v>
      </c>
      <c r="C180" s="84">
        <v>14.400136359321918</v>
      </c>
      <c r="D180" s="29">
        <v>24496.645034227455</v>
      </c>
      <c r="E180" s="49">
        <f t="shared" si="41"/>
        <v>6.9113423060322386E-3</v>
      </c>
      <c r="F180" s="49">
        <f t="shared" si="42"/>
        <v>8.0135200470573958E-3</v>
      </c>
      <c r="G180" s="49">
        <f t="shared" si="43"/>
        <v>8.5337488862051308E-3</v>
      </c>
      <c r="H180" s="50">
        <f t="shared" si="44"/>
        <v>9.0263247322775519E-2</v>
      </c>
      <c r="I180" s="49">
        <f t="shared" si="45"/>
        <v>4.0693277715425924E-5</v>
      </c>
    </row>
    <row r="181" spans="1:14" ht="12.75" customHeight="1" x14ac:dyDescent="0.25">
      <c r="B181" s="82" t="s">
        <v>1</v>
      </c>
      <c r="C181" s="84">
        <v>15.589621527401139</v>
      </c>
      <c r="D181" s="29">
        <v>13199.085501550475</v>
      </c>
      <c r="E181" s="49">
        <f t="shared" si="41"/>
        <v>7.4822354531115009E-3</v>
      </c>
      <c r="F181" s="49">
        <f t="shared" si="42"/>
        <v>4.3177805010323955E-3</v>
      </c>
      <c r="G181" s="49">
        <f t="shared" si="43"/>
        <v>1.6015984339316631E-2</v>
      </c>
      <c r="H181" s="50">
        <f t="shared" si="44"/>
        <v>9.4581027823807909E-2</v>
      </c>
      <c r="I181" s="49">
        <f t="shared" si="45"/>
        <v>5.3000179713352422E-5</v>
      </c>
    </row>
    <row r="182" spans="1:14" ht="12.75" customHeight="1" x14ac:dyDescent="0.25">
      <c r="B182" s="111" t="s">
        <v>6</v>
      </c>
      <c r="C182" s="84">
        <v>21.331893349594765</v>
      </c>
      <c r="D182" s="29">
        <v>20836.189535136225</v>
      </c>
      <c r="E182" s="49">
        <f t="shared" si="41"/>
        <v>1.0238237562200726E-2</v>
      </c>
      <c r="F182" s="49">
        <f t="shared" si="42"/>
        <v>6.8160853174303836E-3</v>
      </c>
      <c r="G182" s="49">
        <f t="shared" si="43"/>
        <v>2.6254221901517355E-2</v>
      </c>
      <c r="H182" s="50">
        <f t="shared" si="44"/>
        <v>0.1013971131412383</v>
      </c>
      <c r="I182" s="49">
        <f t="shared" si="45"/>
        <v>1.440586660614514E-4</v>
      </c>
    </row>
    <row r="183" spans="1:14" ht="12.75" customHeight="1" x14ac:dyDescent="0.25">
      <c r="B183" s="82" t="s">
        <v>195</v>
      </c>
      <c r="C183" s="84">
        <v>23.724017140818511</v>
      </c>
      <c r="D183" s="29">
        <v>20450.034940117202</v>
      </c>
      <c r="E183" s="49">
        <f t="shared" si="41"/>
        <v>1.1386336854250027E-2</v>
      </c>
      <c r="F183" s="49">
        <f t="shared" si="42"/>
        <v>6.6897636279041406E-3</v>
      </c>
      <c r="G183" s="49">
        <f t="shared" si="43"/>
        <v>3.7640558755767384E-2</v>
      </c>
      <c r="H183" s="50">
        <f t="shared" si="44"/>
        <v>0.10808687676914244</v>
      </c>
      <c r="I183" s="49">
        <f t="shared" si="45"/>
        <v>2.1372048982700842E-4</v>
      </c>
    </row>
    <row r="184" spans="1:14" ht="12.75" customHeight="1" x14ac:dyDescent="0.25">
      <c r="B184" s="82" t="s">
        <v>5</v>
      </c>
      <c r="C184" s="84">
        <v>72.980329509151488</v>
      </c>
      <c r="D184" s="29">
        <v>49475.746319971244</v>
      </c>
      <c r="E184" s="49">
        <f t="shared" si="41"/>
        <v>3.5026893236205635E-2</v>
      </c>
      <c r="F184" s="49">
        <f t="shared" si="42"/>
        <v>1.6184864679397896E-2</v>
      </c>
      <c r="G184" s="49">
        <f t="shared" si="43"/>
        <v>7.2667451991973026E-2</v>
      </c>
      <c r="H184" s="50">
        <f t="shared" si="44"/>
        <v>0.12427174144854033</v>
      </c>
      <c r="I184" s="49">
        <f t="shared" si="45"/>
        <v>8.9266011350287342E-4</v>
      </c>
    </row>
    <row r="185" spans="1:14" ht="12.75" customHeight="1" x14ac:dyDescent="0.25">
      <c r="B185" s="82" t="s">
        <v>9</v>
      </c>
      <c r="C185" s="84">
        <v>130.37580876063711</v>
      </c>
      <c r="D185" s="29">
        <v>119784.51078433092</v>
      </c>
      <c r="E185" s="49">
        <f t="shared" si="41"/>
        <v>6.2573840989168947E-2</v>
      </c>
      <c r="F185" s="49">
        <f t="shared" si="42"/>
        <v>3.9184777227902166E-2</v>
      </c>
      <c r="G185" s="49">
        <f t="shared" si="43"/>
        <v>0.13524129298114196</v>
      </c>
      <c r="H185" s="50">
        <f t="shared" si="44"/>
        <v>0.16345651867644251</v>
      </c>
      <c r="I185" s="49">
        <f t="shared" si="45"/>
        <v>4.0734289277521187E-3</v>
      </c>
    </row>
    <row r="186" spans="1:14" ht="12.75" customHeight="1" x14ac:dyDescent="0.25">
      <c r="B186" s="111" t="s">
        <v>10</v>
      </c>
      <c r="C186" s="84">
        <v>292.66694540931792</v>
      </c>
      <c r="D186" s="29">
        <v>237021.44592026682</v>
      </c>
      <c r="E186" s="49">
        <f t="shared" si="41"/>
        <v>0.14046543663978844</v>
      </c>
      <c r="F186" s="49">
        <f t="shared" si="42"/>
        <v>7.7536173047808091E-2</v>
      </c>
      <c r="G186" s="49">
        <f t="shared" si="43"/>
        <v>0.2757067296209304</v>
      </c>
      <c r="H186" s="50">
        <f t="shared" si="44"/>
        <v>0.24099269172425059</v>
      </c>
      <c r="I186" s="49">
        <f t="shared" si="45"/>
        <v>1.5931668497064413E-2</v>
      </c>
    </row>
    <row r="187" spans="1:14" ht="12.75" customHeight="1" x14ac:dyDescent="0.25">
      <c r="B187" s="82" t="s">
        <v>7</v>
      </c>
      <c r="C187" s="84">
        <v>404.09091338939459</v>
      </c>
      <c r="D187" s="29">
        <v>1339764.2833351614</v>
      </c>
      <c r="E187" s="49">
        <f t="shared" si="41"/>
        <v>0.19394334577834801</v>
      </c>
      <c r="F187" s="49">
        <f t="shared" si="42"/>
        <v>0.43827340143259691</v>
      </c>
      <c r="G187" s="49">
        <f t="shared" si="43"/>
        <v>0.46965007539927839</v>
      </c>
      <c r="H187" s="50">
        <f t="shared" si="44"/>
        <v>0.67926609315684749</v>
      </c>
      <c r="I187" s="49">
        <f t="shared" si="45"/>
        <v>0.16333503110856992</v>
      </c>
    </row>
    <row r="188" spans="1:14" ht="12.75" customHeight="1" x14ac:dyDescent="0.25">
      <c r="B188" s="82" t="s">
        <v>4</v>
      </c>
      <c r="C188" s="84">
        <v>484.06868290093661</v>
      </c>
      <c r="D188" s="29">
        <v>363314.38569269452</v>
      </c>
      <c r="E188" s="49">
        <f t="shared" si="41"/>
        <v>0.2323286588180673</v>
      </c>
      <c r="F188" s="49">
        <f t="shared" si="42"/>
        <v>0.1188500347318915</v>
      </c>
      <c r="G188" s="49">
        <f t="shared" si="43"/>
        <v>0.70197873421734569</v>
      </c>
      <c r="H188" s="50">
        <f t="shared" si="44"/>
        <v>0.79811612788873898</v>
      </c>
      <c r="I188" s="49">
        <f t="shared" si="45"/>
        <v>6.962406235791023E-2</v>
      </c>
    </row>
    <row r="189" spans="1:14" ht="12.75" customHeight="1" thickBot="1" x14ac:dyDescent="0.3">
      <c r="B189" s="86" t="s">
        <v>8</v>
      </c>
      <c r="C189" s="87">
        <v>620.94260061497255</v>
      </c>
      <c r="D189" s="32">
        <v>617141.72101696266</v>
      </c>
      <c r="E189" s="51">
        <f t="shared" si="41"/>
        <v>0.2980212657826542</v>
      </c>
      <c r="F189" s="51">
        <f t="shared" si="42"/>
        <v>0.20188387211126102</v>
      </c>
      <c r="G189" s="51">
        <f t="shared" si="43"/>
        <v>0.99999999999999989</v>
      </c>
      <c r="H189" s="52">
        <f t="shared" si="44"/>
        <v>1</v>
      </c>
      <c r="I189" s="51">
        <f t="shared" si="45"/>
        <v>0.17180102855741025</v>
      </c>
    </row>
    <row r="190" spans="1:14" ht="12.75" customHeight="1" thickBot="1" x14ac:dyDescent="0.3">
      <c r="B190" s="38" t="s">
        <v>12</v>
      </c>
      <c r="C190" s="32">
        <f>SUM(C178:C189)</f>
        <v>2083.551316327284</v>
      </c>
      <c r="D190" s="32">
        <f>SUM(D178:D189)</f>
        <v>3056914.4259173274</v>
      </c>
      <c r="E190" s="39">
        <f>SUM(E179:E189)</f>
        <v>0.99999999999999989</v>
      </c>
      <c r="F190" s="33">
        <f>SUM(F179:F189)</f>
        <v>1</v>
      </c>
      <c r="G190" s="40"/>
      <c r="H190" s="40"/>
      <c r="I190" s="51">
        <f>SUM(I178:I189)</f>
        <v>0.42617607342490182</v>
      </c>
    </row>
    <row r="191" spans="1:14" ht="12.75" customHeight="1" thickBot="1" x14ac:dyDescent="0.3">
      <c r="B191" s="4"/>
      <c r="C191" s="4"/>
      <c r="D191" s="4"/>
      <c r="E191" s="4"/>
      <c r="F191" s="4"/>
      <c r="G191" s="4"/>
      <c r="H191" s="7"/>
      <c r="I191" s="53"/>
    </row>
    <row r="192" spans="1:14" ht="12.75" customHeight="1" thickBot="1" x14ac:dyDescent="0.3">
      <c r="B192" s="4"/>
      <c r="C192" s="4"/>
      <c r="D192" s="4"/>
      <c r="E192" s="4"/>
      <c r="F192" s="4"/>
      <c r="G192" s="5"/>
      <c r="H192" s="24" t="s">
        <v>29</v>
      </c>
      <c r="I192" s="52">
        <f>1-(2*I190)</f>
        <v>0.14764785315019635</v>
      </c>
    </row>
    <row r="193" spans="1:14" ht="12.75" customHeight="1" x14ac:dyDescent="0.25"/>
    <row r="194" spans="1:14" ht="12.75" customHeight="1" x14ac:dyDescent="0.25"/>
    <row r="195" spans="1:14" ht="12.75" customHeight="1" x14ac:dyDescent="0.25"/>
    <row r="196" spans="1:14" ht="12.75" customHeight="1" x14ac:dyDescent="0.25"/>
    <row r="197" spans="1:14" ht="16.2" thickBot="1" x14ac:dyDescent="0.35">
      <c r="B197" s="256" t="s">
        <v>120</v>
      </c>
      <c r="C197" s="256"/>
      <c r="D197" s="256"/>
      <c r="E197" s="256"/>
      <c r="F197" s="256"/>
      <c r="G197" s="256"/>
      <c r="H197" s="256"/>
      <c r="I197" s="256"/>
    </row>
    <row r="198" spans="1:14" ht="27" thickBot="1" x14ac:dyDescent="0.3">
      <c r="A198" s="8"/>
      <c r="B198" s="30" t="s">
        <v>19</v>
      </c>
      <c r="C198" s="31" t="s">
        <v>43</v>
      </c>
      <c r="D198" s="37" t="s">
        <v>115</v>
      </c>
      <c r="E198" s="31" t="s">
        <v>31</v>
      </c>
      <c r="F198" s="31" t="s">
        <v>21</v>
      </c>
      <c r="G198" s="31" t="s">
        <v>32</v>
      </c>
      <c r="H198" s="31" t="s">
        <v>117</v>
      </c>
      <c r="I198" s="31" t="s">
        <v>20</v>
      </c>
      <c r="J198" s="8"/>
      <c r="K198" s="8"/>
      <c r="L198" s="8"/>
      <c r="M198" s="8"/>
      <c r="N198" s="8"/>
    </row>
    <row r="199" spans="1:14" ht="12.75" customHeight="1" x14ac:dyDescent="0.25">
      <c r="B199" s="4"/>
      <c r="C199" s="26">
        <v>0</v>
      </c>
      <c r="D199" s="26">
        <v>0</v>
      </c>
      <c r="E199" s="49">
        <f>C199/$C$127</f>
        <v>0</v>
      </c>
      <c r="F199" s="49">
        <v>0</v>
      </c>
      <c r="G199" s="49">
        <v>0</v>
      </c>
      <c r="H199" s="50">
        <f>F199</f>
        <v>0</v>
      </c>
      <c r="I199" s="49">
        <v>0</v>
      </c>
    </row>
    <row r="200" spans="1:14" ht="12.75" customHeight="1" x14ac:dyDescent="0.25">
      <c r="B200" s="82" t="s">
        <v>3</v>
      </c>
      <c r="C200" s="84">
        <v>11.171359418917772</v>
      </c>
      <c r="D200" s="29">
        <v>24496.645034227455</v>
      </c>
      <c r="E200" s="49">
        <f t="shared" ref="E200:E210" si="46">C200/$C$211</f>
        <v>5.2999093049631314E-3</v>
      </c>
      <c r="F200" s="49">
        <f t="shared" ref="F200:F210" si="47">D200/$D$211</f>
        <v>8.0135200470573958E-3</v>
      </c>
      <c r="G200" s="49">
        <f t="shared" ref="G200:G210" si="48">G199+E200</f>
        <v>5.2999093049631314E-3</v>
      </c>
      <c r="H200" s="50">
        <f t="shared" ref="H200:H210" si="49">F200+H199</f>
        <v>8.0135200470573958E-3</v>
      </c>
      <c r="I200" s="49">
        <f t="shared" ref="I200:I210" si="50">(G199+G200)*0.5*(H200-H199)</f>
        <v>2.123546473145404E-5</v>
      </c>
    </row>
    <row r="201" spans="1:14" ht="12.75" customHeight="1" x14ac:dyDescent="0.25">
      <c r="B201" s="82" t="s">
        <v>1</v>
      </c>
      <c r="C201" s="84">
        <v>13.62551145548483</v>
      </c>
      <c r="D201" s="29">
        <v>13199.085501550475</v>
      </c>
      <c r="E201" s="49">
        <f t="shared" si="46"/>
        <v>6.4642065696603936E-3</v>
      </c>
      <c r="F201" s="49">
        <f t="shared" si="47"/>
        <v>4.3177805010323955E-3</v>
      </c>
      <c r="G201" s="49">
        <f t="shared" si="48"/>
        <v>1.1764115874623525E-2</v>
      </c>
      <c r="H201" s="50">
        <f t="shared" si="49"/>
        <v>1.2331300548089792E-2</v>
      </c>
      <c r="I201" s="49">
        <f t="shared" si="50"/>
        <v>3.6839357594772543E-5</v>
      </c>
    </row>
    <row r="202" spans="1:14" ht="12.75" customHeight="1" x14ac:dyDescent="0.25">
      <c r="B202" s="111" t="s">
        <v>6</v>
      </c>
      <c r="C202" s="84">
        <v>19.890651093947945</v>
      </c>
      <c r="D202" s="29">
        <v>20836.189535136225</v>
      </c>
      <c r="E202" s="49">
        <f t="shared" si="46"/>
        <v>9.4365101740502624E-3</v>
      </c>
      <c r="F202" s="49">
        <f t="shared" si="47"/>
        <v>6.8160853174303836E-3</v>
      </c>
      <c r="G202" s="49">
        <f t="shared" si="48"/>
        <v>2.1200626048673787E-2</v>
      </c>
      <c r="H202" s="50">
        <f t="shared" si="49"/>
        <v>1.9147385865520176E-2</v>
      </c>
      <c r="I202" s="49">
        <f t="shared" si="50"/>
        <v>1.1234524670813432E-4</v>
      </c>
    </row>
    <row r="203" spans="1:14" ht="12.75" customHeight="1" x14ac:dyDescent="0.25">
      <c r="B203" s="82" t="s">
        <v>195</v>
      </c>
      <c r="C203" s="84">
        <v>26.053635154547475</v>
      </c>
      <c r="D203" s="29">
        <v>20450.034940117202</v>
      </c>
      <c r="E203" s="49">
        <f t="shared" si="46"/>
        <v>1.2360349193480467E-2</v>
      </c>
      <c r="F203" s="49">
        <f t="shared" si="47"/>
        <v>6.6897636279041406E-3</v>
      </c>
      <c r="G203" s="49">
        <f t="shared" si="48"/>
        <v>3.3560975242154255E-2</v>
      </c>
      <c r="H203" s="50">
        <f t="shared" si="49"/>
        <v>2.5837149493424316E-2</v>
      </c>
      <c r="I203" s="49">
        <f t="shared" si="50"/>
        <v>1.831710842605849E-4</v>
      </c>
    </row>
    <row r="204" spans="1:14" ht="12.75" customHeight="1" x14ac:dyDescent="0.25">
      <c r="B204" s="82" t="s">
        <v>5</v>
      </c>
      <c r="C204" s="84">
        <v>58.065831028798335</v>
      </c>
      <c r="D204" s="29">
        <v>49475.746319971244</v>
      </c>
      <c r="E204" s="49">
        <f t="shared" si="46"/>
        <v>2.7547555013654544E-2</v>
      </c>
      <c r="F204" s="49">
        <f t="shared" si="47"/>
        <v>1.6184864679397896E-2</v>
      </c>
      <c r="G204" s="49">
        <f t="shared" si="48"/>
        <v>6.1108530255808799E-2</v>
      </c>
      <c r="H204" s="50">
        <f t="shared" si="49"/>
        <v>4.2022014172822211E-2</v>
      </c>
      <c r="I204" s="49">
        <f t="shared" si="50"/>
        <v>7.6610656787502349E-4</v>
      </c>
    </row>
    <row r="205" spans="1:14" ht="12.75" customHeight="1" x14ac:dyDescent="0.25">
      <c r="B205" s="82" t="s">
        <v>2</v>
      </c>
      <c r="C205" s="84">
        <v>63.208496046190042</v>
      </c>
      <c r="D205" s="29">
        <v>251430.37783690859</v>
      </c>
      <c r="E205" s="49">
        <f t="shared" si="46"/>
        <v>2.9987334914731531E-2</v>
      </c>
      <c r="F205" s="49">
        <f t="shared" si="47"/>
        <v>8.2249727275718124E-2</v>
      </c>
      <c r="G205" s="49">
        <f t="shared" si="48"/>
        <v>9.109586517054033E-2</v>
      </c>
      <c r="H205" s="50">
        <f t="shared" si="49"/>
        <v>0.12427174144854033</v>
      </c>
      <c r="I205" s="49">
        <f t="shared" si="50"/>
        <v>6.2593850069913868E-3</v>
      </c>
    </row>
    <row r="206" spans="1:14" ht="12.75" customHeight="1" x14ac:dyDescent="0.25">
      <c r="B206" s="82" t="s">
        <v>9</v>
      </c>
      <c r="C206" s="84">
        <v>113.8115207203455</v>
      </c>
      <c r="D206" s="29">
        <v>119784.51078433092</v>
      </c>
      <c r="E206" s="49">
        <f t="shared" si="46"/>
        <v>5.3994390034243257E-2</v>
      </c>
      <c r="F206" s="49">
        <f t="shared" si="47"/>
        <v>3.9184777227902166E-2</v>
      </c>
      <c r="G206" s="49">
        <f t="shared" si="48"/>
        <v>0.14509025520478358</v>
      </c>
      <c r="H206" s="50">
        <f t="shared" si="49"/>
        <v>0.16345651867644251</v>
      </c>
      <c r="I206" s="49">
        <f t="shared" si="50"/>
        <v>4.6274502556147767E-3</v>
      </c>
    </row>
    <row r="207" spans="1:14" ht="12.75" customHeight="1" x14ac:dyDescent="0.25">
      <c r="B207" s="111" t="s">
        <v>10</v>
      </c>
      <c r="C207" s="84">
        <v>276.95149598433915</v>
      </c>
      <c r="D207" s="29">
        <v>237021.44592026682</v>
      </c>
      <c r="E207" s="49">
        <f t="shared" si="46"/>
        <v>0.13139115442881824</v>
      </c>
      <c r="F207" s="49">
        <f t="shared" si="47"/>
        <v>7.7536173047808091E-2</v>
      </c>
      <c r="G207" s="49">
        <f t="shared" si="48"/>
        <v>0.27648140963360179</v>
      </c>
      <c r="H207" s="50">
        <f t="shared" si="49"/>
        <v>0.24099269172425059</v>
      </c>
      <c r="I207" s="49">
        <f t="shared" si="50"/>
        <v>1.6343526778480798E-2</v>
      </c>
    </row>
    <row r="208" spans="1:14" ht="12.75" customHeight="1" x14ac:dyDescent="0.25">
      <c r="B208" s="82" t="s">
        <v>4</v>
      </c>
      <c r="C208" s="84">
        <v>353.6026358725851</v>
      </c>
      <c r="D208" s="29">
        <v>363314.38569269452</v>
      </c>
      <c r="E208" s="49">
        <f t="shared" si="46"/>
        <v>0.16775593997513275</v>
      </c>
      <c r="F208" s="49">
        <f t="shared" si="47"/>
        <v>0.1188500347318915</v>
      </c>
      <c r="G208" s="49">
        <f t="shared" si="48"/>
        <v>0.44423734960873451</v>
      </c>
      <c r="H208" s="50">
        <f t="shared" si="49"/>
        <v>0.35984272645614207</v>
      </c>
      <c r="I208" s="49">
        <f t="shared" si="50"/>
        <v>4.2828724783938704E-2</v>
      </c>
    </row>
    <row r="209" spans="1:14" ht="12.75" customHeight="1" x14ac:dyDescent="0.25">
      <c r="B209" s="82" t="s">
        <v>7</v>
      </c>
      <c r="C209" s="84">
        <v>436.58135275731689</v>
      </c>
      <c r="D209" s="29">
        <v>1339764.2833351614</v>
      </c>
      <c r="E209" s="49">
        <f t="shared" si="46"/>
        <v>0.20712265061793605</v>
      </c>
      <c r="F209" s="49">
        <f t="shared" si="47"/>
        <v>0.43827340143259691</v>
      </c>
      <c r="G209" s="49">
        <f t="shared" si="48"/>
        <v>0.65136000022667062</v>
      </c>
      <c r="H209" s="50">
        <f t="shared" si="49"/>
        <v>0.79811612788873898</v>
      </c>
      <c r="I209" s="49">
        <f t="shared" si="50"/>
        <v>0.24008558855645093</v>
      </c>
    </row>
    <row r="210" spans="1:14" ht="12.75" customHeight="1" thickBot="1" x14ac:dyDescent="0.3">
      <c r="B210" s="86" t="s">
        <v>8</v>
      </c>
      <c r="C210" s="87">
        <v>734.87724433925337</v>
      </c>
      <c r="D210" s="32">
        <v>617141.72101696266</v>
      </c>
      <c r="E210" s="51">
        <f t="shared" si="46"/>
        <v>0.34863999977332938</v>
      </c>
      <c r="F210" s="51">
        <f t="shared" si="47"/>
        <v>0.20188387211126102</v>
      </c>
      <c r="G210" s="51">
        <f t="shared" si="48"/>
        <v>1</v>
      </c>
      <c r="H210" s="52">
        <f t="shared" si="49"/>
        <v>1</v>
      </c>
      <c r="I210" s="51">
        <f t="shared" si="50"/>
        <v>0.16669147554770658</v>
      </c>
    </row>
    <row r="211" spans="1:14" ht="12.75" customHeight="1" thickBot="1" x14ac:dyDescent="0.3">
      <c r="B211" s="38" t="s">
        <v>12</v>
      </c>
      <c r="C211" s="32">
        <f>SUM(C199:C210)</f>
        <v>2107.8397338717264</v>
      </c>
      <c r="D211" s="32">
        <f>SUM(D199:D210)</f>
        <v>3056914.4259173274</v>
      </c>
      <c r="E211" s="51">
        <f>SUM(E200:E210)</f>
        <v>1</v>
      </c>
      <c r="F211" s="51">
        <f>SUM(F200:F210)</f>
        <v>1</v>
      </c>
      <c r="G211" s="52"/>
      <c r="H211" s="52"/>
      <c r="I211" s="51">
        <f>SUM(I199:I210)</f>
        <v>0.47795584865035312</v>
      </c>
    </row>
    <row r="212" spans="1:14" ht="12.75" customHeight="1" thickBot="1" x14ac:dyDescent="0.3">
      <c r="B212" s="4"/>
      <c r="C212" s="4"/>
      <c r="D212" s="4"/>
      <c r="E212" s="50"/>
      <c r="F212" s="50"/>
      <c r="G212" s="50"/>
      <c r="H212" s="53"/>
      <c r="I212" s="53"/>
    </row>
    <row r="213" spans="1:14" ht="12.75" customHeight="1" thickBot="1" x14ac:dyDescent="0.3">
      <c r="B213" s="4"/>
      <c r="C213" s="4"/>
      <c r="D213" s="4"/>
      <c r="E213" s="50"/>
      <c r="F213" s="50"/>
      <c r="G213" s="55"/>
      <c r="H213" s="56" t="s">
        <v>29</v>
      </c>
      <c r="I213" s="52">
        <f>1-(2*I211)</f>
        <v>4.4088302699293758E-2</v>
      </c>
    </row>
    <row r="214" spans="1:14" ht="12.75" customHeight="1" x14ac:dyDescent="0.25"/>
    <row r="215" spans="1:14" ht="12.75" customHeight="1" x14ac:dyDescent="0.25"/>
    <row r="216" spans="1:14" ht="12.75" customHeight="1" x14ac:dyDescent="0.25"/>
    <row r="217" spans="1:14" ht="12.75" customHeight="1" x14ac:dyDescent="0.25"/>
    <row r="218" spans="1:14" ht="16.2" thickBot="1" x14ac:dyDescent="0.35">
      <c r="B218" s="256" t="s">
        <v>119</v>
      </c>
      <c r="C218" s="256"/>
      <c r="D218" s="256"/>
      <c r="E218" s="256"/>
      <c r="F218" s="256"/>
      <c r="G218" s="256"/>
      <c r="H218" s="256"/>
      <c r="I218" s="256"/>
    </row>
    <row r="219" spans="1:14" ht="27" thickBot="1" x14ac:dyDescent="0.3">
      <c r="A219" s="8"/>
      <c r="B219" s="30" t="s">
        <v>19</v>
      </c>
      <c r="C219" s="31" t="s">
        <v>38</v>
      </c>
      <c r="D219" s="37" t="s">
        <v>115</v>
      </c>
      <c r="E219" s="31" t="s">
        <v>15</v>
      </c>
      <c r="F219" s="31" t="s">
        <v>21</v>
      </c>
      <c r="G219" s="31" t="s">
        <v>17</v>
      </c>
      <c r="H219" s="31" t="s">
        <v>117</v>
      </c>
      <c r="I219" s="31" t="s">
        <v>20</v>
      </c>
      <c r="J219" s="8"/>
      <c r="K219" s="8"/>
      <c r="L219" s="8"/>
      <c r="M219" s="8"/>
      <c r="N219" s="8"/>
    </row>
    <row r="220" spans="1:14" ht="12.75" customHeight="1" x14ac:dyDescent="0.25">
      <c r="B220" s="4"/>
      <c r="C220" s="26">
        <v>0</v>
      </c>
      <c r="D220" s="26">
        <v>0</v>
      </c>
      <c r="E220" s="49">
        <v>0</v>
      </c>
      <c r="F220" s="49">
        <v>0</v>
      </c>
      <c r="G220" s="49">
        <v>0</v>
      </c>
      <c r="H220" s="50">
        <f>F220</f>
        <v>0</v>
      </c>
      <c r="I220" s="49">
        <v>0</v>
      </c>
    </row>
    <row r="221" spans="1:14" ht="12.75" customHeight="1" x14ac:dyDescent="0.25">
      <c r="B221" s="82" t="s">
        <v>195</v>
      </c>
      <c r="C221" s="84">
        <v>0</v>
      </c>
      <c r="D221" s="29">
        <v>20450.034940117202</v>
      </c>
      <c r="E221" s="49">
        <f t="shared" ref="E221:E231" si="51">C221/$C$232</f>
        <v>0</v>
      </c>
      <c r="F221" s="49">
        <f t="shared" ref="F221:F231" si="52">D221/$D$232</f>
        <v>6.6897636279041406E-3</v>
      </c>
      <c r="G221" s="49">
        <f t="shared" ref="G221:G231" si="53">G220+E221</f>
        <v>0</v>
      </c>
      <c r="H221" s="50">
        <f t="shared" ref="H221:H231" si="54">F221+H220</f>
        <v>6.6897636279041406E-3</v>
      </c>
      <c r="I221" s="49">
        <f t="shared" ref="I221:I231" si="55">(G220+G221)*0.5*(H221-H220)</f>
        <v>0</v>
      </c>
    </row>
    <row r="222" spans="1:14" ht="12.75" customHeight="1" x14ac:dyDescent="0.25">
      <c r="B222" s="82" t="s">
        <v>2</v>
      </c>
      <c r="C222" s="84">
        <v>0</v>
      </c>
      <c r="D222" s="29">
        <v>251430.37783690859</v>
      </c>
      <c r="E222" s="49">
        <f t="shared" si="51"/>
        <v>0</v>
      </c>
      <c r="F222" s="49">
        <f t="shared" si="52"/>
        <v>8.2249727275718124E-2</v>
      </c>
      <c r="G222" s="49">
        <f t="shared" si="53"/>
        <v>0</v>
      </c>
      <c r="H222" s="50">
        <f t="shared" si="54"/>
        <v>8.893949090362227E-2</v>
      </c>
      <c r="I222" s="49">
        <f t="shared" si="55"/>
        <v>0</v>
      </c>
    </row>
    <row r="223" spans="1:14" ht="12.75" customHeight="1" x14ac:dyDescent="0.25">
      <c r="B223" s="82" t="s">
        <v>7</v>
      </c>
      <c r="C223" s="84">
        <v>0</v>
      </c>
      <c r="D223" s="29">
        <v>1339764.2833351614</v>
      </c>
      <c r="E223" s="49">
        <f t="shared" si="51"/>
        <v>0</v>
      </c>
      <c r="F223" s="49">
        <f t="shared" si="52"/>
        <v>0.43827340143259691</v>
      </c>
      <c r="G223" s="49">
        <f t="shared" si="53"/>
        <v>0</v>
      </c>
      <c r="H223" s="50">
        <f t="shared" si="54"/>
        <v>0.52721289233621915</v>
      </c>
      <c r="I223" s="49">
        <f t="shared" si="55"/>
        <v>0</v>
      </c>
    </row>
    <row r="224" spans="1:14" ht="12.75" customHeight="1" x14ac:dyDescent="0.25">
      <c r="B224" s="82" t="s">
        <v>8</v>
      </c>
      <c r="C224" s="84">
        <v>0</v>
      </c>
      <c r="D224" s="29">
        <v>617141.72101696266</v>
      </c>
      <c r="E224" s="49">
        <f t="shared" si="51"/>
        <v>0</v>
      </c>
      <c r="F224" s="49">
        <f t="shared" si="52"/>
        <v>0.20188387211126102</v>
      </c>
      <c r="G224" s="49">
        <f t="shared" si="53"/>
        <v>0</v>
      </c>
      <c r="H224" s="50">
        <f t="shared" si="54"/>
        <v>0.72909676444748017</v>
      </c>
      <c r="I224" s="49">
        <f t="shared" si="55"/>
        <v>0</v>
      </c>
    </row>
    <row r="225" spans="1:14" ht="12.75" customHeight="1" x14ac:dyDescent="0.25">
      <c r="B225" s="111" t="s">
        <v>6</v>
      </c>
      <c r="C225" s="84">
        <v>1.5386391808328861</v>
      </c>
      <c r="D225" s="29">
        <v>20836.189535136225</v>
      </c>
      <c r="E225" s="49">
        <f t="shared" si="51"/>
        <v>7.5433856413997481E-3</v>
      </c>
      <c r="F225" s="49">
        <f t="shared" si="52"/>
        <v>6.8160853174303836E-3</v>
      </c>
      <c r="G225" s="49">
        <f t="shared" si="53"/>
        <v>7.5433856413997481E-3</v>
      </c>
      <c r="H225" s="50">
        <f t="shared" si="54"/>
        <v>0.73591284976491056</v>
      </c>
      <c r="I225" s="49">
        <f t="shared" si="55"/>
        <v>2.5708180057030014E-5</v>
      </c>
    </row>
    <row r="226" spans="1:14" ht="12.75" customHeight="1" x14ac:dyDescent="0.25">
      <c r="B226" s="82" t="s">
        <v>1</v>
      </c>
      <c r="C226" s="84">
        <v>1.9832072109514134</v>
      </c>
      <c r="D226" s="29">
        <v>13199.085501550475</v>
      </c>
      <c r="E226" s="49">
        <f t="shared" si="51"/>
        <v>9.7229402353534444E-3</v>
      </c>
      <c r="F226" s="49">
        <f t="shared" si="52"/>
        <v>4.3177805010323955E-3</v>
      </c>
      <c r="G226" s="49">
        <f t="shared" si="53"/>
        <v>1.7266325876753193E-2</v>
      </c>
      <c r="H226" s="50">
        <f t="shared" si="54"/>
        <v>0.74023063026594293</v>
      </c>
      <c r="I226" s="49">
        <f t="shared" si="55"/>
        <v>5.3561444314659552E-5</v>
      </c>
    </row>
    <row r="227" spans="1:14" ht="12.75" customHeight="1" x14ac:dyDescent="0.25">
      <c r="B227" s="82" t="s">
        <v>3</v>
      </c>
      <c r="C227" s="84">
        <v>3.2750912718752518</v>
      </c>
      <c r="D227" s="29">
        <v>24496.645034227455</v>
      </c>
      <c r="E227" s="49">
        <f t="shared" si="51"/>
        <v>1.6056575695130883E-2</v>
      </c>
      <c r="F227" s="49">
        <f t="shared" si="52"/>
        <v>8.0135200470573958E-3</v>
      </c>
      <c r="G227" s="49">
        <f t="shared" si="53"/>
        <v>3.3322901571884077E-2</v>
      </c>
      <c r="H227" s="50">
        <f t="shared" si="54"/>
        <v>0.74824415031300029</v>
      </c>
      <c r="I227" s="49">
        <f t="shared" si="55"/>
        <v>2.0269889416239944E-4</v>
      </c>
    </row>
    <row r="228" spans="1:14" ht="12.75" customHeight="1" x14ac:dyDescent="0.25">
      <c r="B228" s="82" t="s">
        <v>5</v>
      </c>
      <c r="C228" s="84">
        <v>16.052819884560293</v>
      </c>
      <c r="D228" s="29">
        <v>49475.746319971244</v>
      </c>
      <c r="E228" s="49">
        <f t="shared" si="51"/>
        <v>7.8701109740114253E-2</v>
      </c>
      <c r="F228" s="49">
        <f t="shared" si="52"/>
        <v>1.6184864679397896E-2</v>
      </c>
      <c r="G228" s="49">
        <f t="shared" si="53"/>
        <v>0.11202401131199832</v>
      </c>
      <c r="H228" s="50">
        <f t="shared" si="54"/>
        <v>0.76442901499239824</v>
      </c>
      <c r="I228" s="49">
        <f t="shared" si="55"/>
        <v>1.1762100582969393E-3</v>
      </c>
    </row>
    <row r="229" spans="1:14" ht="12.75" customHeight="1" x14ac:dyDescent="0.25">
      <c r="B229" s="111" t="s">
        <v>10</v>
      </c>
      <c r="C229" s="84">
        <v>22.251590870161746</v>
      </c>
      <c r="D229" s="29">
        <v>237021.44592026682</v>
      </c>
      <c r="E229" s="49">
        <f t="shared" si="51"/>
        <v>0.1090914186764821</v>
      </c>
      <c r="F229" s="49">
        <f t="shared" si="52"/>
        <v>7.7536173047808091E-2</v>
      </c>
      <c r="G229" s="49">
        <f t="shared" si="53"/>
        <v>0.22111542998848044</v>
      </c>
      <c r="H229" s="50">
        <f t="shared" si="54"/>
        <v>0.84196518804020637</v>
      </c>
      <c r="I229" s="49">
        <f t="shared" si="55"/>
        <v>1.2915178684862021E-2</v>
      </c>
    </row>
    <row r="230" spans="1:14" ht="12.75" customHeight="1" x14ac:dyDescent="0.25">
      <c r="B230" s="82" t="s">
        <v>9</v>
      </c>
      <c r="C230" s="84">
        <v>27.835036451662162</v>
      </c>
      <c r="D230" s="29">
        <v>119784.51078433092</v>
      </c>
      <c r="E230" s="49">
        <f t="shared" si="51"/>
        <v>0.13646501201382844</v>
      </c>
      <c r="F230" s="49">
        <f t="shared" si="52"/>
        <v>3.9184777227902166E-2</v>
      </c>
      <c r="G230" s="49">
        <f t="shared" si="53"/>
        <v>0.35758044200230887</v>
      </c>
      <c r="H230" s="50">
        <f t="shared" si="54"/>
        <v>0.88114996526810851</v>
      </c>
      <c r="I230" s="49">
        <f t="shared" si="55"/>
        <v>1.1338034413332828E-2</v>
      </c>
    </row>
    <row r="231" spans="1:14" ht="12.75" customHeight="1" thickBot="1" x14ac:dyDescent="0.3">
      <c r="B231" s="86" t="s">
        <v>4</v>
      </c>
      <c r="C231" s="87">
        <v>131.03557864571476</v>
      </c>
      <c r="D231" s="32">
        <v>363314.38569269452</v>
      </c>
      <c r="E231" s="51">
        <f t="shared" si="51"/>
        <v>0.64241955799769113</v>
      </c>
      <c r="F231" s="51">
        <f t="shared" si="52"/>
        <v>0.1188500347318915</v>
      </c>
      <c r="G231" s="51">
        <f t="shared" si="53"/>
        <v>1</v>
      </c>
      <c r="H231" s="52">
        <f t="shared" si="54"/>
        <v>1</v>
      </c>
      <c r="I231" s="51">
        <f t="shared" si="55"/>
        <v>8.0674241341655503E-2</v>
      </c>
    </row>
    <row r="232" spans="1:14" ht="12.75" customHeight="1" thickBot="1" x14ac:dyDescent="0.3">
      <c r="B232" s="38" t="s">
        <v>12</v>
      </c>
      <c r="C232" s="32">
        <f>SUM(C220:C231)</f>
        <v>203.97196351575852</v>
      </c>
      <c r="D232" s="32">
        <f>SUM(D220:D231)</f>
        <v>3056914.4259173274</v>
      </c>
      <c r="E232" s="51">
        <f>SUM(E221:E231)</f>
        <v>1</v>
      </c>
      <c r="F232" s="51">
        <f>SUM(F221:F231)</f>
        <v>1</v>
      </c>
      <c r="G232" s="52"/>
      <c r="H232" s="52"/>
      <c r="I232" s="51">
        <f>SUM(I220:I231)</f>
        <v>0.10638563301668139</v>
      </c>
    </row>
    <row r="233" spans="1:14" ht="12.75" customHeight="1" thickBot="1" x14ac:dyDescent="0.3">
      <c r="B233" s="4"/>
      <c r="C233" s="4"/>
      <c r="D233" s="4"/>
      <c r="E233" s="50"/>
      <c r="F233" s="50"/>
      <c r="G233" s="50"/>
      <c r="H233" s="53"/>
      <c r="I233" s="53"/>
    </row>
    <row r="234" spans="1:14" ht="12.75" customHeight="1" thickBot="1" x14ac:dyDescent="0.3">
      <c r="B234" s="4"/>
      <c r="C234" s="4"/>
      <c r="D234" s="4"/>
      <c r="E234" s="50"/>
      <c r="F234" s="50"/>
      <c r="G234" s="55"/>
      <c r="H234" s="56" t="s">
        <v>33</v>
      </c>
      <c r="I234" s="52">
        <f>1-(2*I232)</f>
        <v>0.78722873396663728</v>
      </c>
    </row>
    <row r="235" spans="1:14" ht="12.75" customHeight="1" x14ac:dyDescent="0.25"/>
    <row r="236" spans="1:14" ht="12.75" customHeight="1" x14ac:dyDescent="0.25"/>
    <row r="237" spans="1:14" ht="12.75" customHeight="1" x14ac:dyDescent="0.25"/>
    <row r="238" spans="1:14" ht="12.75" customHeight="1" x14ac:dyDescent="0.25"/>
    <row r="239" spans="1:14" ht="16.2" thickBot="1" x14ac:dyDescent="0.35">
      <c r="B239" s="256" t="s">
        <v>118</v>
      </c>
      <c r="C239" s="256"/>
      <c r="D239" s="256"/>
      <c r="E239" s="256"/>
      <c r="F239" s="256"/>
      <c r="G239" s="256"/>
      <c r="H239" s="256"/>
      <c r="I239" s="256"/>
    </row>
    <row r="240" spans="1:14" ht="27" thickBot="1" x14ac:dyDescent="0.3">
      <c r="A240" s="8"/>
      <c r="B240" s="30" t="s">
        <v>19</v>
      </c>
      <c r="C240" s="31" t="s">
        <v>39</v>
      </c>
      <c r="D240" s="37" t="s">
        <v>115</v>
      </c>
      <c r="E240" s="31" t="s">
        <v>15</v>
      </c>
      <c r="F240" s="31" t="s">
        <v>21</v>
      </c>
      <c r="G240" s="31" t="s">
        <v>17</v>
      </c>
      <c r="H240" s="31" t="s">
        <v>117</v>
      </c>
      <c r="I240" s="31" t="s">
        <v>20</v>
      </c>
      <c r="J240" s="8"/>
      <c r="K240" s="8"/>
      <c r="L240" s="8"/>
      <c r="M240" s="8"/>
      <c r="N240" s="8"/>
    </row>
    <row r="241" spans="2:9" ht="12.75" customHeight="1" x14ac:dyDescent="0.25">
      <c r="B241" s="4"/>
      <c r="C241" s="26">
        <v>0</v>
      </c>
      <c r="D241" s="26">
        <v>0</v>
      </c>
      <c r="E241" s="49">
        <v>0</v>
      </c>
      <c r="F241" s="49">
        <v>0</v>
      </c>
      <c r="G241" s="49">
        <v>0</v>
      </c>
      <c r="H241" s="50">
        <f>F241</f>
        <v>0</v>
      </c>
      <c r="I241" s="49">
        <v>0</v>
      </c>
    </row>
    <row r="242" spans="2:9" ht="12.75" customHeight="1" x14ac:dyDescent="0.25">
      <c r="B242" s="82" t="s">
        <v>195</v>
      </c>
      <c r="C242" s="29">
        <v>0</v>
      </c>
      <c r="D242" s="29">
        <v>20450.034940117202</v>
      </c>
      <c r="E242" s="49">
        <f t="shared" ref="E242:E252" si="56">C242/$C$253</f>
        <v>0</v>
      </c>
      <c r="F242" s="49">
        <f t="shared" ref="F242:F252" si="57">D242/$D$253</f>
        <v>6.6897636279041389E-3</v>
      </c>
      <c r="G242" s="49">
        <f t="shared" ref="G242:G252" si="58">G241+E242</f>
        <v>0</v>
      </c>
      <c r="H242" s="50">
        <f t="shared" ref="H242:H252" si="59">F242+H241</f>
        <v>6.6897636279041389E-3</v>
      </c>
      <c r="I242" s="49">
        <f t="shared" ref="I242:I252" si="60">(G241+G242)*0.5*(H242-H241)</f>
        <v>0</v>
      </c>
    </row>
    <row r="243" spans="2:9" ht="12.75" customHeight="1" x14ac:dyDescent="0.25">
      <c r="B243" s="82" t="s">
        <v>1</v>
      </c>
      <c r="C243" s="29">
        <v>1.9832072109514134</v>
      </c>
      <c r="D243" s="29">
        <v>13199.085501550475</v>
      </c>
      <c r="E243" s="49">
        <f t="shared" si="56"/>
        <v>5.7874802204534925E-3</v>
      </c>
      <c r="F243" s="49">
        <f t="shared" si="57"/>
        <v>4.3177805010323946E-3</v>
      </c>
      <c r="G243" s="49">
        <f t="shared" si="58"/>
        <v>5.7874802204534925E-3</v>
      </c>
      <c r="H243" s="50">
        <f t="shared" si="59"/>
        <v>1.1007544128936533E-2</v>
      </c>
      <c r="I243" s="49">
        <f t="shared" si="60"/>
        <v>1.2494534622992375E-5</v>
      </c>
    </row>
    <row r="244" spans="2:9" ht="12.75" customHeight="1" x14ac:dyDescent="0.25">
      <c r="B244" s="82" t="s">
        <v>3</v>
      </c>
      <c r="C244" s="29">
        <v>3.2750912718752518</v>
      </c>
      <c r="D244" s="29">
        <v>24496.645034227455</v>
      </c>
      <c r="E244" s="49">
        <f t="shared" si="56"/>
        <v>9.5575116162797472E-3</v>
      </c>
      <c r="F244" s="49">
        <f t="shared" si="57"/>
        <v>8.0135200470573941E-3</v>
      </c>
      <c r="G244" s="49">
        <f t="shared" si="58"/>
        <v>1.5344991836733241E-2</v>
      </c>
      <c r="H244" s="50">
        <f t="shared" si="59"/>
        <v>1.9021064175993925E-2</v>
      </c>
      <c r="I244" s="49">
        <f t="shared" si="60"/>
        <v>8.467274423707303E-5</v>
      </c>
    </row>
    <row r="245" spans="2:9" ht="12.75" customHeight="1" x14ac:dyDescent="0.25">
      <c r="B245" s="111" t="s">
        <v>6</v>
      </c>
      <c r="C245" s="29">
        <v>5.3386391808328861</v>
      </c>
      <c r="D245" s="29">
        <v>20836.189535136225</v>
      </c>
      <c r="E245" s="49">
        <f t="shared" si="56"/>
        <v>1.5579445502513009E-2</v>
      </c>
      <c r="F245" s="49">
        <f t="shared" si="57"/>
        <v>6.8160853174303827E-3</v>
      </c>
      <c r="G245" s="49">
        <f t="shared" si="58"/>
        <v>3.0924437339246248E-2</v>
      </c>
      <c r="H245" s="50">
        <f t="shared" si="59"/>
        <v>2.5837149493424309E-2</v>
      </c>
      <c r="I245" s="49">
        <f t="shared" si="60"/>
        <v>1.576881884261394E-4</v>
      </c>
    </row>
    <row r="246" spans="2:9" ht="12.75" customHeight="1" x14ac:dyDescent="0.25">
      <c r="B246" s="82" t="s">
        <v>5</v>
      </c>
      <c r="C246" s="29">
        <v>16.052819884560293</v>
      </c>
      <c r="D246" s="29">
        <v>49475.746319971244</v>
      </c>
      <c r="E246" s="49">
        <f t="shared" si="56"/>
        <v>4.6846026502609016E-2</v>
      </c>
      <c r="F246" s="49">
        <f t="shared" si="57"/>
        <v>1.6184864679397892E-2</v>
      </c>
      <c r="G246" s="49">
        <f t="shared" si="58"/>
        <v>7.7770463841855264E-2</v>
      </c>
      <c r="H246" s="50">
        <f t="shared" si="59"/>
        <v>4.2022014172822197E-2</v>
      </c>
      <c r="I246" s="49">
        <f t="shared" si="60"/>
        <v>8.7960613347832681E-4</v>
      </c>
    </row>
    <row r="247" spans="2:9" ht="12.75" customHeight="1" x14ac:dyDescent="0.25">
      <c r="B247" s="82" t="s">
        <v>8</v>
      </c>
      <c r="C247" s="29">
        <v>23.5</v>
      </c>
      <c r="D247" s="29">
        <v>617141.72101696266</v>
      </c>
      <c r="E247" s="49">
        <f t="shared" si="56"/>
        <v>6.8578706465780945E-2</v>
      </c>
      <c r="F247" s="49">
        <f t="shared" si="57"/>
        <v>0.20188387211126099</v>
      </c>
      <c r="G247" s="49">
        <f t="shared" si="58"/>
        <v>0.14634917030763622</v>
      </c>
      <c r="H247" s="50">
        <f t="shared" si="59"/>
        <v>0.24390588628408319</v>
      </c>
      <c r="I247" s="49">
        <f t="shared" si="60"/>
        <v>2.2623069779129271E-2</v>
      </c>
    </row>
    <row r="248" spans="2:9" ht="12.75" customHeight="1" x14ac:dyDescent="0.25">
      <c r="B248" s="82" t="s">
        <v>9</v>
      </c>
      <c r="C248" s="29">
        <v>27.835036451662162</v>
      </c>
      <c r="D248" s="29">
        <v>119784.51078433092</v>
      </c>
      <c r="E248" s="49">
        <f t="shared" si="56"/>
        <v>8.1229395501397961E-2</v>
      </c>
      <c r="F248" s="49">
        <f t="shared" si="57"/>
        <v>3.9184777227902166E-2</v>
      </c>
      <c r="G248" s="49">
        <f t="shared" si="58"/>
        <v>0.22757856580903418</v>
      </c>
      <c r="H248" s="50">
        <f t="shared" si="59"/>
        <v>0.28309066351198536</v>
      </c>
      <c r="I248" s="49">
        <f t="shared" si="60"/>
        <v>7.3261375195327596E-3</v>
      </c>
    </row>
    <row r="249" spans="2:9" ht="12.75" customHeight="1" x14ac:dyDescent="0.25">
      <c r="B249" s="82" t="s">
        <v>7</v>
      </c>
      <c r="C249" s="29">
        <v>33.799999999999997</v>
      </c>
      <c r="D249" s="29">
        <v>1339764.2833351614</v>
      </c>
      <c r="E249" s="49">
        <f t="shared" si="56"/>
        <v>9.8636607597591297E-2</v>
      </c>
      <c r="F249" s="49">
        <f t="shared" si="57"/>
        <v>0.43827340143259685</v>
      </c>
      <c r="G249" s="49">
        <f t="shared" si="58"/>
        <v>0.32621517340662548</v>
      </c>
      <c r="H249" s="50">
        <f t="shared" si="59"/>
        <v>0.72136406494458227</v>
      </c>
      <c r="I249" s="49">
        <f t="shared" si="60"/>
        <v>0.12135653288906184</v>
      </c>
    </row>
    <row r="250" spans="2:9" ht="12.75" customHeight="1" x14ac:dyDescent="0.25">
      <c r="B250" s="111" t="s">
        <v>10</v>
      </c>
      <c r="C250" s="29">
        <v>43.351590870161743</v>
      </c>
      <c r="D250" s="29">
        <v>237021.44592026682</v>
      </c>
      <c r="E250" s="49">
        <f t="shared" si="56"/>
        <v>0.12651046915359365</v>
      </c>
      <c r="F250" s="49">
        <f t="shared" si="57"/>
        <v>7.7536173047808077E-2</v>
      </c>
      <c r="G250" s="49">
        <f t="shared" si="58"/>
        <v>0.45272564256021913</v>
      </c>
      <c r="H250" s="50">
        <f t="shared" si="59"/>
        <v>0.79890023799239041</v>
      </c>
      <c r="I250" s="49">
        <f t="shared" si="60"/>
        <v>3.0198044950403066E-2</v>
      </c>
    </row>
    <row r="251" spans="2:9" ht="12.75" customHeight="1" x14ac:dyDescent="0.25">
      <c r="B251" s="82" t="s">
        <v>2</v>
      </c>
      <c r="C251" s="29">
        <v>56.5</v>
      </c>
      <c r="D251" s="29">
        <v>251430.37783690859</v>
      </c>
      <c r="E251" s="49">
        <f t="shared" si="56"/>
        <v>0.16488071980070737</v>
      </c>
      <c r="F251" s="49">
        <f t="shared" si="57"/>
        <v>8.224972727571811E-2</v>
      </c>
      <c r="G251" s="49">
        <f t="shared" si="58"/>
        <v>0.61760636236092648</v>
      </c>
      <c r="H251" s="50">
        <f t="shared" si="59"/>
        <v>0.88114996526810851</v>
      </c>
      <c r="I251" s="49">
        <f t="shared" si="60"/>
        <v>4.4017257749618399E-2</v>
      </c>
    </row>
    <row r="252" spans="2:9" ht="12.75" customHeight="1" thickBot="1" x14ac:dyDescent="0.3">
      <c r="B252" s="86" t="s">
        <v>4</v>
      </c>
      <c r="C252" s="32">
        <v>131.03557864571476</v>
      </c>
      <c r="D252" s="32">
        <v>363314.38569269452</v>
      </c>
      <c r="E252" s="51">
        <f t="shared" si="56"/>
        <v>0.38239363763907347</v>
      </c>
      <c r="F252" s="51">
        <f t="shared" si="57"/>
        <v>0.11885003473189147</v>
      </c>
      <c r="G252" s="51">
        <f t="shared" si="58"/>
        <v>1</v>
      </c>
      <c r="H252" s="52">
        <f t="shared" si="59"/>
        <v>1</v>
      </c>
      <c r="I252" s="51">
        <f t="shared" si="60"/>
        <v>9.6126286174562384E-2</v>
      </c>
    </row>
    <row r="253" spans="2:9" ht="12.75" customHeight="1" thickBot="1" x14ac:dyDescent="0.3">
      <c r="B253" s="38" t="s">
        <v>12</v>
      </c>
      <c r="C253" s="32">
        <f>SUM(C241:C252)</f>
        <v>342.67196351575853</v>
      </c>
      <c r="D253" s="32">
        <f>SUM(D241:D252)</f>
        <v>3056914.4259173279</v>
      </c>
      <c r="E253" s="51">
        <f>SUM(E242:E252)</f>
        <v>1</v>
      </c>
      <c r="F253" s="51">
        <f>SUM(F242:F252)</f>
        <v>1</v>
      </c>
      <c r="G253" s="52"/>
      <c r="H253" s="52"/>
      <c r="I253" s="51">
        <f>SUM(I241:I252)</f>
        <v>0.32278179066307228</v>
      </c>
    </row>
    <row r="254" spans="2:9" ht="12.75" customHeight="1" thickBot="1" x14ac:dyDescent="0.3">
      <c r="B254" s="4"/>
      <c r="C254" s="4"/>
      <c r="D254" s="4"/>
      <c r="E254" s="50"/>
      <c r="F254" s="50"/>
      <c r="G254" s="50"/>
      <c r="H254" s="53"/>
      <c r="I254" s="53"/>
    </row>
    <row r="255" spans="2:9" ht="12.75" customHeight="1" thickBot="1" x14ac:dyDescent="0.3">
      <c r="B255" s="4"/>
      <c r="C255" s="4"/>
      <c r="D255" s="4"/>
      <c r="E255" s="50"/>
      <c r="F255" s="50"/>
      <c r="G255" s="55"/>
      <c r="H255" s="57" t="s">
        <v>29</v>
      </c>
      <c r="I255" s="58">
        <f>1-(2*I253)</f>
        <v>0.35443641867385545</v>
      </c>
    </row>
    <row r="256" spans="2:9" ht="12.6" customHeight="1" x14ac:dyDescent="0.25"/>
    <row r="257" ht="12.75" customHeight="1" x14ac:dyDescent="0.25"/>
    <row r="258" ht="12.75" customHeight="1" x14ac:dyDescent="0.25"/>
    <row r="259" ht="12.75" customHeight="1" x14ac:dyDescent="0.25"/>
    <row r="260" ht="12.75" customHeight="1" x14ac:dyDescent="0.25"/>
    <row r="261" ht="12.75" customHeight="1" x14ac:dyDescent="0.25"/>
    <row r="262" ht="12.75" customHeight="1" x14ac:dyDescent="0.25"/>
    <row r="263" ht="12.75" customHeight="1" x14ac:dyDescent="0.25"/>
    <row r="264" ht="12.75" customHeight="1" x14ac:dyDescent="0.25"/>
    <row r="265" ht="12.75" customHeight="1" x14ac:dyDescent="0.25"/>
    <row r="266" ht="12.75" customHeight="1" x14ac:dyDescent="0.25"/>
    <row r="267" ht="12.75" customHeight="1" x14ac:dyDescent="0.25"/>
    <row r="268" ht="12.75" customHeight="1" x14ac:dyDescent="0.25"/>
    <row r="269" ht="12.75" customHeight="1" x14ac:dyDescent="0.25"/>
    <row r="270" ht="12.75" customHeight="1" x14ac:dyDescent="0.25"/>
    <row r="271" ht="12.75" customHeight="1" x14ac:dyDescent="0.25"/>
    <row r="272" ht="12.75" customHeight="1" x14ac:dyDescent="0.25"/>
    <row r="273" ht="12.75" customHeight="1" x14ac:dyDescent="0.25"/>
    <row r="274" ht="12.75" customHeight="1" x14ac:dyDescent="0.25"/>
    <row r="275" ht="12.75" customHeight="1" x14ac:dyDescent="0.25"/>
    <row r="276" ht="12.75" customHeight="1" x14ac:dyDescent="0.25"/>
    <row r="277" ht="12.75" customHeight="1" x14ac:dyDescent="0.25"/>
    <row r="278" ht="12.75" customHeight="1" x14ac:dyDescent="0.25"/>
    <row r="279" ht="12.75" customHeight="1" x14ac:dyDescent="0.25"/>
    <row r="280" ht="12.75" customHeight="1" x14ac:dyDescent="0.25"/>
    <row r="281" ht="12.75" customHeight="1" x14ac:dyDescent="0.25"/>
    <row r="282" ht="12.75" customHeight="1" x14ac:dyDescent="0.25"/>
    <row r="283" ht="12.75" customHeight="1" x14ac:dyDescent="0.25"/>
    <row r="284" ht="12.75" customHeight="1" x14ac:dyDescent="0.25"/>
    <row r="285" ht="12.75" customHeight="1" x14ac:dyDescent="0.25"/>
    <row r="286" ht="12.75" customHeight="1" x14ac:dyDescent="0.25"/>
    <row r="287" ht="12.75" customHeight="1" x14ac:dyDescent="0.25"/>
    <row r="288" ht="12.75" customHeight="1" x14ac:dyDescent="0.25"/>
    <row r="289" ht="12.75" customHeight="1" x14ac:dyDescent="0.25"/>
    <row r="290" ht="12.75" customHeight="1" x14ac:dyDescent="0.25"/>
    <row r="291" ht="12.75" customHeight="1" x14ac:dyDescent="0.25"/>
    <row r="292" ht="12.75" customHeight="1" x14ac:dyDescent="0.25"/>
    <row r="293" ht="12.75" customHeight="1" x14ac:dyDescent="0.25"/>
    <row r="294" ht="12.75" customHeight="1" x14ac:dyDescent="0.25"/>
    <row r="295" ht="12.75" customHeight="1" x14ac:dyDescent="0.25"/>
    <row r="296" ht="12.75" customHeight="1" x14ac:dyDescent="0.25"/>
    <row r="297" ht="12.75" customHeight="1" x14ac:dyDescent="0.25"/>
    <row r="298" ht="12.75" customHeight="1" x14ac:dyDescent="0.25"/>
    <row r="299" ht="12.75" customHeight="1" x14ac:dyDescent="0.25"/>
    <row r="300" ht="12.75" customHeight="1" x14ac:dyDescent="0.25"/>
    <row r="301" ht="12.75" customHeight="1" x14ac:dyDescent="0.25"/>
    <row r="302" ht="12.75" customHeight="1" x14ac:dyDescent="0.25"/>
    <row r="303" ht="12.75" customHeight="1" x14ac:dyDescent="0.25"/>
    <row r="304" ht="12.75" customHeight="1" x14ac:dyDescent="0.25"/>
    <row r="305" ht="12.75" customHeight="1" x14ac:dyDescent="0.25"/>
    <row r="306" ht="12.75" customHeight="1" x14ac:dyDescent="0.25"/>
    <row r="307" ht="12.75" customHeight="1" x14ac:dyDescent="0.25"/>
    <row r="308" ht="12.75" customHeight="1" x14ac:dyDescent="0.25"/>
    <row r="309" ht="12.75" customHeight="1" x14ac:dyDescent="0.25"/>
    <row r="310" ht="12.75" customHeight="1" x14ac:dyDescent="0.25"/>
    <row r="311" ht="12.75" customHeight="1" x14ac:dyDescent="0.25"/>
    <row r="312" ht="12.75" customHeight="1" x14ac:dyDescent="0.25"/>
    <row r="313" ht="12.75" customHeight="1" x14ac:dyDescent="0.25"/>
    <row r="314" ht="12.75" customHeight="1" x14ac:dyDescent="0.25"/>
    <row r="315" ht="12.75" customHeight="1" x14ac:dyDescent="0.25"/>
    <row r="316" ht="12.75" customHeight="1" x14ac:dyDescent="0.25"/>
    <row r="317" ht="12.75" customHeight="1" x14ac:dyDescent="0.25"/>
    <row r="318" ht="12.75" customHeight="1" x14ac:dyDescent="0.25"/>
    <row r="319" ht="12.75" customHeight="1" x14ac:dyDescent="0.25"/>
    <row r="320" ht="12.75" customHeight="1" x14ac:dyDescent="0.25"/>
    <row r="321" ht="12.75" customHeight="1" x14ac:dyDescent="0.25"/>
    <row r="322" ht="12.75" customHeight="1" x14ac:dyDescent="0.25"/>
    <row r="323" ht="12.75" customHeight="1" x14ac:dyDescent="0.25"/>
    <row r="324" ht="12.75" customHeight="1" x14ac:dyDescent="0.25"/>
    <row r="325" ht="12.75" customHeight="1" x14ac:dyDescent="0.25"/>
    <row r="326" ht="12.75" customHeight="1" x14ac:dyDescent="0.25"/>
    <row r="327" ht="12.75" customHeight="1" x14ac:dyDescent="0.25"/>
    <row r="328" ht="12.75" customHeight="1" x14ac:dyDescent="0.25"/>
    <row r="329" ht="12.75" customHeight="1" x14ac:dyDescent="0.25"/>
    <row r="330" ht="12.75" customHeight="1" x14ac:dyDescent="0.25"/>
    <row r="331" ht="12.75" customHeight="1" x14ac:dyDescent="0.25"/>
    <row r="332" ht="12.75" customHeight="1" x14ac:dyDescent="0.25"/>
    <row r="333" ht="12.75" customHeight="1" x14ac:dyDescent="0.25"/>
    <row r="334" ht="12.75" customHeight="1" x14ac:dyDescent="0.25"/>
    <row r="335" ht="12.75" customHeight="1" x14ac:dyDescent="0.25"/>
    <row r="336" ht="12.75" customHeight="1" x14ac:dyDescent="0.25"/>
    <row r="337" ht="12.75" customHeight="1" x14ac:dyDescent="0.25"/>
    <row r="338" ht="12.75" customHeight="1" x14ac:dyDescent="0.25"/>
    <row r="339" ht="12.75" customHeight="1" x14ac:dyDescent="0.25"/>
    <row r="340" ht="12.75" customHeight="1" x14ac:dyDescent="0.25"/>
    <row r="341" ht="12.75" customHeight="1" x14ac:dyDescent="0.25"/>
    <row r="342" ht="12.75" customHeight="1" x14ac:dyDescent="0.25"/>
    <row r="343" ht="12.75" customHeight="1" x14ac:dyDescent="0.25"/>
    <row r="344" ht="12.75" customHeight="1" x14ac:dyDescent="0.25"/>
    <row r="345" ht="12.75" customHeight="1" x14ac:dyDescent="0.25"/>
    <row r="346" ht="12.75" customHeight="1" x14ac:dyDescent="0.25"/>
    <row r="347" ht="12.75" customHeight="1" x14ac:dyDescent="0.25"/>
    <row r="348" ht="12.75" customHeight="1" x14ac:dyDescent="0.25"/>
    <row r="349" ht="12.75" customHeight="1" x14ac:dyDescent="0.25"/>
    <row r="350" ht="12.75" customHeight="1" x14ac:dyDescent="0.25"/>
    <row r="351" ht="12.75" customHeight="1" x14ac:dyDescent="0.25"/>
    <row r="352" ht="12.75" customHeight="1" x14ac:dyDescent="0.25"/>
    <row r="353" ht="12.75" customHeight="1" x14ac:dyDescent="0.25"/>
    <row r="354" ht="12.75" customHeight="1" x14ac:dyDescent="0.25"/>
    <row r="355" ht="12.75" customHeight="1" x14ac:dyDescent="0.25"/>
    <row r="356" ht="12.75" customHeight="1" x14ac:dyDescent="0.25"/>
    <row r="357" ht="12.75" customHeight="1" x14ac:dyDescent="0.25"/>
    <row r="358" ht="12.75" customHeight="1" x14ac:dyDescent="0.25"/>
    <row r="359" ht="12.75" customHeight="1" x14ac:dyDescent="0.25"/>
    <row r="360" ht="12.75" customHeight="1" x14ac:dyDescent="0.25"/>
    <row r="361" ht="12.75" customHeight="1" x14ac:dyDescent="0.25"/>
    <row r="362" ht="12.75" customHeight="1" x14ac:dyDescent="0.25"/>
    <row r="363" ht="12.75" customHeight="1" x14ac:dyDescent="0.25"/>
    <row r="364" ht="12.75" customHeight="1" x14ac:dyDescent="0.25"/>
    <row r="365" ht="12.75" customHeight="1" x14ac:dyDescent="0.25"/>
    <row r="366" ht="12.75" customHeight="1" x14ac:dyDescent="0.25"/>
    <row r="367" ht="12.75" customHeight="1" x14ac:dyDescent="0.25"/>
    <row r="368" ht="12.75" customHeight="1" x14ac:dyDescent="0.25"/>
    <row r="369" ht="12.75" customHeight="1" x14ac:dyDescent="0.25"/>
    <row r="370" ht="12.75" customHeight="1" x14ac:dyDescent="0.25"/>
    <row r="371" ht="12.75" customHeight="1" x14ac:dyDescent="0.25"/>
    <row r="372" ht="12.75" customHeight="1" x14ac:dyDescent="0.25"/>
    <row r="373" ht="12.75" customHeight="1" x14ac:dyDescent="0.25"/>
    <row r="374" ht="12.75" customHeight="1" x14ac:dyDescent="0.25"/>
    <row r="375" ht="12.75" customHeight="1" x14ac:dyDescent="0.25"/>
    <row r="376" ht="12.75" customHeight="1" x14ac:dyDescent="0.25"/>
    <row r="377" ht="12.75" customHeight="1" x14ac:dyDescent="0.25"/>
    <row r="378" ht="12.75" customHeight="1" x14ac:dyDescent="0.25"/>
    <row r="379" ht="12.75" customHeight="1" x14ac:dyDescent="0.25"/>
    <row r="380" ht="12.75" customHeight="1" x14ac:dyDescent="0.25"/>
    <row r="381" ht="12.75" customHeight="1" x14ac:dyDescent="0.25"/>
    <row r="382" ht="12.75" customHeight="1" x14ac:dyDescent="0.25"/>
    <row r="383" ht="12.75" customHeight="1" x14ac:dyDescent="0.25"/>
    <row r="384" ht="12.75" customHeight="1" x14ac:dyDescent="0.25"/>
    <row r="385" ht="12.75" customHeight="1" x14ac:dyDescent="0.25"/>
    <row r="386" ht="12.75" customHeight="1" x14ac:dyDescent="0.25"/>
    <row r="387" ht="12.75" customHeight="1" x14ac:dyDescent="0.25"/>
    <row r="388" ht="12.75" customHeight="1" x14ac:dyDescent="0.25"/>
    <row r="389" ht="12.75" customHeight="1" x14ac:dyDescent="0.25"/>
    <row r="390" ht="12.75" customHeight="1" x14ac:dyDescent="0.25"/>
    <row r="391" ht="12.75" customHeight="1" x14ac:dyDescent="0.25"/>
    <row r="392" ht="12.75" customHeight="1" x14ac:dyDescent="0.25"/>
    <row r="393" ht="12.75" customHeight="1" x14ac:dyDescent="0.25"/>
    <row r="394" ht="12.75" customHeight="1" x14ac:dyDescent="0.25"/>
    <row r="395" ht="12.75" customHeight="1" x14ac:dyDescent="0.25"/>
    <row r="396" ht="12.75" customHeight="1" x14ac:dyDescent="0.25"/>
    <row r="397" ht="12.75" customHeight="1" x14ac:dyDescent="0.25"/>
    <row r="398" ht="12.75" customHeight="1" x14ac:dyDescent="0.25"/>
    <row r="399" ht="12.75" customHeight="1" x14ac:dyDescent="0.25"/>
    <row r="400" ht="12.75" customHeight="1" x14ac:dyDescent="0.25"/>
    <row r="401" ht="12.75" customHeight="1" x14ac:dyDescent="0.25"/>
    <row r="402" ht="12.75" customHeight="1" x14ac:dyDescent="0.25"/>
    <row r="403" ht="12.75" customHeight="1" x14ac:dyDescent="0.25"/>
    <row r="404" ht="12.75" customHeight="1" x14ac:dyDescent="0.25"/>
    <row r="405" ht="12.75" customHeight="1" x14ac:dyDescent="0.25"/>
    <row r="406" ht="12.75" customHeight="1" x14ac:dyDescent="0.25"/>
    <row r="407" ht="12.75" customHeight="1" x14ac:dyDescent="0.25"/>
    <row r="408" ht="12.75" customHeight="1" x14ac:dyDescent="0.25"/>
    <row r="409" ht="12.75" customHeight="1" x14ac:dyDescent="0.25"/>
    <row r="410" ht="12.75" customHeight="1" x14ac:dyDescent="0.25"/>
    <row r="411" ht="12.75" customHeight="1" x14ac:dyDescent="0.25"/>
    <row r="412" ht="12.75" customHeight="1" x14ac:dyDescent="0.25"/>
    <row r="413" ht="12.75" customHeight="1" x14ac:dyDescent="0.25"/>
    <row r="414" ht="12.75" customHeight="1" x14ac:dyDescent="0.25"/>
    <row r="415" ht="12.75" customHeight="1" x14ac:dyDescent="0.25"/>
    <row r="416" ht="12.75" customHeight="1" x14ac:dyDescent="0.25"/>
    <row r="417" ht="12.75" customHeight="1" x14ac:dyDescent="0.25"/>
    <row r="418" ht="12.75" customHeight="1" x14ac:dyDescent="0.25"/>
    <row r="419" ht="12.75" customHeight="1" x14ac:dyDescent="0.25"/>
    <row r="420" ht="12.75" customHeight="1" x14ac:dyDescent="0.25"/>
    <row r="421" ht="12.75" customHeight="1" x14ac:dyDescent="0.25"/>
    <row r="422" ht="12.75" customHeight="1" x14ac:dyDescent="0.25"/>
    <row r="423" ht="12.75" customHeight="1" x14ac:dyDescent="0.25"/>
    <row r="424" ht="12.75" customHeight="1" x14ac:dyDescent="0.25"/>
    <row r="425" ht="12.75" customHeight="1" x14ac:dyDescent="0.25"/>
    <row r="426" ht="12.75" customHeight="1" x14ac:dyDescent="0.25"/>
    <row r="427" ht="12.75" customHeight="1" x14ac:dyDescent="0.25"/>
    <row r="428" ht="12.75" customHeight="1" x14ac:dyDescent="0.25"/>
    <row r="429" ht="12.75" customHeight="1" x14ac:dyDescent="0.25"/>
    <row r="430" ht="12.75" customHeight="1" x14ac:dyDescent="0.25"/>
    <row r="431" ht="12.75" customHeight="1" x14ac:dyDescent="0.25"/>
    <row r="432" ht="12.75" customHeight="1" x14ac:dyDescent="0.25"/>
    <row r="433" ht="12.75" customHeight="1" x14ac:dyDescent="0.25"/>
    <row r="434" ht="12.75" customHeight="1" x14ac:dyDescent="0.25"/>
    <row r="435" ht="12.75" customHeight="1" x14ac:dyDescent="0.25"/>
    <row r="436" ht="12.75" customHeight="1" x14ac:dyDescent="0.25"/>
    <row r="437" ht="12.75" customHeight="1" x14ac:dyDescent="0.25"/>
    <row r="438" ht="12.75" customHeight="1" x14ac:dyDescent="0.25"/>
    <row r="439" ht="12.75" customHeight="1" x14ac:dyDescent="0.25"/>
    <row r="440" ht="12.75" customHeight="1" x14ac:dyDescent="0.25"/>
    <row r="441" ht="12.75" customHeight="1" x14ac:dyDescent="0.25"/>
    <row r="442" ht="12.75" customHeight="1" x14ac:dyDescent="0.25"/>
    <row r="443" ht="12.75" customHeight="1" x14ac:dyDescent="0.25"/>
    <row r="444" ht="12.75" customHeight="1" x14ac:dyDescent="0.25"/>
    <row r="445" ht="12.75" customHeight="1" x14ac:dyDescent="0.25"/>
    <row r="446" ht="12.75" customHeight="1" x14ac:dyDescent="0.25"/>
    <row r="447" ht="12.75" customHeight="1" x14ac:dyDescent="0.25"/>
    <row r="448" ht="12.75" customHeight="1" x14ac:dyDescent="0.25"/>
    <row r="449" ht="12.75" customHeight="1" x14ac:dyDescent="0.25"/>
    <row r="450" ht="12.75" customHeight="1" x14ac:dyDescent="0.25"/>
    <row r="451" ht="12.75" customHeight="1" x14ac:dyDescent="0.25"/>
    <row r="452" ht="12.75" customHeight="1" x14ac:dyDescent="0.25"/>
    <row r="453" ht="12.75" customHeight="1" x14ac:dyDescent="0.25"/>
    <row r="454" ht="12.75" customHeight="1" x14ac:dyDescent="0.25"/>
    <row r="455" ht="12.75" customHeight="1" x14ac:dyDescent="0.25"/>
    <row r="456" ht="12.75" customHeight="1" x14ac:dyDescent="0.25"/>
    <row r="457" ht="12.75" customHeight="1" x14ac:dyDescent="0.25"/>
    <row r="458" ht="12.75" customHeight="1" x14ac:dyDescent="0.25"/>
    <row r="459" ht="12.75" customHeight="1" x14ac:dyDescent="0.25"/>
    <row r="460" ht="12.75" customHeight="1" x14ac:dyDescent="0.25"/>
    <row r="461" ht="12.75" customHeight="1" x14ac:dyDescent="0.25"/>
    <row r="462" ht="12.75" customHeight="1" x14ac:dyDescent="0.25"/>
    <row r="463" ht="12.75" customHeight="1" x14ac:dyDescent="0.25"/>
    <row r="464" ht="12.75" customHeight="1" x14ac:dyDescent="0.25"/>
    <row r="465" ht="12.75" customHeight="1" x14ac:dyDescent="0.25"/>
    <row r="466" ht="12.75" customHeight="1" x14ac:dyDescent="0.25"/>
    <row r="467" ht="12.75" customHeight="1" x14ac:dyDescent="0.25"/>
    <row r="468" ht="12.75" customHeight="1" x14ac:dyDescent="0.25"/>
    <row r="469" ht="12.75" customHeight="1" x14ac:dyDescent="0.25"/>
    <row r="470" ht="12.75" customHeight="1" x14ac:dyDescent="0.25"/>
    <row r="471" ht="12.75" customHeight="1" x14ac:dyDescent="0.25"/>
    <row r="472" ht="12.75" customHeight="1" x14ac:dyDescent="0.25"/>
    <row r="473" ht="12.75" customHeight="1" x14ac:dyDescent="0.25"/>
    <row r="474" ht="12.75" customHeight="1" x14ac:dyDescent="0.25"/>
    <row r="475" ht="12.75" customHeight="1" x14ac:dyDescent="0.25"/>
    <row r="476" ht="12.75" customHeight="1" x14ac:dyDescent="0.25"/>
    <row r="477" ht="12.75" customHeight="1" x14ac:dyDescent="0.25"/>
    <row r="478" ht="12.75" customHeight="1" x14ac:dyDescent="0.25"/>
    <row r="479" ht="12.75" customHeight="1" x14ac:dyDescent="0.25"/>
    <row r="480" ht="12.75" customHeight="1" x14ac:dyDescent="0.25"/>
    <row r="481" ht="12.75" customHeight="1" x14ac:dyDescent="0.25"/>
    <row r="482" ht="12.75" customHeight="1" x14ac:dyDescent="0.25"/>
    <row r="483" ht="12.75" customHeight="1" x14ac:dyDescent="0.25"/>
    <row r="484" ht="12.75" customHeight="1" x14ac:dyDescent="0.25"/>
    <row r="485" ht="12.75" customHeight="1" x14ac:dyDescent="0.25"/>
    <row r="486" ht="12.75" customHeight="1" x14ac:dyDescent="0.25"/>
    <row r="487" ht="12.75" customHeight="1" x14ac:dyDescent="0.25"/>
    <row r="488" ht="12.75" customHeight="1" x14ac:dyDescent="0.25"/>
    <row r="489" ht="12.75" customHeight="1" x14ac:dyDescent="0.25"/>
    <row r="490" ht="12.75" customHeight="1" x14ac:dyDescent="0.25"/>
    <row r="491" ht="12.75" customHeight="1" x14ac:dyDescent="0.25"/>
    <row r="492" ht="12.75" customHeight="1" x14ac:dyDescent="0.25"/>
    <row r="493" ht="12.75" customHeight="1" x14ac:dyDescent="0.25"/>
    <row r="494" ht="12.75" customHeight="1" x14ac:dyDescent="0.25"/>
    <row r="495" ht="12.75" customHeight="1" x14ac:dyDescent="0.25"/>
    <row r="496" ht="12.75" customHeight="1" x14ac:dyDescent="0.25"/>
    <row r="497" ht="12.75" customHeight="1" x14ac:dyDescent="0.25"/>
    <row r="498" ht="12.75" customHeight="1" x14ac:dyDescent="0.25"/>
    <row r="499" ht="12.75" customHeight="1" x14ac:dyDescent="0.25"/>
    <row r="500" ht="12.75" customHeight="1" x14ac:dyDescent="0.25"/>
    <row r="501" ht="12.75" customHeight="1" x14ac:dyDescent="0.25"/>
    <row r="502" ht="12.75" customHeight="1" x14ac:dyDescent="0.25"/>
    <row r="503" ht="12.75" customHeight="1" x14ac:dyDescent="0.25"/>
    <row r="504" ht="12.75" customHeight="1" x14ac:dyDescent="0.25"/>
    <row r="505" ht="12.75" customHeight="1" x14ac:dyDescent="0.25"/>
    <row r="506" ht="12.75" customHeight="1" x14ac:dyDescent="0.25"/>
    <row r="507" ht="12.75" customHeight="1" x14ac:dyDescent="0.25"/>
    <row r="508" ht="12.75" customHeight="1" x14ac:dyDescent="0.25"/>
    <row r="509" ht="12.75" customHeight="1" x14ac:dyDescent="0.25"/>
    <row r="510" ht="12.75" customHeight="1" x14ac:dyDescent="0.25"/>
    <row r="511" ht="12.75" customHeight="1" x14ac:dyDescent="0.25"/>
    <row r="512" ht="12.75" customHeight="1" x14ac:dyDescent="0.25"/>
    <row r="513" ht="12.75" customHeight="1" x14ac:dyDescent="0.25"/>
    <row r="514" ht="12.75" customHeight="1" x14ac:dyDescent="0.25"/>
    <row r="515" ht="12.75" customHeight="1" x14ac:dyDescent="0.25"/>
    <row r="516" ht="12.75" customHeight="1" x14ac:dyDescent="0.25"/>
    <row r="517" ht="12.75" customHeight="1" x14ac:dyDescent="0.25"/>
    <row r="518" ht="12.75" customHeight="1" x14ac:dyDescent="0.25"/>
    <row r="519" ht="12.75" customHeight="1" x14ac:dyDescent="0.25"/>
    <row r="520" ht="12.75" customHeight="1" x14ac:dyDescent="0.25"/>
  </sheetData>
  <sortState ref="B241:I253">
    <sortCondition ref="C242"/>
  </sortState>
  <mergeCells count="15">
    <mergeCell ref="B197:I197"/>
    <mergeCell ref="B218:I218"/>
    <mergeCell ref="B239:I239"/>
    <mergeCell ref="B92:I92"/>
    <mergeCell ref="B113:I113"/>
    <mergeCell ref="B134:I134"/>
    <mergeCell ref="B155:I155"/>
    <mergeCell ref="A174:F174"/>
    <mergeCell ref="B176:I176"/>
    <mergeCell ref="A89:F89"/>
    <mergeCell ref="A1:F1"/>
    <mergeCell ref="B4:I4"/>
    <mergeCell ref="B25:I25"/>
    <mergeCell ref="B47:I47"/>
    <mergeCell ref="B68:I68"/>
  </mergeCells>
  <pageMargins left="0.7" right="0.7" top="0.75" bottom="0.75" header="0" footer="0"/>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M669"/>
  <sheetViews>
    <sheetView showGridLines="0" topLeftCell="A140" zoomScale="66" zoomScaleNormal="60" workbookViewId="0">
      <selection activeCell="I184" sqref="I184"/>
    </sheetView>
  </sheetViews>
  <sheetFormatPr defaultColWidth="12.6640625" defaultRowHeight="15" customHeight="1" x14ac:dyDescent="0.25"/>
  <cols>
    <col min="1" max="1" width="8.6640625" style="2" customWidth="1"/>
    <col min="2" max="2" width="15.109375" style="2" bestFit="1" customWidth="1"/>
    <col min="3" max="3" width="16.33203125" style="2" bestFit="1" customWidth="1"/>
    <col min="4" max="4" width="13.21875" style="2" customWidth="1"/>
    <col min="5" max="5" width="9.6640625" style="2" customWidth="1"/>
    <col min="6" max="6" width="13.33203125" style="2" customWidth="1"/>
    <col min="7" max="7" width="14" style="2" bestFit="1" customWidth="1"/>
    <col min="8" max="8" width="14.21875" style="2" bestFit="1" customWidth="1"/>
    <col min="9" max="9" width="20.21875" style="2" bestFit="1" customWidth="1"/>
    <col min="10" max="13" width="16.109375" style="2" customWidth="1"/>
    <col min="14" max="14" width="20" style="2" customWidth="1"/>
    <col min="15" max="15" width="12.6640625" style="2"/>
    <col min="16" max="16" width="27.77734375" style="2" customWidth="1"/>
    <col min="17" max="17" width="17.21875" style="2" bestFit="1" customWidth="1"/>
    <col min="18" max="18" width="12" style="2" bestFit="1" customWidth="1"/>
    <col min="19" max="20" width="12.44140625" style="2" bestFit="1" customWidth="1"/>
    <col min="21" max="21" width="13.44140625" style="2" bestFit="1" customWidth="1"/>
    <col min="22" max="22" width="12" style="2" bestFit="1" customWidth="1"/>
    <col min="23" max="23" width="7.88671875" style="2" customWidth="1"/>
    <col min="24" max="24" width="13" style="2" customWidth="1"/>
    <col min="25" max="25" width="9" style="2" bestFit="1" customWidth="1"/>
    <col min="26" max="26" width="12.6640625" style="2"/>
    <col min="27" max="27" width="4.33203125" style="2" bestFit="1" customWidth="1"/>
    <col min="28" max="28" width="15.109375" style="2" bestFit="1" customWidth="1"/>
    <col min="29" max="29" width="6.33203125" style="2" bestFit="1" customWidth="1"/>
    <col min="30" max="30" width="8.5546875" style="2" bestFit="1" customWidth="1"/>
    <col min="31" max="31" width="15.109375" style="2" bestFit="1" customWidth="1"/>
    <col min="32" max="32" width="6.21875" style="2" bestFit="1" customWidth="1"/>
    <col min="33" max="33" width="7.77734375" style="2" customWidth="1"/>
    <col min="34" max="34" width="15.109375" style="2" bestFit="1" customWidth="1"/>
    <col min="35" max="35" width="6.5546875" style="2" bestFit="1" customWidth="1"/>
    <col min="36" max="36" width="7.77734375" style="2" customWidth="1"/>
    <col min="37" max="37" width="12.33203125" style="2" bestFit="1" customWidth="1"/>
    <col min="38" max="38" width="7.6640625" style="2" bestFit="1" customWidth="1"/>
    <col min="39" max="39" width="7.44140625" style="2" customWidth="1"/>
    <col min="40" max="16384" width="12.6640625" style="2"/>
  </cols>
  <sheetData>
    <row r="1" spans="1:39" ht="25.05" customHeight="1" x14ac:dyDescent="0.25">
      <c r="A1" s="252" t="s">
        <v>81</v>
      </c>
      <c r="B1" s="252"/>
      <c r="C1" s="252"/>
      <c r="D1" s="252"/>
      <c r="E1" s="252"/>
      <c r="F1" s="252"/>
    </row>
    <row r="2" spans="1:39" ht="12.75" customHeight="1" x14ac:dyDescent="0.25">
      <c r="D2" s="1"/>
    </row>
    <row r="3" spans="1:39" ht="12.75" customHeight="1" x14ac:dyDescent="0.25"/>
    <row r="4" spans="1:39" ht="21" customHeight="1" thickBot="1" x14ac:dyDescent="0.35">
      <c r="B4" s="256" t="s">
        <v>95</v>
      </c>
      <c r="C4" s="256"/>
      <c r="D4" s="256"/>
      <c r="E4" s="256"/>
      <c r="F4" s="256"/>
      <c r="G4" s="256"/>
      <c r="H4" s="256"/>
      <c r="I4" s="256"/>
    </row>
    <row r="5" spans="1:39" s="8" customFormat="1" ht="40.200000000000003" customHeight="1" thickBot="1" x14ac:dyDescent="0.3">
      <c r="B5" s="36" t="s">
        <v>19</v>
      </c>
      <c r="C5" s="37" t="s">
        <v>270</v>
      </c>
      <c r="D5" s="37" t="s">
        <v>41</v>
      </c>
      <c r="E5" s="37" t="s">
        <v>27</v>
      </c>
      <c r="F5" s="37" t="s">
        <v>16</v>
      </c>
      <c r="G5" s="37" t="s">
        <v>28</v>
      </c>
      <c r="H5" s="37" t="s">
        <v>116</v>
      </c>
      <c r="I5" s="37" t="s">
        <v>20</v>
      </c>
      <c r="AA5" s="137"/>
      <c r="AB5" s="137"/>
      <c r="AC5" s="137"/>
      <c r="AD5" s="137"/>
      <c r="AE5" s="137"/>
      <c r="AF5" s="137"/>
      <c r="AG5" s="137"/>
      <c r="AH5" s="137"/>
      <c r="AI5" s="137"/>
      <c r="AJ5" s="137"/>
      <c r="AK5" s="137"/>
      <c r="AL5" s="137"/>
      <c r="AM5" s="137"/>
    </row>
    <row r="6" spans="1:39" ht="12.75" customHeight="1" thickBot="1" x14ac:dyDescent="0.3">
      <c r="B6" s="4"/>
      <c r="C6" s="26">
        <v>0</v>
      </c>
      <c r="D6" s="26">
        <v>0</v>
      </c>
      <c r="E6" s="49">
        <v>0</v>
      </c>
      <c r="F6" s="49">
        <v>0</v>
      </c>
      <c r="G6" s="49">
        <v>0</v>
      </c>
      <c r="H6" s="50">
        <f>F6</f>
        <v>0</v>
      </c>
      <c r="I6" s="49">
        <v>0</v>
      </c>
      <c r="P6" s="18"/>
      <c r="Q6" s="14"/>
      <c r="R6" s="15"/>
      <c r="AA6" s="250" t="s">
        <v>145</v>
      </c>
      <c r="AB6" s="250"/>
      <c r="AC6" s="250"/>
      <c r="AD6" s="250"/>
      <c r="AE6" s="250"/>
      <c r="AF6" s="250"/>
      <c r="AG6" s="250"/>
      <c r="AH6" s="250"/>
      <c r="AI6" s="250"/>
      <c r="AJ6" s="250"/>
      <c r="AK6" s="250"/>
      <c r="AL6" s="250"/>
      <c r="AM6" s="250"/>
    </row>
    <row r="7" spans="1:39" ht="12.75" customHeight="1" thickBot="1" x14ac:dyDescent="0.3">
      <c r="B7" s="21" t="s">
        <v>2</v>
      </c>
      <c r="C7" s="29">
        <v>4.4920799454716969</v>
      </c>
      <c r="D7" s="29">
        <v>83.946549000000005</v>
      </c>
      <c r="E7" s="49">
        <f t="shared" ref="E7:E17" si="0">C7/$C$18</f>
        <v>2.0572122059260146E-3</v>
      </c>
      <c r="F7" s="49">
        <f t="shared" ref="F7:F17" si="1">D7/$D$18</f>
        <v>0.3138345928266002</v>
      </c>
      <c r="G7" s="49">
        <f t="shared" ref="G7:G17" si="2">G6+E7</f>
        <v>2.0572122059260146E-3</v>
      </c>
      <c r="H7" s="50">
        <f t="shared" ref="H7:H17" si="3">F7+H6</f>
        <v>0.3138345928266002</v>
      </c>
      <c r="I7" s="49">
        <f t="shared" ref="I7:I17" si="4">(G6+G7)*0.5*(H7-H6)</f>
        <v>3.2281217750235143E-4</v>
      </c>
      <c r="P7" s="18"/>
      <c r="Q7" s="14"/>
      <c r="R7" s="15"/>
      <c r="AA7" s="38" t="s">
        <v>136</v>
      </c>
      <c r="AB7" s="144"/>
      <c r="AC7" s="140" t="s">
        <v>137</v>
      </c>
      <c r="AD7" s="141" t="s">
        <v>139</v>
      </c>
      <c r="AE7" s="35"/>
      <c r="AF7" s="35" t="s">
        <v>138</v>
      </c>
      <c r="AG7" s="35" t="s">
        <v>139</v>
      </c>
      <c r="AH7" s="144"/>
      <c r="AI7" s="140" t="s">
        <v>140</v>
      </c>
      <c r="AJ7" s="140" t="s">
        <v>139</v>
      </c>
      <c r="AK7" s="147"/>
      <c r="AL7" s="35" t="s">
        <v>141</v>
      </c>
      <c r="AM7" s="35" t="s">
        <v>142</v>
      </c>
    </row>
    <row r="8" spans="1:39" ht="12.75" customHeight="1" x14ac:dyDescent="0.25">
      <c r="B8" s="21" t="s">
        <v>3</v>
      </c>
      <c r="C8" s="29">
        <v>14.349918475935281</v>
      </c>
      <c r="D8" s="29">
        <v>1.2901100000000001</v>
      </c>
      <c r="E8" s="49">
        <f t="shared" si="0"/>
        <v>6.5717502362121075E-3</v>
      </c>
      <c r="F8" s="49">
        <f>D8/$D$18</f>
        <v>4.8230826802841556E-3</v>
      </c>
      <c r="G8" s="49">
        <f>G7+E8</f>
        <v>8.6289624421381217E-3</v>
      </c>
      <c r="H8" s="50">
        <f t="shared" si="3"/>
        <v>0.31865767550688434</v>
      </c>
      <c r="I8" s="49">
        <f t="shared" si="4"/>
        <v>2.5770151931784806E-5</v>
      </c>
      <c r="P8" s="18"/>
      <c r="Q8" s="14"/>
      <c r="R8" s="15"/>
      <c r="AA8" s="138">
        <v>1</v>
      </c>
      <c r="AB8" s="145" t="s">
        <v>2</v>
      </c>
      <c r="AC8" s="135">
        <v>2.0572122059260146E-3</v>
      </c>
      <c r="AD8" s="142">
        <v>0.3138345928266002</v>
      </c>
      <c r="AE8" s="131" t="s">
        <v>3</v>
      </c>
      <c r="AF8" s="132">
        <v>5.6387986055587242E-3</v>
      </c>
      <c r="AG8" s="132">
        <v>4.8230826802841548E-3</v>
      </c>
      <c r="AH8" s="145" t="s">
        <v>2</v>
      </c>
      <c r="AI8" s="135">
        <v>0</v>
      </c>
      <c r="AJ8" s="135">
        <v>0.31383459282660014</v>
      </c>
      <c r="AK8" s="148" t="s">
        <v>195</v>
      </c>
      <c r="AL8" s="139">
        <v>3.4564517331350051E-3</v>
      </c>
      <c r="AM8" s="139">
        <v>1.4487850841712153E-2</v>
      </c>
    </row>
    <row r="9" spans="1:39" ht="12.75" customHeight="1" x14ac:dyDescent="0.25">
      <c r="B9" s="21" t="s">
        <v>1</v>
      </c>
      <c r="C9" s="29">
        <v>19.81100613627877</v>
      </c>
      <c r="D9" s="29">
        <v>6.169632</v>
      </c>
      <c r="E9" s="49">
        <f t="shared" si="0"/>
        <v>9.07273337294719E-3</v>
      </c>
      <c r="F9" s="49">
        <f t="shared" si="1"/>
        <v>2.3065200054977402E-2</v>
      </c>
      <c r="G9" s="49">
        <f t="shared" si="2"/>
        <v>1.7701695815085312E-2</v>
      </c>
      <c r="H9" s="50">
        <f t="shared" si="3"/>
        <v>0.34172287556186176</v>
      </c>
      <c r="I9" s="49">
        <f t="shared" si="4"/>
        <v>3.0366095014105077E-4</v>
      </c>
      <c r="P9" s="18"/>
      <c r="Q9" s="14"/>
      <c r="R9" s="15"/>
      <c r="AA9" s="138">
        <v>2</v>
      </c>
      <c r="AB9" s="145" t="s">
        <v>3</v>
      </c>
      <c r="AC9" s="135">
        <v>8.6289624421381217E-3</v>
      </c>
      <c r="AD9" s="142">
        <v>0.31865767550688434</v>
      </c>
      <c r="AE9" s="131" t="s">
        <v>1</v>
      </c>
      <c r="AF9" s="132">
        <v>1.1360188457287819E-2</v>
      </c>
      <c r="AG9" s="132">
        <v>2.788828273526155E-2</v>
      </c>
      <c r="AH9" s="145" t="s">
        <v>7</v>
      </c>
      <c r="AI9" s="135">
        <v>0</v>
      </c>
      <c r="AJ9" s="135">
        <v>0.45209506885227224</v>
      </c>
      <c r="AK9" s="148" t="s">
        <v>3</v>
      </c>
      <c r="AL9" s="139">
        <v>8.4493008852779827E-3</v>
      </c>
      <c r="AM9" s="139">
        <v>1.931093352199631E-2</v>
      </c>
    </row>
    <row r="10" spans="1:39" ht="12.75" customHeight="1" x14ac:dyDescent="0.25">
      <c r="B10" s="21" t="s">
        <v>195</v>
      </c>
      <c r="C10" s="29">
        <v>27.244562190582403</v>
      </c>
      <c r="D10" s="29">
        <v>3.8753060000000001</v>
      </c>
      <c r="E10" s="49">
        <f t="shared" si="0"/>
        <v>1.2477036598619828E-2</v>
      </c>
      <c r="F10" s="49">
        <f t="shared" si="1"/>
        <v>1.4487850841712157E-2</v>
      </c>
      <c r="G10" s="49">
        <f>G9+E10</f>
        <v>3.0178732413705139E-2</v>
      </c>
      <c r="H10" s="50">
        <f t="shared" si="3"/>
        <v>0.35621072640357393</v>
      </c>
      <c r="I10" s="49">
        <f t="shared" si="4"/>
        <v>3.4684225120801038E-4</v>
      </c>
      <c r="P10" s="18"/>
      <c r="Q10" s="14"/>
      <c r="R10" s="15"/>
      <c r="AA10" s="138">
        <v>3</v>
      </c>
      <c r="AB10" s="145" t="s">
        <v>1</v>
      </c>
      <c r="AC10" s="135">
        <v>1.7701695815085312E-2</v>
      </c>
      <c r="AD10" s="142">
        <v>0.34172287556186176</v>
      </c>
      <c r="AE10" s="131" t="s">
        <v>6</v>
      </c>
      <c r="AF10" s="132">
        <v>2.024176629132083E-2</v>
      </c>
      <c r="AG10" s="132">
        <v>7.0606082022317218E-2</v>
      </c>
      <c r="AH10" s="145" t="s">
        <v>8</v>
      </c>
      <c r="AI10" s="135">
        <v>0</v>
      </c>
      <c r="AJ10" s="135">
        <v>0.49286636899442893</v>
      </c>
      <c r="AK10" s="148" t="s">
        <v>1</v>
      </c>
      <c r="AL10" s="139">
        <v>2.7144395442591892E-2</v>
      </c>
      <c r="AM10" s="139">
        <v>4.2376133576973701E-2</v>
      </c>
    </row>
    <row r="11" spans="1:39" ht="12.75" customHeight="1" x14ac:dyDescent="0.25">
      <c r="B11" s="21" t="s">
        <v>6</v>
      </c>
      <c r="C11" s="29">
        <v>27.762864026902566</v>
      </c>
      <c r="D11" s="29">
        <v>11.426439</v>
      </c>
      <c r="E11" s="49">
        <f t="shared" si="0"/>
        <v>1.2714400331450664E-2</v>
      </c>
      <c r="F11" s="49">
        <f>D11/$D$18</f>
        <v>4.2717799287055679E-2</v>
      </c>
      <c r="G11" s="49">
        <f t="shared" si="2"/>
        <v>4.2893132745155806E-2</v>
      </c>
      <c r="H11" s="50">
        <f>F11+H10</f>
        <v>0.39892852569062959</v>
      </c>
      <c r="I11" s="49">
        <f t="shared" si="4"/>
        <v>1.5607346346935085E-3</v>
      </c>
      <c r="P11" s="18"/>
      <c r="Q11" s="14"/>
      <c r="R11" s="15"/>
      <c r="AA11" s="138">
        <v>4</v>
      </c>
      <c r="AB11" s="145" t="s">
        <v>195</v>
      </c>
      <c r="AC11" s="135">
        <v>3.0178732413705139E-2</v>
      </c>
      <c r="AD11" s="142">
        <v>0.35621072640357393</v>
      </c>
      <c r="AE11" s="131" t="s">
        <v>195</v>
      </c>
      <c r="AF11" s="132">
        <v>3.2012888050712042E-2</v>
      </c>
      <c r="AG11" s="132">
        <v>8.5093932864029373E-2</v>
      </c>
      <c r="AH11" s="145" t="s">
        <v>195</v>
      </c>
      <c r="AI11" s="135">
        <v>5.4290577913134646E-3</v>
      </c>
      <c r="AJ11" s="135">
        <v>0.50735421983614104</v>
      </c>
      <c r="AK11" s="148" t="s">
        <v>6</v>
      </c>
      <c r="AL11" s="139">
        <v>5.8435636670972346E-2</v>
      </c>
      <c r="AM11" s="139">
        <v>8.5093932864029373E-2</v>
      </c>
    </row>
    <row r="12" spans="1:39" ht="12.75" customHeight="1" x14ac:dyDescent="0.25">
      <c r="B12" s="21" t="s">
        <v>5</v>
      </c>
      <c r="C12" s="29">
        <v>83.428364274259323</v>
      </c>
      <c r="D12" s="29">
        <v>19.742709999999999</v>
      </c>
      <c r="E12" s="49">
        <f>C12/$C$18</f>
        <v>3.8207211667829283E-2</v>
      </c>
      <c r="F12" s="49">
        <f t="shared" si="1"/>
        <v>7.3808219967966132E-2</v>
      </c>
      <c r="G12" s="49">
        <f t="shared" si="2"/>
        <v>8.1100344412985081E-2</v>
      </c>
      <c r="H12" s="50">
        <f t="shared" si="3"/>
        <v>0.47273674565859569</v>
      </c>
      <c r="I12" s="49">
        <f t="shared" si="4"/>
        <v>4.5758689183405211E-3</v>
      </c>
      <c r="P12" s="18"/>
      <c r="Q12" s="14"/>
      <c r="R12" s="15"/>
      <c r="AA12" s="138">
        <v>5</v>
      </c>
      <c r="AB12" s="145" t="s">
        <v>6</v>
      </c>
      <c r="AC12" s="135">
        <v>4.2893132745155806E-2</v>
      </c>
      <c r="AD12" s="142">
        <v>0.39892852569062959</v>
      </c>
      <c r="AE12" s="131" t="s">
        <v>5</v>
      </c>
      <c r="AF12" s="132">
        <v>5.7762823909743397E-2</v>
      </c>
      <c r="AG12" s="132">
        <v>0.15890215283199549</v>
      </c>
      <c r="AH12" s="145" t="s">
        <v>3</v>
      </c>
      <c r="AI12" s="135">
        <v>1.3271339033212672E-2</v>
      </c>
      <c r="AJ12" s="135">
        <v>0.51217730251642524</v>
      </c>
      <c r="AK12" s="148" t="s">
        <v>8</v>
      </c>
      <c r="AL12" s="139">
        <v>0.1198547150976936</v>
      </c>
      <c r="AM12" s="139">
        <v>0.12586523300618602</v>
      </c>
    </row>
    <row r="13" spans="1:39" ht="12.75" customHeight="1" x14ac:dyDescent="0.25">
      <c r="B13" s="21" t="s">
        <v>9</v>
      </c>
      <c r="C13" s="29">
        <v>162.7577156565315</v>
      </c>
      <c r="D13" s="29">
        <v>11.996235</v>
      </c>
      <c r="E13" s="49">
        <f t="shared" si="0"/>
        <v>7.4537221804073045E-2</v>
      </c>
      <c r="F13" s="49">
        <f t="shared" si="1"/>
        <v>4.4847984479709946E-2</v>
      </c>
      <c r="G13" s="49">
        <f t="shared" si="2"/>
        <v>0.15563756621705813</v>
      </c>
      <c r="H13" s="50">
        <f t="shared" si="3"/>
        <v>0.51758473013830564</v>
      </c>
      <c r="I13" s="49">
        <f t="shared" si="4"/>
        <v>5.3086090708475689E-3</v>
      </c>
      <c r="P13" s="18"/>
      <c r="Q13" s="14"/>
      <c r="R13" s="15"/>
      <c r="AA13" s="138">
        <v>6</v>
      </c>
      <c r="AB13" s="145" t="s">
        <v>5</v>
      </c>
      <c r="AC13" s="135">
        <v>8.1100344412985081E-2</v>
      </c>
      <c r="AD13" s="142">
        <v>0.47273674565859569</v>
      </c>
      <c r="AE13" s="131" t="s">
        <v>2</v>
      </c>
      <c r="AF13" s="132">
        <v>8.8550981159494335E-2</v>
      </c>
      <c r="AG13" s="132">
        <v>0.47273674565859564</v>
      </c>
      <c r="AH13" s="145" t="s">
        <v>1</v>
      </c>
      <c r="AI13" s="135">
        <v>4.2635773025661156E-2</v>
      </c>
      <c r="AJ13" s="135">
        <v>0.5352425025714026</v>
      </c>
      <c r="AK13" s="148" t="s">
        <v>5</v>
      </c>
      <c r="AL13" s="139">
        <v>0.19303489364868062</v>
      </c>
      <c r="AM13" s="139">
        <v>0.19967345297415212</v>
      </c>
    </row>
    <row r="14" spans="1:39" ht="12.75" customHeight="1" x14ac:dyDescent="0.25">
      <c r="B14" s="21" t="s">
        <v>10</v>
      </c>
      <c r="C14" s="29">
        <v>330.96219581347026</v>
      </c>
      <c r="D14" s="29">
        <v>41.918567000000003</v>
      </c>
      <c r="E14" s="49">
        <f t="shared" si="0"/>
        <v>0.15156886724910063</v>
      </c>
      <c r="F14" s="49">
        <f t="shared" si="1"/>
        <v>0.15671277215123591</v>
      </c>
      <c r="G14" s="49">
        <f t="shared" si="2"/>
        <v>0.30720643346615872</v>
      </c>
      <c r="H14" s="50">
        <f t="shared" si="3"/>
        <v>0.67429750228954155</v>
      </c>
      <c r="I14" s="49">
        <f t="shared" si="4"/>
        <v>3.6266783131961335E-2</v>
      </c>
      <c r="P14" s="18"/>
      <c r="Q14" s="14"/>
      <c r="R14" s="15"/>
      <c r="AA14" s="138">
        <v>7</v>
      </c>
      <c r="AB14" s="145" t="s">
        <v>9</v>
      </c>
      <c r="AC14" s="135">
        <v>0.15563756621705813</v>
      </c>
      <c r="AD14" s="142">
        <v>0.51758473013830564</v>
      </c>
      <c r="AE14" s="131" t="s">
        <v>9</v>
      </c>
      <c r="AF14" s="132">
        <v>0.1404898543639673</v>
      </c>
      <c r="AG14" s="132">
        <v>0.51758473013830553</v>
      </c>
      <c r="AH14" s="145" t="s">
        <v>6</v>
      </c>
      <c r="AI14" s="135">
        <v>7.6185424270137081E-2</v>
      </c>
      <c r="AJ14" s="135">
        <v>0.57796030185845826</v>
      </c>
      <c r="AK14" s="148" t="s">
        <v>7</v>
      </c>
      <c r="AL14" s="139">
        <v>0.28137382347094353</v>
      </c>
      <c r="AM14" s="139">
        <v>0.33793392899982422</v>
      </c>
    </row>
    <row r="15" spans="1:39" ht="12.75" customHeight="1" x14ac:dyDescent="0.25">
      <c r="B15" s="21" t="s">
        <v>7</v>
      </c>
      <c r="C15" s="29">
        <v>416.80308732067164</v>
      </c>
      <c r="D15" s="29">
        <v>36.982824999999998</v>
      </c>
      <c r="E15" s="49">
        <f t="shared" si="0"/>
        <v>0.19088093023992125</v>
      </c>
      <c r="F15" s="49">
        <f t="shared" si="1"/>
        <v>0.13826047602567212</v>
      </c>
      <c r="G15" s="49">
        <f t="shared" si="2"/>
        <v>0.49808736370607998</v>
      </c>
      <c r="H15" s="50">
        <f t="shared" si="3"/>
        <v>0.8125579783152137</v>
      </c>
      <c r="I15" s="49">
        <f t="shared" si="4"/>
        <v>5.5670151868777398E-2</v>
      </c>
      <c r="P15" s="18"/>
      <c r="Q15" s="14"/>
      <c r="R15" s="15"/>
      <c r="AA15" s="138">
        <v>8</v>
      </c>
      <c r="AB15" s="145" t="s">
        <v>10</v>
      </c>
      <c r="AC15" s="135">
        <v>0.30720643346615872</v>
      </c>
      <c r="AD15" s="142">
        <v>0.67429750228954155</v>
      </c>
      <c r="AE15" s="131" t="s">
        <v>10</v>
      </c>
      <c r="AF15" s="132">
        <v>0.26486530011936027</v>
      </c>
      <c r="AG15" s="132">
        <v>0.67429750228954144</v>
      </c>
      <c r="AH15" s="145" t="s">
        <v>5</v>
      </c>
      <c r="AI15" s="135">
        <v>0.18981189410229665</v>
      </c>
      <c r="AJ15" s="135">
        <v>0.65176852182642442</v>
      </c>
      <c r="AK15" s="148" t="s">
        <v>2</v>
      </c>
      <c r="AL15" s="139">
        <v>0.42904096947561376</v>
      </c>
      <c r="AM15" s="139">
        <v>0.65176852182642442</v>
      </c>
    </row>
    <row r="16" spans="1:39" ht="12.75" customHeight="1" x14ac:dyDescent="0.25">
      <c r="B16" s="21" t="s">
        <v>4</v>
      </c>
      <c r="C16" s="29">
        <v>448.50336533961865</v>
      </c>
      <c r="D16" s="29">
        <v>39.232453</v>
      </c>
      <c r="E16" s="49">
        <f t="shared" si="0"/>
        <v>0.20539852557736976</v>
      </c>
      <c r="F16" s="49">
        <f t="shared" si="1"/>
        <v>0.14667072154262981</v>
      </c>
      <c r="G16" s="49">
        <f t="shared" si="2"/>
        <v>0.70348588928344968</v>
      </c>
      <c r="H16" s="50">
        <f t="shared" si="3"/>
        <v>0.95922869985784354</v>
      </c>
      <c r="I16" s="49">
        <f t="shared" si="4"/>
        <v>8.81178080011496E-2</v>
      </c>
      <c r="P16" s="18"/>
      <c r="Q16" s="14"/>
      <c r="R16" s="15"/>
      <c r="AA16" s="138">
        <v>9</v>
      </c>
      <c r="AB16" s="145" t="s">
        <v>7</v>
      </c>
      <c r="AC16" s="135">
        <v>0.49808736370607998</v>
      </c>
      <c r="AD16" s="142">
        <v>0.8125579783152137</v>
      </c>
      <c r="AE16" s="131" t="s">
        <v>4</v>
      </c>
      <c r="AF16" s="132">
        <v>0.43265145785843007</v>
      </c>
      <c r="AG16" s="132">
        <v>0.82096822383217116</v>
      </c>
      <c r="AH16" s="145" t="s">
        <v>9</v>
      </c>
      <c r="AI16" s="135">
        <v>0.43188628237804488</v>
      </c>
      <c r="AJ16" s="135">
        <v>0.69661650630613436</v>
      </c>
      <c r="AK16" s="148" t="s">
        <v>9</v>
      </c>
      <c r="AL16" s="139">
        <v>0.583159505521051</v>
      </c>
      <c r="AM16" s="139">
        <v>0.69661650630613436</v>
      </c>
    </row>
    <row r="17" spans="1:39" ht="12.75" customHeight="1" thickBot="1" x14ac:dyDescent="0.3">
      <c r="B17" s="22" t="s">
        <v>8</v>
      </c>
      <c r="C17" s="32">
        <v>647.46120330334657</v>
      </c>
      <c r="D17" s="32">
        <v>10.9057765568511</v>
      </c>
      <c r="E17" s="51">
        <f t="shared" si="0"/>
        <v>0.29651411071655015</v>
      </c>
      <c r="F17" s="51">
        <f t="shared" si="1"/>
        <v>4.0771300142156491E-2</v>
      </c>
      <c r="G17" s="49">
        <f t="shared" si="2"/>
        <v>0.99999999999999978</v>
      </c>
      <c r="H17" s="52">
        <f t="shared" si="3"/>
        <v>1</v>
      </c>
      <c r="I17" s="51">
        <f t="shared" si="4"/>
        <v>3.4726667239951915E-2</v>
      </c>
      <c r="AA17" s="138">
        <v>10</v>
      </c>
      <c r="AB17" s="145" t="s">
        <v>4</v>
      </c>
      <c r="AC17" s="135">
        <v>0.70348588928344968</v>
      </c>
      <c r="AD17" s="142">
        <v>0.95922869985784354</v>
      </c>
      <c r="AE17" s="131" t="s">
        <v>7</v>
      </c>
      <c r="AF17" s="132">
        <v>0.64822411816596082</v>
      </c>
      <c r="AG17" s="132">
        <v>0.9592286998578432</v>
      </c>
      <c r="AH17" s="145" t="s">
        <v>10</v>
      </c>
      <c r="AI17" s="135">
        <v>0.6826176704974718</v>
      </c>
      <c r="AJ17" s="135">
        <v>0.85332927845737028</v>
      </c>
      <c r="AK17" s="148" t="s">
        <v>4</v>
      </c>
      <c r="AL17" s="139">
        <v>0.78522342619448249</v>
      </c>
      <c r="AM17" s="139">
        <v>0.8432872278487642</v>
      </c>
    </row>
    <row r="18" spans="1:39" ht="12.75" customHeight="1" thickBot="1" x14ac:dyDescent="0.3">
      <c r="B18" s="35" t="s">
        <v>12</v>
      </c>
      <c r="C18" s="6">
        <f>SUM(C6:C17)</f>
        <v>2183.5763624830688</v>
      </c>
      <c r="D18" s="6">
        <f>SUM(D6:D17)</f>
        <v>267.4866025568511</v>
      </c>
      <c r="E18" s="59">
        <f>SUM(E7:E17)</f>
        <v>0.99999999999999978</v>
      </c>
      <c r="F18" s="59">
        <f>SUM(F7:F17)</f>
        <v>1</v>
      </c>
      <c r="G18" s="53"/>
      <c r="H18" s="53"/>
      <c r="I18" s="59">
        <f>SUM(I6:I17)</f>
        <v>0.22722570839650505</v>
      </c>
      <c r="AA18" s="40">
        <v>11</v>
      </c>
      <c r="AB18" s="146" t="s">
        <v>8</v>
      </c>
      <c r="AC18" s="136">
        <v>0.99999999999999978</v>
      </c>
      <c r="AD18" s="143">
        <v>1</v>
      </c>
      <c r="AE18" s="133" t="s">
        <v>8</v>
      </c>
      <c r="AF18" s="134">
        <v>1</v>
      </c>
      <c r="AG18" s="134">
        <v>0.99999999999999989</v>
      </c>
      <c r="AH18" s="146" t="s">
        <v>4</v>
      </c>
      <c r="AI18" s="136">
        <v>1</v>
      </c>
      <c r="AJ18" s="136">
        <v>1</v>
      </c>
      <c r="AK18" s="149" t="s">
        <v>10</v>
      </c>
      <c r="AL18" s="56">
        <v>0.99999999999999989</v>
      </c>
      <c r="AM18" s="56">
        <v>1</v>
      </c>
    </row>
    <row r="19" spans="1:39" ht="12.75" customHeight="1" thickBot="1" x14ac:dyDescent="0.3">
      <c r="B19" s="4"/>
      <c r="C19" s="4"/>
      <c r="D19" s="4"/>
      <c r="E19" s="50"/>
      <c r="F19" s="50"/>
      <c r="G19" s="50"/>
      <c r="H19" s="53"/>
      <c r="I19" s="53"/>
    </row>
    <row r="20" spans="1:39" ht="12.75" customHeight="1" thickBot="1" x14ac:dyDescent="0.3">
      <c r="B20" s="4"/>
      <c r="C20" s="4"/>
      <c r="D20" s="4"/>
      <c r="E20" s="50"/>
      <c r="F20" s="50"/>
      <c r="G20" s="55"/>
      <c r="H20" s="56" t="s">
        <v>30</v>
      </c>
      <c r="I20" s="52">
        <f>1-(2*I18)</f>
        <v>0.54554858320698996</v>
      </c>
    </row>
    <row r="21" spans="1:39" ht="12.75" customHeight="1" thickBot="1" x14ac:dyDescent="0.3">
      <c r="AA21" s="250" t="s">
        <v>146</v>
      </c>
      <c r="AB21" s="250"/>
      <c r="AC21" s="250"/>
      <c r="AD21" s="250"/>
      <c r="AE21" s="250"/>
      <c r="AF21" s="250"/>
      <c r="AG21" s="250"/>
      <c r="AH21" s="250"/>
      <c r="AI21" s="250"/>
      <c r="AJ21" s="250"/>
      <c r="AK21" s="250"/>
      <c r="AL21" s="250"/>
      <c r="AM21" s="250"/>
    </row>
    <row r="22" spans="1:39" ht="12.75" customHeight="1" thickBot="1" x14ac:dyDescent="0.3">
      <c r="AA22" s="38" t="s">
        <v>136</v>
      </c>
      <c r="AB22" s="144"/>
      <c r="AC22" s="164" t="s">
        <v>137</v>
      </c>
      <c r="AD22" s="165" t="s">
        <v>148</v>
      </c>
      <c r="AE22" s="38"/>
      <c r="AF22" s="38" t="s">
        <v>138</v>
      </c>
      <c r="AG22" s="38" t="s">
        <v>148</v>
      </c>
      <c r="AH22" s="166"/>
      <c r="AI22" s="164" t="s">
        <v>140</v>
      </c>
      <c r="AJ22" s="164" t="s">
        <v>148</v>
      </c>
      <c r="AK22" s="167"/>
      <c r="AL22" s="38" t="s">
        <v>141</v>
      </c>
      <c r="AM22" s="38" t="s">
        <v>148</v>
      </c>
    </row>
    <row r="23" spans="1:39" ht="12.75" customHeight="1" x14ac:dyDescent="0.25">
      <c r="AA23" s="138">
        <v>1</v>
      </c>
      <c r="AB23" s="145" t="s">
        <v>2</v>
      </c>
      <c r="AC23" s="135">
        <v>2.0572122059260146E-3</v>
      </c>
      <c r="AD23" s="142">
        <v>6.1580410728501248E-2</v>
      </c>
      <c r="AE23" s="131" t="s">
        <v>3</v>
      </c>
      <c r="AF23" s="132">
        <v>5.6387986055587242E-3</v>
      </c>
      <c r="AG23" s="132">
        <v>8.6508040877704764E-3</v>
      </c>
      <c r="AH23" s="145" t="s">
        <v>2</v>
      </c>
      <c r="AI23" s="135">
        <v>0</v>
      </c>
      <c r="AJ23" s="135">
        <v>6.1580410728501248E-2</v>
      </c>
      <c r="AK23" s="148" t="s">
        <v>195</v>
      </c>
      <c r="AL23" s="139">
        <v>3.4564517331350051E-3</v>
      </c>
      <c r="AM23" s="139">
        <v>8.3030863015460567E-3</v>
      </c>
    </row>
    <row r="24" spans="1:39" ht="13.2" customHeight="1" x14ac:dyDescent="0.25">
      <c r="AA24" s="138">
        <v>2</v>
      </c>
      <c r="AB24" s="145" t="s">
        <v>3</v>
      </c>
      <c r="AC24" s="135">
        <v>8.6289624421381217E-3</v>
      </c>
      <c r="AD24" s="142">
        <v>7.0231214816271731E-2</v>
      </c>
      <c r="AE24" s="131" t="s">
        <v>1</v>
      </c>
      <c r="AF24" s="132">
        <v>1.1360188457287819E-2</v>
      </c>
      <c r="AG24" s="132">
        <v>2.233691110888162E-2</v>
      </c>
      <c r="AH24" s="145" t="s">
        <v>7</v>
      </c>
      <c r="AI24" s="135">
        <v>0</v>
      </c>
      <c r="AJ24" s="135">
        <v>0.38878998458508923</v>
      </c>
      <c r="AK24" s="148" t="s">
        <v>3</v>
      </c>
      <c r="AL24" s="139">
        <v>8.4493008852779827E-3</v>
      </c>
      <c r="AM24" s="139">
        <v>1.6953890389316533E-2</v>
      </c>
    </row>
    <row r="25" spans="1:39" ht="14.4" customHeight="1" thickBot="1" x14ac:dyDescent="0.35">
      <c r="B25" s="256" t="s">
        <v>96</v>
      </c>
      <c r="C25" s="256"/>
      <c r="D25" s="256"/>
      <c r="E25" s="256"/>
      <c r="F25" s="256"/>
      <c r="G25" s="256"/>
      <c r="H25" s="256"/>
      <c r="I25" s="256"/>
      <c r="U25" s="23"/>
      <c r="V25" s="183" t="s">
        <v>131</v>
      </c>
      <c r="W25" s="127" t="s">
        <v>204</v>
      </c>
      <c r="X25" s="127" t="s">
        <v>132</v>
      </c>
      <c r="Y25" s="127" t="s">
        <v>133</v>
      </c>
      <c r="AA25" s="138">
        <v>3</v>
      </c>
      <c r="AB25" s="145" t="s">
        <v>1</v>
      </c>
      <c r="AC25" s="135">
        <v>1.7701695815085312E-2</v>
      </c>
      <c r="AD25" s="142">
        <v>8.3917321837382874E-2</v>
      </c>
      <c r="AE25" s="131" t="s">
        <v>6</v>
      </c>
      <c r="AF25" s="132">
        <v>2.024176629132083E-2</v>
      </c>
      <c r="AG25" s="132">
        <v>4.5534073596056365E-2</v>
      </c>
      <c r="AH25" s="145" t="s">
        <v>8</v>
      </c>
      <c r="AI25" s="135">
        <v>0</v>
      </c>
      <c r="AJ25" s="135">
        <v>0.40414506788187921</v>
      </c>
      <c r="AK25" s="148" t="s">
        <v>1</v>
      </c>
      <c r="AL25" s="139">
        <v>2.7144395442591892E-2</v>
      </c>
      <c r="AM25" s="139">
        <v>3.0639997410427677E-2</v>
      </c>
    </row>
    <row r="26" spans="1:39" ht="12.6" customHeight="1" thickBot="1" x14ac:dyDescent="0.3">
      <c r="B26" s="36" t="s">
        <v>19</v>
      </c>
      <c r="C26" s="37" t="s">
        <v>287</v>
      </c>
      <c r="D26" s="37" t="s">
        <v>41</v>
      </c>
      <c r="E26" s="37" t="s">
        <v>31</v>
      </c>
      <c r="F26" s="37" t="s">
        <v>16</v>
      </c>
      <c r="G26" s="37" t="s">
        <v>32</v>
      </c>
      <c r="H26" s="37" t="s">
        <v>116</v>
      </c>
      <c r="I26" s="37" t="s">
        <v>20</v>
      </c>
      <c r="J26" s="8"/>
      <c r="K26" s="8"/>
      <c r="L26" s="8"/>
      <c r="M26" s="8"/>
      <c r="N26" s="8"/>
      <c r="U26" s="99" t="s">
        <v>135</v>
      </c>
      <c r="V26" s="55">
        <f>I192</f>
        <v>0.11209302356990047</v>
      </c>
      <c r="W26" s="55">
        <f>I213</f>
        <v>5.6055789516695098E-2</v>
      </c>
      <c r="X26" s="55">
        <f>I234</f>
        <v>0.68370275974215133</v>
      </c>
      <c r="Y26" s="55">
        <f>I255</f>
        <v>0.3517581294006481</v>
      </c>
      <c r="AA26" s="138">
        <v>4</v>
      </c>
      <c r="AB26" s="145" t="s">
        <v>195</v>
      </c>
      <c r="AC26" s="135">
        <v>3.0178732413705139E-2</v>
      </c>
      <c r="AD26" s="142">
        <v>9.2220408138928928E-2</v>
      </c>
      <c r="AE26" s="131" t="s">
        <v>195</v>
      </c>
      <c r="AF26" s="132">
        <v>3.2012888050712042E-2</v>
      </c>
      <c r="AG26" s="132">
        <v>5.3837159897602418E-2</v>
      </c>
      <c r="AH26" s="145" t="s">
        <v>195</v>
      </c>
      <c r="AI26" s="135">
        <v>5.4290577913134646E-3</v>
      </c>
      <c r="AJ26" s="135">
        <v>0.41244815418342529</v>
      </c>
      <c r="AK26" s="148" t="s">
        <v>6</v>
      </c>
      <c r="AL26" s="139">
        <v>5.8435636670972346E-2</v>
      </c>
      <c r="AM26" s="139">
        <v>5.3837159897602418E-2</v>
      </c>
    </row>
    <row r="27" spans="1:39" ht="12.75" customHeight="1" x14ac:dyDescent="0.25">
      <c r="B27" s="4"/>
      <c r="C27" s="26">
        <v>0</v>
      </c>
      <c r="D27" s="26">
        <v>0</v>
      </c>
      <c r="E27" s="49">
        <f t="shared" ref="E27:E37" si="5">C27/$C$39</f>
        <v>0</v>
      </c>
      <c r="F27" s="49">
        <f>D27/$D$39</f>
        <v>0</v>
      </c>
      <c r="G27" s="49">
        <v>0</v>
      </c>
      <c r="H27" s="50">
        <f>F27</f>
        <v>0</v>
      </c>
      <c r="I27" s="49">
        <v>0</v>
      </c>
      <c r="U27" s="18" t="s">
        <v>0</v>
      </c>
      <c r="V27" s="60">
        <f>I20</f>
        <v>0.54554858320698996</v>
      </c>
      <c r="W27" s="60">
        <f>I41</f>
        <v>0.55218492816660647</v>
      </c>
      <c r="X27" s="60">
        <f>I63</f>
        <v>0.5245034116831544</v>
      </c>
      <c r="Y27" s="60">
        <f>I84</f>
        <v>0.15133674183777068</v>
      </c>
      <c r="AA27" s="138">
        <v>5</v>
      </c>
      <c r="AB27" s="145" t="s">
        <v>6</v>
      </c>
      <c r="AC27" s="135">
        <v>4.2893132745155806E-2</v>
      </c>
      <c r="AD27" s="142">
        <v>0.11541757062610367</v>
      </c>
      <c r="AE27" s="131" t="s">
        <v>5</v>
      </c>
      <c r="AF27" s="132">
        <v>5.7762823909743397E-2</v>
      </c>
      <c r="AG27" s="132">
        <v>0.11688690634392547</v>
      </c>
      <c r="AH27" s="145" t="s">
        <v>3</v>
      </c>
      <c r="AI27" s="135">
        <v>1.3271339033212672E-2</v>
      </c>
      <c r="AJ27" s="135">
        <v>0.42109895827119576</v>
      </c>
      <c r="AK27" s="148" t="s">
        <v>8</v>
      </c>
      <c r="AL27" s="139">
        <v>0.1198547150976936</v>
      </c>
      <c r="AM27" s="139">
        <v>6.9192243194392378E-2</v>
      </c>
    </row>
    <row r="28" spans="1:39" ht="13.8" thickBot="1" x14ac:dyDescent="0.3">
      <c r="A28" s="8"/>
      <c r="B28" s="21" t="s">
        <v>3</v>
      </c>
      <c r="C28" s="29">
        <v>12.495254145281351</v>
      </c>
      <c r="D28" s="29">
        <v>1.2901100000000001</v>
      </c>
      <c r="E28" s="49">
        <f t="shared" si="5"/>
        <v>5.6387986055587242E-3</v>
      </c>
      <c r="F28" s="49">
        <f t="shared" ref="F28:F31" si="6">D28/$D$39</f>
        <v>4.8230826802841548E-3</v>
      </c>
      <c r="G28" s="49">
        <f t="shared" ref="G28:G38" si="7">G27+E28</f>
        <v>5.6387986055587242E-3</v>
      </c>
      <c r="H28" s="50">
        <f t="shared" ref="H28:H38" si="8">F28+H27</f>
        <v>4.8230826802841548E-3</v>
      </c>
      <c r="I28" s="49">
        <f t="shared" ref="I28:I38" si="9">(G27+G28)*0.5*(H28-H27)</f>
        <v>1.3598195946040363E-5</v>
      </c>
      <c r="U28" s="43" t="s">
        <v>130</v>
      </c>
      <c r="V28" s="126">
        <f>I108</f>
        <v>0.29405465047680157</v>
      </c>
      <c r="W28" s="126">
        <f>I129</f>
        <v>0.34478885002522397</v>
      </c>
      <c r="X28" s="126">
        <f>I150</f>
        <v>0.32926258331093394</v>
      </c>
      <c r="Y28" s="126">
        <f>I171</f>
        <v>9.6583555165077994E-2</v>
      </c>
      <c r="AA28" s="138">
        <v>6</v>
      </c>
      <c r="AB28" s="145" t="s">
        <v>5</v>
      </c>
      <c r="AC28" s="135">
        <v>8.1100344412985081E-2</v>
      </c>
      <c r="AD28" s="142">
        <v>0.17846731707242672</v>
      </c>
      <c r="AE28" s="131" t="s">
        <v>2</v>
      </c>
      <c r="AF28" s="132">
        <v>8.8550981159494335E-2</v>
      </c>
      <c r="AG28" s="132">
        <v>0.17846731707242672</v>
      </c>
      <c r="AH28" s="145" t="s">
        <v>1</v>
      </c>
      <c r="AI28" s="135">
        <v>4.2635773025661156E-2</v>
      </c>
      <c r="AJ28" s="135">
        <v>0.43478506529230687</v>
      </c>
      <c r="AK28" s="148" t="s">
        <v>5</v>
      </c>
      <c r="AL28" s="139">
        <v>0.19303489364868062</v>
      </c>
      <c r="AM28" s="139">
        <v>0.13224198964071543</v>
      </c>
    </row>
    <row r="29" spans="1:39" ht="12.75" customHeight="1" x14ac:dyDescent="0.25">
      <c r="B29" s="21" t="s">
        <v>1</v>
      </c>
      <c r="C29" s="29">
        <v>12.678271607557253</v>
      </c>
      <c r="D29" s="29">
        <v>6.169632</v>
      </c>
      <c r="E29" s="49">
        <f t="shared" si="5"/>
        <v>5.7213898517290938E-3</v>
      </c>
      <c r="F29" s="49">
        <f t="shared" si="6"/>
        <v>2.3065200054977395E-2</v>
      </c>
      <c r="G29" s="49">
        <f t="shared" si="7"/>
        <v>1.1360188457287819E-2</v>
      </c>
      <c r="H29" s="50">
        <f t="shared" si="8"/>
        <v>2.788828273526155E-2</v>
      </c>
      <c r="I29" s="49">
        <f t="shared" si="9"/>
        <v>1.9604251866826408E-4</v>
      </c>
      <c r="AA29" s="138">
        <v>7</v>
      </c>
      <c r="AB29" s="145" t="s">
        <v>9</v>
      </c>
      <c r="AC29" s="135">
        <v>0.15563756621705813</v>
      </c>
      <c r="AD29" s="142">
        <v>0.25736713399590871</v>
      </c>
      <c r="AE29" s="131" t="s">
        <v>9</v>
      </c>
      <c r="AF29" s="132">
        <v>0.1404898543639673</v>
      </c>
      <c r="AG29" s="132">
        <v>0.25736713399590871</v>
      </c>
      <c r="AH29" s="145" t="s">
        <v>6</v>
      </c>
      <c r="AI29" s="135">
        <v>7.6185424270137081E-2</v>
      </c>
      <c r="AJ29" s="135">
        <v>0.45798222777948161</v>
      </c>
      <c r="AK29" s="148" t="s">
        <v>7</v>
      </c>
      <c r="AL29" s="139">
        <v>0.28137382347094353</v>
      </c>
      <c r="AM29" s="139">
        <v>0.45945156349730343</v>
      </c>
    </row>
    <row r="30" spans="1:39" ht="12.75" customHeight="1" x14ac:dyDescent="0.25">
      <c r="B30" s="21" t="s">
        <v>6</v>
      </c>
      <c r="C30" s="29">
        <v>19.681066838943018</v>
      </c>
      <c r="D30" s="29">
        <v>11.426439</v>
      </c>
      <c r="E30" s="49">
        <f t="shared" si="5"/>
        <v>8.8815778340330109E-3</v>
      </c>
      <c r="F30" s="49">
        <f>D30/$D$39</f>
        <v>4.2717799287055672E-2</v>
      </c>
      <c r="G30" s="49">
        <f t="shared" si="7"/>
        <v>2.024176629132083E-2</v>
      </c>
      <c r="H30" s="50">
        <f t="shared" si="8"/>
        <v>7.0606082022317218E-2</v>
      </c>
      <c r="I30" s="49">
        <f t="shared" si="9"/>
        <v>6.7498298001484008E-4</v>
      </c>
      <c r="AA30" s="138">
        <v>8</v>
      </c>
      <c r="AB30" s="145" t="s">
        <v>10</v>
      </c>
      <c r="AC30" s="135">
        <v>0.30720643346615872</v>
      </c>
      <c r="AD30" s="142">
        <v>0.38405950424456814</v>
      </c>
      <c r="AE30" s="131" t="s">
        <v>10</v>
      </c>
      <c r="AF30" s="132">
        <v>0.26486530011936027</v>
      </c>
      <c r="AG30" s="132">
        <v>0.38405950424456814</v>
      </c>
      <c r="AH30" s="145" t="s">
        <v>5</v>
      </c>
      <c r="AI30" s="135">
        <v>0.18981189410229665</v>
      </c>
      <c r="AJ30" s="135">
        <v>0.52103197422580472</v>
      </c>
      <c r="AK30" s="148" t="s">
        <v>2</v>
      </c>
      <c r="AL30" s="139">
        <v>0.42904096947561376</v>
      </c>
      <c r="AM30" s="139">
        <v>0.52103197422580472</v>
      </c>
    </row>
    <row r="31" spans="1:39" ht="12.75" customHeight="1" x14ac:dyDescent="0.25">
      <c r="B31" s="21" t="s">
        <v>195</v>
      </c>
      <c r="C31" s="29">
        <v>26.084130370190923</v>
      </c>
      <c r="D31" s="29">
        <v>3.8753060000000001</v>
      </c>
      <c r="E31" s="49">
        <f t="shared" si="5"/>
        <v>1.1771121759391212E-2</v>
      </c>
      <c r="F31" s="49">
        <f t="shared" si="6"/>
        <v>1.4487850841712153E-2</v>
      </c>
      <c r="G31" s="49">
        <f t="shared" si="7"/>
        <v>3.2012888050712042E-2</v>
      </c>
      <c r="H31" s="50">
        <f t="shared" si="8"/>
        <v>8.5093932864029373E-2</v>
      </c>
      <c r="I31" s="49">
        <f t="shared" si="9"/>
        <v>3.7852881894629933E-4</v>
      </c>
      <c r="AA31" s="138">
        <v>9</v>
      </c>
      <c r="AB31" s="145" t="s">
        <v>7</v>
      </c>
      <c r="AC31" s="135">
        <v>0.49808736370607998</v>
      </c>
      <c r="AD31" s="142">
        <v>0.71126907810115614</v>
      </c>
      <c r="AE31" s="131" t="s">
        <v>4</v>
      </c>
      <c r="AF31" s="132">
        <v>0.43265145785843007</v>
      </c>
      <c r="AG31" s="132">
        <v>0.65743534284662219</v>
      </c>
      <c r="AH31" s="145" t="s">
        <v>9</v>
      </c>
      <c r="AI31" s="135">
        <v>0.43188628237804488</v>
      </c>
      <c r="AJ31" s="135">
        <v>0.59993179114928674</v>
      </c>
      <c r="AK31" s="148" t="s">
        <v>9</v>
      </c>
      <c r="AL31" s="139">
        <v>0.583159505521051</v>
      </c>
      <c r="AM31" s="139">
        <v>0.59993179114928674</v>
      </c>
    </row>
    <row r="32" spans="1:39" ht="12.75" customHeight="1" x14ac:dyDescent="0.25">
      <c r="B32" s="21" t="s">
        <v>5</v>
      </c>
      <c r="C32" s="29">
        <v>57.060380284925856</v>
      </c>
      <c r="D32" s="29">
        <v>19.742709999999999</v>
      </c>
      <c r="E32" s="49">
        <f t="shared" si="5"/>
        <v>2.5749935859031358E-2</v>
      </c>
      <c r="F32" s="49">
        <f>D32/$D$39</f>
        <v>7.3808219967966118E-2</v>
      </c>
      <c r="G32" s="49">
        <f>G31+E32</f>
        <v>5.7762823909743397E-2</v>
      </c>
      <c r="H32" s="50">
        <f t="shared" si="8"/>
        <v>0.15890215283199549</v>
      </c>
      <c r="I32" s="49">
        <f t="shared" si="9"/>
        <v>3.3130927480790311E-3</v>
      </c>
      <c r="AA32" s="138">
        <v>10</v>
      </c>
      <c r="AB32" s="145" t="s">
        <v>4</v>
      </c>
      <c r="AC32" s="135">
        <v>0.70348588928344968</v>
      </c>
      <c r="AD32" s="142">
        <v>0.98464491670321008</v>
      </c>
      <c r="AE32" s="131" t="s">
        <v>7</v>
      </c>
      <c r="AF32" s="132">
        <v>0.64822411816596082</v>
      </c>
      <c r="AG32" s="132">
        <v>0.98464491670321019</v>
      </c>
      <c r="AH32" s="145" t="s">
        <v>10</v>
      </c>
      <c r="AI32" s="135">
        <v>0.6826176704974718</v>
      </c>
      <c r="AJ32" s="135">
        <v>0.72662416139794617</v>
      </c>
      <c r="AK32" s="148" t="s">
        <v>4</v>
      </c>
      <c r="AL32" s="139">
        <v>0.78522342619448249</v>
      </c>
      <c r="AM32" s="139">
        <v>0.87330762975134069</v>
      </c>
    </row>
    <row r="33" spans="2:39" ht="12.75" customHeight="1" thickBot="1" x14ac:dyDescent="0.3">
      <c r="B33" s="21" t="s">
        <v>2</v>
      </c>
      <c r="C33" s="29">
        <v>68.224789784349042</v>
      </c>
      <c r="D33" s="29">
        <v>83.946549000000005</v>
      </c>
      <c r="E33" s="49">
        <f>C33/$C$39</f>
        <v>3.0788157249750939E-2</v>
      </c>
      <c r="F33" s="49">
        <f>D33/$D$39</f>
        <v>0.31383459282660014</v>
      </c>
      <c r="G33" s="49">
        <f t="shared" si="7"/>
        <v>8.8550981159494335E-2</v>
      </c>
      <c r="H33" s="50">
        <f>F33+H32</f>
        <v>0.47273674565859564</v>
      </c>
      <c r="I33" s="49">
        <f t="shared" si="9"/>
        <v>2.2959166719407387E-2</v>
      </c>
      <c r="AA33" s="40">
        <v>11</v>
      </c>
      <c r="AB33" s="146" t="s">
        <v>8</v>
      </c>
      <c r="AC33" s="136">
        <v>0.99999999999999978</v>
      </c>
      <c r="AD33" s="143">
        <v>1</v>
      </c>
      <c r="AE33" s="133" t="s">
        <v>8</v>
      </c>
      <c r="AF33" s="134">
        <v>1</v>
      </c>
      <c r="AG33" s="134">
        <v>1.0000000000000002</v>
      </c>
      <c r="AH33" s="146" t="s">
        <v>4</v>
      </c>
      <c r="AI33" s="136">
        <v>1</v>
      </c>
      <c r="AJ33" s="136">
        <v>1.0000000000000002</v>
      </c>
      <c r="AK33" s="149" t="s">
        <v>10</v>
      </c>
      <c r="AL33" s="56">
        <v>0.99999999999999989</v>
      </c>
      <c r="AM33" s="56">
        <v>1.0000000000000002</v>
      </c>
    </row>
    <row r="34" spans="2:39" ht="12.75" customHeight="1" thickBot="1" x14ac:dyDescent="0.3">
      <c r="B34" s="21" t="s">
        <v>9</v>
      </c>
      <c r="C34" s="29">
        <v>115.09356267302397</v>
      </c>
      <c r="D34" s="29">
        <v>11.996235</v>
      </c>
      <c r="E34" s="49">
        <f>C34/$C$39</f>
        <v>5.1938873204472963E-2</v>
      </c>
      <c r="F34" s="49">
        <f t="shared" ref="F34:F38" si="10">D34/$D$39</f>
        <v>4.4847984479709932E-2</v>
      </c>
      <c r="G34" s="49">
        <f t="shared" si="7"/>
        <v>0.1404898543639673</v>
      </c>
      <c r="H34" s="50">
        <f t="shared" si="8"/>
        <v>0.51758473013830553</v>
      </c>
      <c r="I34" s="49">
        <f t="shared" si="9"/>
        <v>5.1360099183879963E-3</v>
      </c>
    </row>
    <row r="35" spans="2:39" ht="12.75" customHeight="1" thickBot="1" x14ac:dyDescent="0.3">
      <c r="B35" s="21" t="s">
        <v>10</v>
      </c>
      <c r="C35" s="29">
        <v>275.60885090207972</v>
      </c>
      <c r="D35" s="29">
        <v>41.918567000000003</v>
      </c>
      <c r="E35" s="49">
        <f t="shared" si="5"/>
        <v>0.12437544575539296</v>
      </c>
      <c r="F35" s="49">
        <f t="shared" si="10"/>
        <v>0.15671277215123589</v>
      </c>
      <c r="G35" s="49">
        <f t="shared" si="7"/>
        <v>0.26486530011936027</v>
      </c>
      <c r="H35" s="50">
        <f t="shared" si="8"/>
        <v>0.67429750228954144</v>
      </c>
      <c r="I35" s="49">
        <f t="shared" si="9"/>
        <v>3.1762164982437377E-2</v>
      </c>
      <c r="AA35" s="250" t="s">
        <v>147</v>
      </c>
      <c r="AB35" s="250"/>
      <c r="AC35" s="250"/>
      <c r="AD35" s="250"/>
      <c r="AE35" s="250"/>
      <c r="AF35" s="250"/>
      <c r="AG35" s="250"/>
      <c r="AH35" s="250"/>
      <c r="AI35" s="250"/>
      <c r="AJ35" s="250"/>
      <c r="AK35" s="250"/>
      <c r="AL35" s="250"/>
      <c r="AM35" s="250"/>
    </row>
    <row r="36" spans="2:39" ht="12.75" customHeight="1" thickBot="1" x14ac:dyDescent="0.3">
      <c r="B36" s="21" t="s">
        <v>4</v>
      </c>
      <c r="C36" s="29">
        <v>371.80449767139828</v>
      </c>
      <c r="D36" s="29">
        <v>39.232453</v>
      </c>
      <c r="E36" s="49">
        <f t="shared" si="5"/>
        <v>0.16778615773906982</v>
      </c>
      <c r="F36" s="49">
        <f>D36/$D$39</f>
        <v>0.14667072154262978</v>
      </c>
      <c r="G36" s="49">
        <f t="shared" si="7"/>
        <v>0.43265145785843007</v>
      </c>
      <c r="H36" s="50">
        <f t="shared" si="8"/>
        <v>0.82096822383217116</v>
      </c>
      <c r="I36" s="49">
        <f t="shared" si="9"/>
        <v>5.1152643090339164E-2</v>
      </c>
      <c r="AA36" s="38" t="s">
        <v>136</v>
      </c>
      <c r="AB36" s="144"/>
      <c r="AC36" s="164" t="s">
        <v>137</v>
      </c>
      <c r="AD36" s="165" t="s">
        <v>144</v>
      </c>
      <c r="AE36" s="38"/>
      <c r="AF36" s="38" t="s">
        <v>138</v>
      </c>
      <c r="AG36" s="38" t="s">
        <v>144</v>
      </c>
      <c r="AH36" s="166"/>
      <c r="AI36" s="164" t="s">
        <v>140</v>
      </c>
      <c r="AJ36" s="164" t="s">
        <v>144</v>
      </c>
      <c r="AK36" s="167"/>
      <c r="AL36" s="38" t="s">
        <v>141</v>
      </c>
      <c r="AM36" s="38" t="s">
        <v>144</v>
      </c>
    </row>
    <row r="37" spans="2:39" ht="12.75" customHeight="1" x14ac:dyDescent="0.25">
      <c r="B37" s="21" t="s">
        <v>7</v>
      </c>
      <c r="C37" s="29">
        <v>477.69664528568518</v>
      </c>
      <c r="D37" s="29">
        <v>36.982824999999998</v>
      </c>
      <c r="E37" s="49">
        <f t="shared" si="5"/>
        <v>0.21557266030753078</v>
      </c>
      <c r="F37" s="49">
        <f t="shared" si="10"/>
        <v>0.1382604760256721</v>
      </c>
      <c r="G37" s="49">
        <f t="shared" si="7"/>
        <v>0.64822411816596082</v>
      </c>
      <c r="H37" s="50">
        <f t="shared" si="8"/>
        <v>0.9592286998578432</v>
      </c>
      <c r="I37" s="49">
        <f t="shared" si="9"/>
        <v>7.4721185832827372E-2</v>
      </c>
      <c r="AA37" s="138">
        <v>1</v>
      </c>
      <c r="AB37" s="145" t="s">
        <v>2</v>
      </c>
      <c r="AC37" s="135">
        <v>2.0572122059260146E-3</v>
      </c>
      <c r="AD37" s="142">
        <v>8.2249727275718124E-2</v>
      </c>
      <c r="AE37" s="131" t="s">
        <v>3</v>
      </c>
      <c r="AF37" s="132">
        <v>5.6387986055587242E-3</v>
      </c>
      <c r="AG37" s="132">
        <v>8.0135200470573958E-3</v>
      </c>
      <c r="AH37" s="145" t="s">
        <v>2</v>
      </c>
      <c r="AI37" s="135">
        <v>0</v>
      </c>
      <c r="AJ37" s="135">
        <v>8.2249727275718124E-2</v>
      </c>
      <c r="AK37" s="148" t="s">
        <v>195</v>
      </c>
      <c r="AL37" s="139">
        <v>3.4564517331350051E-3</v>
      </c>
      <c r="AM37" s="139">
        <v>6.6897636279041406E-3</v>
      </c>
    </row>
    <row r="38" spans="2:39" ht="12.75" customHeight="1" thickBot="1" x14ac:dyDescent="0.3">
      <c r="B38" s="22" t="s">
        <v>8</v>
      </c>
      <c r="C38" s="32">
        <v>779.51516859702542</v>
      </c>
      <c r="D38" s="32">
        <v>10.905776556851148</v>
      </c>
      <c r="E38" s="51">
        <f>C38/$C$39</f>
        <v>0.35177588183403924</v>
      </c>
      <c r="F38" s="49">
        <f t="shared" si="10"/>
        <v>4.0771300142156658E-2</v>
      </c>
      <c r="G38" s="51">
        <f t="shared" si="7"/>
        <v>1</v>
      </c>
      <c r="H38" s="52">
        <f t="shared" si="8"/>
        <v>0.99999999999999989</v>
      </c>
      <c r="I38" s="51">
        <f t="shared" si="9"/>
        <v>3.3600120111642963E-2</v>
      </c>
      <c r="AA38" s="138">
        <v>2</v>
      </c>
      <c r="AB38" s="145" t="s">
        <v>3</v>
      </c>
      <c r="AC38" s="135">
        <v>8.6289624421381217E-3</v>
      </c>
      <c r="AD38" s="142">
        <v>9.0263247322775519E-2</v>
      </c>
      <c r="AE38" s="131" t="s">
        <v>1</v>
      </c>
      <c r="AF38" s="132">
        <v>1.1360188457287819E-2</v>
      </c>
      <c r="AG38" s="132">
        <v>1.2331300548089792E-2</v>
      </c>
      <c r="AH38" s="145" t="s">
        <v>7</v>
      </c>
      <c r="AI38" s="135">
        <v>0</v>
      </c>
      <c r="AJ38" s="135">
        <v>0.52052312870831507</v>
      </c>
      <c r="AK38" s="148" t="s">
        <v>3</v>
      </c>
      <c r="AL38" s="139">
        <v>8.4493008852779827E-3</v>
      </c>
      <c r="AM38" s="139">
        <v>1.4703283674961536E-2</v>
      </c>
    </row>
    <row r="39" spans="2:39" ht="12.75" customHeight="1" thickBot="1" x14ac:dyDescent="0.3">
      <c r="B39" s="35" t="s">
        <v>12</v>
      </c>
      <c r="C39" s="6">
        <f>SUM(C27:C38)</f>
        <v>2215.9426181604599</v>
      </c>
      <c r="D39" s="6">
        <f>SUM(D27:D38)</f>
        <v>267.48660255685115</v>
      </c>
      <c r="E39" s="51">
        <f>SUM(E28:E38)</f>
        <v>1</v>
      </c>
      <c r="F39" s="59">
        <f>SUM(F28:F38)</f>
        <v>0.99999999999999989</v>
      </c>
      <c r="G39" s="53"/>
      <c r="H39" s="53"/>
      <c r="I39" s="59">
        <f>SUM(I27:I38)</f>
        <v>0.22390753591669674</v>
      </c>
      <c r="AA39" s="138">
        <v>3</v>
      </c>
      <c r="AB39" s="145" t="s">
        <v>1</v>
      </c>
      <c r="AC39" s="135">
        <v>1.7701695815085312E-2</v>
      </c>
      <c r="AD39" s="142">
        <v>9.4581027823807909E-2</v>
      </c>
      <c r="AE39" s="131" t="s">
        <v>6</v>
      </c>
      <c r="AF39" s="132">
        <v>2.024176629132083E-2</v>
      </c>
      <c r="AG39" s="132">
        <v>1.9147385865520176E-2</v>
      </c>
      <c r="AH39" s="145" t="s">
        <v>8</v>
      </c>
      <c r="AI39" s="135">
        <v>0</v>
      </c>
      <c r="AJ39" s="135">
        <v>0.7224070008195761</v>
      </c>
      <c r="AK39" s="148" t="s">
        <v>1</v>
      </c>
      <c r="AL39" s="139">
        <v>2.7144395442591892E-2</v>
      </c>
      <c r="AM39" s="139">
        <v>1.9021064175993932E-2</v>
      </c>
    </row>
    <row r="40" spans="2:39" ht="12.75" customHeight="1" thickBot="1" x14ac:dyDescent="0.3">
      <c r="B40" s="4"/>
      <c r="C40" s="4"/>
      <c r="D40" s="4"/>
      <c r="E40" s="50"/>
      <c r="F40" s="50"/>
      <c r="G40" s="50"/>
      <c r="H40" s="53"/>
      <c r="I40" s="53"/>
      <c r="AA40" s="138">
        <v>4</v>
      </c>
      <c r="AB40" s="145" t="s">
        <v>195</v>
      </c>
      <c r="AC40" s="135">
        <v>3.0178732413705139E-2</v>
      </c>
      <c r="AD40" s="142">
        <v>0.10127079145171206</v>
      </c>
      <c r="AE40" s="131" t="s">
        <v>195</v>
      </c>
      <c r="AF40" s="132">
        <v>3.2012888050712042E-2</v>
      </c>
      <c r="AG40" s="132">
        <v>2.5837149493424316E-2</v>
      </c>
      <c r="AH40" s="145" t="s">
        <v>195</v>
      </c>
      <c r="AI40" s="135">
        <v>5.4290577913134646E-3</v>
      </c>
      <c r="AJ40" s="135">
        <v>0.72909676444748028</v>
      </c>
      <c r="AK40" s="148" t="s">
        <v>6</v>
      </c>
      <c r="AL40" s="139">
        <v>5.8435636670972346E-2</v>
      </c>
      <c r="AM40" s="139">
        <v>2.5837149493424316E-2</v>
      </c>
    </row>
    <row r="41" spans="2:39" ht="12.75" customHeight="1" thickBot="1" x14ac:dyDescent="0.3">
      <c r="B41" s="4"/>
      <c r="C41" s="4"/>
      <c r="D41" s="4"/>
      <c r="E41" s="50"/>
      <c r="F41" s="50"/>
      <c r="G41" s="55"/>
      <c r="H41" s="56" t="s">
        <v>29</v>
      </c>
      <c r="I41" s="52">
        <f>1-(2*I39)</f>
        <v>0.55218492816660647</v>
      </c>
      <c r="AA41" s="138">
        <v>5</v>
      </c>
      <c r="AB41" s="145" t="s">
        <v>6</v>
      </c>
      <c r="AC41" s="135">
        <v>4.2893132745155806E-2</v>
      </c>
      <c r="AD41" s="142">
        <v>0.10808687676914244</v>
      </c>
      <c r="AE41" s="131" t="s">
        <v>5</v>
      </c>
      <c r="AF41" s="132">
        <v>5.7762823909743397E-2</v>
      </c>
      <c r="AG41" s="132">
        <v>4.2022014172822211E-2</v>
      </c>
      <c r="AH41" s="145" t="s">
        <v>3</v>
      </c>
      <c r="AI41" s="135">
        <v>1.3271339033212672E-2</v>
      </c>
      <c r="AJ41" s="135">
        <v>0.73711028449453764</v>
      </c>
      <c r="AK41" s="148" t="s">
        <v>8</v>
      </c>
      <c r="AL41" s="139">
        <v>0.1198547150976936</v>
      </c>
      <c r="AM41" s="139">
        <v>0.22772102160468533</v>
      </c>
    </row>
    <row r="42" spans="2:39" ht="12.75" customHeight="1" x14ac:dyDescent="0.25">
      <c r="E42" s="60"/>
      <c r="F42" s="60"/>
      <c r="G42" s="60"/>
      <c r="H42" s="60"/>
      <c r="I42" s="60"/>
      <c r="AA42" s="138">
        <v>6</v>
      </c>
      <c r="AB42" s="145" t="s">
        <v>5</v>
      </c>
      <c r="AC42" s="135">
        <v>8.1100344412985081E-2</v>
      </c>
      <c r="AD42" s="142">
        <v>0.12427174144854033</v>
      </c>
      <c r="AE42" s="131" t="s">
        <v>2</v>
      </c>
      <c r="AF42" s="132">
        <v>8.8550981159494335E-2</v>
      </c>
      <c r="AG42" s="132">
        <v>0.12427174144854033</v>
      </c>
      <c r="AH42" s="145" t="s">
        <v>1</v>
      </c>
      <c r="AI42" s="135">
        <v>4.2635773025661156E-2</v>
      </c>
      <c r="AJ42" s="135">
        <v>0.74142806499557001</v>
      </c>
      <c r="AK42" s="148" t="s">
        <v>5</v>
      </c>
      <c r="AL42" s="139">
        <v>0.19303489364868062</v>
      </c>
      <c r="AM42" s="139">
        <v>0.24390588628408322</v>
      </c>
    </row>
    <row r="43" spans="2:39" ht="12.75" customHeight="1" x14ac:dyDescent="0.25">
      <c r="AA43" s="138">
        <v>7</v>
      </c>
      <c r="AB43" s="145" t="s">
        <v>9</v>
      </c>
      <c r="AC43" s="135">
        <v>0.15563756621705813</v>
      </c>
      <c r="AD43" s="142">
        <v>0.16345651867644251</v>
      </c>
      <c r="AE43" s="131" t="s">
        <v>9</v>
      </c>
      <c r="AF43" s="132">
        <v>0.1404898543639673</v>
      </c>
      <c r="AG43" s="132">
        <v>0.16345651867644251</v>
      </c>
      <c r="AH43" s="145" t="s">
        <v>6</v>
      </c>
      <c r="AI43" s="135">
        <v>7.6185424270137081E-2</v>
      </c>
      <c r="AJ43" s="135">
        <v>0.7482441503130004</v>
      </c>
      <c r="AK43" s="148" t="s">
        <v>7</v>
      </c>
      <c r="AL43" s="139">
        <v>0.28137382347094353</v>
      </c>
      <c r="AM43" s="139">
        <v>0.68217928771668013</v>
      </c>
    </row>
    <row r="44" spans="2:39" ht="12.75" customHeight="1" x14ac:dyDescent="0.25">
      <c r="AA44" s="138">
        <v>8</v>
      </c>
      <c r="AB44" s="145" t="s">
        <v>10</v>
      </c>
      <c r="AC44" s="135">
        <v>0.30720643346615872</v>
      </c>
      <c r="AD44" s="142">
        <v>0.24099269172425059</v>
      </c>
      <c r="AE44" s="131" t="s">
        <v>10</v>
      </c>
      <c r="AF44" s="132">
        <v>0.26486530011936027</v>
      </c>
      <c r="AG44" s="132">
        <v>0.24099269172425059</v>
      </c>
      <c r="AH44" s="145" t="s">
        <v>5</v>
      </c>
      <c r="AI44" s="135">
        <v>0.18981189410229665</v>
      </c>
      <c r="AJ44" s="135">
        <v>0.76442901499239835</v>
      </c>
      <c r="AK44" s="148" t="s">
        <v>2</v>
      </c>
      <c r="AL44" s="139">
        <v>0.42904096947561376</v>
      </c>
      <c r="AM44" s="139">
        <v>0.76442901499239824</v>
      </c>
    </row>
    <row r="45" spans="2:39" ht="12.75" customHeight="1" x14ac:dyDescent="0.25">
      <c r="AA45" s="138">
        <v>9</v>
      </c>
      <c r="AB45" s="145" t="s">
        <v>7</v>
      </c>
      <c r="AC45" s="135">
        <v>0.49808736370607998</v>
      </c>
      <c r="AD45" s="142">
        <v>0.67926609315684749</v>
      </c>
      <c r="AE45" s="131" t="s">
        <v>4</v>
      </c>
      <c r="AF45" s="132">
        <v>0.43265145785843007</v>
      </c>
      <c r="AG45" s="132">
        <v>0.35984272645614207</v>
      </c>
      <c r="AH45" s="145" t="s">
        <v>9</v>
      </c>
      <c r="AI45" s="135">
        <v>0.43188628237804488</v>
      </c>
      <c r="AJ45" s="135">
        <v>0.80361379222030049</v>
      </c>
      <c r="AK45" s="148" t="s">
        <v>9</v>
      </c>
      <c r="AL45" s="139">
        <v>0.583159505521051</v>
      </c>
      <c r="AM45" s="139">
        <v>0.80361379222030038</v>
      </c>
    </row>
    <row r="46" spans="2:39" ht="12.75" customHeight="1" x14ac:dyDescent="0.25">
      <c r="AA46" s="138">
        <v>10</v>
      </c>
      <c r="AB46" s="145" t="s">
        <v>4</v>
      </c>
      <c r="AC46" s="135">
        <v>0.70348588928344968</v>
      </c>
      <c r="AD46" s="142">
        <v>0.79811612788873898</v>
      </c>
      <c r="AE46" s="131" t="s">
        <v>7</v>
      </c>
      <c r="AF46" s="132">
        <v>0.64822411816596082</v>
      </c>
      <c r="AG46" s="132">
        <v>0.79811612788873898</v>
      </c>
      <c r="AH46" s="145" t="s">
        <v>10</v>
      </c>
      <c r="AI46" s="135">
        <v>0.6826176704974718</v>
      </c>
      <c r="AJ46" s="135">
        <v>0.88114996526810863</v>
      </c>
      <c r="AK46" s="148" t="s">
        <v>4</v>
      </c>
      <c r="AL46" s="139">
        <v>0.78522342619448249</v>
      </c>
      <c r="AM46" s="139">
        <v>0.92246382695219187</v>
      </c>
    </row>
    <row r="47" spans="2:39" ht="16.2" thickBot="1" x14ac:dyDescent="0.35">
      <c r="B47" s="257" t="s">
        <v>104</v>
      </c>
      <c r="C47" s="257"/>
      <c r="D47" s="257"/>
      <c r="E47" s="257"/>
      <c r="F47" s="257"/>
      <c r="G47" s="257"/>
      <c r="H47" s="257"/>
      <c r="I47" s="257"/>
      <c r="J47" s="62"/>
      <c r="AA47" s="40">
        <v>11</v>
      </c>
      <c r="AB47" s="146" t="s">
        <v>8</v>
      </c>
      <c r="AC47" s="136">
        <v>0.99999999999999978</v>
      </c>
      <c r="AD47" s="143">
        <v>1</v>
      </c>
      <c r="AE47" s="133" t="s">
        <v>8</v>
      </c>
      <c r="AF47" s="134">
        <v>1</v>
      </c>
      <c r="AG47" s="134">
        <v>1</v>
      </c>
      <c r="AH47" s="146" t="s">
        <v>4</v>
      </c>
      <c r="AI47" s="136">
        <v>1</v>
      </c>
      <c r="AJ47" s="136">
        <v>1.0000000000000002</v>
      </c>
      <c r="AK47" s="149" t="s">
        <v>10</v>
      </c>
      <c r="AL47" s="56">
        <v>0.99999999999999989</v>
      </c>
      <c r="AM47" s="56">
        <v>1</v>
      </c>
    </row>
    <row r="48" spans="2:39" ht="27" thickBot="1" x14ac:dyDescent="0.3">
      <c r="B48" s="30" t="s">
        <v>19</v>
      </c>
      <c r="C48" s="31" t="s">
        <v>288</v>
      </c>
      <c r="D48" s="31" t="s">
        <v>41</v>
      </c>
      <c r="E48" s="31" t="s">
        <v>15</v>
      </c>
      <c r="F48" s="31" t="s">
        <v>16</v>
      </c>
      <c r="G48" s="31" t="s">
        <v>17</v>
      </c>
      <c r="H48" s="31" t="s">
        <v>116</v>
      </c>
      <c r="I48" s="31" t="s">
        <v>20</v>
      </c>
      <c r="J48" s="25"/>
      <c r="K48" s="8"/>
      <c r="L48" s="8"/>
      <c r="M48" s="8"/>
      <c r="N48" s="8"/>
    </row>
    <row r="49" spans="1:10" ht="12.75" customHeight="1" x14ac:dyDescent="0.25">
      <c r="B49" s="4"/>
      <c r="C49" s="26">
        <v>0</v>
      </c>
      <c r="D49" s="26">
        <v>0</v>
      </c>
      <c r="E49" s="49">
        <f t="shared" ref="E49:E53" si="11">C49/$C$61</f>
        <v>0</v>
      </c>
      <c r="F49" s="49">
        <f t="shared" ref="F49:F53" si="12">D49/$D$61</f>
        <v>0</v>
      </c>
      <c r="G49" s="49">
        <v>0</v>
      </c>
      <c r="H49" s="50">
        <f>F49</f>
        <v>0</v>
      </c>
      <c r="I49" s="49">
        <v>0</v>
      </c>
      <c r="J49" s="28"/>
    </row>
    <row r="50" spans="1:10" ht="12.75" customHeight="1" x14ac:dyDescent="0.25">
      <c r="B50" s="21" t="s">
        <v>2</v>
      </c>
      <c r="C50" s="29">
        <v>0</v>
      </c>
      <c r="D50" s="29">
        <v>83.946549000000005</v>
      </c>
      <c r="E50" s="49">
        <f t="shared" si="11"/>
        <v>0</v>
      </c>
      <c r="F50" s="49">
        <f t="shared" si="12"/>
        <v>0.31383459282660014</v>
      </c>
      <c r="G50" s="49">
        <f t="shared" ref="G50:G60" si="13">G49+E50</f>
        <v>0</v>
      </c>
      <c r="H50" s="50">
        <f t="shared" ref="H50:H60" si="14">F50+H49</f>
        <v>0.31383459282660014</v>
      </c>
      <c r="I50" s="49">
        <f t="shared" ref="I50:I60" si="15">(G49+G50)*0.5*(H50-H49)</f>
        <v>0</v>
      </c>
      <c r="J50" s="28"/>
    </row>
    <row r="51" spans="1:10" ht="12.75" customHeight="1" x14ac:dyDescent="0.25">
      <c r="A51" s="8"/>
      <c r="B51" s="21" t="s">
        <v>7</v>
      </c>
      <c r="C51" s="29">
        <v>0</v>
      </c>
      <c r="D51" s="29">
        <v>36.982824999999998</v>
      </c>
      <c r="E51" s="49">
        <f t="shared" si="11"/>
        <v>0</v>
      </c>
      <c r="F51" s="49">
        <f t="shared" si="12"/>
        <v>0.1382604760256721</v>
      </c>
      <c r="G51" s="49">
        <f t="shared" si="13"/>
        <v>0</v>
      </c>
      <c r="H51" s="50">
        <f t="shared" si="14"/>
        <v>0.45209506885227224</v>
      </c>
      <c r="I51" s="49">
        <f t="shared" si="15"/>
        <v>0</v>
      </c>
      <c r="J51" s="28"/>
    </row>
    <row r="52" spans="1:10" ht="12.75" customHeight="1" x14ac:dyDescent="0.25">
      <c r="B52" s="21" t="s">
        <v>8</v>
      </c>
      <c r="C52" s="29">
        <v>0</v>
      </c>
      <c r="D52" s="29">
        <v>10.905776556851148</v>
      </c>
      <c r="E52" s="49">
        <f t="shared" si="11"/>
        <v>0</v>
      </c>
      <c r="F52" s="49">
        <f t="shared" si="12"/>
        <v>4.0771300142156658E-2</v>
      </c>
      <c r="G52" s="49">
        <f t="shared" si="13"/>
        <v>0</v>
      </c>
      <c r="H52" s="50">
        <f t="shared" si="14"/>
        <v>0.49286636899442893</v>
      </c>
      <c r="I52" s="49">
        <f t="shared" si="15"/>
        <v>0</v>
      </c>
      <c r="J52" s="28"/>
    </row>
    <row r="53" spans="1:10" ht="12.75" customHeight="1" x14ac:dyDescent="0.25">
      <c r="B53" s="21" t="s">
        <v>195</v>
      </c>
      <c r="C53" s="29">
        <v>1.3224981196287995</v>
      </c>
      <c r="D53" s="29">
        <v>3.8753060000000001</v>
      </c>
      <c r="E53" s="49">
        <f t="shared" si="11"/>
        <v>5.4290577913134646E-3</v>
      </c>
      <c r="F53" s="49">
        <f t="shared" si="12"/>
        <v>1.4487850841712153E-2</v>
      </c>
      <c r="G53" s="49">
        <f t="shared" si="13"/>
        <v>5.4290577913134646E-3</v>
      </c>
      <c r="H53" s="50">
        <f t="shared" si="14"/>
        <v>0.50735421983614104</v>
      </c>
      <c r="I53" s="49">
        <f t="shared" si="15"/>
        <v>3.9327689745792245E-5</v>
      </c>
      <c r="J53" s="28"/>
    </row>
    <row r="54" spans="1:10" ht="12.75" customHeight="1" x14ac:dyDescent="0.25">
      <c r="B54" s="21" t="s">
        <v>3</v>
      </c>
      <c r="C54" s="29">
        <v>1.9103503028842752</v>
      </c>
      <c r="D54" s="29">
        <v>1.2901100000000001</v>
      </c>
      <c r="E54" s="49">
        <f>C54/$C$61</f>
        <v>7.8422812418992086E-3</v>
      </c>
      <c r="F54" s="49">
        <f>D54/$D$61</f>
        <v>4.8230826802841548E-3</v>
      </c>
      <c r="G54" s="49">
        <f t="shared" si="13"/>
        <v>1.3271339033212672E-2</v>
      </c>
      <c r="H54" s="50">
        <f t="shared" si="14"/>
        <v>0.51217730251642524</v>
      </c>
      <c r="I54" s="49">
        <f t="shared" si="15"/>
        <v>4.5096780019406796E-5</v>
      </c>
      <c r="J54" s="28"/>
    </row>
    <row r="55" spans="1:10" ht="12.75" customHeight="1" x14ac:dyDescent="0.25">
      <c r="B55" s="21" t="s">
        <v>1</v>
      </c>
      <c r="C55" s="29">
        <v>7.1530660073489152</v>
      </c>
      <c r="D55" s="29">
        <v>6.169632</v>
      </c>
      <c r="E55" s="49">
        <f t="shared" ref="E55:E60" si="16">C55/$C$61</f>
        <v>2.9364433992448483E-2</v>
      </c>
      <c r="F55" s="49">
        <f t="shared" ref="F55:F60" si="17">D55/$D$61</f>
        <v>2.3065200054977395E-2</v>
      </c>
      <c r="G55" s="49">
        <f>G54+E55</f>
        <v>4.2635773025661156E-2</v>
      </c>
      <c r="H55" s="50">
        <f t="shared" si="14"/>
        <v>0.5352425025714026</v>
      </c>
      <c r="I55" s="49">
        <f t="shared" si="15"/>
        <v>6.447543620669812E-4</v>
      </c>
      <c r="J55" s="28"/>
    </row>
    <row r="56" spans="1:10" ht="12.75" customHeight="1" x14ac:dyDescent="0.25">
      <c r="B56" s="21" t="s">
        <v>6</v>
      </c>
      <c r="C56" s="29">
        <v>8.1725692358649695</v>
      </c>
      <c r="D56" s="29">
        <v>11.426439</v>
      </c>
      <c r="E56" s="49">
        <f t="shared" si="16"/>
        <v>3.3549651244475932E-2</v>
      </c>
      <c r="F56" s="49">
        <f t="shared" si="17"/>
        <v>4.2717799287055672E-2</v>
      </c>
      <c r="G56" s="49">
        <f t="shared" si="13"/>
        <v>7.6185424270137081E-2</v>
      </c>
      <c r="H56" s="50">
        <f t="shared" si="14"/>
        <v>0.57796030185845826</v>
      </c>
      <c r="I56" s="49">
        <f t="shared" si="15"/>
        <v>2.5378900285647748E-3</v>
      </c>
      <c r="J56" s="28"/>
    </row>
    <row r="57" spans="1:10" ht="12.75" customHeight="1" x14ac:dyDescent="0.25">
      <c r="B57" s="21" t="s">
        <v>5</v>
      </c>
      <c r="C57" s="29">
        <v>27.678981965070257</v>
      </c>
      <c r="D57" s="29">
        <v>19.742709999999999</v>
      </c>
      <c r="E57" s="49">
        <f t="shared" si="16"/>
        <v>0.11362646983215957</v>
      </c>
      <c r="F57" s="49">
        <f t="shared" si="17"/>
        <v>7.3808219967966118E-2</v>
      </c>
      <c r="G57" s="49">
        <f t="shared" si="13"/>
        <v>0.18981189410229665</v>
      </c>
      <c r="H57" s="50">
        <f>F57+H56</f>
        <v>0.65176852182642442</v>
      </c>
      <c r="I57" s="49">
        <f t="shared" si="15"/>
        <v>9.8163942926608582E-3</v>
      </c>
      <c r="J57" s="28"/>
    </row>
    <row r="58" spans="1:10" ht="12.75" customHeight="1" x14ac:dyDescent="0.25">
      <c r="B58" s="21" t="s">
        <v>9</v>
      </c>
      <c r="C58" s="29">
        <v>58.968413233176513</v>
      </c>
      <c r="D58" s="29">
        <v>11.996235</v>
      </c>
      <c r="E58" s="49">
        <f t="shared" si="16"/>
        <v>0.24207438827574823</v>
      </c>
      <c r="F58" s="49">
        <f>D58/$D$61</f>
        <v>4.4847984479709932E-2</v>
      </c>
      <c r="G58" s="49">
        <f t="shared" si="13"/>
        <v>0.43188628237804488</v>
      </c>
      <c r="H58" s="50">
        <f t="shared" si="14"/>
        <v>0.69661650630613436</v>
      </c>
      <c r="I58" s="49">
        <f t="shared" si="15"/>
        <v>1.3940955084927166E-2</v>
      </c>
      <c r="J58" s="28"/>
    </row>
    <row r="59" spans="1:10" ht="12.75" customHeight="1" x14ac:dyDescent="0.25">
      <c r="B59" s="21" t="s">
        <v>10</v>
      </c>
      <c r="C59" s="29">
        <v>61.077225932354281</v>
      </c>
      <c r="D59" s="29">
        <v>41.918567000000003</v>
      </c>
      <c r="E59" s="49">
        <f t="shared" si="16"/>
        <v>0.25073138811942691</v>
      </c>
      <c r="F59" s="49">
        <f t="shared" si="17"/>
        <v>0.15671277215123589</v>
      </c>
      <c r="G59" s="49">
        <f t="shared" si="13"/>
        <v>0.6826176704974718</v>
      </c>
      <c r="H59" s="50">
        <f t="shared" si="14"/>
        <v>0.85332927845737028</v>
      </c>
      <c r="I59" s="49">
        <f t="shared" si="15"/>
        <v>8.7328502014316314E-2</v>
      </c>
      <c r="J59" s="28"/>
    </row>
    <row r="60" spans="1:10" ht="12.75" customHeight="1" thickBot="1" x14ac:dyDescent="0.3">
      <c r="B60" s="22" t="s">
        <v>4</v>
      </c>
      <c r="C60" s="32">
        <v>77.313145320001027</v>
      </c>
      <c r="D60" s="32">
        <v>39.232453</v>
      </c>
      <c r="E60" s="49">
        <f t="shared" si="16"/>
        <v>0.31738232950252826</v>
      </c>
      <c r="F60" s="49">
        <f t="shared" si="17"/>
        <v>0.14667072154262978</v>
      </c>
      <c r="G60" s="51">
        <f t="shared" si="13"/>
        <v>1</v>
      </c>
      <c r="H60" s="52">
        <f t="shared" si="14"/>
        <v>1</v>
      </c>
      <c r="I60" s="51">
        <f t="shared" si="15"/>
        <v>0.12339537390612149</v>
      </c>
      <c r="J60" s="28"/>
    </row>
    <row r="61" spans="1:10" ht="12.75" customHeight="1" thickBot="1" x14ac:dyDescent="0.3">
      <c r="B61" s="35" t="s">
        <v>12</v>
      </c>
      <c r="C61" s="6">
        <f>SUM(C49:C60)</f>
        <v>243.59625011632903</v>
      </c>
      <c r="D61" s="6">
        <f t="shared" ref="D61:H61" si="18">SUM(D49:D60)</f>
        <v>267.48660255685115</v>
      </c>
      <c r="E61" s="6">
        <f t="shared" si="18"/>
        <v>1</v>
      </c>
      <c r="F61" s="6">
        <f t="shared" si="18"/>
        <v>1</v>
      </c>
      <c r="G61" s="6">
        <f t="shared" si="18"/>
        <v>2.4418374410981376</v>
      </c>
      <c r="H61" s="6">
        <f t="shared" si="18"/>
        <v>6.5932446640456579</v>
      </c>
      <c r="I61" s="106">
        <f>SUM(I49:I60)</f>
        <v>0.23774829415842277</v>
      </c>
      <c r="J61" s="28"/>
    </row>
    <row r="62" spans="1:10" ht="12.75" customHeight="1" thickBot="1" x14ac:dyDescent="0.3">
      <c r="B62" s="4"/>
      <c r="C62" s="4"/>
      <c r="D62" s="4"/>
      <c r="E62" s="50"/>
      <c r="F62" s="50"/>
      <c r="G62" s="50"/>
      <c r="H62" s="53"/>
      <c r="I62" s="53"/>
      <c r="J62" s="9"/>
    </row>
    <row r="63" spans="1:10" ht="12.75" customHeight="1" thickBot="1" x14ac:dyDescent="0.3">
      <c r="B63" s="4"/>
      <c r="C63" s="4"/>
      <c r="D63" s="4"/>
      <c r="E63" s="50"/>
      <c r="F63" s="50"/>
      <c r="G63" s="55"/>
      <c r="H63" s="56" t="s">
        <v>29</v>
      </c>
      <c r="I63" s="52">
        <f>1-(2*I61)</f>
        <v>0.5245034116831544</v>
      </c>
      <c r="J63" s="9"/>
    </row>
    <row r="64" spans="1:10" ht="12.75" customHeight="1" x14ac:dyDescent="0.25"/>
    <row r="65" spans="2:14" ht="12.75" customHeight="1" x14ac:dyDescent="0.25"/>
    <row r="66" spans="2:14" ht="12.75" customHeight="1" x14ac:dyDescent="0.25"/>
    <row r="67" spans="2:14" ht="12.75" customHeight="1" x14ac:dyDescent="0.25"/>
    <row r="68" spans="2:14" ht="16.2" thickBot="1" x14ac:dyDescent="0.35">
      <c r="B68" s="256" t="s">
        <v>98</v>
      </c>
      <c r="C68" s="256"/>
      <c r="D68" s="256"/>
      <c r="E68" s="256"/>
      <c r="F68" s="256"/>
      <c r="G68" s="256"/>
      <c r="H68" s="256"/>
      <c r="I68" s="256"/>
    </row>
    <row r="69" spans="2:14" ht="37.200000000000003" customHeight="1" thickBot="1" x14ac:dyDescent="0.3">
      <c r="B69" s="36" t="s">
        <v>19</v>
      </c>
      <c r="C69" s="37" t="s">
        <v>289</v>
      </c>
      <c r="D69" s="37" t="s">
        <v>41</v>
      </c>
      <c r="E69" s="37" t="s">
        <v>91</v>
      </c>
      <c r="F69" s="37" t="s">
        <v>16</v>
      </c>
      <c r="G69" s="37" t="s">
        <v>92</v>
      </c>
      <c r="H69" s="37" t="s">
        <v>116</v>
      </c>
      <c r="I69" s="37" t="s">
        <v>20</v>
      </c>
      <c r="J69" s="8"/>
      <c r="K69" s="8"/>
      <c r="L69" s="8"/>
      <c r="M69" s="8"/>
      <c r="N69" s="8"/>
    </row>
    <row r="70" spans="2:14" ht="12.75" customHeight="1" x14ac:dyDescent="0.25">
      <c r="B70" s="4"/>
      <c r="C70" s="26">
        <v>0</v>
      </c>
      <c r="D70" s="26">
        <v>0</v>
      </c>
      <c r="E70" s="49">
        <f t="shared" ref="E70:E81" si="19">C70/$C$82</f>
        <v>0</v>
      </c>
      <c r="F70" s="49">
        <v>0</v>
      </c>
      <c r="G70" s="49">
        <v>0</v>
      </c>
      <c r="H70" s="50">
        <f>F70</f>
        <v>0</v>
      </c>
      <c r="I70" s="49">
        <v>0</v>
      </c>
    </row>
    <row r="71" spans="2:14" ht="12.75" customHeight="1" x14ac:dyDescent="0.25">
      <c r="B71" s="101" t="s">
        <v>195</v>
      </c>
      <c r="C71" s="29">
        <v>1.3224981196287995</v>
      </c>
      <c r="D71" s="29">
        <v>3.8753060000000001</v>
      </c>
      <c r="E71" s="49">
        <f t="shared" si="19"/>
        <v>3.4593541506786328E-3</v>
      </c>
      <c r="F71" s="49">
        <f t="shared" ref="F71:F81" si="20">D71/$D$82</f>
        <v>1.4487850841712153E-2</v>
      </c>
      <c r="G71" s="49">
        <f t="shared" ref="G71:G81" si="21">G70+E71</f>
        <v>3.4593541506786328E-3</v>
      </c>
      <c r="H71" s="50">
        <f t="shared" ref="H71:H81" si="22">F71+H70</f>
        <v>1.4487850841712153E-2</v>
      </c>
      <c r="I71" s="49">
        <f t="shared" ref="I71:I81" si="23">(G70+G71)*0.5*(H71-H70)</f>
        <v>2.5059303471844928E-5</v>
      </c>
    </row>
    <row r="72" spans="2:14" ht="12.75" customHeight="1" x14ac:dyDescent="0.25">
      <c r="B72" s="101" t="s">
        <v>3</v>
      </c>
      <c r="C72" s="29">
        <v>1.9103503028842752</v>
      </c>
      <c r="D72" s="29">
        <v>1.2901100000000001</v>
      </c>
      <c r="E72" s="49">
        <f t="shared" si="19"/>
        <v>4.9970416981672573E-3</v>
      </c>
      <c r="F72" s="49">
        <f t="shared" si="20"/>
        <v>4.8230826802841548E-3</v>
      </c>
      <c r="G72" s="49">
        <f t="shared" si="21"/>
        <v>8.4563958488458896E-3</v>
      </c>
      <c r="H72" s="50">
        <f t="shared" si="22"/>
        <v>1.931093352199631E-2</v>
      </c>
      <c r="I72" s="49">
        <f t="shared" si="23"/>
        <v>2.8735323722651335E-5</v>
      </c>
    </row>
    <row r="73" spans="2:14" ht="12.75" customHeight="1" x14ac:dyDescent="0.25">
      <c r="B73" s="101" t="s">
        <v>1</v>
      </c>
      <c r="C73" s="29">
        <v>7.1530660073489152</v>
      </c>
      <c r="D73" s="29">
        <v>6.169632</v>
      </c>
      <c r="E73" s="49">
        <f t="shared" si="19"/>
        <v>1.8710793017646148E-2</v>
      </c>
      <c r="F73" s="49">
        <f t="shared" si="20"/>
        <v>2.3065200054977395E-2</v>
      </c>
      <c r="G73" s="49">
        <f t="shared" si="21"/>
        <v>2.716718886649204E-2</v>
      </c>
      <c r="H73" s="50">
        <f t="shared" si="22"/>
        <v>4.2376133576973701E-2</v>
      </c>
      <c r="I73" s="49">
        <f t="shared" si="23"/>
        <v>4.1083255406735208E-4</v>
      </c>
    </row>
    <row r="74" spans="2:14" ht="12.75" customHeight="1" x14ac:dyDescent="0.25">
      <c r="B74" s="101" t="s">
        <v>6</v>
      </c>
      <c r="C74" s="29">
        <v>11.97256923586497</v>
      </c>
      <c r="D74" s="29">
        <v>11.426439</v>
      </c>
      <c r="E74" s="49">
        <f t="shared" si="19"/>
        <v>3.1317516800705825E-2</v>
      </c>
      <c r="F74" s="49">
        <f t="shared" si="20"/>
        <v>4.2717799287055672E-2</v>
      </c>
      <c r="G74" s="49">
        <f t="shared" si="21"/>
        <v>5.8484705667197864E-2</v>
      </c>
      <c r="H74" s="50">
        <f t="shared" si="22"/>
        <v>8.5093932864029373E-2</v>
      </c>
      <c r="I74" s="49">
        <f t="shared" si="23"/>
        <v>1.829430219623113E-3</v>
      </c>
    </row>
    <row r="75" spans="2:14" ht="12.75" customHeight="1" x14ac:dyDescent="0.25">
      <c r="B75" s="101" t="s">
        <v>8</v>
      </c>
      <c r="C75" s="29">
        <v>23.5</v>
      </c>
      <c r="D75" s="29">
        <v>10.905776556851148</v>
      </c>
      <c r="E75" s="49">
        <f t="shared" si="19"/>
        <v>6.1470652649219498E-2</v>
      </c>
      <c r="F75" s="49">
        <f t="shared" si="20"/>
        <v>4.0771300142156658E-2</v>
      </c>
      <c r="G75" s="49">
        <f t="shared" si="21"/>
        <v>0.11995535831641736</v>
      </c>
      <c r="H75" s="50">
        <f t="shared" si="22"/>
        <v>0.12586523300618602</v>
      </c>
      <c r="I75" s="49">
        <f t="shared" si="23"/>
        <v>3.6376167030308061E-3</v>
      </c>
    </row>
    <row r="76" spans="2:14" ht="12.75" customHeight="1" x14ac:dyDescent="0.25">
      <c r="B76" s="101" t="s">
        <v>5</v>
      </c>
      <c r="C76" s="29">
        <v>27.678981965070257</v>
      </c>
      <c r="D76" s="29">
        <v>19.742709999999999</v>
      </c>
      <c r="E76" s="49">
        <f t="shared" si="19"/>
        <v>7.2401918555695513E-2</v>
      </c>
      <c r="F76" s="49">
        <f t="shared" si="20"/>
        <v>7.3808219967966118E-2</v>
      </c>
      <c r="G76" s="49">
        <f t="shared" si="21"/>
        <v>0.19235727687211288</v>
      </c>
      <c r="H76" s="50">
        <f t="shared" si="22"/>
        <v>0.19967345297415212</v>
      </c>
      <c r="I76" s="49">
        <f t="shared" si="23"/>
        <v>1.1525619838385097E-2</v>
      </c>
    </row>
    <row r="77" spans="2:14" ht="12.75" customHeight="1" x14ac:dyDescent="0.25">
      <c r="B77" s="101" t="s">
        <v>7</v>
      </c>
      <c r="C77" s="29">
        <v>33.799999999999997</v>
      </c>
      <c r="D77" s="29">
        <v>36.982824999999998</v>
      </c>
      <c r="E77" s="49">
        <f t="shared" si="19"/>
        <v>8.8413108916749736E-2</v>
      </c>
      <c r="F77" s="49">
        <f t="shared" si="20"/>
        <v>0.1382604760256721</v>
      </c>
      <c r="G77" s="49">
        <f t="shared" si="21"/>
        <v>0.2807703857888626</v>
      </c>
      <c r="H77" s="50">
        <f t="shared" si="22"/>
        <v>0.33793392899982422</v>
      </c>
      <c r="I77" s="49">
        <f t="shared" si="23"/>
        <v>3.2707427930210038E-2</v>
      </c>
    </row>
    <row r="78" spans="2:14" ht="12.75" customHeight="1" x14ac:dyDescent="0.25">
      <c r="B78" s="101" t="s">
        <v>2</v>
      </c>
      <c r="C78" s="29">
        <v>56.5</v>
      </c>
      <c r="D78" s="29">
        <v>83.946549000000005</v>
      </c>
      <c r="E78" s="49">
        <f t="shared" si="19"/>
        <v>0.14779114360344262</v>
      </c>
      <c r="F78" s="49">
        <f t="shared" si="20"/>
        <v>0.31383459282660014</v>
      </c>
      <c r="G78" s="49">
        <f t="shared" si="21"/>
        <v>0.42856152939230518</v>
      </c>
      <c r="H78" s="50">
        <f t="shared" si="22"/>
        <v>0.65176852182642442</v>
      </c>
      <c r="I78" s="49">
        <f t="shared" si="23"/>
        <v>0.11130644638989715</v>
      </c>
    </row>
    <row r="79" spans="2:14" ht="12.75" customHeight="1" x14ac:dyDescent="0.25">
      <c r="B79" s="101" t="s">
        <v>9</v>
      </c>
      <c r="C79" s="29">
        <v>58.968413233176513</v>
      </c>
      <c r="D79" s="29">
        <v>11.996235</v>
      </c>
      <c r="E79" s="49">
        <f t="shared" si="19"/>
        <v>0.15424795094179711</v>
      </c>
      <c r="F79" s="49">
        <f t="shared" si="20"/>
        <v>4.4847984479709932E-2</v>
      </c>
      <c r="G79" s="49">
        <f t="shared" si="21"/>
        <v>0.58280948033410229</v>
      </c>
      <c r="H79" s="50">
        <f t="shared" si="22"/>
        <v>0.69661650630613436</v>
      </c>
      <c r="I79" s="49">
        <f t="shared" si="23"/>
        <v>2.2678975673719251E-2</v>
      </c>
    </row>
    <row r="80" spans="2:14" ht="12.75" customHeight="1" x14ac:dyDescent="0.25">
      <c r="B80" s="101" t="s">
        <v>4</v>
      </c>
      <c r="C80" s="29">
        <v>77.313145320001027</v>
      </c>
      <c r="D80" s="29">
        <v>39.232453</v>
      </c>
      <c r="E80" s="49">
        <f t="shared" si="19"/>
        <v>0.20223359579508141</v>
      </c>
      <c r="F80" s="49">
        <f t="shared" si="20"/>
        <v>0.14667072154262978</v>
      </c>
      <c r="G80" s="49">
        <f t="shared" si="21"/>
        <v>0.78504307612918367</v>
      </c>
      <c r="H80" s="50">
        <f t="shared" si="22"/>
        <v>0.8432872278487642</v>
      </c>
      <c r="I80" s="49">
        <f t="shared" si="23"/>
        <v>0.10031196071020049</v>
      </c>
    </row>
    <row r="81" spans="1:14" ht="12.75" customHeight="1" thickBot="1" x14ac:dyDescent="0.3">
      <c r="B81" s="185" t="s">
        <v>10</v>
      </c>
      <c r="C81" s="32">
        <v>82.177225932354276</v>
      </c>
      <c r="D81" s="32">
        <v>41.918567000000003</v>
      </c>
      <c r="E81" s="51">
        <f t="shared" si="19"/>
        <v>0.21495692387081627</v>
      </c>
      <c r="F81" s="51">
        <f t="shared" si="20"/>
        <v>0.15671277215123589</v>
      </c>
      <c r="G81" s="51">
        <f t="shared" si="21"/>
        <v>1</v>
      </c>
      <c r="H81" s="52">
        <f t="shared" si="22"/>
        <v>1</v>
      </c>
      <c r="I81" s="51">
        <f t="shared" si="23"/>
        <v>0.13986952443478692</v>
      </c>
    </row>
    <row r="82" spans="1:14" ht="12.75" customHeight="1" thickBot="1" x14ac:dyDescent="0.3">
      <c r="B82" s="38" t="s">
        <v>12</v>
      </c>
      <c r="C82" s="32">
        <f>SUM(C70:C81)</f>
        <v>382.29625011632902</v>
      </c>
      <c r="D82" s="32">
        <f>SUM(D70:D81)</f>
        <v>267.48660255685115</v>
      </c>
      <c r="E82" s="51">
        <f>SUM(E71:E81)</f>
        <v>1</v>
      </c>
      <c r="F82" s="51">
        <f>SUM(F71:F81)</f>
        <v>1</v>
      </c>
      <c r="G82" s="52"/>
      <c r="H82" s="52"/>
      <c r="I82" s="51">
        <f>SUM(I70:I81)</f>
        <v>0.42433162908111466</v>
      </c>
    </row>
    <row r="83" spans="1:14" ht="12.75" customHeight="1" thickBot="1" x14ac:dyDescent="0.3">
      <c r="B83" s="47"/>
      <c r="C83" s="29"/>
      <c r="D83" s="29"/>
      <c r="E83" s="26"/>
      <c r="F83" s="27"/>
      <c r="G83" s="4"/>
      <c r="H83" s="40"/>
      <c r="I83" s="34"/>
    </row>
    <row r="84" spans="1:14" ht="12.75" customHeight="1" thickBot="1" x14ac:dyDescent="0.3">
      <c r="B84" s="4"/>
      <c r="C84" s="4"/>
      <c r="D84" s="4"/>
      <c r="E84" s="4"/>
      <c r="F84" s="4"/>
      <c r="G84" s="5"/>
      <c r="H84" s="48" t="s">
        <v>37</v>
      </c>
      <c r="I84" s="61">
        <f>1-(2*I82)</f>
        <v>0.15133674183777068</v>
      </c>
    </row>
    <row r="85" spans="1:14" ht="12.75" customHeight="1" x14ac:dyDescent="0.25">
      <c r="B85" s="4"/>
      <c r="C85" s="4"/>
      <c r="D85" s="4"/>
      <c r="E85" s="4"/>
      <c r="F85" s="4"/>
      <c r="G85" s="5"/>
      <c r="H85" s="107"/>
      <c r="I85" s="108"/>
    </row>
    <row r="86" spans="1:14" ht="12.75" customHeight="1" x14ac:dyDescent="0.25">
      <c r="B86" s="4"/>
      <c r="C86" s="4"/>
      <c r="D86" s="4"/>
      <c r="E86" s="4"/>
      <c r="F86" s="4"/>
      <c r="G86" s="5"/>
      <c r="H86" s="107"/>
      <c r="I86" s="108"/>
    </row>
    <row r="87" spans="1:14" ht="12.75" customHeight="1" x14ac:dyDescent="0.25"/>
    <row r="88" spans="1:14" ht="12.75" customHeight="1" x14ac:dyDescent="0.25"/>
    <row r="89" spans="1:14" ht="23.55" customHeight="1" x14ac:dyDescent="0.25">
      <c r="A89" s="252" t="s">
        <v>113</v>
      </c>
      <c r="B89" s="252"/>
      <c r="C89" s="252"/>
      <c r="D89" s="252"/>
      <c r="E89" s="252"/>
      <c r="F89" s="252"/>
    </row>
    <row r="90" spans="1:14" ht="12.75" customHeight="1" x14ac:dyDescent="0.25">
      <c r="D90" s="1"/>
    </row>
    <row r="91" spans="1:14" ht="12.75" customHeight="1" x14ac:dyDescent="0.25"/>
    <row r="92" spans="1:14" ht="16.2" thickBot="1" x14ac:dyDescent="0.35">
      <c r="B92" s="256" t="s">
        <v>99</v>
      </c>
      <c r="C92" s="256"/>
      <c r="D92" s="256"/>
      <c r="E92" s="256"/>
      <c r="F92" s="256"/>
      <c r="G92" s="256"/>
      <c r="H92" s="256"/>
      <c r="I92" s="256"/>
    </row>
    <row r="93" spans="1:14" ht="27" thickBot="1" x14ac:dyDescent="0.3">
      <c r="A93" s="8"/>
      <c r="B93" s="36" t="s">
        <v>19</v>
      </c>
      <c r="C93" s="37" t="s">
        <v>270</v>
      </c>
      <c r="D93" s="37" t="s">
        <v>44</v>
      </c>
      <c r="E93" s="37" t="s">
        <v>27</v>
      </c>
      <c r="F93" s="37" t="s">
        <v>21</v>
      </c>
      <c r="G93" s="37" t="s">
        <v>28</v>
      </c>
      <c r="H93" s="37" t="s">
        <v>117</v>
      </c>
      <c r="I93" s="37" t="s">
        <v>20</v>
      </c>
      <c r="J93" s="8"/>
      <c r="K93" s="8"/>
      <c r="L93" s="8"/>
      <c r="M93" s="8"/>
      <c r="N93" s="8"/>
    </row>
    <row r="94" spans="1:14" ht="12.75" customHeight="1" x14ac:dyDescent="0.25">
      <c r="B94" s="4"/>
      <c r="C94" s="26">
        <v>0</v>
      </c>
      <c r="D94" s="26">
        <v>0</v>
      </c>
      <c r="E94" s="49">
        <v>0</v>
      </c>
      <c r="F94" s="49">
        <v>0</v>
      </c>
      <c r="G94" s="49">
        <v>0</v>
      </c>
      <c r="H94" s="50">
        <f>F94</f>
        <v>0</v>
      </c>
      <c r="I94" s="49">
        <v>0</v>
      </c>
    </row>
    <row r="95" spans="1:14" ht="12.75" customHeight="1" x14ac:dyDescent="0.25">
      <c r="B95" s="21" t="s">
        <v>2</v>
      </c>
      <c r="C95" s="29">
        <v>4.4920799454716969</v>
      </c>
      <c r="D95" s="29">
        <v>33738.127951375733</v>
      </c>
      <c r="E95" s="49">
        <f t="shared" ref="E95:E105" si="24">C95/$C$106</f>
        <v>2.0572122059260146E-3</v>
      </c>
      <c r="F95" s="49">
        <f t="shared" ref="F95:F105" si="25">D95/$D$106</f>
        <v>6.1580410728501248E-2</v>
      </c>
      <c r="G95" s="49">
        <f t="shared" ref="G95:G105" si="26">G94+E95</f>
        <v>2.0572122059260146E-3</v>
      </c>
      <c r="H95" s="50">
        <f t="shared" ref="H95:H105" si="27">F95+H94</f>
        <v>6.1580410728501248E-2</v>
      </c>
      <c r="I95" s="49">
        <f t="shared" ref="I95:I105" si="28">(G94+G95)*0.5*(H95-H94)</f>
        <v>6.3341986298305034E-5</v>
      </c>
    </row>
    <row r="96" spans="1:14" ht="12.75" customHeight="1" x14ac:dyDescent="0.25">
      <c r="B96" s="21" t="s">
        <v>3</v>
      </c>
      <c r="C96" s="29">
        <v>14.349918475935281</v>
      </c>
      <c r="D96" s="29">
        <v>4739.5256339269945</v>
      </c>
      <c r="E96" s="49">
        <f t="shared" si="24"/>
        <v>6.5717502362121075E-3</v>
      </c>
      <c r="F96" s="49">
        <f t="shared" si="25"/>
        <v>8.6508040877704764E-3</v>
      </c>
      <c r="G96" s="49">
        <f t="shared" si="26"/>
        <v>8.6289624421381217E-3</v>
      </c>
      <c r="H96" s="50">
        <f t="shared" si="27"/>
        <v>7.0231214816271731E-2</v>
      </c>
      <c r="I96" s="49">
        <f t="shared" si="28"/>
        <v>4.6222001664051267E-5</v>
      </c>
    </row>
    <row r="97" spans="2:9" ht="12.75" customHeight="1" x14ac:dyDescent="0.25">
      <c r="B97" s="21" t="s">
        <v>1</v>
      </c>
      <c r="C97" s="29">
        <v>19.81100613627877</v>
      </c>
      <c r="D97" s="29">
        <v>7498.2226388555227</v>
      </c>
      <c r="E97" s="49">
        <f t="shared" si="24"/>
        <v>9.07273337294719E-3</v>
      </c>
      <c r="F97" s="49">
        <f t="shared" si="25"/>
        <v>1.3686107021111144E-2</v>
      </c>
      <c r="G97" s="49">
        <f t="shared" si="26"/>
        <v>1.7701695815085312E-2</v>
      </c>
      <c r="H97" s="50">
        <f t="shared" si="27"/>
        <v>8.3917321837382874E-2</v>
      </c>
      <c r="I97" s="49">
        <f t="shared" si="28"/>
        <v>1.8018210342233187E-4</v>
      </c>
    </row>
    <row r="98" spans="2:9" ht="12.75" customHeight="1" x14ac:dyDescent="0.25">
      <c r="B98" s="21" t="s">
        <v>195</v>
      </c>
      <c r="C98" s="29">
        <v>27.244562190582403</v>
      </c>
      <c r="D98" s="29">
        <v>4549.0211045835586</v>
      </c>
      <c r="E98" s="49">
        <f t="shared" si="24"/>
        <v>1.2477036598619828E-2</v>
      </c>
      <c r="F98" s="49">
        <f t="shared" si="25"/>
        <v>8.3030863015460567E-3</v>
      </c>
      <c r="G98" s="49">
        <f t="shared" si="26"/>
        <v>3.0178732413705139E-2</v>
      </c>
      <c r="H98" s="50">
        <f t="shared" si="27"/>
        <v>9.2220408138928928E-2</v>
      </c>
      <c r="I98" s="49">
        <f t="shared" si="28"/>
        <v>1.9877766386931447E-4</v>
      </c>
    </row>
    <row r="99" spans="2:9" ht="12.75" customHeight="1" x14ac:dyDescent="0.25">
      <c r="B99" s="21" t="s">
        <v>6</v>
      </c>
      <c r="C99" s="29">
        <v>27.762864026902566</v>
      </c>
      <c r="D99" s="29">
        <v>12709.055149886017</v>
      </c>
      <c r="E99" s="49">
        <f t="shared" si="24"/>
        <v>1.2714400331450664E-2</v>
      </c>
      <c r="F99" s="49">
        <f t="shared" si="25"/>
        <v>2.3197162487174745E-2</v>
      </c>
      <c r="G99" s="49">
        <f t="shared" si="26"/>
        <v>4.2893132745155806E-2</v>
      </c>
      <c r="H99" s="50">
        <f t="shared" si="27"/>
        <v>0.11541757062610367</v>
      </c>
      <c r="I99" s="49">
        <f t="shared" si="28"/>
        <v>8.4752996466550988E-4</v>
      </c>
    </row>
    <row r="100" spans="2:9" ht="12.75" customHeight="1" x14ac:dyDescent="0.25">
      <c r="B100" s="21" t="s">
        <v>5</v>
      </c>
      <c r="C100" s="29">
        <v>83.428364274259323</v>
      </c>
      <c r="D100" s="29">
        <v>34543.134541376516</v>
      </c>
      <c r="E100" s="49">
        <f t="shared" si="24"/>
        <v>3.8207211667829283E-2</v>
      </c>
      <c r="F100" s="49">
        <f t="shared" si="25"/>
        <v>6.3049746446323052E-2</v>
      </c>
      <c r="G100" s="49">
        <f t="shared" si="26"/>
        <v>8.1100344412985081E-2</v>
      </c>
      <c r="H100" s="50">
        <f t="shared" si="27"/>
        <v>0.17846731707242672</v>
      </c>
      <c r="I100" s="49">
        <f t="shared" si="28"/>
        <v>3.9088786479093661E-3</v>
      </c>
    </row>
    <row r="101" spans="2:9" ht="12.75" customHeight="1" x14ac:dyDescent="0.25">
      <c r="B101" s="21" t="s">
        <v>9</v>
      </c>
      <c r="C101" s="29">
        <v>162.7577156565315</v>
      </c>
      <c r="D101" s="29">
        <v>43226.930239887697</v>
      </c>
      <c r="E101" s="49">
        <f t="shared" si="24"/>
        <v>7.4537221804073045E-2</v>
      </c>
      <c r="F101" s="49">
        <f t="shared" si="25"/>
        <v>7.8899816923481969E-2</v>
      </c>
      <c r="G101" s="49">
        <f t="shared" si="26"/>
        <v>0.15563756621705813</v>
      </c>
      <c r="H101" s="50">
        <f t="shared" si="27"/>
        <v>0.25736713399590871</v>
      </c>
      <c r="I101" s="49">
        <f t="shared" si="28"/>
        <v>9.339288903779025E-3</v>
      </c>
    </row>
    <row r="102" spans="2:9" ht="12.75" customHeight="1" x14ac:dyDescent="0.25">
      <c r="B102" s="21" t="s">
        <v>10</v>
      </c>
      <c r="C102" s="29">
        <v>330.96219581347026</v>
      </c>
      <c r="D102" s="29">
        <v>69411.089457609574</v>
      </c>
      <c r="E102" s="49">
        <f t="shared" si="24"/>
        <v>0.15156886724910063</v>
      </c>
      <c r="F102" s="49">
        <f t="shared" si="25"/>
        <v>0.12669237024865945</v>
      </c>
      <c r="G102" s="49">
        <f t="shared" si="26"/>
        <v>0.30720643346615872</v>
      </c>
      <c r="H102" s="50">
        <f t="shared" si="27"/>
        <v>0.38405950424456814</v>
      </c>
      <c r="I102" s="49">
        <f t="shared" si="28"/>
        <v>2.9319401687618259E-2</v>
      </c>
    </row>
    <row r="103" spans="2:9" ht="12.75" customHeight="1" x14ac:dyDescent="0.25">
      <c r="B103" s="21" t="s">
        <v>7</v>
      </c>
      <c r="C103" s="29">
        <v>416.80308732067164</v>
      </c>
      <c r="D103" s="29">
        <v>179268.67227891536</v>
      </c>
      <c r="E103" s="49">
        <f t="shared" si="24"/>
        <v>0.19088093023992125</v>
      </c>
      <c r="F103" s="49">
        <f t="shared" si="25"/>
        <v>0.327209573856588</v>
      </c>
      <c r="G103" s="49">
        <f t="shared" si="26"/>
        <v>0.49808736370607998</v>
      </c>
      <c r="H103" s="50">
        <f t="shared" si="27"/>
        <v>0.71126907810115614</v>
      </c>
      <c r="I103" s="49">
        <f t="shared" si="28"/>
        <v>0.13174992010104092</v>
      </c>
    </row>
    <row r="104" spans="2:9" ht="12.75" customHeight="1" x14ac:dyDescent="0.25">
      <c r="B104" s="21" t="s">
        <v>4</v>
      </c>
      <c r="C104" s="29">
        <v>448.50336533961865</v>
      </c>
      <c r="D104" s="29">
        <v>149774.72401466093</v>
      </c>
      <c r="E104" s="49">
        <f t="shared" si="24"/>
        <v>0.20539852557736976</v>
      </c>
      <c r="F104" s="49">
        <f t="shared" si="25"/>
        <v>0.273375838602054</v>
      </c>
      <c r="G104" s="49">
        <f t="shared" si="26"/>
        <v>0.70348588928344968</v>
      </c>
      <c r="H104" s="50">
        <f t="shared" si="27"/>
        <v>0.98464491670321008</v>
      </c>
      <c r="I104" s="49">
        <f t="shared" si="28"/>
        <v>0.16424054783890529</v>
      </c>
    </row>
    <row r="105" spans="2:9" ht="12.75" customHeight="1" thickBot="1" x14ac:dyDescent="0.3">
      <c r="B105" s="22" t="s">
        <v>8</v>
      </c>
      <c r="C105" s="32">
        <v>647.46120330334657</v>
      </c>
      <c r="D105" s="32">
        <v>8412.6065227973904</v>
      </c>
      <c r="E105" s="51">
        <f t="shared" si="24"/>
        <v>0.29651411071655015</v>
      </c>
      <c r="F105" s="51">
        <f t="shared" si="25"/>
        <v>1.5355083296789959E-2</v>
      </c>
      <c r="G105" s="51">
        <f t="shared" si="26"/>
        <v>0.99999999999999978</v>
      </c>
      <c r="H105" s="52">
        <f t="shared" si="27"/>
        <v>1</v>
      </c>
      <c r="I105" s="51">
        <f t="shared" si="28"/>
        <v>1.3078583862426807E-2</v>
      </c>
    </row>
    <row r="106" spans="2:9" ht="12.75" customHeight="1" thickBot="1" x14ac:dyDescent="0.3">
      <c r="B106" s="38" t="s">
        <v>12</v>
      </c>
      <c r="C106" s="32">
        <f>SUM(C95:C105)</f>
        <v>2183.5763624830688</v>
      </c>
      <c r="D106" s="32">
        <f>SUM(D94:D105)</f>
        <v>547871.10953387525</v>
      </c>
      <c r="E106" s="39">
        <f>SUM(E95:E105)</f>
        <v>0.99999999999999978</v>
      </c>
      <c r="F106" s="33">
        <f>SUM(F95:F105)</f>
        <v>1</v>
      </c>
      <c r="G106" s="40"/>
      <c r="H106" s="40"/>
      <c r="I106" s="51">
        <f>SUM(I94:I105)</f>
        <v>0.35297267476159921</v>
      </c>
    </row>
    <row r="107" spans="2:9" ht="12.75" customHeight="1" thickBot="1" x14ac:dyDescent="0.3">
      <c r="B107" s="4"/>
      <c r="C107" s="4"/>
      <c r="D107" s="4"/>
      <c r="E107" s="4"/>
      <c r="F107" s="4"/>
      <c r="G107" s="4"/>
      <c r="H107" s="7"/>
      <c r="I107" s="53"/>
    </row>
    <row r="108" spans="2:9" ht="12.75" customHeight="1" thickBot="1" x14ac:dyDescent="0.3">
      <c r="B108" s="4"/>
      <c r="C108" s="4"/>
      <c r="D108" s="4"/>
      <c r="E108" s="4"/>
      <c r="F108" s="4"/>
      <c r="G108" s="5"/>
      <c r="H108" s="24" t="s">
        <v>29</v>
      </c>
      <c r="I108" s="52">
        <f>1-(2*I106)</f>
        <v>0.29405465047680157</v>
      </c>
    </row>
    <row r="109" spans="2:9" ht="12.75" customHeight="1" x14ac:dyDescent="0.25"/>
    <row r="110" spans="2:9" ht="12.75" customHeight="1" x14ac:dyDescent="0.25"/>
    <row r="111" spans="2:9" ht="12.75" customHeight="1" x14ac:dyDescent="0.25"/>
    <row r="112" spans="2:9" ht="12.75" customHeight="1" x14ac:dyDescent="0.25"/>
    <row r="113" spans="1:14" ht="16.2" thickBot="1" x14ac:dyDescent="0.35">
      <c r="B113" s="256" t="s">
        <v>100</v>
      </c>
      <c r="C113" s="256"/>
      <c r="D113" s="256"/>
      <c r="E113" s="256"/>
      <c r="F113" s="256"/>
      <c r="G113" s="256"/>
      <c r="H113" s="256"/>
      <c r="I113" s="256"/>
    </row>
    <row r="114" spans="1:14" ht="27" thickBot="1" x14ac:dyDescent="0.3">
      <c r="A114" s="8"/>
      <c r="B114" s="30" t="s">
        <v>19</v>
      </c>
      <c r="C114" s="31" t="s">
        <v>290</v>
      </c>
      <c r="D114" s="31" t="s">
        <v>44</v>
      </c>
      <c r="E114" s="31" t="s">
        <v>31</v>
      </c>
      <c r="F114" s="31" t="s">
        <v>21</v>
      </c>
      <c r="G114" s="31" t="s">
        <v>32</v>
      </c>
      <c r="H114" s="31" t="s">
        <v>117</v>
      </c>
      <c r="I114" s="31" t="s">
        <v>20</v>
      </c>
      <c r="J114" s="8"/>
      <c r="K114" s="8"/>
      <c r="L114" s="8"/>
      <c r="M114" s="8"/>
      <c r="N114" s="8"/>
    </row>
    <row r="115" spans="1:14" ht="12.75" customHeight="1" x14ac:dyDescent="0.25">
      <c r="B115" s="4"/>
      <c r="C115" s="26">
        <v>0</v>
      </c>
      <c r="D115" s="26">
        <v>0</v>
      </c>
      <c r="E115" s="49">
        <f t="shared" ref="E115:E126" si="29">C115/$C$127</f>
        <v>0</v>
      </c>
      <c r="F115" s="49">
        <v>0</v>
      </c>
      <c r="G115" s="49">
        <v>0</v>
      </c>
      <c r="H115" s="50">
        <f>F115</f>
        <v>0</v>
      </c>
      <c r="I115" s="49">
        <v>0</v>
      </c>
    </row>
    <row r="116" spans="1:14" ht="12.75" customHeight="1" x14ac:dyDescent="0.25">
      <c r="B116" s="21" t="s">
        <v>3</v>
      </c>
      <c r="C116" s="29">
        <v>12.495254145281351</v>
      </c>
      <c r="D116" s="29">
        <v>4739.5256339269945</v>
      </c>
      <c r="E116" s="49">
        <f t="shared" si="29"/>
        <v>5.6387986055587242E-3</v>
      </c>
      <c r="F116" s="49">
        <f>D116/$D$127</f>
        <v>8.6508040877704764E-3</v>
      </c>
      <c r="G116" s="49">
        <f t="shared" ref="G116:G126" si="30">G115+E116</f>
        <v>5.6387986055587242E-3</v>
      </c>
      <c r="H116" s="50">
        <f t="shared" ref="H116:H126" si="31">F116+H115</f>
        <v>8.6508040877704764E-3</v>
      </c>
      <c r="I116" s="49">
        <f t="shared" ref="I116:I126" si="32">(G115+G116)*0.5*(H116-H115)</f>
        <v>2.4390071013540936E-5</v>
      </c>
    </row>
    <row r="117" spans="1:14" ht="12.75" customHeight="1" x14ac:dyDescent="0.25">
      <c r="B117" s="21" t="s">
        <v>1</v>
      </c>
      <c r="C117" s="29">
        <v>12.678271607557253</v>
      </c>
      <c r="D117" s="29">
        <v>7498.2226388555227</v>
      </c>
      <c r="E117" s="49">
        <f t="shared" si="29"/>
        <v>5.7213898517290938E-3</v>
      </c>
      <c r="F117" s="49">
        <f t="shared" ref="F117:F126" si="33">D117/$D$127</f>
        <v>1.3686107021111144E-2</v>
      </c>
      <c r="G117" s="49">
        <f t="shared" si="30"/>
        <v>1.1360188457287819E-2</v>
      </c>
      <c r="H117" s="50">
        <f t="shared" si="31"/>
        <v>2.233691110888162E-2</v>
      </c>
      <c r="I117" s="49">
        <f t="shared" si="32"/>
        <v>1.1632497809630079E-4</v>
      </c>
    </row>
    <row r="118" spans="1:14" ht="12.75" customHeight="1" x14ac:dyDescent="0.25">
      <c r="B118" s="21" t="s">
        <v>6</v>
      </c>
      <c r="C118" s="29">
        <v>19.681066838943018</v>
      </c>
      <c r="D118" s="29">
        <v>12709.055149886017</v>
      </c>
      <c r="E118" s="49">
        <f t="shared" si="29"/>
        <v>8.8815778340330109E-3</v>
      </c>
      <c r="F118" s="49">
        <f t="shared" si="33"/>
        <v>2.3197162487174745E-2</v>
      </c>
      <c r="G118" s="49">
        <f t="shared" si="30"/>
        <v>2.024176629132083E-2</v>
      </c>
      <c r="H118" s="50">
        <f t="shared" si="31"/>
        <v>4.5534073596056365E-2</v>
      </c>
      <c r="I118" s="49">
        <f t="shared" si="32"/>
        <v>3.6653783960790919E-4</v>
      </c>
    </row>
    <row r="119" spans="1:14" ht="12.75" customHeight="1" x14ac:dyDescent="0.25">
      <c r="B119" s="21" t="s">
        <v>195</v>
      </c>
      <c r="C119" s="29">
        <v>26.084130370190923</v>
      </c>
      <c r="D119" s="29">
        <v>4549.0211045835586</v>
      </c>
      <c r="E119" s="49">
        <f t="shared" si="29"/>
        <v>1.1771121759391212E-2</v>
      </c>
      <c r="F119" s="49">
        <f t="shared" si="33"/>
        <v>8.3030863015460567E-3</v>
      </c>
      <c r="G119" s="49">
        <f t="shared" si="30"/>
        <v>3.2012888050712042E-2</v>
      </c>
      <c r="H119" s="50">
        <f t="shared" si="31"/>
        <v>5.3837159897602418E-2</v>
      </c>
      <c r="I119" s="49">
        <f t="shared" si="32"/>
        <v>2.1693745232967857E-4</v>
      </c>
    </row>
    <row r="120" spans="1:14" ht="12.75" customHeight="1" x14ac:dyDescent="0.25">
      <c r="B120" s="21" t="s">
        <v>5</v>
      </c>
      <c r="C120" s="29">
        <v>57.060380284925856</v>
      </c>
      <c r="D120" s="29">
        <v>34543.134541376516</v>
      </c>
      <c r="E120" s="49">
        <f t="shared" si="29"/>
        <v>2.5749935859031358E-2</v>
      </c>
      <c r="F120" s="49">
        <f t="shared" si="33"/>
        <v>6.3049746446323052E-2</v>
      </c>
      <c r="G120" s="49">
        <f t="shared" si="30"/>
        <v>5.7762823909743397E-2</v>
      </c>
      <c r="H120" s="50">
        <f t="shared" si="31"/>
        <v>0.11688690634392547</v>
      </c>
      <c r="I120" s="49">
        <f t="shared" si="32"/>
        <v>2.8301679380724237E-3</v>
      </c>
    </row>
    <row r="121" spans="1:14" ht="12.75" customHeight="1" x14ac:dyDescent="0.25">
      <c r="B121" s="21" t="s">
        <v>2</v>
      </c>
      <c r="C121" s="29">
        <v>68.224789784349042</v>
      </c>
      <c r="D121" s="29">
        <v>33738.127951375733</v>
      </c>
      <c r="E121" s="49">
        <f t="shared" si="29"/>
        <v>3.0788157249750939E-2</v>
      </c>
      <c r="F121" s="49">
        <f t="shared" si="33"/>
        <v>6.1580410728501248E-2</v>
      </c>
      <c r="G121" s="49">
        <f t="shared" si="30"/>
        <v>8.8550981159494335E-2</v>
      </c>
      <c r="H121" s="50">
        <f t="shared" si="31"/>
        <v>0.17846731707242672</v>
      </c>
      <c r="I121" s="49">
        <f t="shared" si="32"/>
        <v>4.5050321057067645E-3</v>
      </c>
    </row>
    <row r="122" spans="1:14" ht="12.75" customHeight="1" x14ac:dyDescent="0.25">
      <c r="B122" s="21" t="s">
        <v>9</v>
      </c>
      <c r="C122" s="29">
        <v>115.09356267302397</v>
      </c>
      <c r="D122" s="29">
        <v>43226.930239887697</v>
      </c>
      <c r="E122" s="49">
        <f t="shared" si="29"/>
        <v>5.1938873204472963E-2</v>
      </c>
      <c r="F122" s="49">
        <f>D122/$D$127</f>
        <v>7.8899816923481969E-2</v>
      </c>
      <c r="G122" s="49">
        <f t="shared" si="30"/>
        <v>0.1404898543639673</v>
      </c>
      <c r="H122" s="50">
        <f t="shared" si="31"/>
        <v>0.25736713399590871</v>
      </c>
      <c r="I122" s="49">
        <f t="shared" si="32"/>
        <v>9.035639995401237E-3</v>
      </c>
    </row>
    <row r="123" spans="1:14" ht="12.75" customHeight="1" x14ac:dyDescent="0.25">
      <c r="B123" s="21" t="s">
        <v>10</v>
      </c>
      <c r="C123" s="29">
        <v>275.60885090207972</v>
      </c>
      <c r="D123" s="29">
        <v>69411.089457609574</v>
      </c>
      <c r="E123" s="49">
        <f t="shared" si="29"/>
        <v>0.12437544575539296</v>
      </c>
      <c r="F123" s="49">
        <f t="shared" si="33"/>
        <v>0.12669237024865945</v>
      </c>
      <c r="G123" s="49">
        <f t="shared" si="30"/>
        <v>0.26486530011936027</v>
      </c>
      <c r="H123" s="50">
        <f t="shared" si="31"/>
        <v>0.38405950424456814</v>
      </c>
      <c r="I123" s="49">
        <f t="shared" si="32"/>
        <v>2.567770265700214E-2</v>
      </c>
    </row>
    <row r="124" spans="1:14" ht="12.75" customHeight="1" x14ac:dyDescent="0.25">
      <c r="B124" s="21" t="s">
        <v>4</v>
      </c>
      <c r="C124" s="29">
        <v>371.80449767139828</v>
      </c>
      <c r="D124" s="29">
        <v>149774.72401466093</v>
      </c>
      <c r="E124" s="49">
        <f>C124/$C$127</f>
        <v>0.16778615773906982</v>
      </c>
      <c r="F124" s="49">
        <f t="shared" si="33"/>
        <v>0.273375838602054</v>
      </c>
      <c r="G124" s="49">
        <f t="shared" si="30"/>
        <v>0.43265145785843007</v>
      </c>
      <c r="H124" s="50">
        <f t="shared" si="31"/>
        <v>0.65743534284662219</v>
      </c>
      <c r="I124" s="49">
        <f t="shared" si="32"/>
        <v>9.5342114325582206E-2</v>
      </c>
    </row>
    <row r="125" spans="1:14" ht="12.75" customHeight="1" x14ac:dyDescent="0.25">
      <c r="B125" s="21" t="s">
        <v>7</v>
      </c>
      <c r="C125" s="29">
        <v>477.69664528568518</v>
      </c>
      <c r="D125" s="29">
        <v>179268.67227891536</v>
      </c>
      <c r="E125" s="49">
        <f>C125/$C$127</f>
        <v>0.21557266030753078</v>
      </c>
      <c r="F125" s="49">
        <f t="shared" si="33"/>
        <v>0.327209573856588</v>
      </c>
      <c r="G125" s="49">
        <f t="shared" si="30"/>
        <v>0.64822411816596082</v>
      </c>
      <c r="H125" s="50">
        <f t="shared" si="31"/>
        <v>0.98464491670321019</v>
      </c>
      <c r="I125" s="49">
        <f t="shared" si="32"/>
        <v>0.17683641831146751</v>
      </c>
    </row>
    <row r="126" spans="1:14" ht="12.75" customHeight="1" thickBot="1" x14ac:dyDescent="0.3">
      <c r="B126" s="22" t="s">
        <v>8</v>
      </c>
      <c r="C126" s="32">
        <v>779.51516859702542</v>
      </c>
      <c r="D126" s="32">
        <v>8412.6065227973904</v>
      </c>
      <c r="E126" s="51">
        <f t="shared" si="29"/>
        <v>0.35177588183403924</v>
      </c>
      <c r="F126" s="51">
        <f t="shared" si="33"/>
        <v>1.5355083296789959E-2</v>
      </c>
      <c r="G126" s="51">
        <f t="shared" si="30"/>
        <v>1</v>
      </c>
      <c r="H126" s="52">
        <f t="shared" si="31"/>
        <v>1.0000000000000002</v>
      </c>
      <c r="I126" s="51">
        <f t="shared" si="32"/>
        <v>1.2654309313108311E-2</v>
      </c>
    </row>
    <row r="127" spans="1:14" ht="12.75" customHeight="1" thickBot="1" x14ac:dyDescent="0.3">
      <c r="B127" s="38" t="s">
        <v>12</v>
      </c>
      <c r="C127" s="32">
        <f>SUM(C115:C126)</f>
        <v>2215.9426181604599</v>
      </c>
      <c r="D127" s="32">
        <f>SUM(D115:D126)</f>
        <v>547871.10953387525</v>
      </c>
      <c r="E127" s="51">
        <f>SUM(E116:E126)</f>
        <v>1</v>
      </c>
      <c r="F127" s="51">
        <f>SUM(F116:F126)</f>
        <v>1.0000000000000002</v>
      </c>
      <c r="G127" s="52"/>
      <c r="H127" s="52"/>
      <c r="I127" s="51">
        <f>SUM(I115:I126)</f>
        <v>0.32760557498738802</v>
      </c>
    </row>
    <row r="128" spans="1:14" ht="12.75" customHeight="1" thickBot="1" x14ac:dyDescent="0.3">
      <c r="B128" s="4"/>
      <c r="C128" s="4"/>
      <c r="D128" s="4"/>
      <c r="E128" s="50"/>
      <c r="F128" s="50"/>
      <c r="G128" s="50"/>
      <c r="H128" s="53"/>
      <c r="I128" s="53"/>
    </row>
    <row r="129" spans="1:14" ht="12.75" customHeight="1" thickBot="1" x14ac:dyDescent="0.3">
      <c r="B129" s="4"/>
      <c r="C129" s="4"/>
      <c r="D129" s="4"/>
      <c r="E129" s="50"/>
      <c r="F129" s="50"/>
      <c r="G129" s="55"/>
      <c r="H129" s="56" t="s">
        <v>29</v>
      </c>
      <c r="I129" s="52">
        <f>1-(2*I127)</f>
        <v>0.34478885002522397</v>
      </c>
    </row>
    <row r="130" spans="1:14" ht="12.75" customHeight="1" x14ac:dyDescent="0.25"/>
    <row r="131" spans="1:14" ht="12.75" customHeight="1" x14ac:dyDescent="0.25"/>
    <row r="132" spans="1:14" ht="12.75" customHeight="1" x14ac:dyDescent="0.25"/>
    <row r="133" spans="1:14" ht="12.75" customHeight="1" x14ac:dyDescent="0.25"/>
    <row r="134" spans="1:14" ht="16.2" thickBot="1" x14ac:dyDescent="0.35">
      <c r="B134" s="256" t="s">
        <v>105</v>
      </c>
      <c r="C134" s="256"/>
      <c r="D134" s="256"/>
      <c r="E134" s="256"/>
      <c r="F134" s="256"/>
      <c r="G134" s="256"/>
      <c r="H134" s="256"/>
      <c r="I134" s="256"/>
    </row>
    <row r="135" spans="1:14" ht="27" thickBot="1" x14ac:dyDescent="0.3">
      <c r="A135" s="8"/>
      <c r="B135" s="30" t="s">
        <v>19</v>
      </c>
      <c r="C135" s="31" t="s">
        <v>288</v>
      </c>
      <c r="D135" s="31" t="s">
        <v>34</v>
      </c>
      <c r="E135" s="31" t="s">
        <v>15</v>
      </c>
      <c r="F135" s="31" t="s">
        <v>21</v>
      </c>
      <c r="G135" s="31" t="s">
        <v>17</v>
      </c>
      <c r="H135" s="31" t="s">
        <v>117</v>
      </c>
      <c r="I135" s="31" t="s">
        <v>20</v>
      </c>
      <c r="J135" s="8"/>
      <c r="K135" s="8"/>
      <c r="L135" s="8"/>
      <c r="M135" s="8"/>
      <c r="N135" s="8"/>
    </row>
    <row r="136" spans="1:14" ht="12.75" customHeight="1" x14ac:dyDescent="0.25">
      <c r="B136" s="4"/>
      <c r="C136" s="26">
        <v>0</v>
      </c>
      <c r="D136" s="26">
        <v>0</v>
      </c>
      <c r="E136" s="49">
        <v>0</v>
      </c>
      <c r="F136" s="49">
        <v>0</v>
      </c>
      <c r="G136" s="49">
        <v>0</v>
      </c>
      <c r="H136" s="50">
        <f>F136</f>
        <v>0</v>
      </c>
      <c r="I136" s="49">
        <v>0</v>
      </c>
    </row>
    <row r="137" spans="1:14" ht="12.75" customHeight="1" x14ac:dyDescent="0.25">
      <c r="B137" s="18" t="s">
        <v>2</v>
      </c>
      <c r="C137" s="29">
        <v>0</v>
      </c>
      <c r="D137" s="29">
        <v>33738.127951375733</v>
      </c>
      <c r="E137" s="49">
        <f>C137/$C$148</f>
        <v>0</v>
      </c>
      <c r="F137" s="49">
        <f>D137/$D$148</f>
        <v>6.1580410728501248E-2</v>
      </c>
      <c r="G137" s="49">
        <f t="shared" ref="G137:G147" si="34">G136+E137</f>
        <v>0</v>
      </c>
      <c r="H137" s="50">
        <f t="shared" ref="H137:H147" si="35">F137+H136</f>
        <v>6.1580410728501248E-2</v>
      </c>
      <c r="I137" s="49">
        <f t="shared" ref="I137:I147" si="36">(G136+G137)*0.5*(H137-H136)</f>
        <v>0</v>
      </c>
    </row>
    <row r="138" spans="1:14" ht="12.75" customHeight="1" x14ac:dyDescent="0.25">
      <c r="B138" s="18" t="s">
        <v>7</v>
      </c>
      <c r="C138" s="29">
        <v>0</v>
      </c>
      <c r="D138" s="29">
        <v>179268.67227891536</v>
      </c>
      <c r="E138" s="49">
        <f t="shared" ref="E138:E147" si="37">C138/$C$148</f>
        <v>0</v>
      </c>
      <c r="F138" s="49">
        <f t="shared" ref="F138:F147" si="38">D138/$D$148</f>
        <v>0.327209573856588</v>
      </c>
      <c r="G138" s="49">
        <f t="shared" si="34"/>
        <v>0</v>
      </c>
      <c r="H138" s="50">
        <f t="shared" si="35"/>
        <v>0.38878998458508923</v>
      </c>
      <c r="I138" s="49">
        <f t="shared" si="36"/>
        <v>0</v>
      </c>
    </row>
    <row r="139" spans="1:14" ht="12.75" customHeight="1" x14ac:dyDescent="0.25">
      <c r="B139" s="18" t="s">
        <v>8</v>
      </c>
      <c r="C139" s="29">
        <v>0</v>
      </c>
      <c r="D139" s="29">
        <v>8412.6065227973904</v>
      </c>
      <c r="E139" s="49">
        <f t="shared" si="37"/>
        <v>0</v>
      </c>
      <c r="F139" s="49">
        <f t="shared" si="38"/>
        <v>1.5355083296789959E-2</v>
      </c>
      <c r="G139" s="49">
        <f t="shared" si="34"/>
        <v>0</v>
      </c>
      <c r="H139" s="50">
        <f t="shared" si="35"/>
        <v>0.40414506788187921</v>
      </c>
      <c r="I139" s="49">
        <f t="shared" si="36"/>
        <v>0</v>
      </c>
    </row>
    <row r="140" spans="1:14" ht="12.75" customHeight="1" x14ac:dyDescent="0.25">
      <c r="B140" s="18" t="s">
        <v>195</v>
      </c>
      <c r="C140" s="29">
        <v>1.3224981196287995</v>
      </c>
      <c r="D140" s="29">
        <v>4549.0211045835586</v>
      </c>
      <c r="E140" s="49">
        <f t="shared" si="37"/>
        <v>5.4290577913134646E-3</v>
      </c>
      <c r="F140" s="49">
        <f t="shared" si="38"/>
        <v>8.3030863015460567E-3</v>
      </c>
      <c r="G140" s="49">
        <f t="shared" si="34"/>
        <v>5.4290577913134646E-3</v>
      </c>
      <c r="H140" s="50">
        <f t="shared" si="35"/>
        <v>0.41244815418342529</v>
      </c>
      <c r="I140" s="49">
        <f t="shared" si="36"/>
        <v>2.2538967688678425E-5</v>
      </c>
    </row>
    <row r="141" spans="1:14" ht="12.75" customHeight="1" x14ac:dyDescent="0.25">
      <c r="B141" s="18" t="s">
        <v>3</v>
      </c>
      <c r="C141" s="29">
        <v>1.9103503028842752</v>
      </c>
      <c r="D141" s="29">
        <v>4739.5256339269945</v>
      </c>
      <c r="E141" s="49">
        <f t="shared" si="37"/>
        <v>7.8422812418992086E-3</v>
      </c>
      <c r="F141" s="49">
        <f t="shared" si="38"/>
        <v>8.6508040877704764E-3</v>
      </c>
      <c r="G141" s="49">
        <f t="shared" si="34"/>
        <v>1.3271339033212672E-2</v>
      </c>
      <c r="H141" s="50">
        <f t="shared" si="35"/>
        <v>0.42109895827119576</v>
      </c>
      <c r="I141" s="49">
        <f t="shared" si="36"/>
        <v>8.0886734646270302E-5</v>
      </c>
    </row>
    <row r="142" spans="1:14" ht="12.75" customHeight="1" x14ac:dyDescent="0.25">
      <c r="B142" s="18" t="s">
        <v>1</v>
      </c>
      <c r="C142" s="29">
        <v>7.1530660073489152</v>
      </c>
      <c r="D142" s="29">
        <v>7498.2226388555227</v>
      </c>
      <c r="E142" s="49">
        <f t="shared" si="37"/>
        <v>2.9364433992448483E-2</v>
      </c>
      <c r="F142" s="49">
        <f t="shared" si="38"/>
        <v>1.3686107021111144E-2</v>
      </c>
      <c r="G142" s="49">
        <f t="shared" si="34"/>
        <v>4.2635773025661156E-2</v>
      </c>
      <c r="H142" s="50">
        <f t="shared" si="35"/>
        <v>0.43478506529230687</v>
      </c>
      <c r="I142" s="49">
        <f t="shared" si="36"/>
        <v>3.8257535943949956E-4</v>
      </c>
    </row>
    <row r="143" spans="1:14" ht="12.75" customHeight="1" x14ac:dyDescent="0.25">
      <c r="B143" s="18" t="s">
        <v>6</v>
      </c>
      <c r="C143" s="29">
        <v>8.1725692358649695</v>
      </c>
      <c r="D143" s="29">
        <v>12709.055149886017</v>
      </c>
      <c r="E143" s="49">
        <f t="shared" si="37"/>
        <v>3.3549651244475932E-2</v>
      </c>
      <c r="F143" s="49">
        <f t="shared" si="38"/>
        <v>2.3197162487174745E-2</v>
      </c>
      <c r="G143" s="49">
        <f t="shared" si="34"/>
        <v>7.6185424270137081E-2</v>
      </c>
      <c r="H143" s="50">
        <f t="shared" si="35"/>
        <v>0.45798222777948161</v>
      </c>
      <c r="I143" s="49">
        <f t="shared" si="36"/>
        <v>1.3781573102956397E-3</v>
      </c>
    </row>
    <row r="144" spans="1:14" ht="12.75" customHeight="1" x14ac:dyDescent="0.25">
      <c r="B144" s="18" t="s">
        <v>5</v>
      </c>
      <c r="C144" s="29">
        <v>27.678981965070257</v>
      </c>
      <c r="D144" s="29">
        <v>34543.134541376516</v>
      </c>
      <c r="E144" s="49">
        <f t="shared" si="37"/>
        <v>0.11362646983215957</v>
      </c>
      <c r="F144" s="49">
        <f t="shared" si="38"/>
        <v>6.3049746446323052E-2</v>
      </c>
      <c r="G144" s="49">
        <f t="shared" si="34"/>
        <v>0.18981189410229665</v>
      </c>
      <c r="H144" s="50">
        <f>F144+H143</f>
        <v>0.52103197422580472</v>
      </c>
      <c r="I144" s="49">
        <f t="shared" si="36"/>
        <v>8.3855317393919156E-3</v>
      </c>
    </row>
    <row r="145" spans="1:14" ht="12.75" customHeight="1" x14ac:dyDescent="0.25">
      <c r="B145" s="18" t="s">
        <v>9</v>
      </c>
      <c r="C145" s="29">
        <v>58.968413233176513</v>
      </c>
      <c r="D145" s="29">
        <v>43226.930239887697</v>
      </c>
      <c r="E145" s="49">
        <f t="shared" si="37"/>
        <v>0.24207438827574823</v>
      </c>
      <c r="F145" s="49">
        <f t="shared" si="38"/>
        <v>7.8899816923481969E-2</v>
      </c>
      <c r="G145" s="49">
        <f t="shared" si="34"/>
        <v>0.43188628237804488</v>
      </c>
      <c r="H145" s="50">
        <f t="shared" si="35"/>
        <v>0.59993179114928674</v>
      </c>
      <c r="I145" s="49">
        <f t="shared" si="36"/>
        <v>2.4525936152980782E-2</v>
      </c>
    </row>
    <row r="146" spans="1:14" ht="12.75" customHeight="1" x14ac:dyDescent="0.25">
      <c r="B146" s="54" t="s">
        <v>10</v>
      </c>
      <c r="C146" s="29">
        <v>61.077225932354281</v>
      </c>
      <c r="D146" s="29">
        <v>69411.089457609574</v>
      </c>
      <c r="E146" s="49">
        <f t="shared" si="37"/>
        <v>0.25073138811942691</v>
      </c>
      <c r="F146" s="49">
        <f>D146/$D$148</f>
        <v>0.12669237024865945</v>
      </c>
      <c r="G146" s="49">
        <f t="shared" si="34"/>
        <v>0.6826176704974718</v>
      </c>
      <c r="H146" s="50">
        <f t="shared" si="35"/>
        <v>0.72662416139794617</v>
      </c>
      <c r="I146" s="49">
        <f t="shared" si="36"/>
        <v>7.0599573720649719E-2</v>
      </c>
    </row>
    <row r="147" spans="1:14" ht="12.75" customHeight="1" thickBot="1" x14ac:dyDescent="0.3">
      <c r="B147" s="43" t="s">
        <v>4</v>
      </c>
      <c r="C147" s="32">
        <v>77.313145320001027</v>
      </c>
      <c r="D147" s="32">
        <v>149774.72401466093</v>
      </c>
      <c r="E147" s="51">
        <f t="shared" si="37"/>
        <v>0.31738232950252826</v>
      </c>
      <c r="F147" s="51">
        <f t="shared" si="38"/>
        <v>0.273375838602054</v>
      </c>
      <c r="G147" s="51">
        <f t="shared" si="34"/>
        <v>1</v>
      </c>
      <c r="H147" s="52">
        <f t="shared" si="35"/>
        <v>1.0000000000000002</v>
      </c>
      <c r="I147" s="51">
        <f t="shared" si="36"/>
        <v>0.22999350835944052</v>
      </c>
    </row>
    <row r="148" spans="1:14" ht="12.75" customHeight="1" thickBot="1" x14ac:dyDescent="0.3">
      <c r="B148" s="38" t="s">
        <v>12</v>
      </c>
      <c r="C148" s="32">
        <f>SUM(C136:C147)</f>
        <v>243.59625011632903</v>
      </c>
      <c r="D148" s="32">
        <f>SUM(D136:D147)</f>
        <v>547871.10953387525</v>
      </c>
      <c r="E148" s="51">
        <f>SUM(E137:E147)</f>
        <v>1</v>
      </c>
      <c r="F148" s="51">
        <f>SUM(F137:F147)</f>
        <v>1.0000000000000002</v>
      </c>
      <c r="G148" s="52"/>
      <c r="H148" s="52"/>
      <c r="I148" s="51">
        <f>SUM(I136:I147)</f>
        <v>0.33536870834453303</v>
      </c>
    </row>
    <row r="149" spans="1:14" ht="12.75" customHeight="1" thickBot="1" x14ac:dyDescent="0.3">
      <c r="B149" s="4"/>
      <c r="C149" s="4"/>
      <c r="D149" s="4"/>
      <c r="E149" s="50"/>
      <c r="F149" s="50"/>
      <c r="G149" s="50"/>
      <c r="H149" s="53"/>
      <c r="I149" s="53"/>
    </row>
    <row r="150" spans="1:14" ht="12.75" customHeight="1" thickBot="1" x14ac:dyDescent="0.3">
      <c r="B150" s="4"/>
      <c r="C150" s="4"/>
      <c r="D150" s="4"/>
      <c r="E150" s="50"/>
      <c r="F150" s="50"/>
      <c r="G150" s="55"/>
      <c r="H150" s="56" t="s">
        <v>33</v>
      </c>
      <c r="I150" s="52">
        <f>1-(2*I148)</f>
        <v>0.32926258331093394</v>
      </c>
    </row>
    <row r="151" spans="1:14" ht="12.75" customHeight="1" x14ac:dyDescent="0.25"/>
    <row r="152" spans="1:14" ht="12.75" customHeight="1" x14ac:dyDescent="0.25"/>
    <row r="153" spans="1:14" ht="12.75" customHeight="1" x14ac:dyDescent="0.25"/>
    <row r="154" spans="1:14" ht="12.75" customHeight="1" x14ac:dyDescent="0.25"/>
    <row r="155" spans="1:14" ht="16.2" thickBot="1" x14ac:dyDescent="0.35">
      <c r="B155" s="256" t="s">
        <v>101</v>
      </c>
      <c r="C155" s="256"/>
      <c r="D155" s="256"/>
      <c r="E155" s="256"/>
      <c r="F155" s="256"/>
      <c r="G155" s="256"/>
      <c r="H155" s="256"/>
      <c r="I155" s="256"/>
    </row>
    <row r="156" spans="1:14" ht="40.200000000000003" thickBot="1" x14ac:dyDescent="0.3">
      <c r="A156" s="8"/>
      <c r="B156" s="30" t="s">
        <v>19</v>
      </c>
      <c r="C156" s="31" t="s">
        <v>284</v>
      </c>
      <c r="D156" s="31" t="s">
        <v>40</v>
      </c>
      <c r="E156" s="31" t="s">
        <v>15</v>
      </c>
      <c r="F156" s="31" t="s">
        <v>21</v>
      </c>
      <c r="G156" s="31" t="s">
        <v>17</v>
      </c>
      <c r="H156" s="31" t="s">
        <v>117</v>
      </c>
      <c r="I156" s="31" t="s">
        <v>20</v>
      </c>
      <c r="J156" s="8"/>
      <c r="K156" s="8"/>
      <c r="L156" s="8"/>
      <c r="M156" s="8"/>
      <c r="N156" s="8"/>
    </row>
    <row r="157" spans="1:14" ht="12.75" customHeight="1" x14ac:dyDescent="0.25">
      <c r="B157" s="4"/>
      <c r="C157" s="26">
        <v>0</v>
      </c>
      <c r="D157" s="26">
        <v>0</v>
      </c>
      <c r="E157" s="49">
        <v>0</v>
      </c>
      <c r="F157" s="49">
        <v>0</v>
      </c>
      <c r="G157" s="49">
        <v>0</v>
      </c>
      <c r="H157" s="50">
        <f>F157</f>
        <v>0</v>
      </c>
      <c r="I157" s="49">
        <v>0</v>
      </c>
    </row>
    <row r="158" spans="1:14" ht="12.75" customHeight="1" x14ac:dyDescent="0.25">
      <c r="B158" s="101" t="s">
        <v>195</v>
      </c>
      <c r="C158" s="29">
        <v>1.3224981196287995</v>
      </c>
      <c r="D158" s="29">
        <v>4549.0211045835576</v>
      </c>
      <c r="E158" s="49">
        <f t="shared" ref="E158:E168" si="39">C158/$C$169</f>
        <v>3.4593541506786328E-3</v>
      </c>
      <c r="F158" s="49">
        <f t="shared" ref="F158:F168" si="40">D158/$D$169</f>
        <v>8.3030863015460549E-3</v>
      </c>
      <c r="G158" s="49">
        <f t="shared" ref="G158:G168" si="41">G157+E158</f>
        <v>3.4593541506786328E-3</v>
      </c>
      <c r="H158" s="50">
        <f t="shared" ref="H158:H168" si="42">F158+H157</f>
        <v>8.3030863015460549E-3</v>
      </c>
      <c r="I158" s="49">
        <f t="shared" ref="I158:I168" si="43">(G157+G158)*0.5*(H158-H157)</f>
        <v>1.4361658030348122E-5</v>
      </c>
    </row>
    <row r="159" spans="1:14" ht="12.75" customHeight="1" x14ac:dyDescent="0.25">
      <c r="B159" s="101" t="s">
        <v>3</v>
      </c>
      <c r="C159" s="29">
        <v>1.9103503028842752</v>
      </c>
      <c r="D159" s="29">
        <v>4739.5256339269945</v>
      </c>
      <c r="E159" s="49">
        <f t="shared" si="39"/>
        <v>4.9970416981672573E-3</v>
      </c>
      <c r="F159" s="49">
        <f t="shared" si="40"/>
        <v>8.6508040877704764E-3</v>
      </c>
      <c r="G159" s="49">
        <f t="shared" si="41"/>
        <v>8.4563958488458896E-3</v>
      </c>
      <c r="H159" s="50">
        <f t="shared" si="42"/>
        <v>1.695389038931653E-2</v>
      </c>
      <c r="I159" s="49">
        <f t="shared" si="43"/>
        <v>5.1540409402368883E-5</v>
      </c>
    </row>
    <row r="160" spans="1:14" ht="12.75" customHeight="1" x14ac:dyDescent="0.25">
      <c r="B160" s="101" t="s">
        <v>1</v>
      </c>
      <c r="C160" s="29">
        <v>7.1530660073489152</v>
      </c>
      <c r="D160" s="29">
        <v>7498.2226388555227</v>
      </c>
      <c r="E160" s="49">
        <f t="shared" si="39"/>
        <v>1.8710793017646148E-2</v>
      </c>
      <c r="F160" s="49">
        <f t="shared" si="40"/>
        <v>1.3686107021111144E-2</v>
      </c>
      <c r="G160" s="49">
        <f t="shared" si="41"/>
        <v>2.716718886649204E-2</v>
      </c>
      <c r="H160" s="50">
        <f t="shared" si="42"/>
        <v>3.0639997410427673E-2</v>
      </c>
      <c r="I160" s="49">
        <f t="shared" si="43"/>
        <v>2.4377409644486703E-4</v>
      </c>
    </row>
    <row r="161" spans="1:9" ht="12.75" customHeight="1" x14ac:dyDescent="0.25">
      <c r="B161" s="101" t="s">
        <v>6</v>
      </c>
      <c r="C161" s="29">
        <v>11.97256923586497</v>
      </c>
      <c r="D161" s="29">
        <v>12709.055149886017</v>
      </c>
      <c r="E161" s="49">
        <f t="shared" si="39"/>
        <v>3.1317516800705825E-2</v>
      </c>
      <c r="F161" s="49">
        <f t="shared" si="40"/>
        <v>2.3197162487174745E-2</v>
      </c>
      <c r="G161" s="49">
        <f t="shared" si="41"/>
        <v>5.8484705667197864E-2</v>
      </c>
      <c r="H161" s="50">
        <f t="shared" si="42"/>
        <v>5.3837159897602418E-2</v>
      </c>
      <c r="I161" s="49">
        <f t="shared" si="43"/>
        <v>9.9344045741617953E-4</v>
      </c>
    </row>
    <row r="162" spans="1:9" ht="12.75" customHeight="1" x14ac:dyDescent="0.25">
      <c r="B162" s="101" t="s">
        <v>8</v>
      </c>
      <c r="C162" s="29">
        <v>23.5</v>
      </c>
      <c r="D162" s="29">
        <v>8412.6065227973904</v>
      </c>
      <c r="E162" s="49">
        <f t="shared" si="39"/>
        <v>6.1470652649219498E-2</v>
      </c>
      <c r="F162" s="49">
        <f t="shared" si="40"/>
        <v>1.5355083296789959E-2</v>
      </c>
      <c r="G162" s="49">
        <f t="shared" si="41"/>
        <v>0.11995535831641736</v>
      </c>
      <c r="H162" s="50">
        <f t="shared" si="42"/>
        <v>6.9192243194392378E-2</v>
      </c>
      <c r="I162" s="49">
        <f t="shared" si="43"/>
        <v>1.3699810229764709E-3</v>
      </c>
    </row>
    <row r="163" spans="1:9" ht="12.75" customHeight="1" x14ac:dyDescent="0.25">
      <c r="B163" s="101" t="s">
        <v>5</v>
      </c>
      <c r="C163" s="29">
        <v>27.678981965070257</v>
      </c>
      <c r="D163" s="29">
        <v>34543.134541376516</v>
      </c>
      <c r="E163" s="49">
        <f t="shared" si="39"/>
        <v>7.2401918555695513E-2</v>
      </c>
      <c r="F163" s="49">
        <f t="shared" si="40"/>
        <v>6.3049746446323052E-2</v>
      </c>
      <c r="G163" s="49">
        <f t="shared" si="41"/>
        <v>0.19235727687211288</v>
      </c>
      <c r="H163" s="50">
        <f t="shared" si="42"/>
        <v>0.13224198964071543</v>
      </c>
      <c r="I163" s="49">
        <f t="shared" si="43"/>
        <v>9.8456162303099115E-3</v>
      </c>
    </row>
    <row r="164" spans="1:9" ht="12.75" customHeight="1" x14ac:dyDescent="0.25">
      <c r="B164" s="101" t="s">
        <v>7</v>
      </c>
      <c r="C164" s="29">
        <v>33.799999999999997</v>
      </c>
      <c r="D164" s="29">
        <v>179268.67227891536</v>
      </c>
      <c r="E164" s="49">
        <f t="shared" si="39"/>
        <v>8.8413108916749736E-2</v>
      </c>
      <c r="F164" s="49">
        <f t="shared" si="40"/>
        <v>0.327209573856588</v>
      </c>
      <c r="G164" s="49">
        <f t="shared" si="41"/>
        <v>0.2807703857888626</v>
      </c>
      <c r="H164" s="50">
        <f t="shared" si="42"/>
        <v>0.45945156349730343</v>
      </c>
      <c r="I164" s="49">
        <f t="shared" si="43"/>
        <v>7.7405950439530663E-2</v>
      </c>
    </row>
    <row r="165" spans="1:9" ht="12.75" customHeight="1" x14ac:dyDescent="0.25">
      <c r="B165" s="101" t="s">
        <v>2</v>
      </c>
      <c r="C165" s="29">
        <v>56.5</v>
      </c>
      <c r="D165" s="29">
        <v>33738.127951375733</v>
      </c>
      <c r="E165" s="49">
        <f t="shared" si="39"/>
        <v>0.14779114360344262</v>
      </c>
      <c r="F165" s="49">
        <f t="shared" si="40"/>
        <v>6.1580410728501248E-2</v>
      </c>
      <c r="G165" s="49">
        <f t="shared" si="41"/>
        <v>0.42856152939230518</v>
      </c>
      <c r="H165" s="50">
        <f t="shared" si="42"/>
        <v>0.52103197422580472</v>
      </c>
      <c r="I165" s="49">
        <f t="shared" si="43"/>
        <v>2.1840475339845376E-2</v>
      </c>
    </row>
    <row r="166" spans="1:9" ht="12.75" customHeight="1" x14ac:dyDescent="0.25">
      <c r="B166" s="101" t="s">
        <v>9</v>
      </c>
      <c r="C166" s="29">
        <v>58.968413233176513</v>
      </c>
      <c r="D166" s="29">
        <v>43226.930239887697</v>
      </c>
      <c r="E166" s="49">
        <f t="shared" si="39"/>
        <v>0.15424795094179711</v>
      </c>
      <c r="F166" s="49">
        <f t="shared" si="40"/>
        <v>7.8899816923481969E-2</v>
      </c>
      <c r="G166" s="49">
        <f t="shared" si="41"/>
        <v>0.58280948033410229</v>
      </c>
      <c r="H166" s="50">
        <f t="shared" si="42"/>
        <v>0.59993179114928674</v>
      </c>
      <c r="I166" s="49">
        <f t="shared" si="43"/>
        <v>3.9898493754565355E-2</v>
      </c>
    </row>
    <row r="167" spans="1:9" ht="12.75" customHeight="1" x14ac:dyDescent="0.25">
      <c r="B167" s="101" t="s">
        <v>4</v>
      </c>
      <c r="C167" s="29">
        <v>77.313145320001027</v>
      </c>
      <c r="D167" s="29">
        <v>149774.72401466093</v>
      </c>
      <c r="E167" s="49">
        <f t="shared" si="39"/>
        <v>0.20223359579508141</v>
      </c>
      <c r="F167" s="49">
        <f t="shared" si="40"/>
        <v>0.273375838602054</v>
      </c>
      <c r="G167" s="49">
        <f t="shared" si="41"/>
        <v>0.78504307612918367</v>
      </c>
      <c r="H167" s="50">
        <f t="shared" si="42"/>
        <v>0.87330762975134069</v>
      </c>
      <c r="I167" s="49">
        <f t="shared" si="43"/>
        <v>0.18696891985355707</v>
      </c>
    </row>
    <row r="168" spans="1:9" ht="12.75" customHeight="1" thickBot="1" x14ac:dyDescent="0.3">
      <c r="B168" s="185" t="s">
        <v>10</v>
      </c>
      <c r="C168" s="32">
        <v>82.177225932354276</v>
      </c>
      <c r="D168" s="32">
        <v>69411.089457609574</v>
      </c>
      <c r="E168" s="51">
        <f t="shared" si="39"/>
        <v>0.21495692387081627</v>
      </c>
      <c r="F168" s="51">
        <f t="shared" si="40"/>
        <v>0.12669237024865945</v>
      </c>
      <c r="G168" s="51">
        <f t="shared" si="41"/>
        <v>1</v>
      </c>
      <c r="H168" s="52">
        <f t="shared" si="42"/>
        <v>1.0000000000000002</v>
      </c>
      <c r="I168" s="51">
        <f t="shared" si="43"/>
        <v>0.11307566915538235</v>
      </c>
    </row>
    <row r="169" spans="1:9" ht="12.75" customHeight="1" thickBot="1" x14ac:dyDescent="0.3">
      <c r="B169" s="38" t="s">
        <v>12</v>
      </c>
      <c r="C169" s="32">
        <f>SUM(C157:C168)</f>
        <v>382.29625011632902</v>
      </c>
      <c r="D169" s="32">
        <f>SUM(D157:D168)</f>
        <v>547871.10953387525</v>
      </c>
      <c r="E169" s="51">
        <f>SUM(E158:E168)</f>
        <v>1</v>
      </c>
      <c r="F169" s="51">
        <f>SUM(F158:F168)</f>
        <v>1.0000000000000002</v>
      </c>
      <c r="G169" s="52"/>
      <c r="H169" s="52"/>
      <c r="I169" s="51">
        <f>SUM(I157:I168)</f>
        <v>0.451708222417461</v>
      </c>
    </row>
    <row r="170" spans="1:9" ht="12.75" customHeight="1" thickBot="1" x14ac:dyDescent="0.3">
      <c r="B170" s="4"/>
      <c r="C170" s="4"/>
      <c r="D170" s="4"/>
      <c r="E170" s="50"/>
      <c r="F170" s="50"/>
      <c r="G170" s="50"/>
      <c r="H170" s="53"/>
      <c r="I170" s="53"/>
    </row>
    <row r="171" spans="1:9" ht="12.75" customHeight="1" thickBot="1" x14ac:dyDescent="0.3">
      <c r="B171" s="4"/>
      <c r="C171" s="4"/>
      <c r="D171" s="4"/>
      <c r="E171" s="50"/>
      <c r="F171" s="50"/>
      <c r="G171" s="55"/>
      <c r="H171" s="57" t="s">
        <v>29</v>
      </c>
      <c r="I171" s="58">
        <f>1-(2*I169)</f>
        <v>9.6583555165077994E-2</v>
      </c>
    </row>
    <row r="172" spans="1:9" ht="12.75" customHeight="1" x14ac:dyDescent="0.25">
      <c r="B172" s="4"/>
      <c r="C172" s="4"/>
      <c r="D172" s="4"/>
      <c r="E172" s="50"/>
      <c r="F172" s="50"/>
      <c r="G172" s="55"/>
      <c r="H172" s="116"/>
      <c r="I172" s="108"/>
    </row>
    <row r="173" spans="1:9" ht="12.75" customHeight="1" x14ac:dyDescent="0.25">
      <c r="B173" s="4"/>
      <c r="C173" s="4"/>
      <c r="D173" s="4"/>
      <c r="E173" s="50"/>
      <c r="F173" s="50"/>
      <c r="G173" s="55"/>
      <c r="H173" s="116"/>
      <c r="I173" s="108"/>
    </row>
    <row r="174" spans="1:9" ht="28.2" customHeight="1" x14ac:dyDescent="0.25">
      <c r="A174" s="252" t="s">
        <v>94</v>
      </c>
      <c r="B174" s="252"/>
      <c r="C174" s="252"/>
      <c r="D174" s="252"/>
      <c r="E174" s="252"/>
      <c r="F174" s="252"/>
      <c r="G174" s="55"/>
      <c r="H174" s="116"/>
      <c r="I174" s="108"/>
    </row>
    <row r="175" spans="1:9" ht="12.75" customHeight="1" x14ac:dyDescent="0.25"/>
    <row r="176" spans="1:9" ht="16.2" thickBot="1" x14ac:dyDescent="0.35">
      <c r="B176" s="256" t="s">
        <v>114</v>
      </c>
      <c r="C176" s="256"/>
      <c r="D176" s="256"/>
      <c r="E176" s="256"/>
      <c r="F176" s="256"/>
      <c r="G176" s="256"/>
      <c r="H176" s="256"/>
      <c r="I176" s="256"/>
    </row>
    <row r="177" spans="1:14" ht="42.6" customHeight="1" thickBot="1" x14ac:dyDescent="0.3">
      <c r="A177" s="8"/>
      <c r="B177" s="36" t="s">
        <v>19</v>
      </c>
      <c r="C177" s="37" t="s">
        <v>270</v>
      </c>
      <c r="D177" s="37" t="s">
        <v>115</v>
      </c>
      <c r="E177" s="37" t="s">
        <v>27</v>
      </c>
      <c r="F177" s="37" t="s">
        <v>21</v>
      </c>
      <c r="G177" s="37" t="s">
        <v>28</v>
      </c>
      <c r="H177" s="37" t="s">
        <v>117</v>
      </c>
      <c r="I177" s="37" t="s">
        <v>20</v>
      </c>
      <c r="J177" s="8"/>
      <c r="K177" s="8"/>
      <c r="L177" s="8"/>
      <c r="M177" s="8"/>
      <c r="N177" s="8"/>
    </row>
    <row r="178" spans="1:14" ht="12.75" customHeight="1" x14ac:dyDescent="0.25">
      <c r="B178" s="4"/>
      <c r="C178" s="26">
        <v>0</v>
      </c>
      <c r="D178" s="26">
        <v>0</v>
      </c>
      <c r="E178" s="49">
        <v>0</v>
      </c>
      <c r="F178" s="49">
        <v>0</v>
      </c>
      <c r="G178" s="49">
        <v>0</v>
      </c>
      <c r="H178" s="50">
        <f>F178</f>
        <v>0</v>
      </c>
      <c r="I178" s="49">
        <v>0</v>
      </c>
    </row>
    <row r="179" spans="1:14" ht="12.75" customHeight="1" x14ac:dyDescent="0.25">
      <c r="B179" s="82" t="s">
        <v>2</v>
      </c>
      <c r="C179" s="84">
        <v>4.4920799454717004</v>
      </c>
      <c r="D179" s="29">
        <v>251430.37783690859</v>
      </c>
      <c r="E179" s="49">
        <f t="shared" ref="E179:E189" si="44">C179/$C$190</f>
        <v>2.0574426410451801E-3</v>
      </c>
      <c r="F179" s="49">
        <f t="shared" ref="F179:F189" si="45">D179/$D$190</f>
        <v>8.2249727275718124E-2</v>
      </c>
      <c r="G179" s="49">
        <f t="shared" ref="G179:G189" si="46">G178+E179</f>
        <v>2.0574426410451801E-3</v>
      </c>
      <c r="H179" s="50">
        <f t="shared" ref="H179:H189" si="47">F179+H178</f>
        <v>8.2249727275718124E-2</v>
      </c>
      <c r="I179" s="49">
        <f t="shared" ref="I179:I189" si="48">(G178+G179)*0.5*(H179-H178)</f>
        <v>8.4612048055699647E-5</v>
      </c>
    </row>
    <row r="180" spans="1:14" ht="12.75" customHeight="1" x14ac:dyDescent="0.25">
      <c r="B180" s="82" t="s">
        <v>3</v>
      </c>
      <c r="C180" s="84">
        <v>14.349918475935281</v>
      </c>
      <c r="D180" s="29">
        <v>24496.645034227455</v>
      </c>
      <c r="E180" s="49">
        <f t="shared" si="44"/>
        <v>6.572486359614659E-3</v>
      </c>
      <c r="F180" s="49">
        <f t="shared" si="45"/>
        <v>8.0135200470573958E-3</v>
      </c>
      <c r="G180" s="49">
        <f t="shared" si="46"/>
        <v>8.6299290006598382E-3</v>
      </c>
      <c r="H180" s="50">
        <f t="shared" si="47"/>
        <v>9.0263247322775519E-2</v>
      </c>
      <c r="I180" s="49">
        <f t="shared" si="48"/>
        <v>4.2821733450577937E-5</v>
      </c>
    </row>
    <row r="181" spans="1:14" ht="12.75" customHeight="1" x14ac:dyDescent="0.25">
      <c r="B181" s="82" t="s">
        <v>1</v>
      </c>
      <c r="C181" s="84">
        <v>19.811006136278799</v>
      </c>
      <c r="D181" s="29">
        <v>13199.085501550475</v>
      </c>
      <c r="E181" s="49">
        <f t="shared" si="44"/>
        <v>9.0737496397134201E-3</v>
      </c>
      <c r="F181" s="49">
        <f t="shared" si="45"/>
        <v>4.3177805010323955E-3</v>
      </c>
      <c r="G181" s="49">
        <f t="shared" si="46"/>
        <v>1.7703678640373258E-2</v>
      </c>
      <c r="H181" s="50">
        <f t="shared" si="47"/>
        <v>9.4581027823807909E-2</v>
      </c>
      <c r="I181" s="49">
        <f t="shared" si="48"/>
        <v>5.6851368797145121E-5</v>
      </c>
    </row>
    <row r="182" spans="1:14" ht="12.75" customHeight="1" x14ac:dyDescent="0.25">
      <c r="B182" s="82" t="s">
        <v>195</v>
      </c>
      <c r="C182" s="84">
        <v>27</v>
      </c>
      <c r="D182" s="29">
        <v>20450.034940117202</v>
      </c>
      <c r="E182" s="49">
        <f t="shared" si="44"/>
        <v>1.2366420896898489E-2</v>
      </c>
      <c r="F182" s="49">
        <f t="shared" si="45"/>
        <v>6.6897636279041406E-3</v>
      </c>
      <c r="G182" s="49">
        <f t="shared" si="46"/>
        <v>3.0070099537271747E-2</v>
      </c>
      <c r="H182" s="50">
        <f t="shared" si="47"/>
        <v>0.10127079145171206</v>
      </c>
      <c r="I182" s="49">
        <f t="shared" si="48"/>
        <v>1.597976418101852E-4</v>
      </c>
    </row>
    <row r="183" spans="1:14" ht="12.75" customHeight="1" x14ac:dyDescent="0.25">
      <c r="B183" s="82" t="s">
        <v>6</v>
      </c>
      <c r="C183" s="84">
        <v>27.762864026902566</v>
      </c>
      <c r="D183" s="29">
        <v>20836.189535136225</v>
      </c>
      <c r="E183" s="49">
        <f t="shared" si="44"/>
        <v>1.2715824513334787E-2</v>
      </c>
      <c r="F183" s="49">
        <f t="shared" si="45"/>
        <v>6.8160853174303836E-3</v>
      </c>
      <c r="G183" s="49">
        <f t="shared" si="46"/>
        <v>4.2785924050606536E-2</v>
      </c>
      <c r="H183" s="50">
        <f t="shared" si="47"/>
        <v>0.10808687676914244</v>
      </c>
      <c r="I183" s="49">
        <f t="shared" si="48"/>
        <v>2.4829643633184957E-4</v>
      </c>
    </row>
    <row r="184" spans="1:14" ht="12.75" customHeight="1" x14ac:dyDescent="0.25">
      <c r="B184" s="82" t="s">
        <v>5</v>
      </c>
      <c r="C184" s="84">
        <v>83.428364274259323</v>
      </c>
      <c r="D184" s="29">
        <v>49475.746319971244</v>
      </c>
      <c r="E184" s="49">
        <f t="shared" si="44"/>
        <v>3.821149138352814E-2</v>
      </c>
      <c r="F184" s="49">
        <f t="shared" si="45"/>
        <v>1.6184864679397896E-2</v>
      </c>
      <c r="G184" s="49">
        <f t="shared" si="46"/>
        <v>8.0997415434134676E-2</v>
      </c>
      <c r="H184" s="50">
        <f t="shared" si="47"/>
        <v>0.12427174144854033</v>
      </c>
      <c r="I184" s="49">
        <f t="shared" si="48"/>
        <v>1.0017082995622533E-3</v>
      </c>
    </row>
    <row r="185" spans="1:14" ht="12.75" customHeight="1" x14ac:dyDescent="0.25">
      <c r="B185" s="82" t="s">
        <v>9</v>
      </c>
      <c r="C185" s="84">
        <v>162.7577156565315</v>
      </c>
      <c r="D185" s="29">
        <v>119784.51078433092</v>
      </c>
      <c r="E185" s="49">
        <f t="shared" si="44"/>
        <v>7.4545570963940502E-2</v>
      </c>
      <c r="F185" s="49">
        <f t="shared" si="45"/>
        <v>3.9184777227902166E-2</v>
      </c>
      <c r="G185" s="49">
        <f t="shared" si="46"/>
        <v>0.15554298639807518</v>
      </c>
      <c r="H185" s="50">
        <f t="shared" si="47"/>
        <v>0.16345651867644251</v>
      </c>
      <c r="I185" s="49">
        <f t="shared" si="48"/>
        <v>4.6343914755968031E-3</v>
      </c>
    </row>
    <row r="186" spans="1:14" ht="12.75" customHeight="1" x14ac:dyDescent="0.25">
      <c r="B186" s="111" t="s">
        <v>10</v>
      </c>
      <c r="C186" s="84">
        <v>330.96219581347026</v>
      </c>
      <c r="D186" s="29">
        <v>237021.44592026682</v>
      </c>
      <c r="E186" s="49">
        <f t="shared" si="44"/>
        <v>0.15158584497744845</v>
      </c>
      <c r="F186" s="49">
        <f t="shared" si="45"/>
        <v>7.7536173047808091E-2</v>
      </c>
      <c r="G186" s="49">
        <f t="shared" si="46"/>
        <v>0.3071288313755236</v>
      </c>
      <c r="H186" s="50">
        <f t="shared" si="47"/>
        <v>0.24099269172425059</v>
      </c>
      <c r="I186" s="49">
        <f t="shared" si="48"/>
        <v>1.7936901063618841E-2</v>
      </c>
    </row>
    <row r="187" spans="1:14" ht="12.75" customHeight="1" x14ac:dyDescent="0.25">
      <c r="B187" s="82" t="s">
        <v>7</v>
      </c>
      <c r="C187" s="84">
        <v>416.80308732067164</v>
      </c>
      <c r="D187" s="29">
        <v>1339764.2833351614</v>
      </c>
      <c r="E187" s="49">
        <f t="shared" si="44"/>
        <v>0.1909023114420059</v>
      </c>
      <c r="F187" s="49">
        <f t="shared" si="45"/>
        <v>0.43827340143259691</v>
      </c>
      <c r="G187" s="49">
        <f t="shared" si="46"/>
        <v>0.49803114281752947</v>
      </c>
      <c r="H187" s="50">
        <f t="shared" si="47"/>
        <v>0.67926609315684749</v>
      </c>
      <c r="I187" s="49">
        <f t="shared" si="48"/>
        <v>0.17644010029348567</v>
      </c>
    </row>
    <row r="188" spans="1:14" ht="12.75" customHeight="1" x14ac:dyDescent="0.25">
      <c r="B188" s="82" t="s">
        <v>4</v>
      </c>
      <c r="C188" s="84">
        <v>448.50336533961865</v>
      </c>
      <c r="D188" s="29">
        <v>363314.38569269452</v>
      </c>
      <c r="E188" s="49">
        <f t="shared" si="44"/>
        <v>0.20542153294315399</v>
      </c>
      <c r="F188" s="49">
        <f t="shared" si="45"/>
        <v>0.1188500347318915</v>
      </c>
      <c r="G188" s="49">
        <f t="shared" si="46"/>
        <v>0.70345267576068349</v>
      </c>
      <c r="H188" s="50">
        <f t="shared" si="47"/>
        <v>0.79811612788873898</v>
      </c>
      <c r="I188" s="49">
        <f t="shared" si="48"/>
        <v>7.1398196783913098E-2</v>
      </c>
    </row>
    <row r="189" spans="1:14" ht="12.75" customHeight="1" thickBot="1" x14ac:dyDescent="0.3">
      <c r="B189" s="86" t="s">
        <v>8</v>
      </c>
      <c r="C189" s="87">
        <v>647.46120330334657</v>
      </c>
      <c r="D189" s="32">
        <v>617141.72101696266</v>
      </c>
      <c r="E189" s="51">
        <f t="shared" si="44"/>
        <v>0.29654732423931651</v>
      </c>
      <c r="F189" s="51">
        <f t="shared" si="45"/>
        <v>0.20188387211126102</v>
      </c>
      <c r="G189" s="51">
        <f t="shared" si="46"/>
        <v>1</v>
      </c>
      <c r="H189" s="52">
        <f t="shared" si="47"/>
        <v>1</v>
      </c>
      <c r="I189" s="51">
        <f t="shared" si="48"/>
        <v>0.17194981107042759</v>
      </c>
    </row>
    <row r="190" spans="1:14" ht="12.75" customHeight="1" thickBot="1" x14ac:dyDescent="0.3">
      <c r="B190" s="38" t="s">
        <v>12</v>
      </c>
      <c r="C190" s="32">
        <f>SUM(C178:C189)</f>
        <v>2183.3318002924862</v>
      </c>
      <c r="D190" s="32">
        <f>SUM(D178:D189)</f>
        <v>3056914.4259173274</v>
      </c>
      <c r="E190" s="39">
        <f>SUM(E179:E189)</f>
        <v>1</v>
      </c>
      <c r="F190" s="33">
        <f>SUM(F179:F189)</f>
        <v>1</v>
      </c>
      <c r="G190" s="40"/>
      <c r="H190" s="40"/>
      <c r="I190" s="51">
        <f>SUM(I178:I189)</f>
        <v>0.44395348821504976</v>
      </c>
    </row>
    <row r="191" spans="1:14" ht="12.75" customHeight="1" thickBot="1" x14ac:dyDescent="0.3">
      <c r="B191" s="4"/>
      <c r="C191" s="4"/>
      <c r="D191" s="4"/>
      <c r="E191" s="4"/>
      <c r="F191" s="4"/>
      <c r="G191" s="4"/>
      <c r="H191" s="7"/>
      <c r="I191" s="53"/>
    </row>
    <row r="192" spans="1:14" ht="12.75" customHeight="1" thickBot="1" x14ac:dyDescent="0.3">
      <c r="B192" s="4"/>
      <c r="C192" s="4"/>
      <c r="D192" s="4"/>
      <c r="E192" s="4"/>
      <c r="F192" s="4"/>
      <c r="G192" s="5"/>
      <c r="H192" s="24" t="s">
        <v>29</v>
      </c>
      <c r="I192" s="52">
        <f>1-(2*I190)</f>
        <v>0.11209302356990047</v>
      </c>
    </row>
    <row r="193" spans="1:14" ht="12.75" customHeight="1" x14ac:dyDescent="0.25"/>
    <row r="194" spans="1:14" ht="12.75" customHeight="1" x14ac:dyDescent="0.25"/>
    <row r="195" spans="1:14" ht="12.75" customHeight="1" x14ac:dyDescent="0.25"/>
    <row r="196" spans="1:14" ht="12.75" customHeight="1" x14ac:dyDescent="0.25"/>
    <row r="197" spans="1:14" ht="16.2" thickBot="1" x14ac:dyDescent="0.35">
      <c r="B197" s="256" t="s">
        <v>120</v>
      </c>
      <c r="C197" s="256"/>
      <c r="D197" s="256"/>
      <c r="E197" s="256"/>
      <c r="F197" s="256"/>
      <c r="G197" s="256"/>
      <c r="H197" s="256"/>
      <c r="I197" s="256"/>
    </row>
    <row r="198" spans="1:14" ht="27" thickBot="1" x14ac:dyDescent="0.3">
      <c r="A198" s="8"/>
      <c r="B198" s="30" t="s">
        <v>19</v>
      </c>
      <c r="C198" s="31" t="s">
        <v>290</v>
      </c>
      <c r="D198" s="37" t="s">
        <v>115</v>
      </c>
      <c r="E198" s="31" t="s">
        <v>31</v>
      </c>
      <c r="F198" s="31" t="s">
        <v>21</v>
      </c>
      <c r="G198" s="31" t="s">
        <v>32</v>
      </c>
      <c r="H198" s="31" t="s">
        <v>117</v>
      </c>
      <c r="I198" s="31" t="s">
        <v>20</v>
      </c>
      <c r="J198" s="8"/>
      <c r="K198" s="8"/>
      <c r="L198" s="8"/>
      <c r="M198" s="8"/>
      <c r="N198" s="8"/>
    </row>
    <row r="199" spans="1:14" ht="12.75" customHeight="1" x14ac:dyDescent="0.25">
      <c r="B199" s="4"/>
      <c r="C199" s="26">
        <v>0</v>
      </c>
      <c r="D199" s="26">
        <v>0</v>
      </c>
      <c r="E199" s="49">
        <f>C199/$C$127</f>
        <v>0</v>
      </c>
      <c r="F199" s="49">
        <v>0</v>
      </c>
      <c r="G199" s="49">
        <v>0</v>
      </c>
      <c r="H199" s="50">
        <f>F199</f>
        <v>0</v>
      </c>
      <c r="I199" s="49">
        <v>0</v>
      </c>
    </row>
    <row r="200" spans="1:14" ht="12.75" customHeight="1" x14ac:dyDescent="0.25">
      <c r="B200" s="82" t="s">
        <v>3</v>
      </c>
      <c r="C200" s="84">
        <v>12.495254145281351</v>
      </c>
      <c r="D200" s="29">
        <v>24496.645034227455</v>
      </c>
      <c r="E200" s="49">
        <f t="shared" ref="E200:E210" si="49">C200/$C$211</f>
        <v>5.6387986055587242E-3</v>
      </c>
      <c r="F200" s="49">
        <f t="shared" ref="F200:F210" si="50">D200/$D$211</f>
        <v>8.0135200470573958E-3</v>
      </c>
      <c r="G200" s="49">
        <f t="shared" ref="G200:G210" si="51">G199+E200</f>
        <v>5.6387986055587242E-3</v>
      </c>
      <c r="H200" s="50">
        <f t="shared" ref="H200:H210" si="52">F200+H199</f>
        <v>8.0135200470573958E-3</v>
      </c>
      <c r="I200" s="49">
        <f t="shared" ref="I200:I210" si="53">(G199+G200)*0.5*(H200-H199)</f>
        <v>2.2593312833482062E-5</v>
      </c>
    </row>
    <row r="201" spans="1:14" ht="12.75" customHeight="1" x14ac:dyDescent="0.25">
      <c r="B201" s="82" t="s">
        <v>1</v>
      </c>
      <c r="C201" s="84">
        <v>12.678271607557253</v>
      </c>
      <c r="D201" s="29">
        <v>13199.085501550475</v>
      </c>
      <c r="E201" s="49">
        <f t="shared" si="49"/>
        <v>5.7213898517290938E-3</v>
      </c>
      <c r="F201" s="49">
        <f t="shared" si="50"/>
        <v>4.3177805010323955E-3</v>
      </c>
      <c r="G201" s="49">
        <f t="shared" si="51"/>
        <v>1.1360188457287819E-2</v>
      </c>
      <c r="H201" s="50">
        <f t="shared" si="52"/>
        <v>1.2331300548089792E-2</v>
      </c>
      <c r="I201" s="49">
        <f t="shared" si="53"/>
        <v>3.6698947438630385E-5</v>
      </c>
    </row>
    <row r="202" spans="1:14" ht="12.75" customHeight="1" x14ac:dyDescent="0.25">
      <c r="B202" s="82" t="s">
        <v>6</v>
      </c>
      <c r="C202" s="84">
        <v>19.681066838943018</v>
      </c>
      <c r="D202" s="29">
        <v>20836.189535136225</v>
      </c>
      <c r="E202" s="49">
        <f t="shared" si="49"/>
        <v>8.8815778340330109E-3</v>
      </c>
      <c r="F202" s="49">
        <f t="shared" si="50"/>
        <v>6.8160853174303836E-3</v>
      </c>
      <c r="G202" s="49">
        <f t="shared" si="51"/>
        <v>2.024176629132083E-2</v>
      </c>
      <c r="H202" s="50">
        <f t="shared" si="52"/>
        <v>1.9147385865520176E-2</v>
      </c>
      <c r="I202" s="49">
        <f t="shared" si="53"/>
        <v>1.0770080988204539E-4</v>
      </c>
    </row>
    <row r="203" spans="1:14" ht="12.75" customHeight="1" x14ac:dyDescent="0.25">
      <c r="B203" s="82" t="s">
        <v>195</v>
      </c>
      <c r="C203" s="84">
        <v>26.084130370190923</v>
      </c>
      <c r="D203" s="29">
        <v>20450.034940117202</v>
      </c>
      <c r="E203" s="49">
        <f t="shared" si="49"/>
        <v>1.1771121759391212E-2</v>
      </c>
      <c r="F203" s="49">
        <f t="shared" si="50"/>
        <v>6.6897636279041406E-3</v>
      </c>
      <c r="G203" s="49">
        <f t="shared" si="51"/>
        <v>3.2012888050712042E-2</v>
      </c>
      <c r="H203" s="50">
        <f t="shared" si="52"/>
        <v>2.5837149493424316E-2</v>
      </c>
      <c r="I203" s="49">
        <f t="shared" si="53"/>
        <v>1.7478564300301731E-4</v>
      </c>
    </row>
    <row r="204" spans="1:14" ht="12.75" customHeight="1" x14ac:dyDescent="0.25">
      <c r="B204" s="82" t="s">
        <v>5</v>
      </c>
      <c r="C204" s="84">
        <v>57.060380284925856</v>
      </c>
      <c r="D204" s="29">
        <v>49475.746319971244</v>
      </c>
      <c r="E204" s="49">
        <f t="shared" si="49"/>
        <v>2.5749935859031358E-2</v>
      </c>
      <c r="F204" s="49">
        <f t="shared" si="50"/>
        <v>1.6184864679397896E-2</v>
      </c>
      <c r="G204" s="49">
        <f t="shared" si="51"/>
        <v>5.7762823909743397E-2</v>
      </c>
      <c r="H204" s="50">
        <f t="shared" si="52"/>
        <v>4.2022014172822211E-2</v>
      </c>
      <c r="I204" s="49">
        <f t="shared" si="53"/>
        <v>7.2650387478828725E-4</v>
      </c>
    </row>
    <row r="205" spans="1:14" ht="12.75" customHeight="1" x14ac:dyDescent="0.25">
      <c r="B205" s="82" t="s">
        <v>2</v>
      </c>
      <c r="C205" s="84">
        <v>68.224789784349042</v>
      </c>
      <c r="D205" s="29">
        <v>251430.37783690859</v>
      </c>
      <c r="E205" s="49">
        <f t="shared" si="49"/>
        <v>3.0788157249750939E-2</v>
      </c>
      <c r="F205" s="49">
        <f t="shared" si="50"/>
        <v>8.2249727275718124E-2</v>
      </c>
      <c r="G205" s="49">
        <f t="shared" si="51"/>
        <v>8.8550981159494335E-2</v>
      </c>
      <c r="H205" s="50">
        <f t="shared" si="52"/>
        <v>0.12427174144854033</v>
      </c>
      <c r="I205" s="49">
        <f t="shared" si="53"/>
        <v>6.0171352818086943E-3</v>
      </c>
    </row>
    <row r="206" spans="1:14" ht="12.75" customHeight="1" x14ac:dyDescent="0.25">
      <c r="B206" s="82" t="s">
        <v>9</v>
      </c>
      <c r="C206" s="84">
        <v>115.09356267302397</v>
      </c>
      <c r="D206" s="29">
        <v>119784.51078433092</v>
      </c>
      <c r="E206" s="49">
        <f t="shared" si="49"/>
        <v>5.1938873204472963E-2</v>
      </c>
      <c r="F206" s="49">
        <f t="shared" si="50"/>
        <v>3.9184777227902166E-2</v>
      </c>
      <c r="G206" s="49">
        <f t="shared" si="51"/>
        <v>0.1404898543639673</v>
      </c>
      <c r="H206" s="50">
        <f t="shared" si="52"/>
        <v>0.16345651867644251</v>
      </c>
      <c r="I206" s="49">
        <f t="shared" si="53"/>
        <v>4.487457058039713E-3</v>
      </c>
    </row>
    <row r="207" spans="1:14" ht="12.75" customHeight="1" x14ac:dyDescent="0.25">
      <c r="B207" s="111" t="s">
        <v>10</v>
      </c>
      <c r="C207" s="84">
        <v>275.60885090207972</v>
      </c>
      <c r="D207" s="29">
        <v>237021.44592026682</v>
      </c>
      <c r="E207" s="49">
        <f t="shared" si="49"/>
        <v>0.12437544575539296</v>
      </c>
      <c r="F207" s="49">
        <f t="shared" si="50"/>
        <v>7.7536173047808091E-2</v>
      </c>
      <c r="G207" s="49">
        <f t="shared" si="51"/>
        <v>0.26486530011936027</v>
      </c>
      <c r="H207" s="50">
        <f t="shared" si="52"/>
        <v>0.24099269172425059</v>
      </c>
      <c r="I207" s="49">
        <f t="shared" si="53"/>
        <v>1.5714843701920132E-2</v>
      </c>
    </row>
    <row r="208" spans="1:14" ht="12.75" customHeight="1" x14ac:dyDescent="0.25">
      <c r="B208" s="82" t="s">
        <v>4</v>
      </c>
      <c r="C208" s="84">
        <v>371.80449767139828</v>
      </c>
      <c r="D208" s="29">
        <v>363314.38569269452</v>
      </c>
      <c r="E208" s="49">
        <f t="shared" si="49"/>
        <v>0.16778615773906982</v>
      </c>
      <c r="F208" s="49">
        <f t="shared" si="50"/>
        <v>0.1188500347318915</v>
      </c>
      <c r="G208" s="49">
        <f t="shared" si="51"/>
        <v>0.43265145785843007</v>
      </c>
      <c r="H208" s="50">
        <f t="shared" si="52"/>
        <v>0.35984272645614207</v>
      </c>
      <c r="I208" s="49">
        <f t="shared" si="53"/>
        <v>4.1449945455868366E-2</v>
      </c>
    </row>
    <row r="209" spans="1:14" ht="12.75" customHeight="1" x14ac:dyDescent="0.25">
      <c r="B209" s="82" t="s">
        <v>7</v>
      </c>
      <c r="C209" s="84">
        <v>477.69664528568518</v>
      </c>
      <c r="D209" s="29">
        <v>1339764.2833351614</v>
      </c>
      <c r="E209" s="49">
        <f t="shared" si="49"/>
        <v>0.21557266030753078</v>
      </c>
      <c r="F209" s="49">
        <f t="shared" si="50"/>
        <v>0.43827340143259691</v>
      </c>
      <c r="G209" s="49">
        <f t="shared" si="51"/>
        <v>0.64822411816596082</v>
      </c>
      <c r="H209" s="50">
        <f t="shared" si="52"/>
        <v>0.79811612788873898</v>
      </c>
      <c r="I209" s="49">
        <f t="shared" si="53"/>
        <v>0.23685950761481364</v>
      </c>
    </row>
    <row r="210" spans="1:14" ht="12.75" customHeight="1" thickBot="1" x14ac:dyDescent="0.3">
      <c r="B210" s="86" t="s">
        <v>8</v>
      </c>
      <c r="C210" s="87">
        <v>779.51516859702542</v>
      </c>
      <c r="D210" s="32">
        <v>617141.72101696266</v>
      </c>
      <c r="E210" s="51">
        <f t="shared" si="49"/>
        <v>0.35177588183403924</v>
      </c>
      <c r="F210" s="51">
        <f t="shared" si="50"/>
        <v>0.20188387211126102</v>
      </c>
      <c r="G210" s="51">
        <f t="shared" si="51"/>
        <v>1</v>
      </c>
      <c r="H210" s="52">
        <f t="shared" si="52"/>
        <v>1</v>
      </c>
      <c r="I210" s="51">
        <f t="shared" si="53"/>
        <v>0.1663749335412564</v>
      </c>
    </row>
    <row r="211" spans="1:14" ht="12.75" customHeight="1" thickBot="1" x14ac:dyDescent="0.3">
      <c r="B211" s="38" t="s">
        <v>12</v>
      </c>
      <c r="C211" s="32">
        <f>SUM(C199:C210)</f>
        <v>2215.9426181604599</v>
      </c>
      <c r="D211" s="32">
        <f>SUM(D199:D210)</f>
        <v>3056914.4259173274</v>
      </c>
      <c r="E211" s="51">
        <f>SUM(E200:E210)</f>
        <v>1</v>
      </c>
      <c r="F211" s="51">
        <f>SUM(F200:F210)</f>
        <v>1</v>
      </c>
      <c r="G211" s="52"/>
      <c r="H211" s="52"/>
      <c r="I211" s="51">
        <f>SUM(I199:I210)</f>
        <v>0.47197210524165245</v>
      </c>
    </row>
    <row r="212" spans="1:14" ht="12.75" customHeight="1" thickBot="1" x14ac:dyDescent="0.3">
      <c r="B212" s="4"/>
      <c r="C212" s="4"/>
      <c r="D212" s="4"/>
      <c r="E212" s="50"/>
      <c r="F212" s="50"/>
      <c r="G212" s="50"/>
      <c r="H212" s="53"/>
      <c r="I212" s="53"/>
    </row>
    <row r="213" spans="1:14" ht="12.75" customHeight="1" thickBot="1" x14ac:dyDescent="0.3">
      <c r="B213" s="4"/>
      <c r="C213" s="4"/>
      <c r="D213" s="4"/>
      <c r="E213" s="50"/>
      <c r="F213" s="50"/>
      <c r="G213" s="55"/>
      <c r="H213" s="56" t="s">
        <v>29</v>
      </c>
      <c r="I213" s="52">
        <f>1-(2*I211)</f>
        <v>5.6055789516695098E-2</v>
      </c>
    </row>
    <row r="214" spans="1:14" ht="12.75" customHeight="1" x14ac:dyDescent="0.25"/>
    <row r="215" spans="1:14" ht="12.75" customHeight="1" x14ac:dyDescent="0.25"/>
    <row r="216" spans="1:14" ht="12.75" customHeight="1" x14ac:dyDescent="0.25"/>
    <row r="217" spans="1:14" ht="12.75" customHeight="1" x14ac:dyDescent="0.25"/>
    <row r="218" spans="1:14" ht="16.2" thickBot="1" x14ac:dyDescent="0.35">
      <c r="B218" s="256" t="s">
        <v>119</v>
      </c>
      <c r="C218" s="256"/>
      <c r="D218" s="256"/>
      <c r="E218" s="256"/>
      <c r="F218" s="256"/>
      <c r="G218" s="256"/>
      <c r="H218" s="256"/>
      <c r="I218" s="256"/>
    </row>
    <row r="219" spans="1:14" ht="27" thickBot="1" x14ac:dyDescent="0.3">
      <c r="A219" s="8"/>
      <c r="B219" s="30" t="s">
        <v>19</v>
      </c>
      <c r="C219" s="31" t="s">
        <v>288</v>
      </c>
      <c r="D219" s="37" t="s">
        <v>115</v>
      </c>
      <c r="E219" s="31" t="s">
        <v>15</v>
      </c>
      <c r="F219" s="31" t="s">
        <v>21</v>
      </c>
      <c r="G219" s="31" t="s">
        <v>17</v>
      </c>
      <c r="H219" s="31" t="s">
        <v>117</v>
      </c>
      <c r="I219" s="31" t="s">
        <v>20</v>
      </c>
      <c r="J219" s="8"/>
      <c r="K219" s="8"/>
      <c r="L219" s="8"/>
      <c r="M219" s="8"/>
      <c r="N219" s="8"/>
    </row>
    <row r="220" spans="1:14" ht="12.75" customHeight="1" x14ac:dyDescent="0.25">
      <c r="B220" s="4"/>
      <c r="C220" s="26">
        <v>0</v>
      </c>
      <c r="D220" s="26">
        <v>0</v>
      </c>
      <c r="E220" s="49">
        <v>0</v>
      </c>
      <c r="F220" s="49">
        <v>0</v>
      </c>
      <c r="G220" s="49">
        <v>0</v>
      </c>
      <c r="H220" s="50">
        <f>F220</f>
        <v>0</v>
      </c>
      <c r="I220" s="49">
        <v>0</v>
      </c>
    </row>
    <row r="221" spans="1:14" ht="12.75" customHeight="1" x14ac:dyDescent="0.25">
      <c r="B221" s="82" t="s">
        <v>2</v>
      </c>
      <c r="C221" s="84">
        <v>0</v>
      </c>
      <c r="D221" s="29">
        <v>251430.37783690859</v>
      </c>
      <c r="E221" s="49">
        <f t="shared" ref="E221:E231" si="54">C221/$C$232</f>
        <v>0</v>
      </c>
      <c r="F221" s="49">
        <f t="shared" ref="F221:F231" si="55">D221/$D$232</f>
        <v>8.2249727275718124E-2</v>
      </c>
      <c r="G221" s="49">
        <f t="shared" ref="G221:G231" si="56">G220+E221</f>
        <v>0</v>
      </c>
      <c r="H221" s="50">
        <f t="shared" ref="H221:H231" si="57">F221+H220</f>
        <v>8.2249727275718124E-2</v>
      </c>
      <c r="I221" s="49">
        <f t="shared" ref="I221:I231" si="58">(G220+G221)*0.5*(H221-H220)</f>
        <v>0</v>
      </c>
    </row>
    <row r="222" spans="1:14" ht="12.75" customHeight="1" x14ac:dyDescent="0.25">
      <c r="B222" s="82" t="s">
        <v>7</v>
      </c>
      <c r="C222" s="84">
        <v>0</v>
      </c>
      <c r="D222" s="29">
        <v>1339764.2833351614</v>
      </c>
      <c r="E222" s="49">
        <f t="shared" si="54"/>
        <v>0</v>
      </c>
      <c r="F222" s="49">
        <f t="shared" si="55"/>
        <v>0.43827340143259691</v>
      </c>
      <c r="G222" s="49">
        <f t="shared" si="56"/>
        <v>0</v>
      </c>
      <c r="H222" s="50">
        <f t="shared" si="57"/>
        <v>0.52052312870831507</v>
      </c>
      <c r="I222" s="49">
        <f t="shared" si="58"/>
        <v>0</v>
      </c>
    </row>
    <row r="223" spans="1:14" ht="12.75" customHeight="1" x14ac:dyDescent="0.25">
      <c r="B223" s="82" t="s">
        <v>8</v>
      </c>
      <c r="C223" s="84">
        <v>0</v>
      </c>
      <c r="D223" s="29">
        <v>617141.72101696266</v>
      </c>
      <c r="E223" s="49">
        <f t="shared" si="54"/>
        <v>0</v>
      </c>
      <c r="F223" s="49">
        <f t="shared" si="55"/>
        <v>0.20188387211126102</v>
      </c>
      <c r="G223" s="49">
        <f t="shared" si="56"/>
        <v>0</v>
      </c>
      <c r="H223" s="50">
        <f t="shared" si="57"/>
        <v>0.7224070008195761</v>
      </c>
      <c r="I223" s="49">
        <f t="shared" si="58"/>
        <v>0</v>
      </c>
    </row>
    <row r="224" spans="1:14" ht="12.75" customHeight="1" x14ac:dyDescent="0.25">
      <c r="B224" s="82" t="s">
        <v>195</v>
      </c>
      <c r="C224" s="84">
        <v>1.3224981196287995</v>
      </c>
      <c r="D224" s="29">
        <v>20450.034940117202</v>
      </c>
      <c r="E224" s="49">
        <f t="shared" si="54"/>
        <v>5.4290577913134646E-3</v>
      </c>
      <c r="F224" s="49">
        <f t="shared" si="55"/>
        <v>6.6897636279041406E-3</v>
      </c>
      <c r="G224" s="49">
        <f t="shared" si="56"/>
        <v>5.4290577913134646E-3</v>
      </c>
      <c r="H224" s="50">
        <f t="shared" si="57"/>
        <v>0.72909676444748028</v>
      </c>
      <c r="I224" s="49">
        <f t="shared" si="58"/>
        <v>1.815955667305933E-5</v>
      </c>
    </row>
    <row r="225" spans="1:14" ht="12.75" customHeight="1" x14ac:dyDescent="0.25">
      <c r="B225" s="82" t="s">
        <v>3</v>
      </c>
      <c r="C225" s="84">
        <v>1.9103503028842752</v>
      </c>
      <c r="D225" s="29">
        <v>24496.645034227455</v>
      </c>
      <c r="E225" s="49">
        <f t="shared" si="54"/>
        <v>7.8422812418992086E-3</v>
      </c>
      <c r="F225" s="49">
        <f t="shared" si="55"/>
        <v>8.0135200470573958E-3</v>
      </c>
      <c r="G225" s="49">
        <f t="shared" si="56"/>
        <v>1.3271339033212672E-2</v>
      </c>
      <c r="H225" s="50">
        <f t="shared" si="57"/>
        <v>0.73711028449453764</v>
      </c>
      <c r="I225" s="49">
        <f t="shared" si="58"/>
        <v>7.4928002420633936E-5</v>
      </c>
    </row>
    <row r="226" spans="1:14" ht="12.75" customHeight="1" x14ac:dyDescent="0.25">
      <c r="B226" s="82" t="s">
        <v>1</v>
      </c>
      <c r="C226" s="84">
        <v>7.1530660073489152</v>
      </c>
      <c r="D226" s="29">
        <v>13199.085501550475</v>
      </c>
      <c r="E226" s="49">
        <f t="shared" si="54"/>
        <v>2.9364433992448483E-2</v>
      </c>
      <c r="F226" s="49">
        <f t="shared" si="55"/>
        <v>4.3177805010323955E-3</v>
      </c>
      <c r="G226" s="49">
        <f t="shared" si="56"/>
        <v>4.2635773025661156E-2</v>
      </c>
      <c r="H226" s="50">
        <f t="shared" si="57"/>
        <v>0.74142806499557001</v>
      </c>
      <c r="I226" s="49">
        <f t="shared" si="58"/>
        <v>1.206973191584187E-4</v>
      </c>
    </row>
    <row r="227" spans="1:14" ht="12.75" customHeight="1" x14ac:dyDescent="0.25">
      <c r="B227" s="82" t="s">
        <v>6</v>
      </c>
      <c r="C227" s="84">
        <v>8.1725692358649695</v>
      </c>
      <c r="D227" s="29">
        <v>20836.189535136225</v>
      </c>
      <c r="E227" s="49">
        <f t="shared" si="54"/>
        <v>3.3549651244475932E-2</v>
      </c>
      <c r="F227" s="49">
        <f t="shared" si="55"/>
        <v>6.8160853174303836E-3</v>
      </c>
      <c r="G227" s="49">
        <f t="shared" si="56"/>
        <v>7.6185424270137081E-2</v>
      </c>
      <c r="H227" s="50">
        <f t="shared" si="57"/>
        <v>0.7482441503130004</v>
      </c>
      <c r="I227" s="49">
        <f t="shared" si="58"/>
        <v>4.0494770914369479E-4</v>
      </c>
    </row>
    <row r="228" spans="1:14" ht="12.75" customHeight="1" x14ac:dyDescent="0.25">
      <c r="B228" s="82" t="s">
        <v>5</v>
      </c>
      <c r="C228" s="84">
        <v>27.678981965070257</v>
      </c>
      <c r="D228" s="29">
        <v>49475.746319971244</v>
      </c>
      <c r="E228" s="49">
        <f t="shared" si="54"/>
        <v>0.11362646983215957</v>
      </c>
      <c r="F228" s="49">
        <f t="shared" si="55"/>
        <v>1.6184864679397896E-2</v>
      </c>
      <c r="G228" s="49">
        <f t="shared" si="56"/>
        <v>0.18981189410229665</v>
      </c>
      <c r="H228" s="50">
        <f t="shared" si="57"/>
        <v>0.76442901499239835</v>
      </c>
      <c r="I228" s="49">
        <f t="shared" si="58"/>
        <v>2.1525653014702866E-3</v>
      </c>
    </row>
    <row r="229" spans="1:14" ht="12.75" customHeight="1" x14ac:dyDescent="0.25">
      <c r="B229" s="82" t="s">
        <v>9</v>
      </c>
      <c r="C229" s="84">
        <v>58.968413233176513</v>
      </c>
      <c r="D229" s="29">
        <v>119784.51078433092</v>
      </c>
      <c r="E229" s="49">
        <f t="shared" si="54"/>
        <v>0.24207438827574823</v>
      </c>
      <c r="F229" s="49">
        <f t="shared" si="55"/>
        <v>3.9184777227902166E-2</v>
      </c>
      <c r="G229" s="49">
        <f t="shared" si="56"/>
        <v>0.43188628237804488</v>
      </c>
      <c r="H229" s="50">
        <f t="shared" si="57"/>
        <v>0.80361379222030049</v>
      </c>
      <c r="I229" s="49">
        <f t="shared" si="58"/>
        <v>1.2180552274187588E-2</v>
      </c>
    </row>
    <row r="230" spans="1:14" ht="12.75" customHeight="1" x14ac:dyDescent="0.25">
      <c r="B230" s="111" t="s">
        <v>10</v>
      </c>
      <c r="C230" s="84">
        <v>61.077225932354281</v>
      </c>
      <c r="D230" s="29">
        <v>237021.44592026682</v>
      </c>
      <c r="E230" s="49">
        <f t="shared" si="54"/>
        <v>0.25073138811942691</v>
      </c>
      <c r="F230" s="49">
        <f t="shared" si="55"/>
        <v>7.7536173047808091E-2</v>
      </c>
      <c r="G230" s="49">
        <f t="shared" si="56"/>
        <v>0.6826176704974718</v>
      </c>
      <c r="H230" s="50">
        <f t="shared" si="57"/>
        <v>0.88114996526810863</v>
      </c>
      <c r="I230" s="49">
        <f t="shared" si="58"/>
        <v>4.3207185676311134E-2</v>
      </c>
    </row>
    <row r="231" spans="1:14" ht="12.75" customHeight="1" thickBot="1" x14ac:dyDescent="0.3">
      <c r="B231" s="86" t="s">
        <v>4</v>
      </c>
      <c r="C231" s="87">
        <v>77.313145320001027</v>
      </c>
      <c r="D231" s="32">
        <v>363314.38569269452</v>
      </c>
      <c r="E231" s="51">
        <f t="shared" si="54"/>
        <v>0.31738232950252826</v>
      </c>
      <c r="F231" s="51">
        <f t="shared" si="55"/>
        <v>0.1188500347318915</v>
      </c>
      <c r="G231" s="51">
        <f t="shared" si="56"/>
        <v>1</v>
      </c>
      <c r="H231" s="52">
        <f t="shared" si="57"/>
        <v>1.0000000000000002</v>
      </c>
      <c r="I231" s="51">
        <f t="shared" si="58"/>
        <v>9.9989584289559522E-2</v>
      </c>
    </row>
    <row r="232" spans="1:14" ht="12.75" customHeight="1" thickBot="1" x14ac:dyDescent="0.3">
      <c r="B232" s="38" t="s">
        <v>12</v>
      </c>
      <c r="C232" s="32">
        <f>SUM(C220:C231)</f>
        <v>243.59625011632903</v>
      </c>
      <c r="D232" s="32">
        <f>SUM(D220:D231)</f>
        <v>3056914.4259173274</v>
      </c>
      <c r="E232" s="51">
        <f>SUM(E221:E231)</f>
        <v>1</v>
      </c>
      <c r="F232" s="51">
        <f>SUM(F221:F231)</f>
        <v>1.0000000000000002</v>
      </c>
      <c r="G232" s="52"/>
      <c r="H232" s="52"/>
      <c r="I232" s="51">
        <f>SUM(I220:I231)</f>
        <v>0.15814862012892433</v>
      </c>
    </row>
    <row r="233" spans="1:14" ht="12.75" customHeight="1" thickBot="1" x14ac:dyDescent="0.3">
      <c r="B233" s="4"/>
      <c r="C233" s="4"/>
      <c r="D233" s="4"/>
      <c r="E233" s="50"/>
      <c r="F233" s="50"/>
      <c r="G233" s="50"/>
      <c r="H233" s="53"/>
      <c r="I233" s="53"/>
    </row>
    <row r="234" spans="1:14" ht="12.75" customHeight="1" thickBot="1" x14ac:dyDescent="0.3">
      <c r="B234" s="4"/>
      <c r="C234" s="4"/>
      <c r="D234" s="4"/>
      <c r="E234" s="50"/>
      <c r="F234" s="50"/>
      <c r="G234" s="55"/>
      <c r="H234" s="56" t="s">
        <v>33</v>
      </c>
      <c r="I234" s="52">
        <f>1-(2*I232)</f>
        <v>0.68370275974215133</v>
      </c>
    </row>
    <row r="235" spans="1:14" ht="12.75" customHeight="1" x14ac:dyDescent="0.25"/>
    <row r="236" spans="1:14" ht="12.75" customHeight="1" x14ac:dyDescent="0.25"/>
    <row r="237" spans="1:14" ht="12.75" customHeight="1" x14ac:dyDescent="0.25"/>
    <row r="238" spans="1:14" ht="12.75" customHeight="1" x14ac:dyDescent="0.25"/>
    <row r="239" spans="1:14" ht="16.2" thickBot="1" x14ac:dyDescent="0.35">
      <c r="B239" s="256" t="s">
        <v>118</v>
      </c>
      <c r="C239" s="256"/>
      <c r="D239" s="256"/>
      <c r="E239" s="256"/>
      <c r="F239" s="256"/>
      <c r="G239" s="256"/>
      <c r="H239" s="256"/>
      <c r="I239" s="256"/>
    </row>
    <row r="240" spans="1:14" ht="40.200000000000003" thickBot="1" x14ac:dyDescent="0.3">
      <c r="A240" s="8"/>
      <c r="B240" s="30" t="s">
        <v>19</v>
      </c>
      <c r="C240" s="31" t="s">
        <v>284</v>
      </c>
      <c r="D240" s="37" t="s">
        <v>115</v>
      </c>
      <c r="E240" s="31" t="s">
        <v>15</v>
      </c>
      <c r="F240" s="31" t="s">
        <v>21</v>
      </c>
      <c r="G240" s="31" t="s">
        <v>17</v>
      </c>
      <c r="H240" s="31" t="s">
        <v>117</v>
      </c>
      <c r="I240" s="31" t="s">
        <v>20</v>
      </c>
      <c r="J240" s="8"/>
      <c r="K240" s="8"/>
      <c r="L240" s="8"/>
      <c r="M240" s="8"/>
      <c r="N240" s="8"/>
    </row>
    <row r="241" spans="2:9" ht="12.75" customHeight="1" x14ac:dyDescent="0.25">
      <c r="B241" s="4"/>
      <c r="C241" s="26">
        <v>0</v>
      </c>
      <c r="D241" s="26">
        <v>0</v>
      </c>
      <c r="E241" s="49">
        <v>0</v>
      </c>
      <c r="F241" s="49">
        <v>0</v>
      </c>
      <c r="G241" s="49">
        <v>0</v>
      </c>
      <c r="H241" s="50">
        <f>F241</f>
        <v>0</v>
      </c>
      <c r="I241" s="49">
        <v>0</v>
      </c>
    </row>
    <row r="242" spans="2:9" ht="12.75" customHeight="1" x14ac:dyDescent="0.25">
      <c r="B242" s="82" t="s">
        <v>195</v>
      </c>
      <c r="C242" s="29">
        <v>1.3224981196287995</v>
      </c>
      <c r="D242" s="29">
        <v>20450.034940117202</v>
      </c>
      <c r="E242" s="49">
        <f t="shared" ref="E242:E252" si="59">C242/$C$253</f>
        <v>3.4593541506786328E-3</v>
      </c>
      <c r="F242" s="49">
        <f t="shared" ref="F242:F252" si="60">D242/$D$253</f>
        <v>6.6897636279041406E-3</v>
      </c>
      <c r="G242" s="49">
        <f t="shared" ref="G242:G252" si="61">G241+E242</f>
        <v>3.4593541506786328E-3</v>
      </c>
      <c r="H242" s="50">
        <f t="shared" ref="H242:H252" si="62">F242+H241</f>
        <v>6.6897636279041406E-3</v>
      </c>
      <c r="I242" s="49">
        <f t="shared" ref="I242:I252" si="63">(G241+G242)*0.5*(H242-H241)</f>
        <v>1.1571130786624569E-5</v>
      </c>
    </row>
    <row r="243" spans="2:9" ht="12.75" customHeight="1" x14ac:dyDescent="0.25">
      <c r="B243" s="82" t="s">
        <v>3</v>
      </c>
      <c r="C243" s="29">
        <v>1.9103503028842752</v>
      </c>
      <c r="D243" s="29">
        <v>24496.645034227455</v>
      </c>
      <c r="E243" s="49">
        <f t="shared" si="59"/>
        <v>4.9970416981672573E-3</v>
      </c>
      <c r="F243" s="49">
        <f t="shared" si="60"/>
        <v>8.0135200470573958E-3</v>
      </c>
      <c r="G243" s="49">
        <f t="shared" si="61"/>
        <v>8.4563958488458896E-3</v>
      </c>
      <c r="H243" s="50">
        <f t="shared" si="62"/>
        <v>1.4703283674961536E-2</v>
      </c>
      <c r="I243" s="49">
        <f t="shared" si="63"/>
        <v>4.7743550748456958E-5</v>
      </c>
    </row>
    <row r="244" spans="2:9" ht="12.75" customHeight="1" x14ac:dyDescent="0.25">
      <c r="B244" s="82" t="s">
        <v>1</v>
      </c>
      <c r="C244" s="29">
        <v>7.1530660073489152</v>
      </c>
      <c r="D244" s="29">
        <v>13199.085501550475</v>
      </c>
      <c r="E244" s="49">
        <f t="shared" si="59"/>
        <v>1.8710793017646148E-2</v>
      </c>
      <c r="F244" s="49">
        <f t="shared" si="60"/>
        <v>4.3177805010323955E-3</v>
      </c>
      <c r="G244" s="49">
        <f t="shared" si="61"/>
        <v>2.716718886649204E-2</v>
      </c>
      <c r="H244" s="50">
        <f t="shared" si="62"/>
        <v>1.9021064175993932E-2</v>
      </c>
      <c r="I244" s="49">
        <f t="shared" si="63"/>
        <v>7.6907409730380904E-5</v>
      </c>
    </row>
    <row r="245" spans="2:9" ht="12.75" customHeight="1" x14ac:dyDescent="0.25">
      <c r="B245" s="82" t="s">
        <v>6</v>
      </c>
      <c r="C245" s="29">
        <v>11.97256923586497</v>
      </c>
      <c r="D245" s="29">
        <v>20836.189535136225</v>
      </c>
      <c r="E245" s="49">
        <f t="shared" si="59"/>
        <v>3.1317516800705825E-2</v>
      </c>
      <c r="F245" s="49">
        <f t="shared" si="60"/>
        <v>6.8160853174303836E-3</v>
      </c>
      <c r="G245" s="49">
        <f t="shared" si="61"/>
        <v>5.8484705667197864E-2</v>
      </c>
      <c r="H245" s="50">
        <f t="shared" si="62"/>
        <v>2.5837149493424316E-2</v>
      </c>
      <c r="I245" s="49">
        <f t="shared" si="63"/>
        <v>2.9190531037058976E-4</v>
      </c>
    </row>
    <row r="246" spans="2:9" ht="12.75" customHeight="1" x14ac:dyDescent="0.25">
      <c r="B246" s="82" t="s">
        <v>8</v>
      </c>
      <c r="C246" s="29">
        <v>23.5</v>
      </c>
      <c r="D246" s="29">
        <v>617141.72101696266</v>
      </c>
      <c r="E246" s="49">
        <f t="shared" si="59"/>
        <v>6.1470652649219498E-2</v>
      </c>
      <c r="F246" s="49">
        <f t="shared" si="60"/>
        <v>0.20188387211126102</v>
      </c>
      <c r="G246" s="49">
        <f t="shared" si="61"/>
        <v>0.11995535831641736</v>
      </c>
      <c r="H246" s="50">
        <f t="shared" si="62"/>
        <v>0.22772102160468533</v>
      </c>
      <c r="I246" s="49">
        <f t="shared" si="63"/>
        <v>1.8012085528396705E-2</v>
      </c>
    </row>
    <row r="247" spans="2:9" ht="12.75" customHeight="1" x14ac:dyDescent="0.25">
      <c r="B247" s="82" t="s">
        <v>5</v>
      </c>
      <c r="C247" s="29">
        <v>27.678981965070257</v>
      </c>
      <c r="D247" s="29">
        <v>49475.746319971244</v>
      </c>
      <c r="E247" s="49">
        <f t="shared" si="59"/>
        <v>7.2401918555695513E-2</v>
      </c>
      <c r="F247" s="49">
        <f t="shared" si="60"/>
        <v>1.6184864679397896E-2</v>
      </c>
      <c r="G247" s="49">
        <f t="shared" si="61"/>
        <v>0.19235727687211288</v>
      </c>
      <c r="H247" s="50">
        <f t="shared" si="62"/>
        <v>0.24390588628408322</v>
      </c>
      <c r="I247" s="49">
        <f t="shared" si="63"/>
        <v>2.5273688690962614E-3</v>
      </c>
    </row>
    <row r="248" spans="2:9" ht="12.75" customHeight="1" x14ac:dyDescent="0.25">
      <c r="B248" s="82" t="s">
        <v>7</v>
      </c>
      <c r="C248" s="29">
        <v>33.799999999999997</v>
      </c>
      <c r="D248" s="29">
        <v>1339764.2833351614</v>
      </c>
      <c r="E248" s="49">
        <f t="shared" si="59"/>
        <v>8.8413108916749736E-2</v>
      </c>
      <c r="F248" s="49">
        <f t="shared" si="60"/>
        <v>0.43827340143259691</v>
      </c>
      <c r="G248" s="49">
        <f t="shared" si="61"/>
        <v>0.2807703857888626</v>
      </c>
      <c r="H248" s="50">
        <f t="shared" si="62"/>
        <v>0.68217928771668013</v>
      </c>
      <c r="I248" s="49">
        <f t="shared" si="63"/>
        <v>0.10367963501314001</v>
      </c>
    </row>
    <row r="249" spans="2:9" ht="12.75" customHeight="1" x14ac:dyDescent="0.25">
      <c r="B249" s="82" t="s">
        <v>2</v>
      </c>
      <c r="C249" s="29">
        <v>56.5</v>
      </c>
      <c r="D249" s="29">
        <v>251430.37783690859</v>
      </c>
      <c r="E249" s="49">
        <f t="shared" si="59"/>
        <v>0.14779114360344262</v>
      </c>
      <c r="F249" s="49">
        <f t="shared" si="60"/>
        <v>8.2249727275718124E-2</v>
      </c>
      <c r="G249" s="49">
        <f t="shared" si="61"/>
        <v>0.42856152939230518</v>
      </c>
      <c r="H249" s="50">
        <f t="shared" si="62"/>
        <v>0.76442901499239824</v>
      </c>
      <c r="I249" s="49">
        <f t="shared" si="63"/>
        <v>2.9171178285806929E-2</v>
      </c>
    </row>
    <row r="250" spans="2:9" ht="12.75" customHeight="1" x14ac:dyDescent="0.25">
      <c r="B250" s="82" t="s">
        <v>9</v>
      </c>
      <c r="C250" s="29">
        <v>58.968413233176513</v>
      </c>
      <c r="D250" s="29">
        <v>119784.51078433092</v>
      </c>
      <c r="E250" s="49">
        <f t="shared" si="59"/>
        <v>0.15424795094179711</v>
      </c>
      <c r="F250" s="49">
        <f t="shared" si="60"/>
        <v>3.9184777227902166E-2</v>
      </c>
      <c r="G250" s="49">
        <f t="shared" si="61"/>
        <v>0.58280948033410229</v>
      </c>
      <c r="H250" s="50">
        <f t="shared" si="62"/>
        <v>0.80361379222030038</v>
      </c>
      <c r="I250" s="49">
        <f t="shared" si="63"/>
        <v>1.9815173855443867E-2</v>
      </c>
    </row>
    <row r="251" spans="2:9" ht="12.75" customHeight="1" x14ac:dyDescent="0.25">
      <c r="B251" s="82" t="s">
        <v>4</v>
      </c>
      <c r="C251" s="29">
        <v>77.313145320001027</v>
      </c>
      <c r="D251" s="29">
        <v>363314.38569269452</v>
      </c>
      <c r="E251" s="49">
        <f t="shared" si="59"/>
        <v>0.20223359579508141</v>
      </c>
      <c r="F251" s="49">
        <f t="shared" si="60"/>
        <v>0.1188500347318915</v>
      </c>
      <c r="G251" s="49">
        <f t="shared" si="61"/>
        <v>0.78504307612918367</v>
      </c>
      <c r="H251" s="50">
        <f t="shared" si="62"/>
        <v>0.92246382695219187</v>
      </c>
      <c r="I251" s="49">
        <f t="shared" si="63"/>
        <v>8.1284661921884049E-2</v>
      </c>
    </row>
    <row r="252" spans="2:9" ht="12.75" customHeight="1" thickBot="1" x14ac:dyDescent="0.3">
      <c r="B252" s="86" t="s">
        <v>10</v>
      </c>
      <c r="C252" s="32">
        <v>82.177225932354276</v>
      </c>
      <c r="D252" s="32">
        <v>237021.44592026682</v>
      </c>
      <c r="E252" s="51">
        <f t="shared" si="59"/>
        <v>0.21495692387081627</v>
      </c>
      <c r="F252" s="51">
        <f t="shared" si="60"/>
        <v>7.7536173047808091E-2</v>
      </c>
      <c r="G252" s="51">
        <f t="shared" si="61"/>
        <v>1</v>
      </c>
      <c r="H252" s="52">
        <f t="shared" si="62"/>
        <v>1</v>
      </c>
      <c r="I252" s="51">
        <f t="shared" si="63"/>
        <v>6.9202704424272066E-2</v>
      </c>
    </row>
    <row r="253" spans="2:9" ht="12.75" customHeight="1" thickBot="1" x14ac:dyDescent="0.3">
      <c r="B253" s="38" t="s">
        <v>12</v>
      </c>
      <c r="C253" s="32">
        <f>SUM(C241:C252)</f>
        <v>382.29625011632902</v>
      </c>
      <c r="D253" s="32">
        <f>SUM(D241:D252)</f>
        <v>3056914.4259173274</v>
      </c>
      <c r="E253" s="51">
        <f>SUM(E242:E252)</f>
        <v>1</v>
      </c>
      <c r="F253" s="51">
        <f>SUM(F242:F252)</f>
        <v>1</v>
      </c>
      <c r="G253" s="52"/>
      <c r="H253" s="52"/>
      <c r="I253" s="51">
        <f>SUM(I241:I252)</f>
        <v>0.32412093529967595</v>
      </c>
    </row>
    <row r="254" spans="2:9" ht="12.75" customHeight="1" thickBot="1" x14ac:dyDescent="0.3">
      <c r="B254" s="4"/>
      <c r="C254" s="4"/>
      <c r="D254" s="4"/>
      <c r="E254" s="50"/>
      <c r="F254" s="50"/>
      <c r="G254" s="50"/>
      <c r="H254" s="53"/>
      <c r="I254" s="53"/>
    </row>
    <row r="255" spans="2:9" ht="12.75" customHeight="1" thickBot="1" x14ac:dyDescent="0.3">
      <c r="B255" s="4"/>
      <c r="C255" s="4"/>
      <c r="D255" s="4"/>
      <c r="E255" s="50"/>
      <c r="F255" s="50"/>
      <c r="G255" s="55"/>
      <c r="H255" s="57" t="s">
        <v>29</v>
      </c>
      <c r="I255" s="58">
        <f>1-(2*I253)</f>
        <v>0.3517581294006481</v>
      </c>
    </row>
    <row r="256" spans="2:9" ht="12.6" customHeight="1" x14ac:dyDescent="0.25"/>
    <row r="257" spans="1:14" ht="12.6" customHeight="1" x14ac:dyDescent="0.25">
      <c r="A257" s="112" t="s">
        <v>106</v>
      </c>
      <c r="B257" s="112"/>
      <c r="C257" s="112"/>
      <c r="D257" s="112"/>
      <c r="E257" s="112"/>
      <c r="F257" s="112"/>
      <c r="G257" s="113"/>
      <c r="H257" s="113"/>
      <c r="I257" s="113"/>
    </row>
    <row r="258" spans="1:14" ht="12.75" customHeight="1" x14ac:dyDescent="0.25"/>
    <row r="259" spans="1:14" ht="16.2" thickBot="1" x14ac:dyDescent="0.35">
      <c r="B259" s="256" t="s">
        <v>110</v>
      </c>
      <c r="C259" s="256"/>
      <c r="D259" s="256"/>
      <c r="E259" s="256"/>
      <c r="F259" s="256"/>
      <c r="G259" s="256"/>
      <c r="H259" s="256"/>
      <c r="I259" s="256"/>
    </row>
    <row r="260" spans="1:14" ht="42.6" customHeight="1" thickBot="1" x14ac:dyDescent="0.3">
      <c r="B260" s="36" t="s">
        <v>19</v>
      </c>
      <c r="C260" s="37" t="s">
        <v>291</v>
      </c>
      <c r="D260" s="37" t="s">
        <v>41</v>
      </c>
      <c r="E260" s="37" t="s">
        <v>91</v>
      </c>
      <c r="F260" s="37" t="s">
        <v>16</v>
      </c>
      <c r="G260" s="37" t="s">
        <v>92</v>
      </c>
      <c r="H260" s="37" t="s">
        <v>116</v>
      </c>
      <c r="I260" s="37" t="s">
        <v>20</v>
      </c>
      <c r="J260" s="8"/>
      <c r="K260" s="8"/>
      <c r="L260" s="8"/>
      <c r="M260" s="8"/>
      <c r="N260" s="8"/>
    </row>
    <row r="261" spans="1:14" ht="12.75" customHeight="1" x14ac:dyDescent="0.25">
      <c r="B261" s="4"/>
      <c r="C261" s="26">
        <v>0</v>
      </c>
      <c r="D261" s="26">
        <v>0</v>
      </c>
      <c r="E261" s="49">
        <f>C261/$C$82</f>
        <v>0</v>
      </c>
      <c r="F261" s="49">
        <v>0</v>
      </c>
      <c r="G261" s="49">
        <v>0</v>
      </c>
      <c r="H261" s="50">
        <f>F261</f>
        <v>0</v>
      </c>
      <c r="I261" s="49">
        <v>0</v>
      </c>
    </row>
    <row r="262" spans="1:14" ht="12.75" customHeight="1" x14ac:dyDescent="0.25">
      <c r="B262" s="82" t="s">
        <v>1</v>
      </c>
      <c r="C262" s="29">
        <v>8.8177394892008039</v>
      </c>
      <c r="D262" s="29">
        <v>6.169632</v>
      </c>
      <c r="E262" s="49">
        <f t="shared" ref="E262:E272" si="64">C262/$C$273</f>
        <v>2.3065200054977395E-2</v>
      </c>
      <c r="F262" s="49">
        <f t="shared" ref="F262:F272" si="65">D262/$D$273</f>
        <v>2.3065200054977395E-2</v>
      </c>
      <c r="G262" s="49">
        <f t="shared" ref="G262:G272" si="66">G261+E262</f>
        <v>2.3065200054977395E-2</v>
      </c>
      <c r="H262" s="50">
        <f t="shared" ref="H262:H272" si="67">F262+H261</f>
        <v>2.3065200054977395E-2</v>
      </c>
      <c r="I262" s="49">
        <f t="shared" ref="I262:I272" si="68">(G261+G262)*0.5*(H262-H261)</f>
        <v>2.660017267880646E-4</v>
      </c>
    </row>
    <row r="263" spans="1:14" ht="12.75" customHeight="1" x14ac:dyDescent="0.25">
      <c r="B263" s="82" t="s">
        <v>195</v>
      </c>
      <c r="C263" s="29">
        <v>5.538651049031257</v>
      </c>
      <c r="D263" s="29">
        <v>3.8753060000000001</v>
      </c>
      <c r="E263" s="49">
        <f t="shared" si="64"/>
        <v>1.4487850841712153E-2</v>
      </c>
      <c r="F263" s="49">
        <f t="shared" si="65"/>
        <v>1.4487850841712153E-2</v>
      </c>
      <c r="G263" s="49">
        <f t="shared" si="66"/>
        <v>3.7553050896689547E-2</v>
      </c>
      <c r="H263" s="50">
        <f t="shared" si="67"/>
        <v>3.7553050896689547E-2</v>
      </c>
      <c r="I263" s="49">
        <f t="shared" si="68"/>
        <v>4.3911408903661315E-4</v>
      </c>
    </row>
    <row r="264" spans="1:14" ht="12.75" customHeight="1" x14ac:dyDescent="0.25">
      <c r="B264" s="82" t="s">
        <v>2</v>
      </c>
      <c r="C264" s="29">
        <v>119.97778799439421</v>
      </c>
      <c r="D264" s="29">
        <v>83.946549000000005</v>
      </c>
      <c r="E264" s="49">
        <f t="shared" si="64"/>
        <v>0.31383459282660014</v>
      </c>
      <c r="F264" s="49">
        <f t="shared" si="65"/>
        <v>0.31383459282660014</v>
      </c>
      <c r="G264" s="49">
        <f t="shared" si="66"/>
        <v>0.35138764372328968</v>
      </c>
      <c r="H264" s="50">
        <f t="shared" si="67"/>
        <v>0.35138764372328968</v>
      </c>
      <c r="I264" s="49">
        <f t="shared" si="68"/>
        <v>6.1031522264878103E-2</v>
      </c>
    </row>
    <row r="265" spans="1:14" ht="12.75" customHeight="1" x14ac:dyDescent="0.25">
      <c r="B265" s="82" t="s">
        <v>3</v>
      </c>
      <c r="C265" s="29">
        <v>1.8438464226736457</v>
      </c>
      <c r="D265" s="29">
        <v>1.2901100000000001</v>
      </c>
      <c r="E265" s="49">
        <f t="shared" si="64"/>
        <v>4.8230826802841548E-3</v>
      </c>
      <c r="F265" s="49">
        <f t="shared" si="65"/>
        <v>4.8230826802841548E-3</v>
      </c>
      <c r="G265" s="49">
        <f t="shared" si="66"/>
        <v>0.35621072640357382</v>
      </c>
      <c r="H265" s="50">
        <f t="shared" si="67"/>
        <v>0.35621072640357382</v>
      </c>
      <c r="I265" s="49">
        <f t="shared" si="68"/>
        <v>1.7064027217780814E-3</v>
      </c>
    </row>
    <row r="266" spans="1:14" ht="12.75" customHeight="1" x14ac:dyDescent="0.25">
      <c r="B266" s="82" t="s">
        <v>4</v>
      </c>
      <c r="C266" s="29">
        <v>56.071666847603638</v>
      </c>
      <c r="D266" s="29">
        <v>39.232453</v>
      </c>
      <c r="E266" s="49">
        <f t="shared" si="64"/>
        <v>0.14667072154262978</v>
      </c>
      <c r="F266" s="49">
        <f t="shared" si="65"/>
        <v>0.14667072154262978</v>
      </c>
      <c r="G266" s="49">
        <f t="shared" si="66"/>
        <v>0.5028814479462036</v>
      </c>
      <c r="H266" s="50">
        <f t="shared" si="67"/>
        <v>0.5028814479462036</v>
      </c>
      <c r="I266" s="49">
        <f t="shared" si="68"/>
        <v>6.3001834541754287E-2</v>
      </c>
    </row>
    <row r="267" spans="1:14" ht="12.75" customHeight="1" x14ac:dyDescent="0.25">
      <c r="B267" s="82" t="s">
        <v>5</v>
      </c>
      <c r="C267" s="29">
        <v>28.216605721514604</v>
      </c>
      <c r="D267" s="29">
        <v>19.742709999999999</v>
      </c>
      <c r="E267" s="49">
        <f t="shared" si="64"/>
        <v>7.3808219967966118E-2</v>
      </c>
      <c r="F267" s="49">
        <f t="shared" si="65"/>
        <v>7.3808219967966118E-2</v>
      </c>
      <c r="G267" s="49">
        <f t="shared" si="66"/>
        <v>0.57668966791416976</v>
      </c>
      <c r="H267" s="50">
        <f t="shared" si="67"/>
        <v>0.57668966791416976</v>
      </c>
      <c r="I267" s="49">
        <f t="shared" si="68"/>
        <v>3.9840611195242556E-2</v>
      </c>
    </row>
    <row r="268" spans="1:14" ht="12.75" customHeight="1" x14ac:dyDescent="0.25">
      <c r="B268" s="111" t="s">
        <v>6</v>
      </c>
      <c r="C268" s="29">
        <v>16.330854480663376</v>
      </c>
      <c r="D268" s="29">
        <v>11.426439</v>
      </c>
      <c r="E268" s="49">
        <f t="shared" si="64"/>
        <v>4.2717799287055672E-2</v>
      </c>
      <c r="F268" s="49">
        <f t="shared" si="65"/>
        <v>4.2717799287055672E-2</v>
      </c>
      <c r="G268" s="49">
        <f t="shared" si="66"/>
        <v>0.61940746720122541</v>
      </c>
      <c r="H268" s="50">
        <f t="shared" si="67"/>
        <v>0.61940746720122541</v>
      </c>
      <c r="I268" s="49">
        <f t="shared" si="68"/>
        <v>2.5547318672840873E-2</v>
      </c>
    </row>
    <row r="269" spans="1:14" ht="12.75" customHeight="1" x14ac:dyDescent="0.25">
      <c r="B269" s="82" t="s">
        <v>7</v>
      </c>
      <c r="C269" s="29">
        <v>52.856461523913048</v>
      </c>
      <c r="D269" s="29">
        <v>36.982824999999998</v>
      </c>
      <c r="E269" s="49">
        <f t="shared" si="64"/>
        <v>0.1382604760256721</v>
      </c>
      <c r="F269" s="49">
        <f t="shared" si="65"/>
        <v>0.1382604760256721</v>
      </c>
      <c r="G269" s="49">
        <f t="shared" si="66"/>
        <v>0.75766794322689757</v>
      </c>
      <c r="H269" s="50">
        <f t="shared" si="67"/>
        <v>0.75766794322689757</v>
      </c>
      <c r="I269" s="49">
        <f t="shared" si="68"/>
        <v>9.5197550884520074E-2</v>
      </c>
    </row>
    <row r="270" spans="1:14" ht="12.75" customHeight="1" x14ac:dyDescent="0.25">
      <c r="B270" s="82" t="s">
        <v>8</v>
      </c>
      <c r="C270" s="29">
        <v>15.586715156713844</v>
      </c>
      <c r="D270" s="29">
        <v>10.905776556851148</v>
      </c>
      <c r="E270" s="49">
        <f t="shared" si="64"/>
        <v>4.0771300142156658E-2</v>
      </c>
      <c r="F270" s="49">
        <f t="shared" si="65"/>
        <v>4.0771300142156658E-2</v>
      </c>
      <c r="G270" s="49">
        <f t="shared" si="66"/>
        <v>0.79843924336905425</v>
      </c>
      <c r="H270" s="50">
        <f t="shared" si="67"/>
        <v>0.79843924336905425</v>
      </c>
      <c r="I270" s="49">
        <f t="shared" si="68"/>
        <v>3.1722256579035289E-2</v>
      </c>
    </row>
    <row r="271" spans="1:14" ht="12.75" customHeight="1" x14ac:dyDescent="0.25">
      <c r="B271" s="82" t="s">
        <v>9</v>
      </c>
      <c r="C271" s="29">
        <v>17.145216291868429</v>
      </c>
      <c r="D271" s="29">
        <v>11.996235</v>
      </c>
      <c r="E271" s="49">
        <f t="shared" si="64"/>
        <v>4.4847984479709932E-2</v>
      </c>
      <c r="F271" s="49">
        <f t="shared" si="65"/>
        <v>4.4847984479709932E-2</v>
      </c>
      <c r="G271" s="49">
        <f t="shared" si="66"/>
        <v>0.8432872278487642</v>
      </c>
      <c r="H271" s="50">
        <f t="shared" si="67"/>
        <v>0.8432872278487642</v>
      </c>
      <c r="I271" s="49">
        <f t="shared" si="68"/>
        <v>3.681406165055285E-2</v>
      </c>
    </row>
    <row r="272" spans="1:14" ht="12.75" customHeight="1" thickBot="1" x14ac:dyDescent="0.3">
      <c r="B272" s="86" t="s">
        <v>10</v>
      </c>
      <c r="C272" s="32">
        <v>59.910705138752149</v>
      </c>
      <c r="D272" s="32">
        <v>41.918567000000003</v>
      </c>
      <c r="E272" s="51">
        <f t="shared" si="64"/>
        <v>0.15671277215123586</v>
      </c>
      <c r="F272" s="51">
        <f t="shared" si="65"/>
        <v>0.15671277215123589</v>
      </c>
      <c r="G272" s="51">
        <f t="shared" si="66"/>
        <v>1</v>
      </c>
      <c r="H272" s="52">
        <f t="shared" si="67"/>
        <v>1</v>
      </c>
      <c r="I272" s="51">
        <f t="shared" si="68"/>
        <v>0.14443332567357323</v>
      </c>
    </row>
    <row r="273" spans="2:14" ht="12.75" customHeight="1" thickBot="1" x14ac:dyDescent="0.3">
      <c r="B273" s="38" t="s">
        <v>12</v>
      </c>
      <c r="C273" s="32">
        <f>SUM(C261:C272)</f>
        <v>382.29625011632902</v>
      </c>
      <c r="D273" s="32">
        <f>SUM(D261:D272)</f>
        <v>267.48660255685115</v>
      </c>
      <c r="E273" s="51">
        <f>SUM(E262:E272)</f>
        <v>1</v>
      </c>
      <c r="F273" s="51">
        <f>SUM(F262:F272)</f>
        <v>1</v>
      </c>
      <c r="G273" s="52"/>
      <c r="H273" s="52"/>
      <c r="I273" s="51">
        <f>SUM(I261:I272)</f>
        <v>0.5</v>
      </c>
    </row>
    <row r="274" spans="2:14" ht="12.75" customHeight="1" thickBot="1" x14ac:dyDescent="0.3">
      <c r="B274" s="47"/>
      <c r="C274" s="29"/>
      <c r="D274" s="29"/>
      <c r="E274" s="26"/>
      <c r="F274" s="27"/>
      <c r="G274" s="4"/>
      <c r="H274" s="40"/>
      <c r="I274" s="34"/>
    </row>
    <row r="275" spans="2:14" ht="12.75" customHeight="1" thickBot="1" x14ac:dyDescent="0.3">
      <c r="B275" s="4"/>
      <c r="C275" s="4"/>
      <c r="D275" s="4"/>
      <c r="E275" s="4"/>
      <c r="F275" s="4"/>
      <c r="G275" s="5"/>
      <c r="H275" s="48" t="s">
        <v>37</v>
      </c>
      <c r="I275" s="61">
        <f>1-(2*I273)</f>
        <v>0</v>
      </c>
    </row>
    <row r="276" spans="2:14" ht="12.75" customHeight="1" x14ac:dyDescent="0.25">
      <c r="B276" s="4"/>
      <c r="C276" s="4"/>
      <c r="D276" s="4"/>
      <c r="E276" s="4"/>
      <c r="F276" s="4"/>
      <c r="G276" s="5"/>
      <c r="H276" s="107"/>
      <c r="I276" s="108"/>
    </row>
    <row r="277" spans="2:14" ht="12.75" customHeight="1" x14ac:dyDescent="0.25"/>
    <row r="278" spans="2:14" ht="12.75" customHeight="1" x14ac:dyDescent="0.25"/>
    <row r="279" spans="2:14" ht="16.2" thickBot="1" x14ac:dyDescent="0.35">
      <c r="B279" s="256" t="s">
        <v>109</v>
      </c>
      <c r="C279" s="256"/>
      <c r="D279" s="256"/>
      <c r="E279" s="256"/>
      <c r="F279" s="256"/>
      <c r="G279" s="256"/>
      <c r="H279" s="256"/>
      <c r="I279" s="256"/>
    </row>
    <row r="280" spans="2:14" ht="40.799999999999997" customHeight="1" thickBot="1" x14ac:dyDescent="0.3">
      <c r="B280" s="30" t="s">
        <v>19</v>
      </c>
      <c r="C280" s="31" t="s">
        <v>284</v>
      </c>
      <c r="D280" s="31" t="s">
        <v>40</v>
      </c>
      <c r="E280" s="31" t="s">
        <v>15</v>
      </c>
      <c r="F280" s="31" t="s">
        <v>21</v>
      </c>
      <c r="G280" s="31" t="s">
        <v>17</v>
      </c>
      <c r="H280" s="31" t="s">
        <v>117</v>
      </c>
      <c r="I280" s="31" t="s">
        <v>20</v>
      </c>
      <c r="J280" s="8"/>
      <c r="K280" s="8"/>
      <c r="L280" s="8"/>
      <c r="M280" s="8"/>
      <c r="N280" s="8"/>
    </row>
    <row r="281" spans="2:14" ht="12.75" customHeight="1" x14ac:dyDescent="0.25">
      <c r="B281" s="4"/>
      <c r="C281" s="26">
        <v>0</v>
      </c>
      <c r="D281" s="26">
        <v>0</v>
      </c>
      <c r="E281" s="49">
        <v>0</v>
      </c>
      <c r="F281" s="49">
        <v>0</v>
      </c>
      <c r="G281" s="49">
        <v>0</v>
      </c>
      <c r="H281" s="50">
        <f>F281</f>
        <v>0</v>
      </c>
      <c r="I281" s="49">
        <v>0</v>
      </c>
    </row>
    <row r="282" spans="2:14" ht="12.75" customHeight="1" x14ac:dyDescent="0.25">
      <c r="B282" s="82" t="s">
        <v>1</v>
      </c>
      <c r="C282" s="29">
        <v>5.2321473928615525</v>
      </c>
      <c r="D282" s="29">
        <v>7498.2226388555227</v>
      </c>
      <c r="E282" s="49">
        <f t="shared" ref="E282:E292" si="69">C282/$C$293</f>
        <v>1.3686107021111147E-2</v>
      </c>
      <c r="F282" s="49">
        <f>D282/$D$293</f>
        <v>1.3686107021111144E-2</v>
      </c>
      <c r="G282" s="49">
        <f t="shared" ref="G282:G292" si="70">G281+E282</f>
        <v>1.3686107021111147E-2</v>
      </c>
      <c r="H282" s="50">
        <f t="shared" ref="H282:H292" si="71">F282+H281</f>
        <v>1.3686107021111144E-2</v>
      </c>
      <c r="I282" s="49">
        <f t="shared" ref="I282:I292" si="72">(G281+G282)*0.5*(H282-H281)</f>
        <v>9.3654762696653888E-5</v>
      </c>
    </row>
    <row r="283" spans="2:14" ht="12.75" customHeight="1" x14ac:dyDescent="0.25">
      <c r="B283" s="82" t="s">
        <v>195</v>
      </c>
      <c r="C283" s="29">
        <v>3.1742387574733155</v>
      </c>
      <c r="D283" s="29">
        <v>4549.0211045835576</v>
      </c>
      <c r="E283" s="49">
        <f t="shared" si="69"/>
        <v>8.3030863015460567E-3</v>
      </c>
      <c r="F283" s="49">
        <f t="shared" ref="F283:F292" si="73">D283/$D$293</f>
        <v>8.3030863015460549E-3</v>
      </c>
      <c r="G283" s="49">
        <f t="shared" si="70"/>
        <v>2.1989193322657204E-2</v>
      </c>
      <c r="H283" s="50">
        <f t="shared" si="71"/>
        <v>2.1989193322657197E-2</v>
      </c>
      <c r="I283" s="49">
        <f t="shared" si="72"/>
        <v>1.4810754879394212E-4</v>
      </c>
    </row>
    <row r="284" spans="2:14" ht="12.75" customHeight="1" x14ac:dyDescent="0.25">
      <c r="B284" s="82" t="s">
        <v>2</v>
      </c>
      <c r="C284" s="29">
        <v>23.541960102129384</v>
      </c>
      <c r="D284" s="29">
        <v>33738.127951375733</v>
      </c>
      <c r="E284" s="49">
        <f t="shared" si="69"/>
        <v>6.1580410728501268E-2</v>
      </c>
      <c r="F284" s="49">
        <f t="shared" si="73"/>
        <v>6.1580410728501248E-2</v>
      </c>
      <c r="G284" s="49">
        <f t="shared" si="70"/>
        <v>8.3569604051158472E-2</v>
      </c>
      <c r="H284" s="50">
        <f t="shared" si="71"/>
        <v>8.3569604051158444E-2</v>
      </c>
      <c r="I284" s="49">
        <f t="shared" si="72"/>
        <v>3.2501770491431044E-3</v>
      </c>
    </row>
    <row r="285" spans="2:14" ht="12.75" customHeight="1" x14ac:dyDescent="0.25">
      <c r="B285" s="111" t="s">
        <v>3</v>
      </c>
      <c r="C285" s="29">
        <v>3.3071699632456633</v>
      </c>
      <c r="D285" s="29">
        <v>4739.5256339269945</v>
      </c>
      <c r="E285" s="49">
        <f t="shared" si="69"/>
        <v>8.6508040877704782E-3</v>
      </c>
      <c r="F285" s="49">
        <f t="shared" si="73"/>
        <v>8.6508040877704764E-3</v>
      </c>
      <c r="G285" s="49">
        <f t="shared" si="70"/>
        <v>9.2220408138928955E-2</v>
      </c>
      <c r="H285" s="50">
        <f t="shared" si="71"/>
        <v>9.2220408138928928E-2</v>
      </c>
      <c r="I285" s="49">
        <f t="shared" si="72"/>
        <v>7.6036247802161578E-4</v>
      </c>
    </row>
    <row r="286" spans="2:14" ht="12.75" customHeight="1" x14ac:dyDescent="0.25">
      <c r="B286" s="82" t="s">
        <v>4</v>
      </c>
      <c r="C286" s="29">
        <v>104.51055796997203</v>
      </c>
      <c r="D286" s="29">
        <v>149774.72401466093</v>
      </c>
      <c r="E286" s="49">
        <f t="shared" si="69"/>
        <v>0.27337583860205406</v>
      </c>
      <c r="F286" s="49">
        <f t="shared" si="73"/>
        <v>0.273375838602054</v>
      </c>
      <c r="G286" s="49">
        <f t="shared" si="70"/>
        <v>0.36559624674098301</v>
      </c>
      <c r="H286" s="50">
        <f t="shared" si="71"/>
        <v>0.3655962467409829</v>
      </c>
      <c r="I286" s="49">
        <f t="shared" si="72"/>
        <v>6.2578005976891518E-2</v>
      </c>
    </row>
    <row r="287" spans="2:14" ht="12.75" customHeight="1" x14ac:dyDescent="0.25">
      <c r="B287" s="111" t="s">
        <v>5</v>
      </c>
      <c r="C287" s="29">
        <v>24.103681637214642</v>
      </c>
      <c r="D287" s="29">
        <v>34543.134541376516</v>
      </c>
      <c r="E287" s="49">
        <f t="shared" si="69"/>
        <v>6.3049746446323066E-2</v>
      </c>
      <c r="F287" s="49">
        <f t="shared" si="73"/>
        <v>6.3049746446323052E-2</v>
      </c>
      <c r="G287" s="49">
        <f t="shared" si="70"/>
        <v>0.42864599318730606</v>
      </c>
      <c r="H287" s="50">
        <f t="shared" si="71"/>
        <v>0.42864599318730595</v>
      </c>
      <c r="I287" s="49">
        <f t="shared" si="72"/>
        <v>2.5038385922219155E-2</v>
      </c>
    </row>
    <row r="288" spans="2:14" ht="12.75" customHeight="1" x14ac:dyDescent="0.25">
      <c r="B288" s="82" t="s">
        <v>6</v>
      </c>
      <c r="C288" s="29">
        <v>8.8681882321860801</v>
      </c>
      <c r="D288" s="29">
        <v>12709.055149886017</v>
      </c>
      <c r="E288" s="49">
        <f t="shared" si="69"/>
        <v>2.3197162487174749E-2</v>
      </c>
      <c r="F288" s="49">
        <f t="shared" si="73"/>
        <v>2.3197162487174745E-2</v>
      </c>
      <c r="G288" s="49">
        <f t="shared" si="70"/>
        <v>0.4518431556744808</v>
      </c>
      <c r="H288" s="50">
        <f t="shared" si="71"/>
        <v>0.45184315567448069</v>
      </c>
      <c r="I288" s="49">
        <f t="shared" si="72"/>
        <v>1.0212424927170527E-2</v>
      </c>
    </row>
    <row r="289" spans="2:14" ht="12.75" customHeight="1" x14ac:dyDescent="0.25">
      <c r="B289" s="82" t="s">
        <v>7</v>
      </c>
      <c r="C289" s="29">
        <v>125.09099308753558</v>
      </c>
      <c r="D289" s="29">
        <v>179268.67227891536</v>
      </c>
      <c r="E289" s="49">
        <f t="shared" si="69"/>
        <v>0.32720957385658805</v>
      </c>
      <c r="F289" s="49">
        <f t="shared" si="73"/>
        <v>0.327209573856588</v>
      </c>
      <c r="G289" s="49">
        <f t="shared" si="70"/>
        <v>0.77905272953106885</v>
      </c>
      <c r="H289" s="50">
        <f t="shared" si="71"/>
        <v>0.77905272953106874</v>
      </c>
      <c r="I289" s="49">
        <f t="shared" si="72"/>
        <v>0.20138045902996782</v>
      </c>
    </row>
    <row r="290" spans="2:14" ht="12.75" customHeight="1" x14ac:dyDescent="0.25">
      <c r="B290" s="111" t="s">
        <v>8</v>
      </c>
      <c r="C290" s="29">
        <v>5.8701907645866802</v>
      </c>
      <c r="D290" s="29">
        <v>8412.6065227973904</v>
      </c>
      <c r="E290" s="49">
        <f t="shared" si="69"/>
        <v>1.5355083296789964E-2</v>
      </c>
      <c r="F290" s="49">
        <f t="shared" si="73"/>
        <v>1.5355083296789959E-2</v>
      </c>
      <c r="G290" s="49">
        <f t="shared" si="70"/>
        <v>0.79440781282785877</v>
      </c>
      <c r="H290" s="50">
        <f t="shared" si="71"/>
        <v>0.79440781282785866</v>
      </c>
      <c r="I290" s="49">
        <f t="shared" si="72"/>
        <v>1.2080308846066787E-2</v>
      </c>
    </row>
    <row r="291" spans="2:14" ht="12.75" customHeight="1" x14ac:dyDescent="0.25">
      <c r="B291" s="82" t="s">
        <v>9</v>
      </c>
      <c r="C291" s="29">
        <v>30.163104144712033</v>
      </c>
      <c r="D291" s="29">
        <v>43226.930239887697</v>
      </c>
      <c r="E291" s="49">
        <f t="shared" si="69"/>
        <v>7.8899816923481997E-2</v>
      </c>
      <c r="F291" s="49">
        <f t="shared" si="73"/>
        <v>7.8899816923481969E-2</v>
      </c>
      <c r="G291" s="49">
        <f t="shared" si="70"/>
        <v>0.8733076297513408</v>
      </c>
      <c r="H291" s="50">
        <f t="shared" si="71"/>
        <v>0.87330762975134069</v>
      </c>
      <c r="I291" s="49">
        <f t="shared" si="72"/>
        <v>6.5791221549981321E-2</v>
      </c>
    </row>
    <row r="292" spans="2:14" ht="12.75" customHeight="1" thickBot="1" x14ac:dyDescent="0.3">
      <c r="B292" s="86" t="s">
        <v>10</v>
      </c>
      <c r="C292" s="32">
        <v>48.434018064412065</v>
      </c>
      <c r="D292" s="32">
        <v>69411.089457609574</v>
      </c>
      <c r="E292" s="51">
        <f t="shared" si="69"/>
        <v>0.12669237024865945</v>
      </c>
      <c r="F292" s="51">
        <f t="shared" si="73"/>
        <v>0.12669237024865945</v>
      </c>
      <c r="G292" s="51">
        <f t="shared" si="70"/>
        <v>1.0000000000000002</v>
      </c>
      <c r="H292" s="52">
        <f t="shared" si="71"/>
        <v>1.0000000000000002</v>
      </c>
      <c r="I292" s="51">
        <f t="shared" si="72"/>
        <v>0.11866689190904785</v>
      </c>
    </row>
    <row r="293" spans="2:14" ht="12.75" customHeight="1" thickBot="1" x14ac:dyDescent="0.3">
      <c r="B293" s="38" t="s">
        <v>12</v>
      </c>
      <c r="C293" s="32">
        <f>SUM(C281:C292)</f>
        <v>382.29625011632891</v>
      </c>
      <c r="D293" s="32">
        <f>SUM(D281:D292)</f>
        <v>547871.10953387525</v>
      </c>
      <c r="E293" s="51">
        <f>SUM(E282:E292)</f>
        <v>1.0000000000000002</v>
      </c>
      <c r="F293" s="51">
        <f>SUM(F282:F292)</f>
        <v>1.0000000000000002</v>
      </c>
      <c r="G293" s="52"/>
      <c r="H293" s="52"/>
      <c r="I293" s="51">
        <f>SUM(I281:I292)</f>
        <v>0.50000000000000033</v>
      </c>
    </row>
    <row r="294" spans="2:14" ht="12.75" customHeight="1" thickBot="1" x14ac:dyDescent="0.3">
      <c r="B294" s="4"/>
      <c r="C294" s="4"/>
      <c r="D294" s="4"/>
      <c r="E294" s="50"/>
      <c r="F294" s="50"/>
      <c r="G294" s="50"/>
      <c r="H294" s="53"/>
      <c r="I294" s="53"/>
    </row>
    <row r="295" spans="2:14" ht="12.75" customHeight="1" thickBot="1" x14ac:dyDescent="0.3">
      <c r="B295" s="4"/>
      <c r="C295" s="4"/>
      <c r="D295" s="4"/>
      <c r="E295" s="50"/>
      <c r="F295" s="50"/>
      <c r="G295" s="55"/>
      <c r="H295" s="57" t="s">
        <v>29</v>
      </c>
      <c r="I295" s="58">
        <f>1-(2*I293)</f>
        <v>0</v>
      </c>
    </row>
    <row r="296" spans="2:14" ht="12.75" customHeight="1" x14ac:dyDescent="0.25"/>
    <row r="297" spans="2:14" ht="12.75" customHeight="1" x14ac:dyDescent="0.25"/>
    <row r="298" spans="2:14" ht="12.75" customHeight="1" x14ac:dyDescent="0.25"/>
    <row r="299" spans="2:14" ht="16.2" thickBot="1" x14ac:dyDescent="0.35">
      <c r="B299" s="256" t="s">
        <v>127</v>
      </c>
      <c r="C299" s="256"/>
      <c r="D299" s="256"/>
      <c r="E299" s="256"/>
      <c r="F299" s="256"/>
      <c r="G299" s="256"/>
      <c r="H299" s="256"/>
      <c r="I299" s="256"/>
    </row>
    <row r="300" spans="2:14" ht="40.200000000000003" thickBot="1" x14ac:dyDescent="0.3">
      <c r="B300" s="30" t="s">
        <v>19</v>
      </c>
      <c r="C300" s="31" t="s">
        <v>284</v>
      </c>
      <c r="D300" s="31" t="s">
        <v>128</v>
      </c>
      <c r="E300" s="31" t="s">
        <v>15</v>
      </c>
      <c r="F300" s="31" t="s">
        <v>21</v>
      </c>
      <c r="G300" s="31" t="s">
        <v>17</v>
      </c>
      <c r="H300" s="31" t="s">
        <v>117</v>
      </c>
      <c r="I300" s="31" t="s">
        <v>20</v>
      </c>
      <c r="J300" s="8"/>
      <c r="K300" s="8"/>
      <c r="L300" s="8"/>
      <c r="M300" s="8"/>
      <c r="N300" s="8"/>
    </row>
    <row r="301" spans="2:14" ht="12.75" customHeight="1" x14ac:dyDescent="0.25">
      <c r="B301" s="4"/>
      <c r="C301" s="26">
        <v>0</v>
      </c>
      <c r="D301" s="26">
        <v>0</v>
      </c>
      <c r="E301" s="49">
        <f t="shared" ref="E301:E312" si="74">C301/$C$374</f>
        <v>0</v>
      </c>
      <c r="F301" s="49">
        <v>0</v>
      </c>
      <c r="G301" s="49">
        <v>0</v>
      </c>
      <c r="H301" s="50">
        <f>F301</f>
        <v>0</v>
      </c>
      <c r="I301" s="49">
        <v>0</v>
      </c>
    </row>
    <row r="302" spans="2:14" ht="12.75" customHeight="1" x14ac:dyDescent="0.25">
      <c r="B302" s="82" t="s">
        <v>1</v>
      </c>
      <c r="C302" s="29">
        <v>1.6506712943700892</v>
      </c>
      <c r="D302" s="83">
        <v>13199.085501550475</v>
      </c>
      <c r="E302" s="49">
        <f t="shared" si="74"/>
        <v>4.3177805010323964E-3</v>
      </c>
      <c r="F302" s="49">
        <f t="shared" ref="F302:F312" si="75">D302/$D$374</f>
        <v>4.3177805010323955E-3</v>
      </c>
      <c r="G302" s="49">
        <f t="shared" ref="G302:G312" si="76">G301+E302</f>
        <v>4.3177805010323964E-3</v>
      </c>
      <c r="H302" s="50">
        <f t="shared" ref="H302:H312" si="77">F302+H301</f>
        <v>4.3177805010323955E-3</v>
      </c>
      <c r="I302" s="49">
        <f t="shared" ref="I302:I312" si="78">(G301+G302)*0.5*(H302-H301)</f>
        <v>9.3216142275477837E-6</v>
      </c>
    </row>
    <row r="303" spans="2:14" ht="12.75" customHeight="1" x14ac:dyDescent="0.25">
      <c r="B303" s="82" t="s">
        <v>195</v>
      </c>
      <c r="C303" s="29">
        <v>2.5574715491123619</v>
      </c>
      <c r="D303" s="83">
        <v>20450.034940117202</v>
      </c>
      <c r="E303" s="49">
        <f t="shared" si="74"/>
        <v>6.6897636279041415E-3</v>
      </c>
      <c r="F303" s="49">
        <f t="shared" si="75"/>
        <v>6.6897636279041406E-3</v>
      </c>
      <c r="G303" s="49">
        <f t="shared" si="76"/>
        <v>1.1007544128936538E-2</v>
      </c>
      <c r="H303" s="50">
        <f t="shared" si="77"/>
        <v>1.1007544128936536E-2</v>
      </c>
      <c r="I303" s="49">
        <f t="shared" si="78"/>
        <v>5.126139964769483E-5</v>
      </c>
    </row>
    <row r="304" spans="2:14" ht="12.75" customHeight="1" x14ac:dyDescent="0.25">
      <c r="B304" s="111" t="s">
        <v>2</v>
      </c>
      <c r="C304" s="29">
        <v>31.443762310597783</v>
      </c>
      <c r="D304" s="83">
        <v>251430.377836909</v>
      </c>
      <c r="E304" s="49">
        <f t="shared" si="74"/>
        <v>8.2249727275718137E-2</v>
      </c>
      <c r="F304" s="49">
        <f t="shared" si="75"/>
        <v>8.2249727275718248E-2</v>
      </c>
      <c r="G304" s="49">
        <f t="shared" si="76"/>
        <v>9.3257271404654674E-2</v>
      </c>
      <c r="H304" s="50">
        <f t="shared" si="77"/>
        <v>9.3257271404654785E-2</v>
      </c>
      <c r="I304" s="49">
        <f t="shared" si="78"/>
        <v>4.2878763210454744E-3</v>
      </c>
    </row>
    <row r="305" spans="1:9" ht="12.75" customHeight="1" x14ac:dyDescent="0.25">
      <c r="B305" s="82" t="s">
        <v>3</v>
      </c>
      <c r="C305" s="29">
        <v>3.063538664222071</v>
      </c>
      <c r="D305" s="83">
        <v>24496.645034227455</v>
      </c>
      <c r="E305" s="49">
        <f t="shared" si="74"/>
        <v>8.0135200470573976E-3</v>
      </c>
      <c r="F305" s="49">
        <f t="shared" si="75"/>
        <v>8.0135200470573958E-3</v>
      </c>
      <c r="G305" s="49">
        <f t="shared" si="76"/>
        <v>0.10127079145171207</v>
      </c>
      <c r="H305" s="50">
        <f t="shared" si="77"/>
        <v>0.10127079145171218</v>
      </c>
      <c r="I305" s="49">
        <f t="shared" si="78"/>
        <v>7.7942726570736807E-4</v>
      </c>
    </row>
    <row r="306" spans="1:9" ht="12.75" customHeight="1" x14ac:dyDescent="0.25">
      <c r="B306" s="82" t="s">
        <v>4</v>
      </c>
      <c r="C306" s="29">
        <v>45.435922604197586</v>
      </c>
      <c r="D306" s="83">
        <v>363314.38569269452</v>
      </c>
      <c r="E306" s="49">
        <f t="shared" si="74"/>
        <v>0.11885003473189153</v>
      </c>
      <c r="F306" s="49">
        <f t="shared" si="75"/>
        <v>0.1188500347318915</v>
      </c>
      <c r="G306" s="49">
        <f t="shared" si="76"/>
        <v>0.2201208261836036</v>
      </c>
      <c r="H306" s="50">
        <f t="shared" si="77"/>
        <v>0.22012082618360368</v>
      </c>
      <c r="I306" s="49">
        <f t="shared" si="78"/>
        <v>1.9098702459248027E-2</v>
      </c>
    </row>
    <row r="307" spans="1:9" ht="12.75" customHeight="1" x14ac:dyDescent="0.25">
      <c r="B307" s="82" t="s">
        <v>5</v>
      </c>
      <c r="C307" s="29">
        <v>6.1874130755740371</v>
      </c>
      <c r="D307" s="83">
        <v>49475.746319971244</v>
      </c>
      <c r="E307" s="49">
        <f t="shared" si="74"/>
        <v>1.6184864679397899E-2</v>
      </c>
      <c r="F307" s="49">
        <f t="shared" si="75"/>
        <v>1.6184864679397896E-2</v>
      </c>
      <c r="G307" s="49">
        <f t="shared" si="76"/>
        <v>0.23630569086300149</v>
      </c>
      <c r="H307" s="50">
        <f t="shared" si="77"/>
        <v>0.23630569086300157</v>
      </c>
      <c r="I307" s="49">
        <f t="shared" si="78"/>
        <v>3.6936007072440992E-3</v>
      </c>
    </row>
    <row r="308" spans="1:9" ht="12.75" customHeight="1" x14ac:dyDescent="0.25">
      <c r="B308" s="82" t="s">
        <v>6</v>
      </c>
      <c r="C308" s="29">
        <v>2.605763857326604</v>
      </c>
      <c r="D308" s="83">
        <v>20836.189535136225</v>
      </c>
      <c r="E308" s="49">
        <f t="shared" si="74"/>
        <v>6.8160853174303853E-3</v>
      </c>
      <c r="F308" s="49">
        <f t="shared" si="75"/>
        <v>6.8160853174303836E-3</v>
      </c>
      <c r="G308" s="49">
        <f t="shared" si="76"/>
        <v>0.24312177618043188</v>
      </c>
      <c r="H308" s="50">
        <f t="shared" si="77"/>
        <v>0.24312177618043196</v>
      </c>
      <c r="I308" s="49">
        <f t="shared" si="78"/>
        <v>1.6339092594437935E-3</v>
      </c>
    </row>
    <row r="309" spans="1:9" ht="12.75" customHeight="1" x14ac:dyDescent="0.25">
      <c r="B309" s="111" t="s">
        <v>7</v>
      </c>
      <c r="C309" s="29">
        <v>167.55027789341037</v>
      </c>
      <c r="D309" s="124">
        <v>1339764.2833351614</v>
      </c>
      <c r="E309" s="49">
        <f t="shared" si="74"/>
        <v>0.43827340143259702</v>
      </c>
      <c r="F309" s="49">
        <f t="shared" si="75"/>
        <v>0.43827340143259691</v>
      </c>
      <c r="G309" s="49">
        <f t="shared" si="76"/>
        <v>0.68139517761302892</v>
      </c>
      <c r="H309" s="50">
        <f t="shared" si="77"/>
        <v>0.68139517761302892</v>
      </c>
      <c r="I309" s="49">
        <f t="shared" si="78"/>
        <v>0.20259559501058155</v>
      </c>
    </row>
    <row r="310" spans="1:9" ht="12.75" customHeight="1" x14ac:dyDescent="0.25">
      <c r="B310" s="82" t="s">
        <v>8</v>
      </c>
      <c r="C310" s="29">
        <v>77.179447267099633</v>
      </c>
      <c r="D310" s="83">
        <v>617141.72101696266</v>
      </c>
      <c r="E310" s="49">
        <f t="shared" si="74"/>
        <v>0.20188387211126108</v>
      </c>
      <c r="F310" s="49">
        <f t="shared" si="75"/>
        <v>0.20188387211126102</v>
      </c>
      <c r="G310" s="49">
        <f t="shared" si="76"/>
        <v>0.88327904972428994</v>
      </c>
      <c r="H310" s="50">
        <f t="shared" si="77"/>
        <v>0.88327904972428994</v>
      </c>
      <c r="I310" s="49">
        <f t="shared" si="78"/>
        <v>0.15794124580377672</v>
      </c>
    </row>
    <row r="311" spans="1:9" ht="12.75" customHeight="1" x14ac:dyDescent="0.25">
      <c r="B311" s="111" t="s">
        <v>9</v>
      </c>
      <c r="C311" s="29">
        <v>14.980193395870723</v>
      </c>
      <c r="D311" s="83">
        <v>119784.51078433092</v>
      </c>
      <c r="E311" s="49">
        <f t="shared" si="74"/>
        <v>3.918477722790218E-2</v>
      </c>
      <c r="F311" s="49">
        <f t="shared" si="75"/>
        <v>3.9184777227902166E-2</v>
      </c>
      <c r="G311" s="49">
        <f t="shared" si="76"/>
        <v>0.92246382695219209</v>
      </c>
      <c r="H311" s="50">
        <f t="shared" si="77"/>
        <v>0.92246382695219209</v>
      </c>
      <c r="I311" s="49">
        <f t="shared" si="78"/>
        <v>3.5378816176719563E-2</v>
      </c>
    </row>
    <row r="312" spans="1:9" ht="12.75" customHeight="1" thickBot="1" x14ac:dyDescent="0.3">
      <c r="B312" s="86" t="s">
        <v>10</v>
      </c>
      <c r="C312" s="32">
        <v>29.641788204547812</v>
      </c>
      <c r="D312" s="87">
        <v>237021.44592026682</v>
      </c>
      <c r="E312" s="51">
        <f t="shared" si="74"/>
        <v>7.7536173047808105E-2</v>
      </c>
      <c r="F312" s="51">
        <f t="shared" si="75"/>
        <v>7.7536173047808091E-2</v>
      </c>
      <c r="G312" s="51">
        <f t="shared" si="76"/>
        <v>1.0000000000000002</v>
      </c>
      <c r="H312" s="52">
        <f t="shared" si="77"/>
        <v>1.0000000000000002</v>
      </c>
      <c r="I312" s="51">
        <f t="shared" si="78"/>
        <v>7.453024398235833E-2</v>
      </c>
    </row>
    <row r="313" spans="1:9" ht="12.75" customHeight="1" thickBot="1" x14ac:dyDescent="0.3">
      <c r="B313" s="38" t="s">
        <v>12</v>
      </c>
      <c r="C313" s="32">
        <f>SUM(C301:C312)</f>
        <v>382.29625011632913</v>
      </c>
      <c r="D313" s="32">
        <f>SUM(D301:D312)</f>
        <v>3056914.4259173274</v>
      </c>
      <c r="E313" s="51">
        <f>SUM(E302:E312)</f>
        <v>1.0000000000000002</v>
      </c>
      <c r="F313" s="51">
        <f>SUM(F302:F312)</f>
        <v>1.0000000000000002</v>
      </c>
      <c r="G313" s="52"/>
      <c r="H313" s="52"/>
      <c r="I313" s="51">
        <f>SUM(I301:I312)</f>
        <v>0.50000000000000011</v>
      </c>
    </row>
    <row r="314" spans="1:9" ht="12.75" customHeight="1" thickBot="1" x14ac:dyDescent="0.3">
      <c r="B314" s="4"/>
      <c r="C314" s="4"/>
      <c r="D314" s="4"/>
      <c r="E314" s="50"/>
      <c r="F314" s="50"/>
      <c r="G314" s="50"/>
      <c r="H314" s="53"/>
      <c r="I314" s="53"/>
    </row>
    <row r="315" spans="1:9" ht="12.75" customHeight="1" thickBot="1" x14ac:dyDescent="0.3">
      <c r="B315" s="4"/>
      <c r="C315" s="4"/>
      <c r="D315" s="4"/>
      <c r="E315" s="50"/>
      <c r="F315" s="50"/>
      <c r="G315" s="55"/>
      <c r="H315" s="57" t="s">
        <v>29</v>
      </c>
      <c r="I315" s="58">
        <f>1-(2*I313)</f>
        <v>0</v>
      </c>
    </row>
    <row r="316" spans="1:9" ht="12.75" customHeight="1" x14ac:dyDescent="0.25">
      <c r="B316" s="4"/>
      <c r="C316" s="4"/>
      <c r="D316" s="4"/>
      <c r="E316" s="4"/>
      <c r="F316" s="4"/>
      <c r="G316" s="5"/>
      <c r="H316" s="107"/>
      <c r="I316" s="108"/>
    </row>
    <row r="317" spans="1:9" ht="12.75" customHeight="1" x14ac:dyDescent="0.25"/>
    <row r="318" spans="1:9" ht="12.75" customHeight="1" x14ac:dyDescent="0.25"/>
    <row r="319" spans="1:9" ht="12.75" customHeight="1" x14ac:dyDescent="0.25">
      <c r="A319" s="112" t="s">
        <v>209</v>
      </c>
      <c r="B319" s="113"/>
      <c r="C319" s="113"/>
      <c r="D319" s="113"/>
      <c r="E319" s="113"/>
      <c r="F319" s="113"/>
      <c r="G319" s="113"/>
      <c r="H319" s="113"/>
      <c r="I319" s="113"/>
    </row>
    <row r="320" spans="1:9" ht="12.75" customHeight="1" x14ac:dyDescent="0.25"/>
    <row r="321" spans="2:14" ht="16.2" thickBot="1" x14ac:dyDescent="0.35">
      <c r="B321" s="256" t="s">
        <v>126</v>
      </c>
      <c r="C321" s="256"/>
      <c r="D321" s="256"/>
      <c r="E321" s="256"/>
      <c r="F321" s="256"/>
      <c r="G321" s="256"/>
      <c r="H321" s="256"/>
      <c r="I321" s="256"/>
    </row>
    <row r="322" spans="2:14" ht="27" thickBot="1" x14ac:dyDescent="0.3">
      <c r="B322" s="36" t="s">
        <v>19</v>
      </c>
      <c r="C322" s="37" t="s">
        <v>289</v>
      </c>
      <c r="D322" s="37" t="s">
        <v>41</v>
      </c>
      <c r="E322" s="37" t="s">
        <v>91</v>
      </c>
      <c r="F322" s="37" t="s">
        <v>16</v>
      </c>
      <c r="G322" s="37" t="s">
        <v>92</v>
      </c>
      <c r="H322" s="37" t="s">
        <v>116</v>
      </c>
      <c r="I322" s="37" t="s">
        <v>20</v>
      </c>
      <c r="J322" s="8"/>
      <c r="K322" s="8"/>
      <c r="L322" s="8"/>
      <c r="M322" s="8"/>
      <c r="N322" s="8"/>
    </row>
    <row r="323" spans="2:14" ht="12.75" customHeight="1" x14ac:dyDescent="0.25">
      <c r="B323" s="4"/>
      <c r="C323" s="26">
        <v>0</v>
      </c>
      <c r="D323" s="26">
        <v>0</v>
      </c>
      <c r="E323" s="49">
        <f>C323/$C$82</f>
        <v>0</v>
      </c>
      <c r="F323" s="49">
        <v>0</v>
      </c>
      <c r="G323" s="49">
        <v>0</v>
      </c>
      <c r="H323" s="50">
        <f>F323</f>
        <v>0</v>
      </c>
      <c r="I323" s="49">
        <v>0</v>
      </c>
    </row>
    <row r="324" spans="2:14" ht="12.75" customHeight="1" x14ac:dyDescent="0.25">
      <c r="B324" s="82" t="s">
        <v>1</v>
      </c>
      <c r="C324" s="29">
        <v>34.754204556029912</v>
      </c>
      <c r="D324" s="17">
        <v>6.169632</v>
      </c>
      <c r="E324" s="49">
        <f t="shared" ref="E324:E329" si="79">C324/$C$335</f>
        <v>9.0909090909090925E-2</v>
      </c>
      <c r="F324" s="49">
        <f t="shared" ref="F324:F334" si="80">D324/$D$335</f>
        <v>2.3065200054977395E-2</v>
      </c>
      <c r="G324" s="49">
        <f t="shared" ref="G324:G334" si="81">G323+E324</f>
        <v>9.0909090909090925E-2</v>
      </c>
      <c r="H324" s="50">
        <f t="shared" ref="H324:H334" si="82">F324+H323</f>
        <v>2.3065200054977395E-2</v>
      </c>
      <c r="I324" s="49">
        <f t="shared" ref="I324:I334" si="83">(G323+G324)*0.5*(H324-H323)</f>
        <v>1.0484181843171546E-3</v>
      </c>
    </row>
    <row r="325" spans="2:14" ht="12.75" customHeight="1" x14ac:dyDescent="0.25">
      <c r="B325" s="82" t="s">
        <v>195</v>
      </c>
      <c r="C325" s="29">
        <v>34.754204556029912</v>
      </c>
      <c r="D325" s="17">
        <v>3.8753060000000001</v>
      </c>
      <c r="E325" s="49">
        <f t="shared" si="79"/>
        <v>9.0909090909090925E-2</v>
      </c>
      <c r="F325" s="49">
        <f t="shared" si="80"/>
        <v>1.4487850841712153E-2</v>
      </c>
      <c r="G325" s="49">
        <f t="shared" si="81"/>
        <v>0.18181818181818185</v>
      </c>
      <c r="H325" s="50">
        <f t="shared" si="82"/>
        <v>3.7553050896689547E-2</v>
      </c>
      <c r="I325" s="49">
        <f t="shared" si="83"/>
        <v>1.9756160238698392E-3</v>
      </c>
    </row>
    <row r="326" spans="2:14" ht="12.75" customHeight="1" x14ac:dyDescent="0.25">
      <c r="B326" s="111" t="s">
        <v>2</v>
      </c>
      <c r="C326" s="29">
        <v>34.754204556029912</v>
      </c>
      <c r="D326" s="119">
        <v>83.946549000000005</v>
      </c>
      <c r="E326" s="49">
        <f t="shared" si="79"/>
        <v>9.0909090909090925E-2</v>
      </c>
      <c r="F326" s="49">
        <f t="shared" si="80"/>
        <v>0.31383459282660014</v>
      </c>
      <c r="G326" s="49">
        <f t="shared" si="81"/>
        <v>0.27272727272727276</v>
      </c>
      <c r="H326" s="50">
        <f t="shared" si="82"/>
        <v>0.35138764372328968</v>
      </c>
      <c r="I326" s="49">
        <f t="shared" si="83"/>
        <v>7.1326043824227317E-2</v>
      </c>
    </row>
    <row r="327" spans="2:14" ht="12.75" customHeight="1" x14ac:dyDescent="0.25">
      <c r="B327" s="82" t="s">
        <v>3</v>
      </c>
      <c r="C327" s="29">
        <v>34.754204556029912</v>
      </c>
      <c r="D327" s="17">
        <v>1.2901100000000001</v>
      </c>
      <c r="E327" s="49">
        <f t="shared" si="79"/>
        <v>9.0909090909090925E-2</v>
      </c>
      <c r="F327" s="49">
        <f t="shared" si="80"/>
        <v>4.8230826802841548E-3</v>
      </c>
      <c r="G327" s="49">
        <f t="shared" si="81"/>
        <v>0.3636363636363637</v>
      </c>
      <c r="H327" s="50">
        <f t="shared" si="82"/>
        <v>0.35621072640357382</v>
      </c>
      <c r="I327" s="49">
        <f t="shared" si="83"/>
        <v>1.5346172164540451E-3</v>
      </c>
    </row>
    <row r="328" spans="2:14" ht="12.75" customHeight="1" x14ac:dyDescent="0.25">
      <c r="B328" s="82" t="s">
        <v>4</v>
      </c>
      <c r="C328" s="29">
        <v>34.754204556029912</v>
      </c>
      <c r="D328" s="17">
        <v>39.232453</v>
      </c>
      <c r="E328" s="49">
        <f t="shared" si="79"/>
        <v>9.0909090909090925E-2</v>
      </c>
      <c r="F328" s="49">
        <f t="shared" si="80"/>
        <v>0.14667072154262978</v>
      </c>
      <c r="G328" s="49">
        <f t="shared" si="81"/>
        <v>0.45454545454545464</v>
      </c>
      <c r="H328" s="50">
        <f t="shared" si="82"/>
        <v>0.5028814479462036</v>
      </c>
      <c r="I328" s="49">
        <f t="shared" si="83"/>
        <v>6.0001658812894015E-2</v>
      </c>
    </row>
    <row r="329" spans="2:14" ht="12.75" customHeight="1" x14ac:dyDescent="0.25">
      <c r="B329" s="82" t="s">
        <v>5</v>
      </c>
      <c r="C329" s="29">
        <v>34.754204556029912</v>
      </c>
      <c r="D329" s="17">
        <v>19.742709999999999</v>
      </c>
      <c r="E329" s="49">
        <f t="shared" si="79"/>
        <v>9.0909090909090925E-2</v>
      </c>
      <c r="F329" s="49">
        <f t="shared" si="80"/>
        <v>7.3808219967966118E-2</v>
      </c>
      <c r="G329" s="49">
        <f t="shared" si="81"/>
        <v>0.54545454545454553</v>
      </c>
      <c r="H329" s="50">
        <f t="shared" si="82"/>
        <v>0.57668966791416976</v>
      </c>
      <c r="I329" s="49">
        <f t="shared" si="83"/>
        <v>3.6904109983983087E-2</v>
      </c>
    </row>
    <row r="330" spans="2:14" ht="12.75" customHeight="1" x14ac:dyDescent="0.25">
      <c r="B330" s="82" t="s">
        <v>6</v>
      </c>
      <c r="C330" s="29">
        <v>34.754204556029912</v>
      </c>
      <c r="D330" s="17">
        <v>11.426439</v>
      </c>
      <c r="E330" s="49">
        <f t="shared" ref="E330:E334" si="84">C330/$C$335</f>
        <v>9.0909090909090925E-2</v>
      </c>
      <c r="F330" s="49">
        <f t="shared" si="80"/>
        <v>4.2717799287055672E-2</v>
      </c>
      <c r="G330" s="49">
        <f t="shared" si="81"/>
        <v>0.63636363636363646</v>
      </c>
      <c r="H330" s="50">
        <f t="shared" si="82"/>
        <v>0.61940746720122541</v>
      </c>
      <c r="I330" s="49">
        <f t="shared" si="83"/>
        <v>2.5242335942351077E-2</v>
      </c>
    </row>
    <row r="331" spans="2:14" ht="12.75" customHeight="1" x14ac:dyDescent="0.25">
      <c r="B331" s="82" t="s">
        <v>7</v>
      </c>
      <c r="C331" s="29">
        <v>34.754204556029912</v>
      </c>
      <c r="D331" s="17">
        <v>36.982824999999998</v>
      </c>
      <c r="E331" s="49">
        <f t="shared" si="84"/>
        <v>9.0909090909090925E-2</v>
      </c>
      <c r="F331" s="49">
        <f t="shared" si="80"/>
        <v>0.1382604760256721</v>
      </c>
      <c r="G331" s="49">
        <f t="shared" si="81"/>
        <v>0.7272727272727274</v>
      </c>
      <c r="H331" s="50">
        <f t="shared" si="82"/>
        <v>0.75766794322689757</v>
      </c>
      <c r="I331" s="49">
        <f t="shared" si="83"/>
        <v>9.4268506381140107E-2</v>
      </c>
    </row>
    <row r="332" spans="2:14" ht="12.75" customHeight="1" x14ac:dyDescent="0.25">
      <c r="B332" s="82" t="s">
        <v>8</v>
      </c>
      <c r="C332" s="29">
        <v>34.754204556029912</v>
      </c>
      <c r="D332" s="17">
        <v>10.905776556851148</v>
      </c>
      <c r="E332" s="49">
        <f t="shared" si="84"/>
        <v>9.0909090909090925E-2</v>
      </c>
      <c r="F332" s="49">
        <f t="shared" si="80"/>
        <v>4.0771300142156658E-2</v>
      </c>
      <c r="G332" s="49">
        <f t="shared" si="81"/>
        <v>0.81818181818181834</v>
      </c>
      <c r="H332" s="50">
        <f t="shared" si="82"/>
        <v>0.79843924336905425</v>
      </c>
      <c r="I332" s="49">
        <f t="shared" si="83"/>
        <v>3.1505095564393813E-2</v>
      </c>
    </row>
    <row r="333" spans="2:14" ht="12.75" customHeight="1" x14ac:dyDescent="0.25">
      <c r="B333" s="111" t="s">
        <v>9</v>
      </c>
      <c r="C333" s="29">
        <v>34.754204556029912</v>
      </c>
      <c r="D333" s="119">
        <v>11.996235</v>
      </c>
      <c r="E333" s="49">
        <f t="shared" si="84"/>
        <v>9.0909090909090925E-2</v>
      </c>
      <c r="F333" s="49">
        <f t="shared" si="80"/>
        <v>4.4847984479709932E-2</v>
      </c>
      <c r="G333" s="49">
        <f t="shared" si="81"/>
        <v>0.90909090909090928</v>
      </c>
      <c r="H333" s="50">
        <f t="shared" si="82"/>
        <v>0.8432872278487642</v>
      </c>
      <c r="I333" s="49">
        <f t="shared" si="83"/>
        <v>3.873235023247678E-2</v>
      </c>
    </row>
    <row r="334" spans="2:14" ht="12.75" customHeight="1" thickBot="1" x14ac:dyDescent="0.3">
      <c r="B334" s="86" t="s">
        <v>10</v>
      </c>
      <c r="C334" s="32">
        <v>34.754204556029912</v>
      </c>
      <c r="D334" s="114">
        <v>41.918567000000003</v>
      </c>
      <c r="E334" s="51">
        <f t="shared" si="84"/>
        <v>9.0909090909090925E-2</v>
      </c>
      <c r="F334" s="51">
        <f t="shared" si="80"/>
        <v>0.15671277215123589</v>
      </c>
      <c r="G334" s="51">
        <f t="shared" si="81"/>
        <v>1.0000000000000002</v>
      </c>
      <c r="H334" s="52">
        <f t="shared" si="82"/>
        <v>1</v>
      </c>
      <c r="I334" s="51">
        <f t="shared" si="83"/>
        <v>0.14958946432617967</v>
      </c>
    </row>
    <row r="335" spans="2:14" ht="12.75" customHeight="1" thickBot="1" x14ac:dyDescent="0.3">
      <c r="B335" s="38" t="s">
        <v>12</v>
      </c>
      <c r="C335" s="32">
        <f>SUM(C323:C334)</f>
        <v>382.29625011632896</v>
      </c>
      <c r="D335" s="32">
        <f>SUM(D323:D334)</f>
        <v>267.48660255685115</v>
      </c>
      <c r="E335" s="51">
        <f>SUM(E324:E334)</f>
        <v>1.0000000000000002</v>
      </c>
      <c r="F335" s="51">
        <f>SUM(F324:F334)</f>
        <v>1</v>
      </c>
      <c r="G335" s="52"/>
      <c r="H335" s="52"/>
      <c r="I335" s="51">
        <f>SUM(I323:I334)</f>
        <v>0.5121282164922869</v>
      </c>
    </row>
    <row r="336" spans="2:14" ht="12.75" customHeight="1" thickBot="1" x14ac:dyDescent="0.3">
      <c r="B336" s="47"/>
      <c r="C336" s="29"/>
      <c r="D336" s="29"/>
      <c r="E336" s="26"/>
      <c r="F336" s="27"/>
      <c r="G336" s="4"/>
      <c r="H336" s="40"/>
      <c r="I336" s="34"/>
    </row>
    <row r="337" spans="2:21" ht="12.75" customHeight="1" thickBot="1" x14ac:dyDescent="0.3">
      <c r="B337" s="4"/>
      <c r="C337" s="4"/>
      <c r="D337" s="4"/>
      <c r="E337" s="4"/>
      <c r="F337" s="4"/>
      <c r="G337" s="5"/>
      <c r="H337" s="48" t="s">
        <v>37</v>
      </c>
      <c r="I337" s="61">
        <f>1-(2*I335)</f>
        <v>-2.4256432984573806E-2</v>
      </c>
    </row>
    <row r="338" spans="2:21" ht="12.75" customHeight="1" x14ac:dyDescent="0.25"/>
    <row r="339" spans="2:21" ht="12.75" customHeight="1" x14ac:dyDescent="0.25"/>
    <row r="340" spans="2:21" ht="13.8" thickBot="1" x14ac:dyDescent="0.3">
      <c r="B340" s="4"/>
      <c r="C340" s="4"/>
      <c r="D340" s="4"/>
      <c r="E340" s="4"/>
      <c r="F340" s="4"/>
      <c r="G340" s="5"/>
      <c r="H340" s="107"/>
      <c r="I340" s="108"/>
      <c r="Q340" s="23"/>
      <c r="R340" s="121" t="s">
        <v>122</v>
      </c>
      <c r="S340" s="121" t="s">
        <v>121</v>
      </c>
      <c r="T340" s="121" t="s">
        <v>216</v>
      </c>
      <c r="U340" s="205"/>
    </row>
    <row r="341" spans="2:21" ht="16.2" thickBot="1" x14ac:dyDescent="0.35">
      <c r="B341" s="256" t="s">
        <v>109</v>
      </c>
      <c r="C341" s="256"/>
      <c r="D341" s="256"/>
      <c r="E341" s="256"/>
      <c r="F341" s="256"/>
      <c r="G341" s="256"/>
      <c r="H341" s="256"/>
      <c r="I341" s="256"/>
      <c r="Q341" s="18" t="s">
        <v>217</v>
      </c>
      <c r="R341" s="2">
        <v>0.28999999999999998</v>
      </c>
      <c r="S341" s="60">
        <v>0</v>
      </c>
      <c r="U341" s="55"/>
    </row>
    <row r="342" spans="2:21" ht="12.75" customHeight="1" thickBot="1" x14ac:dyDescent="0.3">
      <c r="B342" s="30" t="s">
        <v>19</v>
      </c>
      <c r="C342" s="31" t="s">
        <v>284</v>
      </c>
      <c r="D342" s="31" t="s">
        <v>40</v>
      </c>
      <c r="E342" s="31" t="s">
        <v>15</v>
      </c>
      <c r="F342" s="31" t="s">
        <v>21</v>
      </c>
      <c r="G342" s="31" t="s">
        <v>17</v>
      </c>
      <c r="H342" s="31" t="s">
        <v>117</v>
      </c>
      <c r="I342" s="31" t="s">
        <v>20</v>
      </c>
      <c r="J342" s="8"/>
      <c r="K342" s="8"/>
      <c r="L342" s="8"/>
      <c r="M342" s="8"/>
      <c r="N342" s="8"/>
      <c r="Q342" s="18" t="s">
        <v>0</v>
      </c>
      <c r="R342" s="60">
        <v>0.02</v>
      </c>
      <c r="S342" s="60">
        <f>D356</f>
        <v>0</v>
      </c>
      <c r="T342" s="60">
        <v>9.1859979508210787E-2</v>
      </c>
      <c r="U342" s="55"/>
    </row>
    <row r="343" spans="2:21" ht="12.75" customHeight="1" thickBot="1" x14ac:dyDescent="0.3">
      <c r="B343" s="4"/>
      <c r="C343" s="26">
        <v>0</v>
      </c>
      <c r="D343" s="26">
        <v>0</v>
      </c>
      <c r="E343" s="49">
        <v>0</v>
      </c>
      <c r="F343" s="49">
        <v>0</v>
      </c>
      <c r="G343" s="49">
        <v>0</v>
      </c>
      <c r="H343" s="50">
        <f>F343</f>
        <v>0</v>
      </c>
      <c r="I343" s="49">
        <v>0</v>
      </c>
      <c r="Q343" s="43" t="s">
        <v>130</v>
      </c>
      <c r="R343" s="126">
        <v>0.2</v>
      </c>
      <c r="S343" s="126">
        <f>D444</f>
        <v>0</v>
      </c>
      <c r="T343" s="220"/>
      <c r="U343" s="55"/>
    </row>
    <row r="344" spans="2:21" ht="12.75" customHeight="1" x14ac:dyDescent="0.25">
      <c r="B344" s="82" t="s">
        <v>1</v>
      </c>
      <c r="C344" s="29">
        <v>34.754204556029912</v>
      </c>
      <c r="D344" s="29">
        <v>7498.2226388555227</v>
      </c>
      <c r="E344" s="49">
        <f t="shared" ref="E344:E354" si="85">C344/$C$355</f>
        <v>9.0909090909090925E-2</v>
      </c>
      <c r="F344" s="49">
        <f t="shared" ref="F344:F354" si="86">D344/$D$355</f>
        <v>1.3686107021111144E-2</v>
      </c>
      <c r="G344" s="49">
        <f t="shared" ref="G344:G354" si="87">G343+E344</f>
        <v>9.0909090909090925E-2</v>
      </c>
      <c r="H344" s="50">
        <f t="shared" ref="H344:H354" si="88">F344+H343</f>
        <v>1.3686107021111144E-2</v>
      </c>
      <c r="I344" s="49">
        <f t="shared" ref="I344:I354" si="89">(G343+G344)*0.5*(H344-H343)</f>
        <v>6.2209577368687024E-4</v>
      </c>
      <c r="U344" s="5"/>
    </row>
    <row r="345" spans="2:21" ht="12.75" customHeight="1" x14ac:dyDescent="0.25">
      <c r="B345" s="82" t="s">
        <v>195</v>
      </c>
      <c r="C345" s="29">
        <v>34.754204556029912</v>
      </c>
      <c r="D345" s="29">
        <v>4549.0211045835576</v>
      </c>
      <c r="E345" s="49">
        <f t="shared" si="85"/>
        <v>9.0909090909090925E-2</v>
      </c>
      <c r="F345" s="49">
        <f t="shared" si="86"/>
        <v>8.3030863015460549E-3</v>
      </c>
      <c r="G345" s="49">
        <f t="shared" si="87"/>
        <v>0.18181818181818185</v>
      </c>
      <c r="H345" s="50">
        <f t="shared" si="88"/>
        <v>2.1989193322657197E-2</v>
      </c>
      <c r="I345" s="49">
        <f t="shared" si="89"/>
        <v>1.1322390411199164E-3</v>
      </c>
      <c r="Q345" s="99"/>
      <c r="R345" s="55"/>
      <c r="S345" s="55"/>
      <c r="T345" s="55"/>
    </row>
    <row r="346" spans="2:21" ht="12.75" customHeight="1" x14ac:dyDescent="0.25">
      <c r="B346" s="82" t="s">
        <v>2</v>
      </c>
      <c r="C346" s="29">
        <v>34.754204556029912</v>
      </c>
      <c r="D346" s="29">
        <v>33738.127951375733</v>
      </c>
      <c r="E346" s="49">
        <f t="shared" si="85"/>
        <v>9.0909090909090925E-2</v>
      </c>
      <c r="F346" s="49">
        <f t="shared" si="86"/>
        <v>6.1580410728501248E-2</v>
      </c>
      <c r="G346" s="49">
        <f t="shared" si="87"/>
        <v>0.27272727272727276</v>
      </c>
      <c r="H346" s="50">
        <f t="shared" si="88"/>
        <v>8.3569604051158444E-2</v>
      </c>
      <c r="I346" s="49">
        <f t="shared" si="89"/>
        <v>1.3995547892841194E-2</v>
      </c>
    </row>
    <row r="347" spans="2:21" ht="12.75" customHeight="1" x14ac:dyDescent="0.25">
      <c r="B347" s="111" t="s">
        <v>3</v>
      </c>
      <c r="C347" s="29">
        <v>34.754204556029912</v>
      </c>
      <c r="D347" s="29">
        <v>4739.5256339269945</v>
      </c>
      <c r="E347" s="49">
        <f t="shared" si="85"/>
        <v>9.0909090909090925E-2</v>
      </c>
      <c r="F347" s="49">
        <f t="shared" si="86"/>
        <v>8.6508040877704764E-3</v>
      </c>
      <c r="G347" s="49">
        <f t="shared" si="87"/>
        <v>0.3636363636363637</v>
      </c>
      <c r="H347" s="50">
        <f t="shared" si="88"/>
        <v>9.2220408138928928E-2</v>
      </c>
      <c r="I347" s="49">
        <f t="shared" si="89"/>
        <v>2.7525285733815178E-3</v>
      </c>
    </row>
    <row r="348" spans="2:21" ht="12.75" customHeight="1" x14ac:dyDescent="0.25">
      <c r="B348" s="82" t="s">
        <v>4</v>
      </c>
      <c r="C348" s="29">
        <v>34.754204556029912</v>
      </c>
      <c r="D348" s="29">
        <v>149774.72401466093</v>
      </c>
      <c r="E348" s="49">
        <f t="shared" si="85"/>
        <v>9.0909090909090925E-2</v>
      </c>
      <c r="F348" s="49">
        <f t="shared" si="86"/>
        <v>0.273375838602054</v>
      </c>
      <c r="G348" s="49">
        <f t="shared" si="87"/>
        <v>0.45454545454545464</v>
      </c>
      <c r="H348" s="50">
        <f t="shared" si="88"/>
        <v>0.3655962467409829</v>
      </c>
      <c r="I348" s="49">
        <f t="shared" si="89"/>
        <v>0.11183557033720391</v>
      </c>
    </row>
    <row r="349" spans="2:21" ht="12.75" customHeight="1" x14ac:dyDescent="0.25">
      <c r="B349" s="111" t="s">
        <v>5</v>
      </c>
      <c r="C349" s="29">
        <v>34.754204556029912</v>
      </c>
      <c r="D349" s="29">
        <v>34543.134541376516</v>
      </c>
      <c r="E349" s="49">
        <f t="shared" si="85"/>
        <v>9.0909090909090925E-2</v>
      </c>
      <c r="F349" s="49">
        <f t="shared" si="86"/>
        <v>6.3049746446323052E-2</v>
      </c>
      <c r="G349" s="49">
        <f t="shared" si="87"/>
        <v>0.54545454545454553</v>
      </c>
      <c r="H349" s="50">
        <f t="shared" si="88"/>
        <v>0.42864599318730595</v>
      </c>
      <c r="I349" s="49">
        <f t="shared" si="89"/>
        <v>3.1524873223161533E-2</v>
      </c>
    </row>
    <row r="350" spans="2:21" ht="12.75" customHeight="1" x14ac:dyDescent="0.25">
      <c r="B350" s="82" t="s">
        <v>6</v>
      </c>
      <c r="C350" s="29">
        <v>34.754204556029912</v>
      </c>
      <c r="D350" s="29">
        <v>12709.055149886017</v>
      </c>
      <c r="E350" s="49">
        <f t="shared" si="85"/>
        <v>9.0909090909090925E-2</v>
      </c>
      <c r="F350" s="49">
        <f t="shared" si="86"/>
        <v>2.3197162487174745E-2</v>
      </c>
      <c r="G350" s="49">
        <f t="shared" si="87"/>
        <v>0.63636363636363646</v>
      </c>
      <c r="H350" s="50">
        <f t="shared" si="88"/>
        <v>0.45184315567448069</v>
      </c>
      <c r="I350" s="49">
        <f t="shared" si="89"/>
        <v>1.3707414196966894E-2</v>
      </c>
    </row>
    <row r="351" spans="2:21" ht="12.75" customHeight="1" x14ac:dyDescent="0.25">
      <c r="B351" s="82" t="s">
        <v>7</v>
      </c>
      <c r="C351" s="29">
        <v>34.754204556029912</v>
      </c>
      <c r="D351" s="29">
        <v>179268.67227891536</v>
      </c>
      <c r="E351" s="49">
        <f t="shared" si="85"/>
        <v>9.0909090909090925E-2</v>
      </c>
      <c r="F351" s="49">
        <f t="shared" si="86"/>
        <v>0.327209573856588</v>
      </c>
      <c r="G351" s="49">
        <f t="shared" si="87"/>
        <v>0.7272727272727274</v>
      </c>
      <c r="H351" s="50">
        <f t="shared" si="88"/>
        <v>0.77905272953106874</v>
      </c>
      <c r="I351" s="49">
        <f t="shared" si="89"/>
        <v>0.22309743672040097</v>
      </c>
    </row>
    <row r="352" spans="2:21" ht="12.75" customHeight="1" x14ac:dyDescent="0.25">
      <c r="B352" s="111" t="s">
        <v>8</v>
      </c>
      <c r="C352" s="29">
        <v>34.754204556029912</v>
      </c>
      <c r="D352" s="29">
        <v>8412.6065227973904</v>
      </c>
      <c r="E352" s="49">
        <f t="shared" si="85"/>
        <v>9.0909090909090925E-2</v>
      </c>
      <c r="F352" s="49">
        <f t="shared" si="86"/>
        <v>1.5355083296789959E-2</v>
      </c>
      <c r="G352" s="49">
        <f t="shared" si="87"/>
        <v>0.81818181818181834</v>
      </c>
      <c r="H352" s="50">
        <f t="shared" si="88"/>
        <v>0.79440781282785866</v>
      </c>
      <c r="I352" s="49">
        <f t="shared" si="89"/>
        <v>1.1865291638428576E-2</v>
      </c>
    </row>
    <row r="353" spans="2:24" ht="12.75" customHeight="1" x14ac:dyDescent="0.25">
      <c r="B353" s="82" t="s">
        <v>9</v>
      </c>
      <c r="C353" s="29">
        <v>34.754204556029912</v>
      </c>
      <c r="D353" s="29">
        <v>43226.930239887697</v>
      </c>
      <c r="E353" s="49">
        <f t="shared" si="85"/>
        <v>9.0909090909090925E-2</v>
      </c>
      <c r="F353" s="49">
        <f t="shared" si="86"/>
        <v>7.8899816923481969E-2</v>
      </c>
      <c r="G353" s="49">
        <f t="shared" si="87"/>
        <v>0.90909090909090928</v>
      </c>
      <c r="H353" s="50">
        <f t="shared" si="88"/>
        <v>0.87330762975134069</v>
      </c>
      <c r="I353" s="49">
        <f t="shared" si="89"/>
        <v>6.8140750979370848E-2</v>
      </c>
    </row>
    <row r="354" spans="2:24" ht="12.75" customHeight="1" thickBot="1" x14ac:dyDescent="0.3">
      <c r="B354" s="86" t="s">
        <v>10</v>
      </c>
      <c r="C354" s="32">
        <v>34.754204556029912</v>
      </c>
      <c r="D354" s="32">
        <v>69411.089457609574</v>
      </c>
      <c r="E354" s="51">
        <f t="shared" si="85"/>
        <v>9.0909090909090925E-2</v>
      </c>
      <c r="F354" s="51">
        <f t="shared" si="86"/>
        <v>0.12669237024865945</v>
      </c>
      <c r="G354" s="51">
        <f t="shared" si="87"/>
        <v>1.0000000000000002</v>
      </c>
      <c r="H354" s="52">
        <f t="shared" si="88"/>
        <v>1.0000000000000002</v>
      </c>
      <c r="I354" s="51">
        <f t="shared" si="89"/>
        <v>0.12093362614644777</v>
      </c>
    </row>
    <row r="355" spans="2:24" ht="12.75" customHeight="1" thickBot="1" x14ac:dyDescent="0.3">
      <c r="B355" s="38" t="s">
        <v>12</v>
      </c>
      <c r="C355" s="32">
        <f>SUM(C343:C354)</f>
        <v>382.29625011632896</v>
      </c>
      <c r="D355" s="32">
        <f>SUM(D343:D354)</f>
        <v>547871.10953387525</v>
      </c>
      <c r="E355" s="51">
        <f>SUM(E344:E354)</f>
        <v>1.0000000000000002</v>
      </c>
      <c r="F355" s="51">
        <f>SUM(F344:F354)</f>
        <v>1.0000000000000002</v>
      </c>
      <c r="G355" s="52"/>
      <c r="H355" s="52"/>
      <c r="I355" s="51">
        <f>SUM(I343:I354)</f>
        <v>0.59960737452300994</v>
      </c>
    </row>
    <row r="356" spans="2:24" ht="12.75" customHeight="1" thickBot="1" x14ac:dyDescent="0.3">
      <c r="B356" s="4"/>
      <c r="C356" s="4"/>
      <c r="D356" s="4"/>
      <c r="E356" s="50"/>
      <c r="F356" s="50"/>
      <c r="G356" s="50"/>
      <c r="H356" s="53"/>
      <c r="I356" s="53"/>
    </row>
    <row r="357" spans="2:24" ht="12.75" customHeight="1" thickBot="1" x14ac:dyDescent="0.3">
      <c r="B357" s="4"/>
      <c r="C357" s="4"/>
      <c r="D357" s="4"/>
      <c r="E357" s="50"/>
      <c r="F357" s="50"/>
      <c r="G357" s="55"/>
      <c r="H357" s="57" t="s">
        <v>29</v>
      </c>
      <c r="I357" s="58">
        <f>1-(2*I355)</f>
        <v>-0.19921474904601988</v>
      </c>
    </row>
    <row r="358" spans="2:24" ht="12.75" customHeight="1" x14ac:dyDescent="0.25">
      <c r="Q358" s="4"/>
      <c r="R358" s="4"/>
      <c r="S358" s="4"/>
      <c r="T358" s="4"/>
      <c r="U358" s="4"/>
      <c r="V358" s="5"/>
      <c r="W358" s="107"/>
      <c r="X358" s="108"/>
    </row>
    <row r="359" spans="2:24" ht="12.75" customHeight="1" x14ac:dyDescent="0.25">
      <c r="Q359" s="4"/>
      <c r="R359" s="4"/>
      <c r="S359" s="4"/>
      <c r="T359" s="4"/>
      <c r="U359" s="4"/>
      <c r="V359" s="5"/>
      <c r="W359" s="107"/>
      <c r="X359" s="108"/>
    </row>
    <row r="360" spans="2:24" ht="16.2" thickBot="1" x14ac:dyDescent="0.35">
      <c r="B360" s="256" t="s">
        <v>127</v>
      </c>
      <c r="C360" s="256"/>
      <c r="D360" s="256"/>
      <c r="E360" s="256"/>
      <c r="F360" s="256"/>
      <c r="G360" s="256"/>
      <c r="H360" s="256"/>
      <c r="I360" s="256"/>
    </row>
    <row r="361" spans="2:24" ht="49.8" customHeight="1" thickBot="1" x14ac:dyDescent="0.3">
      <c r="B361" s="30" t="s">
        <v>19</v>
      </c>
      <c r="C361" s="31" t="s">
        <v>284</v>
      </c>
      <c r="D361" s="31" t="s">
        <v>128</v>
      </c>
      <c r="E361" s="31" t="s">
        <v>15</v>
      </c>
      <c r="F361" s="31" t="s">
        <v>21</v>
      </c>
      <c r="G361" s="31" t="s">
        <v>17</v>
      </c>
      <c r="H361" s="31" t="s">
        <v>117</v>
      </c>
      <c r="I361" s="31" t="s">
        <v>20</v>
      </c>
      <c r="J361" s="8"/>
      <c r="K361" s="8"/>
      <c r="L361" s="8"/>
      <c r="M361" s="8"/>
      <c r="N361" s="8"/>
    </row>
    <row r="362" spans="2:24" ht="12.75" customHeight="1" x14ac:dyDescent="0.25">
      <c r="B362" s="4"/>
      <c r="C362" s="26">
        <v>0</v>
      </c>
      <c r="D362" s="26">
        <v>0</v>
      </c>
      <c r="E362" s="49">
        <f t="shared" ref="E362:E373" si="90">C362/$C$374</f>
        <v>0</v>
      </c>
      <c r="F362" s="49">
        <v>0</v>
      </c>
      <c r="G362" s="49">
        <v>0</v>
      </c>
      <c r="H362" s="50">
        <f>F362</f>
        <v>0</v>
      </c>
      <c r="I362" s="49">
        <v>0</v>
      </c>
    </row>
    <row r="363" spans="2:24" ht="12.75" customHeight="1" x14ac:dyDescent="0.25">
      <c r="B363" s="82" t="s">
        <v>1</v>
      </c>
      <c r="C363" s="29">
        <v>34.754204556029912</v>
      </c>
      <c r="D363" s="83">
        <v>13199.085501550475</v>
      </c>
      <c r="E363" s="49">
        <f t="shared" si="90"/>
        <v>9.0909090909090925E-2</v>
      </c>
      <c r="F363" s="49">
        <f t="shared" ref="F363:F373" si="91">D363/$D$374</f>
        <v>4.3177805010323955E-3</v>
      </c>
      <c r="G363" s="49">
        <f t="shared" ref="G363:G373" si="92">G362+E363</f>
        <v>9.0909090909090925E-2</v>
      </c>
      <c r="H363" s="50">
        <f t="shared" ref="H363:H373" si="93">F363+H362</f>
        <v>4.3177805010323955E-3</v>
      </c>
      <c r="I363" s="49">
        <f t="shared" ref="I363:I373" si="94">(G362+G363)*0.5*(H363-H362)</f>
        <v>1.962627500469271E-4</v>
      </c>
    </row>
    <row r="364" spans="2:24" ht="12.75" customHeight="1" x14ac:dyDescent="0.25">
      <c r="B364" s="82" t="s">
        <v>195</v>
      </c>
      <c r="C364" s="29">
        <v>34.754204556029912</v>
      </c>
      <c r="D364" s="83">
        <v>20450.034940117202</v>
      </c>
      <c r="E364" s="49">
        <f t="shared" si="90"/>
        <v>9.0909090909090925E-2</v>
      </c>
      <c r="F364" s="49">
        <f t="shared" si="91"/>
        <v>6.6897636279041406E-3</v>
      </c>
      <c r="G364" s="49">
        <f t="shared" si="92"/>
        <v>0.18181818181818185</v>
      </c>
      <c r="H364" s="50">
        <f t="shared" si="93"/>
        <v>1.1007544128936536E-2</v>
      </c>
      <c r="I364" s="49">
        <f t="shared" si="94"/>
        <v>9.1224049471420106E-4</v>
      </c>
    </row>
    <row r="365" spans="2:24" ht="12.75" customHeight="1" x14ac:dyDescent="0.25">
      <c r="B365" s="111" t="s">
        <v>2</v>
      </c>
      <c r="C365" s="29">
        <v>34.754204556029912</v>
      </c>
      <c r="D365" s="83">
        <v>251430.377836909</v>
      </c>
      <c r="E365" s="49">
        <f t="shared" si="90"/>
        <v>9.0909090909090925E-2</v>
      </c>
      <c r="F365" s="49">
        <f t="shared" si="91"/>
        <v>8.2249727275718248E-2</v>
      </c>
      <c r="G365" s="49">
        <f t="shared" si="92"/>
        <v>0.27272727272727276</v>
      </c>
      <c r="H365" s="50">
        <f t="shared" si="93"/>
        <v>9.3257271404654785E-2</v>
      </c>
      <c r="I365" s="49">
        <f t="shared" si="94"/>
        <v>1.8693119835390511E-2</v>
      </c>
    </row>
    <row r="366" spans="2:24" ht="12.75" customHeight="1" x14ac:dyDescent="0.25">
      <c r="B366" s="82" t="s">
        <v>3</v>
      </c>
      <c r="C366" s="29">
        <v>34.754204556029912</v>
      </c>
      <c r="D366" s="83">
        <v>24496.645034227455</v>
      </c>
      <c r="E366" s="49">
        <f t="shared" si="90"/>
        <v>9.0909090909090925E-2</v>
      </c>
      <c r="F366" s="49">
        <f t="shared" si="91"/>
        <v>8.0135200470573958E-3</v>
      </c>
      <c r="G366" s="49">
        <f t="shared" si="92"/>
        <v>0.3636363636363637</v>
      </c>
      <c r="H366" s="50">
        <f t="shared" si="93"/>
        <v>0.10127079145171218</v>
      </c>
      <c r="I366" s="49">
        <f t="shared" si="94"/>
        <v>2.5497563786091716E-3</v>
      </c>
    </row>
    <row r="367" spans="2:24" ht="12.75" customHeight="1" x14ac:dyDescent="0.25">
      <c r="B367" s="82" t="s">
        <v>4</v>
      </c>
      <c r="C367" s="29">
        <v>34.754204556029912</v>
      </c>
      <c r="D367" s="83">
        <v>363314.38569269452</v>
      </c>
      <c r="E367" s="49">
        <f t="shared" si="90"/>
        <v>9.0909090909090925E-2</v>
      </c>
      <c r="F367" s="49">
        <f t="shared" si="91"/>
        <v>0.1188500347318915</v>
      </c>
      <c r="G367" s="49">
        <f t="shared" si="92"/>
        <v>0.45454545454545464</v>
      </c>
      <c r="H367" s="50">
        <f t="shared" si="93"/>
        <v>0.22012082618360368</v>
      </c>
      <c r="I367" s="49">
        <f t="shared" si="94"/>
        <v>4.862046875395562E-2</v>
      </c>
    </row>
    <row r="368" spans="2:24" ht="12.75" customHeight="1" x14ac:dyDescent="0.25">
      <c r="B368" s="82" t="s">
        <v>5</v>
      </c>
      <c r="C368" s="29">
        <v>34.754204556029912</v>
      </c>
      <c r="D368" s="83">
        <v>49475.746319971244</v>
      </c>
      <c r="E368" s="49">
        <f t="shared" si="90"/>
        <v>9.0909090909090925E-2</v>
      </c>
      <c r="F368" s="49">
        <f t="shared" si="91"/>
        <v>1.6184864679397896E-2</v>
      </c>
      <c r="G368" s="49">
        <f t="shared" si="92"/>
        <v>0.54545454545454553</v>
      </c>
      <c r="H368" s="50">
        <f t="shared" si="93"/>
        <v>0.23630569086300157</v>
      </c>
      <c r="I368" s="49">
        <f t="shared" si="94"/>
        <v>8.0924323396989479E-3</v>
      </c>
    </row>
    <row r="369" spans="1:14" ht="12.75" customHeight="1" x14ac:dyDescent="0.25">
      <c r="B369" s="82" t="s">
        <v>6</v>
      </c>
      <c r="C369" s="29">
        <v>34.754204556029912</v>
      </c>
      <c r="D369" s="83">
        <v>20836.189535136225</v>
      </c>
      <c r="E369" s="49">
        <f t="shared" si="90"/>
        <v>9.0909090909090925E-2</v>
      </c>
      <c r="F369" s="49">
        <f t="shared" si="91"/>
        <v>6.8160853174303836E-3</v>
      </c>
      <c r="G369" s="49">
        <f t="shared" si="92"/>
        <v>0.63636363636363646</v>
      </c>
      <c r="H369" s="50">
        <f t="shared" si="93"/>
        <v>0.24312177618043196</v>
      </c>
      <c r="I369" s="49">
        <f t="shared" si="94"/>
        <v>4.0276867784815934E-3</v>
      </c>
    </row>
    <row r="370" spans="1:14" ht="12.75" customHeight="1" x14ac:dyDescent="0.25">
      <c r="B370" s="111" t="s">
        <v>7</v>
      </c>
      <c r="C370" s="29">
        <v>34.754204556029912</v>
      </c>
      <c r="D370" s="124">
        <v>1339764.2833351614</v>
      </c>
      <c r="E370" s="49">
        <f t="shared" si="90"/>
        <v>9.0909090909090925E-2</v>
      </c>
      <c r="F370" s="49">
        <f t="shared" si="91"/>
        <v>0.43827340143259691</v>
      </c>
      <c r="G370" s="49">
        <f t="shared" si="92"/>
        <v>0.7272727272727274</v>
      </c>
      <c r="H370" s="50">
        <f t="shared" si="93"/>
        <v>0.68139517761302892</v>
      </c>
      <c r="I370" s="49">
        <f t="shared" si="94"/>
        <v>0.29882277370404342</v>
      </c>
    </row>
    <row r="371" spans="1:14" ht="12.75" customHeight="1" x14ac:dyDescent="0.25">
      <c r="B371" s="82" t="s">
        <v>8</v>
      </c>
      <c r="C371" s="29">
        <v>34.754204556029912</v>
      </c>
      <c r="D371" s="83">
        <v>617141.72101696266</v>
      </c>
      <c r="E371" s="49">
        <f t="shared" si="90"/>
        <v>9.0909090909090925E-2</v>
      </c>
      <c r="F371" s="49">
        <f t="shared" si="91"/>
        <v>0.20188387211126102</v>
      </c>
      <c r="G371" s="49">
        <f t="shared" si="92"/>
        <v>0.81818181818181834</v>
      </c>
      <c r="H371" s="50">
        <f t="shared" si="93"/>
        <v>0.88327904972428994</v>
      </c>
      <c r="I371" s="49">
        <f t="shared" si="94"/>
        <v>0.15600117390415627</v>
      </c>
    </row>
    <row r="372" spans="1:14" ht="12.75" customHeight="1" x14ac:dyDescent="0.25">
      <c r="B372" s="111" t="s">
        <v>9</v>
      </c>
      <c r="C372" s="29">
        <v>34.754204556029912</v>
      </c>
      <c r="D372" s="83">
        <v>119784.51078433092</v>
      </c>
      <c r="E372" s="49">
        <f t="shared" si="90"/>
        <v>9.0909090909090925E-2</v>
      </c>
      <c r="F372" s="49">
        <f t="shared" si="91"/>
        <v>3.9184777227902166E-2</v>
      </c>
      <c r="G372" s="49">
        <f t="shared" si="92"/>
        <v>0.90909090909090928</v>
      </c>
      <c r="H372" s="50">
        <f t="shared" si="93"/>
        <v>0.92246382695219209</v>
      </c>
      <c r="I372" s="49">
        <f t="shared" si="94"/>
        <v>3.38413985150064E-2</v>
      </c>
    </row>
    <row r="373" spans="1:14" ht="12.75" customHeight="1" thickBot="1" x14ac:dyDescent="0.3">
      <c r="B373" s="86" t="s">
        <v>10</v>
      </c>
      <c r="C373" s="32">
        <v>34.754204556029912</v>
      </c>
      <c r="D373" s="87">
        <v>237021.44592026682</v>
      </c>
      <c r="E373" s="51">
        <f t="shared" si="90"/>
        <v>9.0909090909090925E-2</v>
      </c>
      <c r="F373" s="51">
        <f t="shared" si="91"/>
        <v>7.7536173047808091E-2</v>
      </c>
      <c r="G373" s="51">
        <f t="shared" si="92"/>
        <v>1.0000000000000002</v>
      </c>
      <c r="H373" s="52">
        <f t="shared" si="93"/>
        <v>1.0000000000000002</v>
      </c>
      <c r="I373" s="51">
        <f t="shared" si="94"/>
        <v>7.4011801545635053E-2</v>
      </c>
    </row>
    <row r="374" spans="1:14" ht="12.75" customHeight="1" thickBot="1" x14ac:dyDescent="0.3">
      <c r="B374" s="38" t="s">
        <v>12</v>
      </c>
      <c r="C374" s="32">
        <f>SUM(C362:C373)</f>
        <v>382.29625011632896</v>
      </c>
      <c r="D374" s="32">
        <f>SUM(D362:D373)</f>
        <v>3056914.4259173274</v>
      </c>
      <c r="E374" s="51">
        <f>SUM(E363:E373)</f>
        <v>1.0000000000000002</v>
      </c>
      <c r="F374" s="51">
        <f>SUM(F363:F373)</f>
        <v>1.0000000000000002</v>
      </c>
      <c r="G374" s="52"/>
      <c r="H374" s="52"/>
      <c r="I374" s="51">
        <f>SUM(I362:I373)</f>
        <v>0.6457691149997381</v>
      </c>
    </row>
    <row r="375" spans="1:14" ht="12.75" customHeight="1" thickBot="1" x14ac:dyDescent="0.3">
      <c r="B375" s="4"/>
      <c r="C375" s="4"/>
      <c r="D375" s="4"/>
      <c r="E375" s="50"/>
      <c r="F375" s="50"/>
      <c r="G375" s="50"/>
      <c r="H375" s="53"/>
      <c r="I375" s="53"/>
    </row>
    <row r="376" spans="1:14" ht="12.75" customHeight="1" thickBot="1" x14ac:dyDescent="0.3">
      <c r="B376" s="4"/>
      <c r="C376" s="4"/>
      <c r="D376" s="4"/>
      <c r="E376" s="50"/>
      <c r="F376" s="50"/>
      <c r="G376" s="55"/>
      <c r="H376" s="57" t="s">
        <v>29</v>
      </c>
      <c r="I376" s="58">
        <f>1-(2*I374)</f>
        <v>-0.29153822999947621</v>
      </c>
    </row>
    <row r="377" spans="1:14" ht="12.75" customHeight="1" x14ac:dyDescent="0.25"/>
    <row r="378" spans="1:14" ht="12.75" customHeight="1" x14ac:dyDescent="0.25"/>
    <row r="379" spans="1:14" ht="12.75" customHeight="1" x14ac:dyDescent="0.25"/>
    <row r="380" spans="1:14" ht="12.75" customHeight="1" x14ac:dyDescent="0.25">
      <c r="A380" s="255" t="s">
        <v>112</v>
      </c>
      <c r="B380" s="255"/>
      <c r="C380" s="255"/>
      <c r="D380" s="255"/>
      <c r="E380" s="255"/>
      <c r="F380" s="255"/>
      <c r="G380" s="255"/>
      <c r="H380" s="255"/>
      <c r="I380" s="255"/>
    </row>
    <row r="381" spans="1:14" ht="12.75" customHeight="1" x14ac:dyDescent="0.25"/>
    <row r="382" spans="1:14" ht="12.75" customHeight="1" x14ac:dyDescent="0.25"/>
    <row r="383" spans="1:14" ht="16.2" thickBot="1" x14ac:dyDescent="0.35">
      <c r="B383" s="256" t="s">
        <v>210</v>
      </c>
      <c r="C383" s="256"/>
      <c r="D383" s="256"/>
      <c r="E383" s="256"/>
      <c r="F383" s="256"/>
      <c r="G383" s="256"/>
      <c r="H383" s="256"/>
      <c r="I383" s="256"/>
    </row>
    <row r="384" spans="1:14" ht="42" customHeight="1" thickBot="1" x14ac:dyDescent="0.3">
      <c r="B384" s="36" t="s">
        <v>19</v>
      </c>
      <c r="C384" s="37" t="s">
        <v>289</v>
      </c>
      <c r="D384" s="37" t="s">
        <v>41</v>
      </c>
      <c r="E384" s="37" t="s">
        <v>91</v>
      </c>
      <c r="F384" s="37" t="s">
        <v>16</v>
      </c>
      <c r="G384" s="37" t="s">
        <v>92</v>
      </c>
      <c r="H384" s="37" t="s">
        <v>18</v>
      </c>
      <c r="I384" s="37" t="s">
        <v>20</v>
      </c>
      <c r="J384" s="8"/>
      <c r="K384" s="8"/>
      <c r="L384" s="8"/>
      <c r="M384" s="8"/>
      <c r="N384" s="8"/>
    </row>
    <row r="385" spans="2:9" ht="12.75" customHeight="1" x14ac:dyDescent="0.25">
      <c r="B385" s="4"/>
      <c r="C385" s="26">
        <v>0</v>
      </c>
      <c r="D385" s="26">
        <v>0</v>
      </c>
      <c r="E385" s="49">
        <f>C385/$C$82</f>
        <v>0</v>
      </c>
      <c r="F385" s="49">
        <v>0</v>
      </c>
      <c r="G385" s="49">
        <v>0</v>
      </c>
      <c r="H385" s="50">
        <f>F385</f>
        <v>0</v>
      </c>
      <c r="I385" s="49">
        <v>0</v>
      </c>
    </row>
    <row r="386" spans="2:9" ht="12.75" customHeight="1" x14ac:dyDescent="0.25">
      <c r="B386" s="82" t="s">
        <v>195</v>
      </c>
      <c r="C386" s="29">
        <v>1.3224981196287995</v>
      </c>
      <c r="D386" s="17">
        <v>9.9410984401006655</v>
      </c>
      <c r="E386" s="49">
        <f>C386/$C$397</f>
        <v>3.4593541506786328E-3</v>
      </c>
      <c r="F386" s="49">
        <f>D386/$D$397</f>
        <v>1.7731303204090366E-2</v>
      </c>
      <c r="G386" s="49">
        <f t="shared" ref="G386:G396" si="95">G385+E386</f>
        <v>3.4593541506786328E-3</v>
      </c>
      <c r="H386" s="50">
        <f t="shared" ref="H386:H396" si="96">F386+H385</f>
        <v>1.7731303204090366E-2</v>
      </c>
      <c r="I386" s="49">
        <f t="shared" ref="I386:I396" si="97">(G385+G386)*0.5*(H386-H385)</f>
        <v>3.0669428668005674E-5</v>
      </c>
    </row>
    <row r="387" spans="2:9" ht="12.75" customHeight="1" x14ac:dyDescent="0.25">
      <c r="B387" s="82" t="s">
        <v>3</v>
      </c>
      <c r="C387" s="29">
        <v>1.9103503028842752</v>
      </c>
      <c r="D387" s="17">
        <v>1.9635873386079545</v>
      </c>
      <c r="E387" s="49">
        <f t="shared" ref="E387:E396" si="98">C387/$C$397</f>
        <v>4.9970416981672573E-3</v>
      </c>
      <c r="F387" s="49">
        <f t="shared" ref="F387:F396" si="99">D387/$D$397</f>
        <v>3.50232549032257E-3</v>
      </c>
      <c r="G387" s="49">
        <f t="shared" si="95"/>
        <v>8.4563958488458896E-3</v>
      </c>
      <c r="H387" s="50">
        <f t="shared" si="96"/>
        <v>2.1233628694412938E-2</v>
      </c>
      <c r="I387" s="49">
        <f t="shared" si="97"/>
        <v>2.0866417479822949E-5</v>
      </c>
    </row>
    <row r="388" spans="2:9" ht="12.75" customHeight="1" x14ac:dyDescent="0.25">
      <c r="B388" s="111" t="s">
        <v>1</v>
      </c>
      <c r="C388" s="29">
        <v>7.1530660073489152</v>
      </c>
      <c r="D388" s="119">
        <v>15.507664289227339</v>
      </c>
      <c r="E388" s="49">
        <f t="shared" si="98"/>
        <v>1.8710793017646148E-2</v>
      </c>
      <c r="F388" s="49">
        <f t="shared" si="99"/>
        <v>2.7660031651064714E-2</v>
      </c>
      <c r="G388" s="49">
        <f t="shared" si="95"/>
        <v>2.716718886649204E-2</v>
      </c>
      <c r="H388" s="50">
        <f t="shared" si="96"/>
        <v>4.8893660345477652E-2</v>
      </c>
      <c r="I388" s="49">
        <f t="shared" si="97"/>
        <v>4.9267474037531609E-4</v>
      </c>
    </row>
    <row r="389" spans="2:9" ht="12.75" customHeight="1" x14ac:dyDescent="0.25">
      <c r="B389" s="82" t="s">
        <v>6</v>
      </c>
      <c r="C389" s="29">
        <v>11.97256923586497</v>
      </c>
      <c r="D389" s="17">
        <v>24.535321174036174</v>
      </c>
      <c r="E389" s="49">
        <f t="shared" si="98"/>
        <v>3.1317516800705825E-2</v>
      </c>
      <c r="F389" s="49">
        <f t="shared" si="99"/>
        <v>4.3762087415982621E-2</v>
      </c>
      <c r="G389" s="49">
        <f t="shared" si="95"/>
        <v>5.8484705667197864E-2</v>
      </c>
      <c r="H389" s="50">
        <f t="shared" si="96"/>
        <v>9.2655747761460266E-2</v>
      </c>
      <c r="I389" s="49">
        <f t="shared" si="97"/>
        <v>1.8741528479639304E-3</v>
      </c>
    </row>
    <row r="390" spans="2:9" ht="12.75" customHeight="1" x14ac:dyDescent="0.25">
      <c r="B390" s="82" t="s">
        <v>8</v>
      </c>
      <c r="C390" s="29">
        <v>23.5</v>
      </c>
      <c r="D390" s="17">
        <v>15.551936440499585</v>
      </c>
      <c r="E390" s="49">
        <f t="shared" si="98"/>
        <v>6.1470652649219498E-2</v>
      </c>
      <c r="F390" s="49">
        <f t="shared" si="99"/>
        <v>2.7738997063431921E-2</v>
      </c>
      <c r="G390" s="49">
        <f t="shared" si="95"/>
        <v>0.11995535831641736</v>
      </c>
      <c r="H390" s="50">
        <f t="shared" si="96"/>
        <v>0.12039474482489218</v>
      </c>
      <c r="I390" s="49">
        <f t="shared" si="97"/>
        <v>2.4748742054200527E-3</v>
      </c>
    </row>
    <row r="391" spans="2:9" ht="12.75" customHeight="1" x14ac:dyDescent="0.25">
      <c r="B391" s="82" t="s">
        <v>5</v>
      </c>
      <c r="C391" s="29">
        <v>27.678981965070257</v>
      </c>
      <c r="D391" s="17">
        <v>38.826509285046576</v>
      </c>
      <c r="E391" s="49">
        <f t="shared" si="98"/>
        <v>7.2401918555695513E-2</v>
      </c>
      <c r="F391" s="49">
        <f t="shared" si="99"/>
        <v>6.9252368099738823E-2</v>
      </c>
      <c r="G391" s="49">
        <f t="shared" si="95"/>
        <v>0.19235727687211288</v>
      </c>
      <c r="H391" s="50">
        <f t="shared" si="96"/>
        <v>0.18964711292463099</v>
      </c>
      <c r="I391" s="49">
        <f t="shared" si="97"/>
        <v>1.0814194787137769E-2</v>
      </c>
    </row>
    <row r="392" spans="2:9" ht="12.75" customHeight="1" x14ac:dyDescent="0.25">
      <c r="B392" s="82" t="s">
        <v>7</v>
      </c>
      <c r="C392" s="29">
        <v>33.799999999999997</v>
      </c>
      <c r="D392" s="17">
        <v>75.778015460305269</v>
      </c>
      <c r="E392" s="49">
        <f t="shared" si="98"/>
        <v>8.8413108916749736E-2</v>
      </c>
      <c r="F392" s="49">
        <f t="shared" si="99"/>
        <v>0.1351604127478406</v>
      </c>
      <c r="G392" s="49">
        <f t="shared" si="95"/>
        <v>0.2807703857888626</v>
      </c>
      <c r="H392" s="50">
        <f t="shared" si="96"/>
        <v>0.32480752567247162</v>
      </c>
      <c r="I392" s="49">
        <f t="shared" si="97"/>
        <v>3.1974065083839279E-2</v>
      </c>
    </row>
    <row r="393" spans="2:9" ht="12.75" customHeight="1" x14ac:dyDescent="0.25">
      <c r="B393" s="82" t="s">
        <v>2</v>
      </c>
      <c r="C393" s="29">
        <v>56.5</v>
      </c>
      <c r="D393" s="17">
        <v>149.39694777300656</v>
      </c>
      <c r="E393" s="49">
        <f t="shared" si="98"/>
        <v>0.14779114360344262</v>
      </c>
      <c r="F393" s="49">
        <f t="shared" si="99"/>
        <v>0.26646980660036679</v>
      </c>
      <c r="G393" s="49">
        <f t="shared" si="95"/>
        <v>0.42856152939230518</v>
      </c>
      <c r="H393" s="50">
        <f t="shared" si="96"/>
        <v>0.59127733227283841</v>
      </c>
      <c r="I393" s="49">
        <f t="shared" si="97"/>
        <v>9.4507769126896776E-2</v>
      </c>
    </row>
    <row r="394" spans="2:9" ht="12.75" customHeight="1" x14ac:dyDescent="0.25">
      <c r="B394" s="82" t="s">
        <v>9</v>
      </c>
      <c r="C394" s="29">
        <v>58.968413233176513</v>
      </c>
      <c r="D394" s="17">
        <v>28.948868234503564</v>
      </c>
      <c r="E394" s="49">
        <f t="shared" si="98"/>
        <v>0.15424795094179711</v>
      </c>
      <c r="F394" s="49">
        <f t="shared" si="99"/>
        <v>5.1634249793833159E-2</v>
      </c>
      <c r="G394" s="49">
        <f t="shared" si="95"/>
        <v>0.58280948033410229</v>
      </c>
      <c r="H394" s="50">
        <f t="shared" si="96"/>
        <v>0.64291158206667154</v>
      </c>
      <c r="I394" s="49">
        <f t="shared" si="97"/>
        <v>2.6110691675227282E-2</v>
      </c>
    </row>
    <row r="395" spans="2:9" ht="12.75" customHeight="1" x14ac:dyDescent="0.25">
      <c r="B395" s="82" t="s">
        <v>4</v>
      </c>
      <c r="C395" s="29">
        <v>77.313145320001027</v>
      </c>
      <c r="D395" s="17">
        <v>88.532021248695301</v>
      </c>
      <c r="E395" s="49">
        <f t="shared" si="98"/>
        <v>0.20223359579508141</v>
      </c>
      <c r="F395" s="49">
        <f t="shared" si="99"/>
        <v>0.15790891937045254</v>
      </c>
      <c r="G395" s="49">
        <f t="shared" si="95"/>
        <v>0.78504307612918367</v>
      </c>
      <c r="H395" s="50">
        <f t="shared" si="96"/>
        <v>0.80082050143712413</v>
      </c>
      <c r="I395" s="49">
        <f t="shared" si="97"/>
        <v>0.10799805952461423</v>
      </c>
    </row>
    <row r="396" spans="2:9" ht="12.75" customHeight="1" thickBot="1" x14ac:dyDescent="0.3">
      <c r="B396" s="86" t="s">
        <v>10</v>
      </c>
      <c r="C396" s="32">
        <v>82.177225932354276</v>
      </c>
      <c r="D396" s="114">
        <v>111.67047225308657</v>
      </c>
      <c r="E396" s="51">
        <f t="shared" si="98"/>
        <v>0.21495692387081627</v>
      </c>
      <c r="F396" s="51">
        <f t="shared" si="99"/>
        <v>0.1991794985628759</v>
      </c>
      <c r="G396" s="51">
        <f t="shared" si="95"/>
        <v>1</v>
      </c>
      <c r="H396" s="52">
        <f t="shared" si="96"/>
        <v>1</v>
      </c>
      <c r="I396" s="51">
        <f t="shared" si="97"/>
        <v>0.17777199240827213</v>
      </c>
    </row>
    <row r="397" spans="2:9" ht="12.75" customHeight="1" thickBot="1" x14ac:dyDescent="0.3">
      <c r="B397" s="38" t="s">
        <v>12</v>
      </c>
      <c r="C397" s="32">
        <f>SUM(C385:C396)</f>
        <v>382.29625011632902</v>
      </c>
      <c r="D397" s="32">
        <f>SUM(D385:D396)</f>
        <v>560.65244193711555</v>
      </c>
      <c r="E397" s="51">
        <f>SUM(E386:E396)</f>
        <v>1</v>
      </c>
      <c r="F397" s="51">
        <f>SUM(F386:F396)</f>
        <v>1</v>
      </c>
      <c r="G397" s="52"/>
      <c r="H397" s="52"/>
      <c r="I397" s="51">
        <f>SUM(I385:I396)</f>
        <v>0.45407001024589461</v>
      </c>
    </row>
    <row r="398" spans="2:9" ht="12.75" customHeight="1" thickBot="1" x14ac:dyDescent="0.3">
      <c r="B398" s="47"/>
      <c r="C398" s="29"/>
      <c r="D398" s="29"/>
      <c r="E398" s="26"/>
      <c r="F398" s="27"/>
      <c r="G398" s="4"/>
      <c r="H398" s="40"/>
      <c r="I398" s="34"/>
    </row>
    <row r="399" spans="2:9" ht="12.75" customHeight="1" thickBot="1" x14ac:dyDescent="0.3">
      <c r="B399" s="4"/>
      <c r="C399" s="4"/>
      <c r="D399" s="4"/>
      <c r="E399" s="4"/>
      <c r="F399" s="4"/>
      <c r="G399" s="5"/>
      <c r="H399" s="48" t="s">
        <v>37</v>
      </c>
      <c r="I399" s="61">
        <f>1-(2*I397)</f>
        <v>9.1859979508210787E-2</v>
      </c>
    </row>
    <row r="400" spans="2:9" ht="12.75" customHeight="1" x14ac:dyDescent="0.25">
      <c r="B400" s="4"/>
      <c r="C400" s="4"/>
      <c r="D400" s="4"/>
      <c r="E400" s="4"/>
      <c r="F400" s="4"/>
      <c r="G400" s="5"/>
      <c r="H400" s="107"/>
      <c r="I400" s="108"/>
    </row>
    <row r="401" ht="12.75" customHeight="1" x14ac:dyDescent="0.25"/>
    <row r="402" ht="12.75" customHeight="1" x14ac:dyDescent="0.25"/>
    <row r="403" ht="12.75" customHeight="1" x14ac:dyDescent="0.25"/>
    <row r="404" ht="12.75" customHeight="1" x14ac:dyDescent="0.25"/>
    <row r="405" ht="12.75" customHeight="1" x14ac:dyDescent="0.25"/>
    <row r="406" ht="12.75" customHeight="1" x14ac:dyDescent="0.25"/>
    <row r="407" ht="12.75" customHeight="1" x14ac:dyDescent="0.25"/>
    <row r="408" ht="12.75" customHeight="1" x14ac:dyDescent="0.25"/>
    <row r="409" ht="12.75" customHeight="1" x14ac:dyDescent="0.25"/>
    <row r="410" ht="12.75" customHeight="1" x14ac:dyDescent="0.25"/>
    <row r="411" ht="12.75" customHeight="1" x14ac:dyDescent="0.25"/>
    <row r="412" ht="12.75" customHeight="1" x14ac:dyDescent="0.25"/>
    <row r="413" ht="12.75" customHeight="1" x14ac:dyDescent="0.25"/>
    <row r="414" ht="12.75" customHeight="1" x14ac:dyDescent="0.25"/>
    <row r="415" ht="12.75" customHeight="1" x14ac:dyDescent="0.25"/>
    <row r="416" ht="12.75" customHeight="1" x14ac:dyDescent="0.25"/>
    <row r="417" ht="12.75" customHeight="1" x14ac:dyDescent="0.25"/>
    <row r="418" ht="12.75" customHeight="1" x14ac:dyDescent="0.25"/>
    <row r="419" ht="12.75" customHeight="1" x14ac:dyDescent="0.25"/>
    <row r="420" ht="12.75" customHeight="1" x14ac:dyDescent="0.25"/>
    <row r="421" ht="12.75" customHeight="1" x14ac:dyDescent="0.25"/>
    <row r="422" ht="12.75" customHeight="1" x14ac:dyDescent="0.25"/>
    <row r="423" ht="12.75" customHeight="1" x14ac:dyDescent="0.25"/>
    <row r="424" ht="12.75" customHeight="1" x14ac:dyDescent="0.25"/>
    <row r="425" ht="12.75" customHeight="1" x14ac:dyDescent="0.25"/>
    <row r="426" ht="12.75" customHeight="1" x14ac:dyDescent="0.25"/>
    <row r="427" ht="12.75" customHeight="1" x14ac:dyDescent="0.25"/>
    <row r="428" ht="12.75" customHeight="1" x14ac:dyDescent="0.25"/>
    <row r="429" ht="12.75" customHeight="1" x14ac:dyDescent="0.25"/>
    <row r="430" ht="12.75" customHeight="1" x14ac:dyDescent="0.25"/>
    <row r="431" ht="12.75" customHeight="1" x14ac:dyDescent="0.25"/>
    <row r="432" ht="12.75" customHeight="1" x14ac:dyDescent="0.25"/>
    <row r="433" ht="12.75" customHeight="1" x14ac:dyDescent="0.25"/>
    <row r="434" ht="12.75" customHeight="1" x14ac:dyDescent="0.25"/>
    <row r="435" ht="12.75" customHeight="1" x14ac:dyDescent="0.25"/>
    <row r="436" ht="12.75" customHeight="1" x14ac:dyDescent="0.25"/>
    <row r="437" ht="12.75" customHeight="1" x14ac:dyDescent="0.25"/>
    <row r="438" ht="12.75" customHeight="1" x14ac:dyDescent="0.25"/>
    <row r="439" ht="12.75" customHeight="1" x14ac:dyDescent="0.25"/>
    <row r="440" ht="12.75" customHeight="1" x14ac:dyDescent="0.25"/>
    <row r="441" ht="12.75" customHeight="1" x14ac:dyDescent="0.25"/>
    <row r="442" ht="12.75" customHeight="1" x14ac:dyDescent="0.25"/>
    <row r="443" ht="12.75" customHeight="1" x14ac:dyDescent="0.25"/>
    <row r="444" ht="12.75" customHeight="1" x14ac:dyDescent="0.25"/>
    <row r="445" ht="12.75" customHeight="1" x14ac:dyDescent="0.25"/>
    <row r="446" ht="12.75" customHeight="1" x14ac:dyDescent="0.25"/>
    <row r="447" ht="12.75" customHeight="1" x14ac:dyDescent="0.25"/>
    <row r="448" ht="12.75" customHeight="1" x14ac:dyDescent="0.25"/>
    <row r="449" ht="12.75" customHeight="1" x14ac:dyDescent="0.25"/>
    <row r="450" ht="12.75" customHeight="1" x14ac:dyDescent="0.25"/>
    <row r="451" ht="12.75" customHeight="1" x14ac:dyDescent="0.25"/>
    <row r="452" ht="12.75" customHeight="1" x14ac:dyDescent="0.25"/>
    <row r="453" ht="12.75" customHeight="1" x14ac:dyDescent="0.25"/>
    <row r="454" ht="12.75" customHeight="1" x14ac:dyDescent="0.25"/>
    <row r="455" ht="12.75" customHeight="1" x14ac:dyDescent="0.25"/>
    <row r="456" ht="12.75" customHeight="1" x14ac:dyDescent="0.25"/>
    <row r="457" ht="12.75" customHeight="1" x14ac:dyDescent="0.25"/>
    <row r="458" ht="12.75" customHeight="1" x14ac:dyDescent="0.25"/>
    <row r="459" ht="12.75" customHeight="1" x14ac:dyDescent="0.25"/>
    <row r="460" ht="12.75" customHeight="1" x14ac:dyDescent="0.25"/>
    <row r="461" ht="12.75" customHeight="1" x14ac:dyDescent="0.25"/>
    <row r="462" ht="12.75" customHeight="1" x14ac:dyDescent="0.25"/>
    <row r="463" ht="12.75" customHeight="1" x14ac:dyDescent="0.25"/>
    <row r="464" ht="12.75" customHeight="1" x14ac:dyDescent="0.25"/>
    <row r="465" ht="12.75" customHeight="1" x14ac:dyDescent="0.25"/>
    <row r="466" ht="12.75" customHeight="1" x14ac:dyDescent="0.25"/>
    <row r="467" ht="12.75" customHeight="1" x14ac:dyDescent="0.25"/>
    <row r="468" ht="12.75" customHeight="1" x14ac:dyDescent="0.25"/>
    <row r="469" ht="12.75" customHeight="1" x14ac:dyDescent="0.25"/>
    <row r="470" ht="12.75" customHeight="1" x14ac:dyDescent="0.25"/>
    <row r="471" ht="12.75" customHeight="1" x14ac:dyDescent="0.25"/>
    <row r="472" ht="12.75" customHeight="1" x14ac:dyDescent="0.25"/>
    <row r="473" ht="12.75" customHeight="1" x14ac:dyDescent="0.25"/>
    <row r="474" ht="12.75" customHeight="1" x14ac:dyDescent="0.25"/>
    <row r="475" ht="12.75" customHeight="1" x14ac:dyDescent="0.25"/>
    <row r="476" ht="12.75" customHeight="1" x14ac:dyDescent="0.25"/>
    <row r="477" ht="12.75" customHeight="1" x14ac:dyDescent="0.25"/>
    <row r="478" ht="12.75" customHeight="1" x14ac:dyDescent="0.25"/>
    <row r="479" ht="12.75" customHeight="1" x14ac:dyDescent="0.25"/>
    <row r="480" ht="12.75" customHeight="1" x14ac:dyDescent="0.25"/>
    <row r="481" ht="12.75" customHeight="1" x14ac:dyDescent="0.25"/>
    <row r="482" ht="12.75" customHeight="1" x14ac:dyDescent="0.25"/>
    <row r="483" ht="12.75" customHeight="1" x14ac:dyDescent="0.25"/>
    <row r="484" ht="12.75" customHeight="1" x14ac:dyDescent="0.25"/>
    <row r="485" ht="12.75" customHeight="1" x14ac:dyDescent="0.25"/>
    <row r="486" ht="12.75" customHeight="1" x14ac:dyDescent="0.25"/>
    <row r="487" ht="12.75" customHeight="1" x14ac:dyDescent="0.25"/>
    <row r="488" ht="12.75" customHeight="1" x14ac:dyDescent="0.25"/>
    <row r="489" ht="12.75" customHeight="1" x14ac:dyDescent="0.25"/>
    <row r="490" ht="12.75" customHeight="1" x14ac:dyDescent="0.25"/>
    <row r="491" ht="12.75" customHeight="1" x14ac:dyDescent="0.25"/>
    <row r="492" ht="12.75" customHeight="1" x14ac:dyDescent="0.25"/>
    <row r="493" ht="12.75" customHeight="1" x14ac:dyDescent="0.25"/>
    <row r="494" ht="12.75" customHeight="1" x14ac:dyDescent="0.25"/>
    <row r="495" ht="12.75" customHeight="1" x14ac:dyDescent="0.25"/>
    <row r="496" ht="12.75" customHeight="1" x14ac:dyDescent="0.25"/>
    <row r="497" ht="12.75" customHeight="1" x14ac:dyDescent="0.25"/>
    <row r="498" ht="12.75" customHeight="1" x14ac:dyDescent="0.25"/>
    <row r="499" ht="12.75" customHeight="1" x14ac:dyDescent="0.25"/>
    <row r="500" ht="12.75" customHeight="1" x14ac:dyDescent="0.25"/>
    <row r="501" ht="12.75" customHeight="1" x14ac:dyDescent="0.25"/>
    <row r="502" ht="12.75" customHeight="1" x14ac:dyDescent="0.25"/>
    <row r="503" ht="12.75" customHeight="1" x14ac:dyDescent="0.25"/>
    <row r="504" ht="12.75" customHeight="1" x14ac:dyDescent="0.25"/>
    <row r="505" ht="12.75" customHeight="1" x14ac:dyDescent="0.25"/>
    <row r="506" ht="12.75" customHeight="1" x14ac:dyDescent="0.25"/>
    <row r="507" ht="12.75" customHeight="1" x14ac:dyDescent="0.25"/>
    <row r="508" ht="12.75" customHeight="1" x14ac:dyDescent="0.25"/>
    <row r="509" ht="12.75" customHeight="1" x14ac:dyDescent="0.25"/>
    <row r="510" ht="12.75" customHeight="1" x14ac:dyDescent="0.25"/>
    <row r="511" ht="12.75" customHeight="1" x14ac:dyDescent="0.25"/>
    <row r="512" ht="12.75" customHeight="1" x14ac:dyDescent="0.25"/>
    <row r="513" ht="12.75" customHeight="1" x14ac:dyDescent="0.25"/>
    <row r="514" ht="12.75" customHeight="1" x14ac:dyDescent="0.25"/>
    <row r="515" ht="12.75" customHeight="1" x14ac:dyDescent="0.25"/>
    <row r="516" ht="12.75" customHeight="1" x14ac:dyDescent="0.25"/>
    <row r="517" ht="12.75" customHeight="1" x14ac:dyDescent="0.25"/>
    <row r="518" ht="12.75" customHeight="1" x14ac:dyDescent="0.25"/>
    <row r="519" ht="12.75" customHeight="1" x14ac:dyDescent="0.25"/>
    <row r="520" ht="12.75" customHeight="1" x14ac:dyDescent="0.25"/>
    <row r="521" ht="12.75" customHeight="1" x14ac:dyDescent="0.25"/>
    <row r="522" ht="12.75" customHeight="1" x14ac:dyDescent="0.25"/>
    <row r="523" ht="12.75" customHeight="1" x14ac:dyDescent="0.25"/>
    <row r="524" ht="12.75" customHeight="1" x14ac:dyDescent="0.25"/>
    <row r="525" ht="12.75" customHeight="1" x14ac:dyDescent="0.25"/>
    <row r="526" ht="12.75" customHeight="1" x14ac:dyDescent="0.25"/>
    <row r="527" ht="12.75" customHeight="1" x14ac:dyDescent="0.25"/>
    <row r="528" ht="12.75" customHeight="1" x14ac:dyDescent="0.25"/>
    <row r="529" ht="12.75" customHeight="1" x14ac:dyDescent="0.25"/>
    <row r="530" ht="12.75" customHeight="1" x14ac:dyDescent="0.25"/>
    <row r="531" ht="12.75" customHeight="1" x14ac:dyDescent="0.25"/>
    <row r="532" ht="12.75" customHeight="1" x14ac:dyDescent="0.25"/>
    <row r="533" ht="12.75" customHeight="1" x14ac:dyDescent="0.25"/>
    <row r="534" ht="12.75" customHeight="1" x14ac:dyDescent="0.25"/>
    <row r="535" ht="12.75" customHeight="1" x14ac:dyDescent="0.25"/>
    <row r="536" ht="12.75" customHeight="1" x14ac:dyDescent="0.25"/>
    <row r="537" ht="12.75" customHeight="1" x14ac:dyDescent="0.25"/>
    <row r="538" ht="12.75" customHeight="1" x14ac:dyDescent="0.25"/>
    <row r="539" ht="12.75" customHeight="1" x14ac:dyDescent="0.25"/>
    <row r="540" ht="12.75" customHeight="1" x14ac:dyDescent="0.25"/>
    <row r="541" ht="12.75" customHeight="1" x14ac:dyDescent="0.25"/>
    <row r="542" ht="12.75" customHeight="1" x14ac:dyDescent="0.25"/>
    <row r="543" ht="12.75" customHeight="1" x14ac:dyDescent="0.25"/>
    <row r="544" ht="12.75" customHeight="1" x14ac:dyDescent="0.25"/>
    <row r="545" ht="12.75" customHeight="1" x14ac:dyDescent="0.25"/>
    <row r="546" ht="12.75" customHeight="1" x14ac:dyDescent="0.25"/>
    <row r="547" ht="12.75" customHeight="1" x14ac:dyDescent="0.25"/>
    <row r="548" ht="12.75" customHeight="1" x14ac:dyDescent="0.25"/>
    <row r="549" ht="12.75" customHeight="1" x14ac:dyDescent="0.25"/>
    <row r="550" ht="12.75" customHeight="1" x14ac:dyDescent="0.25"/>
    <row r="551" ht="12.75" customHeight="1" x14ac:dyDescent="0.25"/>
    <row r="552" ht="12.75" customHeight="1" x14ac:dyDescent="0.25"/>
    <row r="553" ht="12.75" customHeight="1" x14ac:dyDescent="0.25"/>
    <row r="554" ht="12.75" customHeight="1" x14ac:dyDescent="0.25"/>
    <row r="555" ht="12.75" customHeight="1" x14ac:dyDescent="0.25"/>
    <row r="556" ht="12.75" customHeight="1" x14ac:dyDescent="0.25"/>
    <row r="557" ht="12.75" customHeight="1" x14ac:dyDescent="0.25"/>
    <row r="558" ht="12.75" customHeight="1" x14ac:dyDescent="0.25"/>
    <row r="559" ht="12.75" customHeight="1" x14ac:dyDescent="0.25"/>
    <row r="560" ht="12.75" customHeight="1" x14ac:dyDescent="0.25"/>
    <row r="561" ht="12.75" customHeight="1" x14ac:dyDescent="0.25"/>
    <row r="562" ht="12.75" customHeight="1" x14ac:dyDescent="0.25"/>
    <row r="563" ht="12.75" customHeight="1" x14ac:dyDescent="0.25"/>
    <row r="564" ht="12.75" customHeight="1" x14ac:dyDescent="0.25"/>
    <row r="565" ht="12.75" customHeight="1" x14ac:dyDescent="0.25"/>
    <row r="566" ht="12.75" customHeight="1" x14ac:dyDescent="0.25"/>
    <row r="567" ht="12.75" customHeight="1" x14ac:dyDescent="0.25"/>
    <row r="568" ht="12.75" customHeight="1" x14ac:dyDescent="0.25"/>
    <row r="569" ht="12.75" customHeight="1" x14ac:dyDescent="0.25"/>
    <row r="570" ht="12.75" customHeight="1" x14ac:dyDescent="0.25"/>
    <row r="571" ht="12.75" customHeight="1" x14ac:dyDescent="0.25"/>
    <row r="572" ht="12.75" customHeight="1" x14ac:dyDescent="0.25"/>
    <row r="573" ht="12.75" customHeight="1" x14ac:dyDescent="0.25"/>
    <row r="574" ht="12.75" customHeight="1" x14ac:dyDescent="0.25"/>
    <row r="575" ht="12.75" customHeight="1" x14ac:dyDescent="0.25"/>
    <row r="576" ht="12.75" customHeight="1" x14ac:dyDescent="0.25"/>
    <row r="577" ht="12.75" customHeight="1" x14ac:dyDescent="0.25"/>
    <row r="578" ht="12.75" customHeight="1" x14ac:dyDescent="0.25"/>
    <row r="579" ht="12.75" customHeight="1" x14ac:dyDescent="0.25"/>
    <row r="580" ht="12.75" customHeight="1" x14ac:dyDescent="0.25"/>
    <row r="581" ht="12.75" customHeight="1" x14ac:dyDescent="0.25"/>
    <row r="582" ht="12.75" customHeight="1" x14ac:dyDescent="0.25"/>
    <row r="583" ht="12.75" customHeight="1" x14ac:dyDescent="0.25"/>
    <row r="584" ht="12.75" customHeight="1" x14ac:dyDescent="0.25"/>
    <row r="585" ht="12.75" customHeight="1" x14ac:dyDescent="0.25"/>
    <row r="586" ht="12.75" customHeight="1" x14ac:dyDescent="0.25"/>
    <row r="587" ht="12.75" customHeight="1" x14ac:dyDescent="0.25"/>
    <row r="588" ht="12.75" customHeight="1" x14ac:dyDescent="0.25"/>
    <row r="589" ht="12.75" customHeight="1" x14ac:dyDescent="0.25"/>
    <row r="590" ht="12.75" customHeight="1" x14ac:dyDescent="0.25"/>
    <row r="591" ht="12.75" customHeight="1" x14ac:dyDescent="0.25"/>
    <row r="592" ht="12.75" customHeight="1" x14ac:dyDescent="0.25"/>
    <row r="593" ht="12.75" customHeight="1" x14ac:dyDescent="0.25"/>
    <row r="594" ht="12.75" customHeight="1" x14ac:dyDescent="0.25"/>
    <row r="595" ht="12.75" customHeight="1" x14ac:dyDescent="0.25"/>
    <row r="596" ht="12.75" customHeight="1" x14ac:dyDescent="0.25"/>
    <row r="597" ht="12.75" customHeight="1" x14ac:dyDescent="0.25"/>
    <row r="598" ht="12.75" customHeight="1" x14ac:dyDescent="0.25"/>
    <row r="599" ht="12.75" customHeight="1" x14ac:dyDescent="0.25"/>
    <row r="600" ht="12.75" customHeight="1" x14ac:dyDescent="0.25"/>
    <row r="601" ht="12.75" customHeight="1" x14ac:dyDescent="0.25"/>
    <row r="602" ht="12.75" customHeight="1" x14ac:dyDescent="0.25"/>
    <row r="603" ht="12.75" customHeight="1" x14ac:dyDescent="0.25"/>
    <row r="604" ht="12.75" customHeight="1" x14ac:dyDescent="0.25"/>
    <row r="605" ht="12.75" customHeight="1" x14ac:dyDescent="0.25"/>
    <row r="606" ht="12.75" customHeight="1" x14ac:dyDescent="0.25"/>
    <row r="607" ht="12.75" customHeight="1" x14ac:dyDescent="0.25"/>
    <row r="608" ht="12.75" customHeight="1" x14ac:dyDescent="0.25"/>
    <row r="609" ht="12.75" customHeight="1" x14ac:dyDescent="0.25"/>
    <row r="610" ht="12.75" customHeight="1" x14ac:dyDescent="0.25"/>
    <row r="611" ht="12.75" customHeight="1" x14ac:dyDescent="0.25"/>
    <row r="612" ht="12.75" customHeight="1" x14ac:dyDescent="0.25"/>
    <row r="613" ht="12.75" customHeight="1" x14ac:dyDescent="0.25"/>
    <row r="614" ht="12.75" customHeight="1" x14ac:dyDescent="0.25"/>
    <row r="615" ht="12.75" customHeight="1" x14ac:dyDescent="0.25"/>
    <row r="616" ht="12.75" customHeight="1" x14ac:dyDescent="0.25"/>
    <row r="617" ht="12.75" customHeight="1" x14ac:dyDescent="0.25"/>
    <row r="618" ht="12.75" customHeight="1" x14ac:dyDescent="0.25"/>
    <row r="619" ht="12.75" customHeight="1" x14ac:dyDescent="0.25"/>
    <row r="620" ht="12.75" customHeight="1" x14ac:dyDescent="0.25"/>
    <row r="621" ht="12.75" customHeight="1" x14ac:dyDescent="0.25"/>
    <row r="622" ht="12.75" customHeight="1" x14ac:dyDescent="0.25"/>
    <row r="623" ht="12.75" customHeight="1" x14ac:dyDescent="0.25"/>
    <row r="624" ht="12.75" customHeight="1" x14ac:dyDescent="0.25"/>
    <row r="625" ht="12.75" customHeight="1" x14ac:dyDescent="0.25"/>
    <row r="626" ht="12.75" customHeight="1" x14ac:dyDescent="0.25"/>
    <row r="627" ht="12.75" customHeight="1" x14ac:dyDescent="0.25"/>
    <row r="628" ht="12.75" customHeight="1" x14ac:dyDescent="0.25"/>
    <row r="629" ht="12.75" customHeight="1" x14ac:dyDescent="0.25"/>
    <row r="630" ht="12.75" customHeight="1" x14ac:dyDescent="0.25"/>
    <row r="631" ht="12.75" customHeight="1" x14ac:dyDescent="0.25"/>
    <row r="632" ht="12.75" customHeight="1" x14ac:dyDescent="0.25"/>
    <row r="633" ht="12.75" customHeight="1" x14ac:dyDescent="0.25"/>
    <row r="634" ht="12.75" customHeight="1" x14ac:dyDescent="0.25"/>
    <row r="635" ht="12.75" customHeight="1" x14ac:dyDescent="0.25"/>
    <row r="636" ht="12.75" customHeight="1" x14ac:dyDescent="0.25"/>
    <row r="637" ht="12.75" customHeight="1" x14ac:dyDescent="0.25"/>
    <row r="638" ht="12.75" customHeight="1" x14ac:dyDescent="0.25"/>
    <row r="639" ht="12.75" customHeight="1" x14ac:dyDescent="0.25"/>
    <row r="640" ht="12.75" customHeight="1" x14ac:dyDescent="0.25"/>
    <row r="641" ht="12.75" customHeight="1" x14ac:dyDescent="0.25"/>
    <row r="642" ht="12.75" customHeight="1" x14ac:dyDescent="0.25"/>
    <row r="643" ht="12.75" customHeight="1" x14ac:dyDescent="0.25"/>
    <row r="644" ht="12.75" customHeight="1" x14ac:dyDescent="0.25"/>
    <row r="645" ht="12.75" customHeight="1" x14ac:dyDescent="0.25"/>
    <row r="646" ht="12.75" customHeight="1" x14ac:dyDescent="0.25"/>
    <row r="647" ht="12.75" customHeight="1" x14ac:dyDescent="0.25"/>
    <row r="648" ht="12.75" customHeight="1" x14ac:dyDescent="0.25"/>
    <row r="649" ht="12.75" customHeight="1" x14ac:dyDescent="0.25"/>
    <row r="650" ht="12.75" customHeight="1" x14ac:dyDescent="0.25"/>
    <row r="651" ht="12.75" customHeight="1" x14ac:dyDescent="0.25"/>
    <row r="652" ht="12.75" customHeight="1" x14ac:dyDescent="0.25"/>
    <row r="653" ht="12.75" customHeight="1" x14ac:dyDescent="0.25"/>
    <row r="654" ht="12.75" customHeight="1" x14ac:dyDescent="0.25"/>
    <row r="655" ht="12.75" customHeight="1" x14ac:dyDescent="0.25"/>
    <row r="656" ht="12.75" customHeight="1" x14ac:dyDescent="0.25"/>
    <row r="657" ht="12.75" customHeight="1" x14ac:dyDescent="0.25"/>
    <row r="658" ht="12.75" customHeight="1" x14ac:dyDescent="0.25"/>
    <row r="659" ht="12.75" customHeight="1" x14ac:dyDescent="0.25"/>
    <row r="660" ht="12.75" customHeight="1" x14ac:dyDescent="0.25"/>
    <row r="661" ht="12.75" customHeight="1" x14ac:dyDescent="0.25"/>
    <row r="662" ht="12.75" customHeight="1" x14ac:dyDescent="0.25"/>
    <row r="663" ht="12.75" customHeight="1" x14ac:dyDescent="0.25"/>
    <row r="664" ht="12.75" customHeight="1" x14ac:dyDescent="0.25"/>
    <row r="665" ht="12.75" customHeight="1" x14ac:dyDescent="0.25"/>
    <row r="666" ht="12.75" customHeight="1" x14ac:dyDescent="0.25"/>
    <row r="667" ht="12.75" customHeight="1" x14ac:dyDescent="0.25"/>
    <row r="668" ht="12.75" customHeight="1" x14ac:dyDescent="0.25"/>
    <row r="669" ht="12.75" customHeight="1" x14ac:dyDescent="0.25"/>
  </sheetData>
  <sortState ref="B362:I374">
    <sortCondition ref="C406"/>
  </sortState>
  <mergeCells count="26">
    <mergeCell ref="B218:I218"/>
    <mergeCell ref="B239:I239"/>
    <mergeCell ref="A174:F174"/>
    <mergeCell ref="B341:I341"/>
    <mergeCell ref="B299:I299"/>
    <mergeCell ref="A1:F1"/>
    <mergeCell ref="B4:I4"/>
    <mergeCell ref="B25:I25"/>
    <mergeCell ref="B47:I47"/>
    <mergeCell ref="B68:I68"/>
    <mergeCell ref="AA21:AM21"/>
    <mergeCell ref="AA35:AM35"/>
    <mergeCell ref="AA6:AM6"/>
    <mergeCell ref="B383:I383"/>
    <mergeCell ref="B279:I279"/>
    <mergeCell ref="B259:I259"/>
    <mergeCell ref="B321:I321"/>
    <mergeCell ref="A380:I380"/>
    <mergeCell ref="B360:I360"/>
    <mergeCell ref="B92:I92"/>
    <mergeCell ref="B113:I113"/>
    <mergeCell ref="B134:I134"/>
    <mergeCell ref="B155:I155"/>
    <mergeCell ref="A89:F89"/>
    <mergeCell ref="B176:I176"/>
    <mergeCell ref="B197:I197"/>
  </mergeCells>
  <pageMargins left="0.7" right="0.7" top="0.75" bottom="0.75" header="0" footer="0"/>
  <pageSetup paperSize="9" orientation="portrait" r:id="rId1"/>
  <ignoredErrors>
    <ignoredError sqref="D106" formula="1"/>
    <ignoredError sqref="C106" formulaRange="1"/>
  </ignoredErrors>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2A3E5D-4BA9-4A1A-B283-DA6811D650D1}">
  <dimension ref="A1:AH93"/>
  <sheetViews>
    <sheetView showGridLines="0" topLeftCell="A34" zoomScale="57" workbookViewId="0">
      <selection activeCell="G48" sqref="G48"/>
    </sheetView>
  </sheetViews>
  <sheetFormatPr defaultRowHeight="13.2" x14ac:dyDescent="0.25"/>
  <cols>
    <col min="2" max="2" width="13.77734375" bestFit="1" customWidth="1"/>
    <col min="3" max="3" width="11.33203125" customWidth="1"/>
    <col min="4" max="12" width="9.6640625" bestFit="1" customWidth="1"/>
    <col min="13" max="13" width="9.44140625" bestFit="1" customWidth="1"/>
    <col min="24" max="24" width="14.33203125" bestFit="1" customWidth="1"/>
    <col min="25" max="25" width="15.88671875" bestFit="1" customWidth="1"/>
  </cols>
  <sheetData>
    <row r="1" spans="2:34" s="2" customFormat="1" x14ac:dyDescent="0.25">
      <c r="X1" s="5"/>
      <c r="Y1" s="5"/>
      <c r="Z1" s="5"/>
      <c r="AA1" s="5"/>
      <c r="AB1" s="5"/>
      <c r="AC1" s="5"/>
      <c r="AD1" s="5"/>
      <c r="AE1" s="5"/>
      <c r="AF1" s="5"/>
      <c r="AG1" s="5"/>
      <c r="AH1" s="5"/>
    </row>
    <row r="2" spans="2:34" s="2" customFormat="1" x14ac:dyDescent="0.25">
      <c r="X2" s="5"/>
      <c r="Y2" s="5"/>
      <c r="Z2" s="5"/>
      <c r="AA2" s="5"/>
      <c r="AB2" s="5"/>
      <c r="AC2" s="5"/>
      <c r="AD2" s="5"/>
      <c r="AE2" s="5"/>
      <c r="AF2" s="5"/>
      <c r="AG2" s="5"/>
      <c r="AH2" s="5"/>
    </row>
    <row r="3" spans="2:34" x14ac:dyDescent="0.25">
      <c r="B3" s="5"/>
      <c r="C3" s="5"/>
      <c r="D3" s="5"/>
      <c r="E3" s="5"/>
      <c r="F3" s="5"/>
      <c r="G3" s="5"/>
      <c r="H3" s="5"/>
      <c r="I3" s="5"/>
      <c r="J3" s="5"/>
      <c r="K3" s="5"/>
      <c r="L3" s="5"/>
      <c r="X3" s="259" t="s">
        <v>284</v>
      </c>
      <c r="Y3" s="259"/>
      <c r="Z3" s="259"/>
      <c r="AA3" s="259"/>
      <c r="AB3" s="259"/>
      <c r="AC3" s="259"/>
      <c r="AD3" s="259"/>
      <c r="AE3" s="259"/>
      <c r="AF3" s="259"/>
      <c r="AG3" s="259"/>
      <c r="AH3" s="259"/>
    </row>
    <row r="4" spans="2:34" x14ac:dyDescent="0.25">
      <c r="B4" s="258" t="s">
        <v>111</v>
      </c>
      <c r="C4" s="258"/>
      <c r="D4" s="258"/>
      <c r="E4" s="258"/>
      <c r="F4" s="258"/>
      <c r="G4" s="258"/>
      <c r="H4" s="258"/>
      <c r="I4" s="258"/>
      <c r="J4" s="258"/>
      <c r="K4" s="258"/>
      <c r="L4" s="258"/>
      <c r="M4" s="2"/>
      <c r="X4" s="157" t="s">
        <v>52</v>
      </c>
      <c r="Y4" s="157" t="s">
        <v>47</v>
      </c>
      <c r="Z4" s="158">
        <v>2010</v>
      </c>
      <c r="AA4" s="158">
        <v>2011</v>
      </c>
      <c r="AB4" s="158">
        <v>2012</v>
      </c>
      <c r="AC4" s="158">
        <v>2013</v>
      </c>
      <c r="AD4" s="158">
        <v>2014</v>
      </c>
      <c r="AE4" s="158">
        <v>2015</v>
      </c>
      <c r="AF4" s="158">
        <v>2016</v>
      </c>
      <c r="AG4" s="163">
        <v>2017</v>
      </c>
      <c r="AH4" s="158">
        <v>2018</v>
      </c>
    </row>
    <row r="5" spans="2:34" x14ac:dyDescent="0.25">
      <c r="B5" s="151" t="s">
        <v>52</v>
      </c>
      <c r="C5" s="151" t="s">
        <v>143</v>
      </c>
      <c r="D5" s="151">
        <v>2010</v>
      </c>
      <c r="E5" s="151">
        <v>2011</v>
      </c>
      <c r="F5" s="151">
        <v>2012</v>
      </c>
      <c r="G5" s="151">
        <v>2013</v>
      </c>
      <c r="H5" s="151">
        <v>2014</v>
      </c>
      <c r="I5" s="151">
        <v>2015</v>
      </c>
      <c r="J5" s="151">
        <v>2016</v>
      </c>
      <c r="K5" s="151">
        <v>2017</v>
      </c>
      <c r="L5" s="151">
        <v>2018</v>
      </c>
      <c r="M5" s="2"/>
      <c r="X5" s="156" t="s">
        <v>1</v>
      </c>
      <c r="Y5" s="14">
        <v>13199.085501550475</v>
      </c>
      <c r="Z5" s="161">
        <v>1.2332552620142447</v>
      </c>
      <c r="AA5" s="161">
        <v>1.2659744256775787</v>
      </c>
      <c r="AB5" s="161">
        <v>0.7693067514792219</v>
      </c>
      <c r="AC5" s="161">
        <v>2.8482081257467033</v>
      </c>
      <c r="AD5" s="161">
        <v>1.522812179266253</v>
      </c>
      <c r="AE5" s="161">
        <v>4.0079665040383814</v>
      </c>
      <c r="AF5" s="161">
        <v>3.7154038785419865</v>
      </c>
      <c r="AG5" s="161">
        <v>1.9832072109514134</v>
      </c>
      <c r="AH5" s="161">
        <v>7.1530660073489152</v>
      </c>
    </row>
    <row r="6" spans="2:34" x14ac:dyDescent="0.25">
      <c r="B6" s="18" t="s">
        <v>1</v>
      </c>
      <c r="C6" s="129">
        <v>3.1200000000000002E-2</v>
      </c>
      <c r="D6" s="130">
        <v>4.5376418747929925</v>
      </c>
      <c r="E6" s="130">
        <v>4.6792163012865338</v>
      </c>
      <c r="F6" s="130">
        <v>4.8252078498866728</v>
      </c>
      <c r="G6" s="130">
        <v>4.9757543348031366</v>
      </c>
      <c r="H6" s="130">
        <v>5.1309978700489935</v>
      </c>
      <c r="I6" s="130">
        <v>5.2910850035945218</v>
      </c>
      <c r="J6" s="130">
        <v>5.4561668557066705</v>
      </c>
      <c r="K6" s="130">
        <v>5.6263992616047176</v>
      </c>
      <c r="L6" s="130">
        <v>5.8019429185667839</v>
      </c>
      <c r="M6" s="2"/>
      <c r="X6" s="156" t="s">
        <v>195</v>
      </c>
      <c r="Y6" s="14">
        <v>20450.034940117202</v>
      </c>
      <c r="Z6" s="161">
        <v>2.4187231998381997</v>
      </c>
      <c r="AA6" s="161">
        <v>3.8418556888470429E-2</v>
      </c>
      <c r="AB6" s="161">
        <v>2.4789683273851866</v>
      </c>
      <c r="AC6" s="161">
        <v>4.4267135247947871E-3</v>
      </c>
      <c r="AD6" s="161">
        <v>0</v>
      </c>
      <c r="AE6" s="161">
        <v>0.55883956504878174</v>
      </c>
      <c r="AF6" s="161">
        <v>0</v>
      </c>
      <c r="AG6" s="161">
        <v>0</v>
      </c>
      <c r="AH6" s="161">
        <v>1.3224981196287995</v>
      </c>
    </row>
    <row r="7" spans="2:34" x14ac:dyDescent="0.25">
      <c r="B7" s="18" t="s">
        <v>195</v>
      </c>
      <c r="C7" s="129">
        <v>3.1899999999999998E-2</v>
      </c>
      <c r="D7" s="130">
        <v>2.8309348591687482</v>
      </c>
      <c r="E7" s="130">
        <v>2.9212416811762312</v>
      </c>
      <c r="F7" s="130">
        <v>3.0144292908057531</v>
      </c>
      <c r="G7" s="130">
        <v>3.1105895851824568</v>
      </c>
      <c r="H7" s="130">
        <v>3.2098173929497773</v>
      </c>
      <c r="I7" s="130">
        <v>3.3122105677848754</v>
      </c>
      <c r="J7" s="130">
        <v>3.417870084897213</v>
      </c>
      <c r="K7" s="130">
        <v>3.5269001406054343</v>
      </c>
      <c r="L7" s="130">
        <v>3.6394082550907476</v>
      </c>
      <c r="M7" s="2"/>
      <c r="X7" s="156" t="s">
        <v>2</v>
      </c>
      <c r="Y7" s="14">
        <v>251430.37783690859</v>
      </c>
      <c r="Z7" s="161">
        <v>56.5</v>
      </c>
      <c r="AA7" s="161">
        <v>56.5</v>
      </c>
      <c r="AB7" s="161">
        <v>56.5</v>
      </c>
      <c r="AC7" s="161">
        <v>56.5</v>
      </c>
      <c r="AD7" s="161">
        <v>56.5</v>
      </c>
      <c r="AE7" s="161">
        <v>56.5</v>
      </c>
      <c r="AF7" s="161">
        <v>56.5</v>
      </c>
      <c r="AG7" s="161">
        <v>56.5</v>
      </c>
      <c r="AH7" s="161">
        <v>56.5</v>
      </c>
    </row>
    <row r="8" spans="2:34" x14ac:dyDescent="0.25">
      <c r="B8" s="18" t="s">
        <v>2</v>
      </c>
      <c r="C8" s="129">
        <v>1.9400000000000001E-2</v>
      </c>
      <c r="D8" s="130">
        <v>69.271813069261029</v>
      </c>
      <c r="E8" s="130">
        <v>70.615686242804699</v>
      </c>
      <c r="F8" s="130">
        <v>71.985630555915122</v>
      </c>
      <c r="G8" s="130">
        <v>73.382151788699886</v>
      </c>
      <c r="H8" s="130">
        <v>74.805765533400674</v>
      </c>
      <c r="I8" s="130">
        <v>76.256997384748658</v>
      </c>
      <c r="J8" s="130">
        <v>77.736383134012783</v>
      </c>
      <c r="K8" s="130">
        <v>79.244468966812633</v>
      </c>
      <c r="L8" s="130">
        <v>80.78181166476881</v>
      </c>
      <c r="M8" s="2"/>
      <c r="X8" s="156" t="s">
        <v>3</v>
      </c>
      <c r="Y8" s="14">
        <v>24496.645034227455</v>
      </c>
      <c r="Z8" s="161">
        <v>3.502514612375089</v>
      </c>
      <c r="AA8" s="161">
        <v>0</v>
      </c>
      <c r="AB8" s="161">
        <v>2.9981638556920855</v>
      </c>
      <c r="AC8" s="161">
        <v>0.45743447564730311</v>
      </c>
      <c r="AD8" s="161">
        <v>2.4776537634861127</v>
      </c>
      <c r="AE8" s="161">
        <v>0.64927869200379018</v>
      </c>
      <c r="AF8" s="161">
        <v>1.7243620509396349</v>
      </c>
      <c r="AG8" s="161">
        <v>3.2750912718752518</v>
      </c>
      <c r="AH8" s="161">
        <v>1.9103503028842752</v>
      </c>
    </row>
    <row r="9" spans="2:34" x14ac:dyDescent="0.25">
      <c r="B9" s="18" t="s">
        <v>3</v>
      </c>
      <c r="C9" s="129">
        <v>1.41E-2</v>
      </c>
      <c r="D9" s="130">
        <v>1.1215507094546049</v>
      </c>
      <c r="E9" s="130">
        <v>1.1373645744579148</v>
      </c>
      <c r="F9" s="130">
        <v>1.1534014149577714</v>
      </c>
      <c r="G9" s="130">
        <v>1.1696643749086759</v>
      </c>
      <c r="H9" s="130">
        <v>1.1861566425948882</v>
      </c>
      <c r="I9" s="130">
        <v>1.2028814512554762</v>
      </c>
      <c r="J9" s="130">
        <v>1.2198420797181784</v>
      </c>
      <c r="K9" s="130">
        <v>1.2370418530422047</v>
      </c>
      <c r="L9" s="130">
        <v>1.2544841431700997</v>
      </c>
      <c r="M9" s="2"/>
      <c r="X9" s="156" t="s">
        <v>4</v>
      </c>
      <c r="Y9" s="14">
        <v>363314.38569269452</v>
      </c>
      <c r="Z9" s="161">
        <v>103.97256102695296</v>
      </c>
      <c r="AA9" s="161">
        <v>64.093575287693014</v>
      </c>
      <c r="AB9" s="161">
        <v>108.47973776175608</v>
      </c>
      <c r="AC9" s="161">
        <v>92.838566818258556</v>
      </c>
      <c r="AD9" s="161">
        <v>107.82811573630022</v>
      </c>
      <c r="AE9" s="161">
        <v>59.803140686266872</v>
      </c>
      <c r="AF9" s="161">
        <v>99.250775937174438</v>
      </c>
      <c r="AG9" s="161">
        <v>131.03557864571476</v>
      </c>
      <c r="AH9" s="161">
        <v>77.313145320001027</v>
      </c>
    </row>
    <row r="10" spans="2:34" x14ac:dyDescent="0.25">
      <c r="B10" s="18" t="s">
        <v>4</v>
      </c>
      <c r="C10" s="129">
        <v>2.75E-2</v>
      </c>
      <c r="D10" s="130">
        <v>29.910739995094342</v>
      </c>
      <c r="E10" s="130">
        <v>30.733285344959441</v>
      </c>
      <c r="F10" s="130">
        <v>31.578450691945829</v>
      </c>
      <c r="G10" s="130">
        <v>32.446858085974341</v>
      </c>
      <c r="H10" s="130">
        <v>33.33914668333864</v>
      </c>
      <c r="I10" s="130">
        <v>34.255973217130453</v>
      </c>
      <c r="J10" s="130">
        <v>35.198012480601541</v>
      </c>
      <c r="K10" s="130">
        <v>36.16595782381809</v>
      </c>
      <c r="L10" s="130">
        <v>37.160521663973093</v>
      </c>
      <c r="M10" s="2"/>
      <c r="X10" s="156" t="s">
        <v>5</v>
      </c>
      <c r="Y10" s="14">
        <v>49475.746319971244</v>
      </c>
      <c r="Z10" s="161">
        <v>17.520230893648204</v>
      </c>
      <c r="AA10" s="161">
        <v>16.824037840124145</v>
      </c>
      <c r="AB10" s="161">
        <v>25.321354259396958</v>
      </c>
      <c r="AC10" s="161">
        <v>15.369887542025644</v>
      </c>
      <c r="AD10" s="161">
        <v>13.574455320634533</v>
      </c>
      <c r="AE10" s="161">
        <v>21.776001224106345</v>
      </c>
      <c r="AF10" s="161">
        <v>9.6132768537202793</v>
      </c>
      <c r="AG10" s="161">
        <v>16.052819884560293</v>
      </c>
      <c r="AH10" s="161">
        <v>27.678981965070257</v>
      </c>
    </row>
    <row r="11" spans="2:34" x14ac:dyDescent="0.25">
      <c r="B11" s="18" t="s">
        <v>5</v>
      </c>
      <c r="C11" s="129">
        <v>2.2799999999999997E-2</v>
      </c>
      <c r="D11" s="130">
        <v>15.757944722787245</v>
      </c>
      <c r="E11" s="130">
        <v>16.117225862466793</v>
      </c>
      <c r="F11" s="130">
        <v>16.484698612131034</v>
      </c>
      <c r="G11" s="130">
        <v>16.86054974048762</v>
      </c>
      <c r="H11" s="130">
        <v>17.244970274570736</v>
      </c>
      <c r="I11" s="130">
        <v>17.638155596830948</v>
      </c>
      <c r="J11" s="130">
        <v>18.040305544438691</v>
      </c>
      <c r="K11" s="130">
        <v>18.451624510851893</v>
      </c>
      <c r="L11" s="130">
        <v>18.872321549699315</v>
      </c>
      <c r="M11" s="2"/>
      <c r="X11" s="156" t="s">
        <v>6</v>
      </c>
      <c r="Y11" s="14">
        <v>20836.189535136225</v>
      </c>
      <c r="Z11" s="161">
        <v>7.3584735717562477</v>
      </c>
      <c r="AA11" s="161">
        <v>7.6439418147629619</v>
      </c>
      <c r="AB11" s="161">
        <v>7.3310475475487973</v>
      </c>
      <c r="AC11" s="161">
        <v>5.7083911264401186</v>
      </c>
      <c r="AD11" s="161">
        <v>4.077002875061857</v>
      </c>
      <c r="AE11" s="161">
        <v>5.8728694745348005</v>
      </c>
      <c r="AF11" s="161">
        <v>7.1379012070421028</v>
      </c>
      <c r="AG11" s="161">
        <v>5.3386391808328861</v>
      </c>
      <c r="AH11" s="161">
        <v>11.97256923586497</v>
      </c>
    </row>
    <row r="12" spans="2:34" x14ac:dyDescent="0.25">
      <c r="B12" s="18" t="s">
        <v>6</v>
      </c>
      <c r="C12" s="129">
        <v>2.58E-2</v>
      </c>
      <c r="D12" s="130">
        <v>8.8569452121066199</v>
      </c>
      <c r="E12" s="130">
        <v>9.0854543985789711</v>
      </c>
      <c r="F12" s="130">
        <v>9.3198591220623097</v>
      </c>
      <c r="G12" s="130">
        <v>9.5603114874115178</v>
      </c>
      <c r="H12" s="130">
        <v>9.8069675237867351</v>
      </c>
      <c r="I12" s="130">
        <v>10.059987285900434</v>
      </c>
      <c r="J12" s="130">
        <v>10.319534957876666</v>
      </c>
      <c r="K12" s="130">
        <v>10.585778959789884</v>
      </c>
      <c r="L12" s="130">
        <v>10.858892056952463</v>
      </c>
      <c r="M12" s="2"/>
      <c r="X12" s="156" t="s">
        <v>7</v>
      </c>
      <c r="Y12" s="14">
        <v>1339764.2833351614</v>
      </c>
      <c r="Z12" s="161">
        <v>33.799999999999997</v>
      </c>
      <c r="AA12" s="161">
        <v>33.799999999999997</v>
      </c>
      <c r="AB12" s="161">
        <v>33.799999999999997</v>
      </c>
      <c r="AC12" s="161">
        <v>33.799999999999997</v>
      </c>
      <c r="AD12" s="161">
        <v>33.799999999999997</v>
      </c>
      <c r="AE12" s="161">
        <v>33.799999999999997</v>
      </c>
      <c r="AF12" s="161">
        <v>33.799999999999997</v>
      </c>
      <c r="AG12" s="161">
        <v>33.799999999999997</v>
      </c>
      <c r="AH12" s="161">
        <v>33.799999999999997</v>
      </c>
    </row>
    <row r="13" spans="2:34" x14ac:dyDescent="0.25">
      <c r="B13" s="18" t="s">
        <v>7</v>
      </c>
      <c r="C13" s="129">
        <v>2.4199999999999999E-2</v>
      </c>
      <c r="D13" s="130">
        <v>29.117384905391187</v>
      </c>
      <c r="E13" s="130">
        <v>29.822025620101655</v>
      </c>
      <c r="F13" s="130">
        <v>30.543718640108114</v>
      </c>
      <c r="G13" s="130">
        <v>31.282876631198732</v>
      </c>
      <c r="H13" s="130">
        <v>32.039922245673743</v>
      </c>
      <c r="I13" s="130">
        <v>32.815288364019047</v>
      </c>
      <c r="J13" s="130">
        <v>33.609418342428306</v>
      </c>
      <c r="K13" s="130">
        <v>34.422766266315072</v>
      </c>
      <c r="L13" s="130">
        <v>35.255797209959894</v>
      </c>
      <c r="M13" s="2"/>
      <c r="X13" s="156" t="s">
        <v>8</v>
      </c>
      <c r="Y13" s="14">
        <v>617141.72101696266</v>
      </c>
      <c r="Z13" s="161">
        <v>23.5</v>
      </c>
      <c r="AA13" s="161">
        <v>23.5</v>
      </c>
      <c r="AB13" s="161">
        <v>23.5</v>
      </c>
      <c r="AC13" s="161">
        <v>23.5</v>
      </c>
      <c r="AD13" s="161">
        <v>23.5</v>
      </c>
      <c r="AE13" s="161">
        <v>23.5</v>
      </c>
      <c r="AF13" s="161">
        <v>23.5</v>
      </c>
      <c r="AG13" s="161">
        <v>23.5</v>
      </c>
      <c r="AH13" s="161">
        <v>23.5</v>
      </c>
    </row>
    <row r="14" spans="2:34" x14ac:dyDescent="0.25">
      <c r="B14" s="18" t="s">
        <v>8</v>
      </c>
      <c r="C14" s="129">
        <v>1.1899999999999999E-2</v>
      </c>
      <c r="D14" s="130">
        <v>9.6890374893495448</v>
      </c>
      <c r="E14" s="130">
        <v>9.8043370354728054</v>
      </c>
      <c r="F14" s="130">
        <v>9.9210086461949327</v>
      </c>
      <c r="G14" s="130">
        <v>10.039068649084653</v>
      </c>
      <c r="H14" s="130">
        <v>10.15853356600876</v>
      </c>
      <c r="I14" s="130">
        <v>10.279420115444264</v>
      </c>
      <c r="J14" s="130">
        <v>10.401745214818051</v>
      </c>
      <c r="K14" s="130">
        <v>10.525525982874386</v>
      </c>
      <c r="L14" s="130">
        <v>10.650779742070592</v>
      </c>
      <c r="M14" s="2"/>
      <c r="X14" s="156" t="s">
        <v>9</v>
      </c>
      <c r="Y14" s="14">
        <v>119784.51078433092</v>
      </c>
      <c r="Z14" s="161">
        <v>23.742632694444477</v>
      </c>
      <c r="AA14" s="161">
        <v>41.495772011888072</v>
      </c>
      <c r="AB14" s="161">
        <v>26.214891117774812</v>
      </c>
      <c r="AC14" s="161">
        <v>24.613443607903758</v>
      </c>
      <c r="AD14" s="161">
        <v>15.372343482549196</v>
      </c>
      <c r="AE14" s="161">
        <v>44.942843609111705</v>
      </c>
      <c r="AF14" s="161">
        <v>19.922849793244371</v>
      </c>
      <c r="AG14" s="161">
        <v>27.835036451662162</v>
      </c>
      <c r="AH14" s="161">
        <v>58.968413233176513</v>
      </c>
    </row>
    <row r="15" spans="2:34" x14ac:dyDescent="0.25">
      <c r="B15" s="18" t="s">
        <v>9</v>
      </c>
      <c r="C15" s="129">
        <v>2.98E-2</v>
      </c>
      <c r="D15" s="130">
        <v>8.9436766609828364</v>
      </c>
      <c r="E15" s="130">
        <v>9.2101982254801253</v>
      </c>
      <c r="F15" s="130">
        <v>9.4846621325994338</v>
      </c>
      <c r="G15" s="130">
        <v>9.7673050641508965</v>
      </c>
      <c r="H15" s="130">
        <v>10.058370755062594</v>
      </c>
      <c r="I15" s="130">
        <v>10.358110203563459</v>
      </c>
      <c r="J15" s="130">
        <v>10.66678188762965</v>
      </c>
      <c r="K15" s="130">
        <v>10.984651987881014</v>
      </c>
      <c r="L15" s="130">
        <v>11.311994617119868</v>
      </c>
      <c r="M15" s="2"/>
      <c r="X15" s="159" t="s">
        <v>10</v>
      </c>
      <c r="Y15" s="160">
        <v>237021.44592026682</v>
      </c>
      <c r="Z15" s="162">
        <v>21.1</v>
      </c>
      <c r="AA15" s="162">
        <v>44.910297901754674</v>
      </c>
      <c r="AB15" s="162">
        <v>69.122346099497079</v>
      </c>
      <c r="AC15" s="162">
        <v>21.1</v>
      </c>
      <c r="AD15" s="162">
        <v>38.927918102531734</v>
      </c>
      <c r="AE15" s="162">
        <v>71.865197112775462</v>
      </c>
      <c r="AF15" s="162">
        <v>21.1</v>
      </c>
      <c r="AG15" s="162">
        <v>43.351590870161743</v>
      </c>
      <c r="AH15" s="162">
        <v>82.177225932354276</v>
      </c>
    </row>
    <row r="16" spans="2:34" x14ac:dyDescent="0.25">
      <c r="B16" s="155" t="s">
        <v>10</v>
      </c>
      <c r="C16" s="153">
        <v>3.32E-2</v>
      </c>
      <c r="D16" s="154">
        <v>30.238653792381729</v>
      </c>
      <c r="E16" s="154">
        <v>31.242577098288798</v>
      </c>
      <c r="F16" s="154">
        <v>32.279830657951983</v>
      </c>
      <c r="G16" s="154">
        <v>33.351521035795983</v>
      </c>
      <c r="H16" s="154">
        <v>34.458791534184407</v>
      </c>
      <c r="I16" s="154">
        <v>35.602823413119324</v>
      </c>
      <c r="J16" s="154">
        <v>36.784837150434882</v>
      </c>
      <c r="K16" s="154">
        <v>38.006093743829318</v>
      </c>
      <c r="L16" s="154">
        <v>39.267896056124449</v>
      </c>
      <c r="M16" s="2"/>
      <c r="X16" s="182" t="s">
        <v>186</v>
      </c>
      <c r="Y16" s="180"/>
      <c r="Z16" s="181">
        <f>SUM(Z5:Z15)</f>
        <v>294.64839126102942</v>
      </c>
      <c r="AA16" s="181">
        <f t="shared" ref="AA16:AG16" si="0">SUM(AA5:AA15)</f>
        <v>290.0720178387889</v>
      </c>
      <c r="AB16" s="181">
        <f t="shared" si="0"/>
        <v>356.51581572053021</v>
      </c>
      <c r="AC16" s="181">
        <f t="shared" si="0"/>
        <v>276.74035840954684</v>
      </c>
      <c r="AD16" s="181">
        <f t="shared" si="0"/>
        <v>297.58030145982991</v>
      </c>
      <c r="AE16" s="181">
        <f t="shared" si="0"/>
        <v>323.27613686788618</v>
      </c>
      <c r="AF16" s="181">
        <f t="shared" si="0"/>
        <v>276.26456972066285</v>
      </c>
      <c r="AG16" s="181">
        <f t="shared" si="0"/>
        <v>342.67196351575853</v>
      </c>
      <c r="AH16" s="181">
        <f>SUM(AH5:AH15)</f>
        <v>382.29625011632902</v>
      </c>
    </row>
    <row r="17" spans="2:12" x14ac:dyDescent="0.25">
      <c r="B17" s="152" t="s">
        <v>12</v>
      </c>
      <c r="C17" s="152"/>
      <c r="D17" s="154">
        <v>210.2763232907709</v>
      </c>
      <c r="E17" s="154">
        <v>215.36861238507396</v>
      </c>
      <c r="F17" s="154">
        <v>220.59089761455894</v>
      </c>
      <c r="G17" s="154">
        <v>225.94665077769793</v>
      </c>
      <c r="H17" s="154">
        <v>231.43944002161996</v>
      </c>
      <c r="I17" s="154">
        <v>237.07293260339145</v>
      </c>
      <c r="J17" s="154">
        <v>242.85089773256266</v>
      </c>
      <c r="K17" s="154">
        <v>248.77720949742468</v>
      </c>
      <c r="L17" s="154">
        <v>254.85584987749613</v>
      </c>
    </row>
    <row r="20" spans="2:12" x14ac:dyDescent="0.25">
      <c r="B20" s="258" t="s">
        <v>285</v>
      </c>
      <c r="C20" s="258"/>
      <c r="D20" s="258"/>
      <c r="E20" s="258"/>
      <c r="F20" s="258"/>
      <c r="G20" s="258"/>
      <c r="H20" s="258"/>
      <c r="I20" s="258"/>
      <c r="J20" s="258"/>
      <c r="K20" s="258"/>
    </row>
    <row r="21" spans="2:12" x14ac:dyDescent="0.25">
      <c r="B21" s="157" t="s">
        <v>52</v>
      </c>
      <c r="C21" s="158">
        <v>2010</v>
      </c>
      <c r="D21" s="158">
        <v>2011</v>
      </c>
      <c r="E21" s="158">
        <v>2012</v>
      </c>
      <c r="F21" s="158">
        <v>2013</v>
      </c>
      <c r="G21" s="158">
        <v>2014</v>
      </c>
      <c r="H21" s="158">
        <v>2015</v>
      </c>
      <c r="I21" s="158">
        <v>2016</v>
      </c>
      <c r="J21" s="163">
        <v>2017</v>
      </c>
      <c r="K21" s="158">
        <v>2018</v>
      </c>
      <c r="L21" s="5"/>
    </row>
    <row r="22" spans="2:12" x14ac:dyDescent="0.25">
      <c r="B22" s="156" t="s">
        <v>1</v>
      </c>
      <c r="C22" s="130">
        <f t="shared" ref="C22:C32" si="1">Z5/D6</f>
        <v>0.27178329538633011</v>
      </c>
      <c r="D22" s="130">
        <f t="shared" ref="D22:D32" si="2">AA5/E6</f>
        <v>0.27055266184841753</v>
      </c>
      <c r="E22" s="130">
        <f t="shared" ref="E22:E32" si="3">AB5/F6</f>
        <v>0.1594349456878402</v>
      </c>
      <c r="F22" s="130">
        <f t="shared" ref="F22:F32" si="4">AC5/G6</f>
        <v>0.57241735304831753</v>
      </c>
      <c r="G22" s="130">
        <f t="shared" ref="G22:G32" si="5">AD5/H6</f>
        <v>0.29678674944601224</v>
      </c>
      <c r="H22" s="130">
        <f t="shared" ref="H22:H32" si="6">AE5/I6</f>
        <v>0.75749425709765605</v>
      </c>
      <c r="I22" s="130">
        <f t="shared" ref="I22:I32" si="7">AF5/J6</f>
        <v>0.68095495918641147</v>
      </c>
      <c r="J22" s="130">
        <f t="shared" ref="J22:J32" si="8">AG5/K6</f>
        <v>0.35248248813145522</v>
      </c>
      <c r="K22" s="130">
        <f t="shared" ref="K22:K32" si="9">AH5/L6</f>
        <v>1.2328742470834047</v>
      </c>
    </row>
    <row r="23" spans="2:12" x14ac:dyDescent="0.25">
      <c r="B23" s="156" t="s">
        <v>195</v>
      </c>
      <c r="C23" s="130">
        <f t="shared" si="1"/>
        <v>0.85439027040997095</v>
      </c>
      <c r="D23" s="130">
        <f t="shared" si="2"/>
        <v>1.3151447597105792E-2</v>
      </c>
      <c r="E23" s="130">
        <f t="shared" si="3"/>
        <v>0.8223673830884789</v>
      </c>
      <c r="F23" s="130">
        <f t="shared" si="4"/>
        <v>1.4231107652008456E-3</v>
      </c>
      <c r="G23" s="130">
        <f t="shared" si="5"/>
        <v>0</v>
      </c>
      <c r="H23" s="130">
        <f t="shared" si="6"/>
        <v>0.16872102591669461</v>
      </c>
      <c r="I23" s="130">
        <f t="shared" si="7"/>
        <v>0</v>
      </c>
      <c r="J23" s="130">
        <f t="shared" si="8"/>
        <v>0</v>
      </c>
      <c r="K23" s="130">
        <f t="shared" si="9"/>
        <v>0.36338273338224963</v>
      </c>
    </row>
    <row r="24" spans="2:12" x14ac:dyDescent="0.25">
      <c r="B24" s="156" t="s">
        <v>2</v>
      </c>
      <c r="C24" s="130">
        <f t="shared" si="1"/>
        <v>0.81562756187006102</v>
      </c>
      <c r="D24" s="130">
        <f t="shared" si="2"/>
        <v>0.8001055148813625</v>
      </c>
      <c r="E24" s="130">
        <f t="shared" si="3"/>
        <v>0.78487886490225856</v>
      </c>
      <c r="F24" s="130">
        <f t="shared" si="4"/>
        <v>0.76994199029062038</v>
      </c>
      <c r="G24" s="130">
        <f t="shared" si="5"/>
        <v>0.75528937638867988</v>
      </c>
      <c r="H24" s="130">
        <f t="shared" si="6"/>
        <v>0.74091561348703139</v>
      </c>
      <c r="I24" s="130">
        <f t="shared" si="7"/>
        <v>0.72681539482738022</v>
      </c>
      <c r="J24" s="130">
        <f t="shared" si="8"/>
        <v>0.71298351464330012</v>
      </c>
      <c r="K24" s="130">
        <f t="shared" si="9"/>
        <v>0.69941486623827742</v>
      </c>
    </row>
    <row r="25" spans="2:12" x14ac:dyDescent="0.25">
      <c r="B25" s="156" t="s">
        <v>3</v>
      </c>
      <c r="C25" s="130">
        <f t="shared" si="1"/>
        <v>3.1229213114031329</v>
      </c>
      <c r="D25" s="130">
        <f t="shared" si="2"/>
        <v>0</v>
      </c>
      <c r="E25" s="130">
        <f t="shared" si="3"/>
        <v>2.5994105927136002</v>
      </c>
      <c r="F25" s="130">
        <f t="shared" si="4"/>
        <v>0.39108182266645358</v>
      </c>
      <c r="G25" s="130">
        <f t="shared" si="5"/>
        <v>2.0888082353658524</v>
      </c>
      <c r="H25" s="130">
        <f t="shared" si="6"/>
        <v>0.53976947713851808</v>
      </c>
      <c r="I25" s="130">
        <f t="shared" si="7"/>
        <v>1.413594496869641</v>
      </c>
      <c r="J25" s="130">
        <f t="shared" si="8"/>
        <v>2.647518565213423</v>
      </c>
      <c r="K25" s="130">
        <f t="shared" si="9"/>
        <v>1.5228174172507212</v>
      </c>
    </row>
    <row r="26" spans="2:12" x14ac:dyDescent="0.25">
      <c r="B26" s="156" t="s">
        <v>4</v>
      </c>
      <c r="C26" s="130">
        <f t="shared" si="1"/>
        <v>3.4760945748585788</v>
      </c>
      <c r="D26" s="130">
        <f t="shared" si="2"/>
        <v>2.0854775064978526</v>
      </c>
      <c r="E26" s="130">
        <f t="shared" si="3"/>
        <v>3.4352457256373299</v>
      </c>
      <c r="F26" s="130">
        <f t="shared" si="4"/>
        <v>2.8612498187733459</v>
      </c>
      <c r="G26" s="130">
        <f t="shared" si="5"/>
        <v>3.2342794121418743</v>
      </c>
      <c r="H26" s="130">
        <f t="shared" si="6"/>
        <v>1.7457726367079536</v>
      </c>
      <c r="I26" s="130">
        <f t="shared" si="7"/>
        <v>2.8197835315807644</v>
      </c>
      <c r="J26" s="130">
        <f t="shared" si="8"/>
        <v>3.623174568859826</v>
      </c>
      <c r="K26" s="130">
        <f t="shared" si="9"/>
        <v>2.0805182989386197</v>
      </c>
    </row>
    <row r="27" spans="2:12" x14ac:dyDescent="0.25">
      <c r="B27" s="156" t="s">
        <v>5</v>
      </c>
      <c r="C27" s="130">
        <f t="shared" si="1"/>
        <v>1.1118347729899416</v>
      </c>
      <c r="D27" s="130">
        <f t="shared" si="2"/>
        <v>1.0438544439153981</v>
      </c>
      <c r="E27" s="130">
        <f t="shared" si="3"/>
        <v>1.5360519992014328</v>
      </c>
      <c r="F27" s="130">
        <f t="shared" si="4"/>
        <v>0.91158875473185697</v>
      </c>
      <c r="G27" s="130">
        <f t="shared" si="5"/>
        <v>0.78715446327276606</v>
      </c>
      <c r="H27" s="130">
        <f t="shared" si="6"/>
        <v>1.2345962764961005</v>
      </c>
      <c r="I27" s="130">
        <f t="shared" si="7"/>
        <v>0.53287771817610796</v>
      </c>
      <c r="J27" s="130">
        <f t="shared" si="8"/>
        <v>0.86999493595369892</v>
      </c>
      <c r="K27" s="130">
        <f t="shared" si="9"/>
        <v>1.4666442542418028</v>
      </c>
    </row>
    <row r="28" spans="2:12" x14ac:dyDescent="0.25">
      <c r="B28" s="156" t="s">
        <v>6</v>
      </c>
      <c r="C28" s="130">
        <f t="shared" si="1"/>
        <v>0.83081394267832875</v>
      </c>
      <c r="D28" s="130">
        <f t="shared" si="2"/>
        <v>0.84133841626661277</v>
      </c>
      <c r="E28" s="130">
        <f t="shared" si="3"/>
        <v>0.78660497455315337</v>
      </c>
      <c r="F28" s="130">
        <f t="shared" si="4"/>
        <v>0.59709258782588914</v>
      </c>
      <c r="G28" s="130">
        <f t="shared" si="5"/>
        <v>0.41572513268480937</v>
      </c>
      <c r="H28" s="130">
        <f t="shared" si="6"/>
        <v>0.5837849798046878</v>
      </c>
      <c r="I28" s="130">
        <f t="shared" si="7"/>
        <v>0.69168826271516293</v>
      </c>
      <c r="J28" s="130">
        <f t="shared" si="8"/>
        <v>0.50432180769235069</v>
      </c>
      <c r="K28" s="130">
        <f t="shared" si="9"/>
        <v>1.1025590063029929</v>
      </c>
    </row>
    <row r="29" spans="2:12" x14ac:dyDescent="0.25">
      <c r="B29" s="156" t="s">
        <v>7</v>
      </c>
      <c r="C29" s="130">
        <f t="shared" si="1"/>
        <v>1.16081853194659</v>
      </c>
      <c r="D29" s="130">
        <f t="shared" si="2"/>
        <v>1.1333904822755223</v>
      </c>
      <c r="E29" s="130">
        <f t="shared" si="3"/>
        <v>1.1066105079823494</v>
      </c>
      <c r="F29" s="130">
        <f t="shared" si="4"/>
        <v>1.0804632962139713</v>
      </c>
      <c r="G29" s="130">
        <f t="shared" si="5"/>
        <v>1.0549338959324071</v>
      </c>
      <c r="H29" s="130">
        <f t="shared" si="6"/>
        <v>1.0300077093657558</v>
      </c>
      <c r="I29" s="130">
        <f t="shared" si="7"/>
        <v>1.0056704836611559</v>
      </c>
      <c r="J29" s="130">
        <f t="shared" si="8"/>
        <v>0.98190830273496954</v>
      </c>
      <c r="K29" s="130">
        <f t="shared" si="9"/>
        <v>0.95870757931553374</v>
      </c>
    </row>
    <row r="30" spans="2:12" x14ac:dyDescent="0.25">
      <c r="B30" s="156" t="s">
        <v>8</v>
      </c>
      <c r="C30" s="130">
        <f t="shared" si="1"/>
        <v>2.42542151641294</v>
      </c>
      <c r="D30" s="130">
        <f t="shared" si="2"/>
        <v>2.3968984251536121</v>
      </c>
      <c r="E30" s="130">
        <f t="shared" si="3"/>
        <v>2.3687107670260024</v>
      </c>
      <c r="F30" s="130">
        <f t="shared" si="4"/>
        <v>2.3408545973179189</v>
      </c>
      <c r="G30" s="130">
        <f t="shared" si="5"/>
        <v>2.3133260177072033</v>
      </c>
      <c r="H30" s="130">
        <f t="shared" si="6"/>
        <v>2.2861211757161808</v>
      </c>
      <c r="I30" s="130">
        <f t="shared" si="7"/>
        <v>2.2592362641725274</v>
      </c>
      <c r="J30" s="130">
        <f t="shared" si="8"/>
        <v>2.2326675206764777</v>
      </c>
      <c r="K30" s="130">
        <f t="shared" si="9"/>
        <v>2.2064112270742933</v>
      </c>
    </row>
    <row r="31" spans="2:12" x14ac:dyDescent="0.25">
      <c r="B31" s="156" t="s">
        <v>9</v>
      </c>
      <c r="C31" s="130">
        <f t="shared" si="1"/>
        <v>2.6546837049714358</v>
      </c>
      <c r="D31" s="130">
        <f t="shared" si="2"/>
        <v>4.505415735471308</v>
      </c>
      <c r="E31" s="130">
        <f t="shared" si="3"/>
        <v>2.7639246133684017</v>
      </c>
      <c r="F31" s="130">
        <f t="shared" si="4"/>
        <v>2.5199830911643062</v>
      </c>
      <c r="G31" s="130">
        <f t="shared" si="5"/>
        <v>1.5283134671499323</v>
      </c>
      <c r="H31" s="130">
        <f t="shared" si="6"/>
        <v>4.3389037889990973</v>
      </c>
      <c r="I31" s="130">
        <f t="shared" si="7"/>
        <v>1.8677469927784924</v>
      </c>
      <c r="J31" s="130">
        <f t="shared" si="8"/>
        <v>2.5339934740191672</v>
      </c>
      <c r="K31" s="130">
        <f t="shared" si="9"/>
        <v>5.2129102982361903</v>
      </c>
    </row>
    <row r="32" spans="2:12" x14ac:dyDescent="0.25">
      <c r="B32" s="159" t="s">
        <v>10</v>
      </c>
      <c r="C32" s="154">
        <f t="shared" si="1"/>
        <v>0.69778238624220423</v>
      </c>
      <c r="D32" s="154">
        <f t="shared" si="2"/>
        <v>1.4374709794415288</v>
      </c>
      <c r="E32" s="154">
        <f t="shared" si="3"/>
        <v>2.1413478537710087</v>
      </c>
      <c r="F32" s="154">
        <f t="shared" si="4"/>
        <v>0.63265480387996398</v>
      </c>
      <c r="G32" s="154">
        <f t="shared" si="5"/>
        <v>1.1296948142802334</v>
      </c>
      <c r="H32" s="154">
        <f t="shared" si="6"/>
        <v>2.0185252242184188</v>
      </c>
      <c r="I32" s="154">
        <f t="shared" si="7"/>
        <v>0.57360591032956498</v>
      </c>
      <c r="J32" s="154">
        <f t="shared" si="8"/>
        <v>1.1406484223914835</v>
      </c>
      <c r="K32" s="154">
        <f t="shared" si="9"/>
        <v>2.0927331022497557</v>
      </c>
    </row>
    <row r="35" spans="1:23" s="2" customFormat="1" ht="15.6" x14ac:dyDescent="0.25">
      <c r="A35" s="255" t="s">
        <v>220</v>
      </c>
      <c r="B35" s="255"/>
      <c r="C35" s="255"/>
      <c r="D35" s="255"/>
      <c r="E35" s="255"/>
      <c r="F35" s="255"/>
      <c r="G35" s="255"/>
      <c r="H35" s="255"/>
      <c r="I35" s="255"/>
      <c r="J35" s="255"/>
      <c r="K35"/>
      <c r="L35"/>
      <c r="M35"/>
      <c r="N35"/>
      <c r="O35"/>
      <c r="P35"/>
      <c r="Q35"/>
      <c r="R35"/>
      <c r="S35"/>
      <c r="T35"/>
      <c r="U35"/>
      <c r="V35"/>
      <c r="W35"/>
    </row>
    <row r="36" spans="1:23" s="2" customFormat="1" x14ac:dyDescent="0.25">
      <c r="B36" s="230" t="s">
        <v>52</v>
      </c>
      <c r="C36" s="230" t="s">
        <v>267</v>
      </c>
      <c r="D36"/>
      <c r="E36"/>
      <c r="F36"/>
      <c r="G36"/>
      <c r="H36"/>
      <c r="I36"/>
      <c r="J36"/>
      <c r="K36"/>
      <c r="L36"/>
      <c r="M36"/>
      <c r="N36"/>
      <c r="O36"/>
      <c r="P36"/>
      <c r="Q36"/>
      <c r="R36"/>
      <c r="S36"/>
      <c r="T36"/>
      <c r="U36"/>
      <c r="V36"/>
      <c r="W36"/>
    </row>
    <row r="37" spans="1:23" s="2" customFormat="1" x14ac:dyDescent="0.25">
      <c r="B37" s="152"/>
      <c r="C37" s="232" t="s">
        <v>286</v>
      </c>
      <c r="D37" s="3"/>
      <c r="E37"/>
      <c r="F37"/>
      <c r="G37"/>
      <c r="H37"/>
      <c r="I37"/>
      <c r="J37"/>
      <c r="K37"/>
      <c r="L37"/>
      <c r="M37"/>
      <c r="N37"/>
      <c r="O37"/>
      <c r="P37"/>
      <c r="Q37"/>
      <c r="R37"/>
      <c r="S37"/>
      <c r="T37"/>
      <c r="U37"/>
      <c r="V37"/>
      <c r="W37"/>
    </row>
    <row r="38" spans="1:23" x14ac:dyDescent="0.25">
      <c r="B38" s="156" t="s">
        <v>1</v>
      </c>
      <c r="C38" s="17">
        <f>Annual_sorted!Z22/Annual_sorted!G5</f>
        <v>5.6331081912227363</v>
      </c>
    </row>
    <row r="39" spans="1:23" x14ac:dyDescent="0.25">
      <c r="B39" s="156" t="s">
        <v>195</v>
      </c>
      <c r="C39" s="17">
        <f>Annual_sorted!Z23/Annual_sorted!G6</f>
        <v>8.9681187901110029</v>
      </c>
    </row>
    <row r="40" spans="1:23" x14ac:dyDescent="0.25">
      <c r="B40" s="156" t="s">
        <v>2</v>
      </c>
      <c r="C40" s="17">
        <f>Annual_sorted!Z24/Annual_sorted!G7</f>
        <v>0.41400397002656902</v>
      </c>
    </row>
    <row r="41" spans="1:23" x14ac:dyDescent="0.25">
      <c r="B41" s="156" t="s">
        <v>3</v>
      </c>
      <c r="C41" s="17">
        <f>Annual_sorted!Z25/Annual_sorted!G8</f>
        <v>26.938946722395695</v>
      </c>
    </row>
    <row r="42" spans="1:23" x14ac:dyDescent="0.25">
      <c r="B42" s="156" t="s">
        <v>4</v>
      </c>
      <c r="C42" s="17">
        <f>Annual_sorted!Z26/Annual_sorted!G9</f>
        <v>0.88585346819965383</v>
      </c>
    </row>
    <row r="43" spans="1:23" x14ac:dyDescent="0.25">
      <c r="B43" s="156" t="s">
        <v>5</v>
      </c>
      <c r="C43" s="17">
        <f>Annual_sorted!Z27/Annual_sorted!G10</f>
        <v>1.760356331832353</v>
      </c>
    </row>
    <row r="44" spans="1:23" x14ac:dyDescent="0.25">
      <c r="B44" s="156" t="s">
        <v>6</v>
      </c>
      <c r="C44" s="17">
        <f>Annual_sorted!Z28/Annual_sorted!G11</f>
        <v>3.0415604158067016</v>
      </c>
    </row>
    <row r="45" spans="1:23" x14ac:dyDescent="0.25">
      <c r="B45" s="156" t="s">
        <v>7</v>
      </c>
      <c r="C45" s="17">
        <f>Annual_sorted!Z29/Annual_sorted!G12</f>
        <v>0.93973904254285368</v>
      </c>
    </row>
    <row r="46" spans="1:23" x14ac:dyDescent="0.25">
      <c r="B46" s="156" t="s">
        <v>8</v>
      </c>
      <c r="C46" s="17">
        <f>Annual_sorted!Z30/Annual_sorted!G13</f>
        <v>3.1867702748959106</v>
      </c>
    </row>
    <row r="47" spans="1:23" x14ac:dyDescent="0.25">
      <c r="B47" s="156" t="s">
        <v>9</v>
      </c>
      <c r="C47" s="17">
        <f>Annual_sorted!Z31/Annual_sorted!G14</f>
        <v>2.8970926758295339</v>
      </c>
    </row>
    <row r="48" spans="1:23" x14ac:dyDescent="0.25">
      <c r="B48" s="159" t="s">
        <v>10</v>
      </c>
      <c r="C48" s="221">
        <f>Annual_sorted!Z32/Annual_sorted!G15</f>
        <v>0.82908856488414573</v>
      </c>
    </row>
    <row r="54" spans="1:11" ht="15.6" x14ac:dyDescent="0.25">
      <c r="A54" s="255" t="s">
        <v>255</v>
      </c>
      <c r="B54" s="255"/>
      <c r="C54" s="255"/>
      <c r="D54" s="255"/>
      <c r="E54" s="255"/>
      <c r="F54" s="255"/>
      <c r="G54" s="255"/>
      <c r="H54" s="255"/>
      <c r="I54" s="255"/>
      <c r="J54" s="255"/>
    </row>
    <row r="57" spans="1:11" x14ac:dyDescent="0.25">
      <c r="B57" s="231" t="s">
        <v>52</v>
      </c>
      <c r="C57" s="230" t="s">
        <v>267</v>
      </c>
      <c r="D57" s="3"/>
      <c r="E57" s="2"/>
      <c r="F57" s="2"/>
      <c r="G57" s="2"/>
      <c r="H57" s="2"/>
      <c r="I57" s="2"/>
      <c r="J57" s="2"/>
      <c r="K57" s="2"/>
    </row>
    <row r="58" spans="1:11" s="2" customFormat="1" ht="26.4" x14ac:dyDescent="0.25">
      <c r="B58" s="233"/>
      <c r="C58" s="234" t="s">
        <v>286</v>
      </c>
      <c r="D58" s="3"/>
    </row>
    <row r="59" spans="1:11" x14ac:dyDescent="0.25">
      <c r="B59" s="156" t="s">
        <v>1</v>
      </c>
      <c r="C59" s="186">
        <f>Annual_sorted!S22/Annual_sorted!G5</f>
        <v>1.4292164409807269</v>
      </c>
      <c r="D59" s="2"/>
      <c r="E59" s="2"/>
      <c r="F59" s="2"/>
      <c r="G59" s="2"/>
      <c r="H59" s="2"/>
      <c r="I59" s="2"/>
      <c r="J59" s="2"/>
      <c r="K59" s="2"/>
    </row>
    <row r="60" spans="1:11" x14ac:dyDescent="0.25">
      <c r="B60" s="156" t="s">
        <v>195</v>
      </c>
      <c r="C60" s="186">
        <f>Annual_sorted!S23/Annual_sorted!G6</f>
        <v>1.4292164409807269</v>
      </c>
      <c r="D60" s="2"/>
      <c r="E60" s="2"/>
      <c r="F60" s="2"/>
      <c r="G60" s="2"/>
      <c r="H60" s="2"/>
      <c r="I60" s="2"/>
      <c r="J60" s="2"/>
      <c r="K60" s="2"/>
    </row>
    <row r="61" spans="1:11" x14ac:dyDescent="0.25">
      <c r="B61" s="156" t="s">
        <v>2</v>
      </c>
      <c r="C61" s="186">
        <f>Annual_sorted!S24/Annual_sorted!G7</f>
        <v>1.4292164409807269</v>
      </c>
      <c r="D61" s="2"/>
      <c r="E61" s="2"/>
      <c r="F61" s="2"/>
      <c r="G61" s="2"/>
      <c r="H61" s="2"/>
      <c r="I61" s="2"/>
      <c r="J61" s="2"/>
      <c r="K61" s="2"/>
    </row>
    <row r="62" spans="1:11" x14ac:dyDescent="0.25">
      <c r="B62" s="156" t="s">
        <v>3</v>
      </c>
      <c r="C62" s="186">
        <f>Annual_sorted!S25/Annual_sorted!G8</f>
        <v>1.4292164409807269</v>
      </c>
      <c r="D62" s="2"/>
      <c r="E62" s="2"/>
      <c r="F62" s="2"/>
      <c r="G62" s="2"/>
      <c r="H62" s="2"/>
      <c r="I62" s="2"/>
      <c r="J62" s="2"/>
      <c r="K62" s="2"/>
    </row>
    <row r="63" spans="1:11" x14ac:dyDescent="0.25">
      <c r="B63" s="156" t="s">
        <v>4</v>
      </c>
      <c r="C63" s="186">
        <f>Annual_sorted!S26/Annual_sorted!G9</f>
        <v>1.4292164409807269</v>
      </c>
      <c r="D63" s="2"/>
      <c r="E63" s="2"/>
      <c r="F63" s="2"/>
      <c r="G63" s="2"/>
      <c r="H63" s="2"/>
      <c r="I63" s="2"/>
      <c r="J63" s="2"/>
      <c r="K63" s="2"/>
    </row>
    <row r="64" spans="1:11" x14ac:dyDescent="0.25">
      <c r="B64" s="156" t="s">
        <v>5</v>
      </c>
      <c r="C64" s="186">
        <f>Annual_sorted!S27/Annual_sorted!G10</f>
        <v>1.4292164409807269</v>
      </c>
      <c r="D64" s="2"/>
      <c r="E64" s="2"/>
      <c r="F64" s="2"/>
      <c r="G64" s="2"/>
      <c r="H64" s="2"/>
      <c r="I64" s="2"/>
      <c r="J64" s="2"/>
      <c r="K64" s="2"/>
    </row>
    <row r="65" spans="1:11" x14ac:dyDescent="0.25">
      <c r="B65" s="156" t="s">
        <v>6</v>
      </c>
      <c r="C65" s="186">
        <f>Annual_sorted!S28/Annual_sorted!G11</f>
        <v>1.4292164409807269</v>
      </c>
      <c r="D65" s="2"/>
      <c r="E65" s="2"/>
      <c r="F65" s="2"/>
      <c r="G65" s="2"/>
      <c r="H65" s="2"/>
      <c r="I65" s="2"/>
      <c r="J65" s="2"/>
      <c r="K65" s="2"/>
    </row>
    <row r="66" spans="1:11" x14ac:dyDescent="0.25">
      <c r="B66" s="156" t="s">
        <v>7</v>
      </c>
      <c r="C66" s="186">
        <f>Annual_sorted!S29/Annual_sorted!G12</f>
        <v>1.4292164409807269</v>
      </c>
      <c r="D66" s="2"/>
      <c r="E66" s="2"/>
      <c r="F66" s="2"/>
      <c r="G66" s="2"/>
      <c r="H66" s="2"/>
      <c r="I66" s="2"/>
      <c r="J66" s="2"/>
      <c r="K66" s="2"/>
    </row>
    <row r="67" spans="1:11" x14ac:dyDescent="0.25">
      <c r="B67" s="156" t="s">
        <v>8</v>
      </c>
      <c r="C67" s="186">
        <f>Annual_sorted!S30/Annual_sorted!G13</f>
        <v>1.4292164409807269</v>
      </c>
      <c r="D67" s="2"/>
      <c r="E67" s="2"/>
      <c r="F67" s="2"/>
      <c r="G67" s="2"/>
      <c r="H67" s="2"/>
      <c r="I67" s="2"/>
      <c r="J67" s="2"/>
      <c r="K67" s="2"/>
    </row>
    <row r="68" spans="1:11" x14ac:dyDescent="0.25">
      <c r="B68" s="156" t="s">
        <v>9</v>
      </c>
      <c r="C68" s="186">
        <f>Annual_sorted!S31/Annual_sorted!G14</f>
        <v>1.4292164409807269</v>
      </c>
      <c r="D68" s="2"/>
      <c r="E68" s="2"/>
      <c r="F68" s="2"/>
      <c r="G68" s="2"/>
      <c r="H68" s="2"/>
      <c r="I68" s="2"/>
      <c r="J68" s="2"/>
      <c r="K68" s="2"/>
    </row>
    <row r="69" spans="1:11" x14ac:dyDescent="0.25">
      <c r="B69" s="159" t="s">
        <v>10</v>
      </c>
      <c r="C69" s="222">
        <f>Annual_sorted!S32/Annual_sorted!G15</f>
        <v>1.4292164409807269</v>
      </c>
      <c r="D69" s="2"/>
      <c r="E69" s="2"/>
      <c r="F69" s="2"/>
      <c r="G69" s="2"/>
      <c r="H69" s="2"/>
      <c r="I69" s="2"/>
      <c r="J69" s="2"/>
      <c r="K69" s="2"/>
    </row>
    <row r="70" spans="1:11" x14ac:dyDescent="0.25">
      <c r="B70" s="2"/>
      <c r="C70" s="2"/>
      <c r="D70" s="2"/>
      <c r="E70" s="2"/>
      <c r="F70" s="2"/>
      <c r="G70" s="2"/>
      <c r="H70" s="2"/>
      <c r="I70" s="2"/>
      <c r="J70" s="2"/>
      <c r="K70" s="2"/>
    </row>
    <row r="71" spans="1:11" x14ac:dyDescent="0.25">
      <c r="B71" s="2"/>
      <c r="C71" s="2"/>
      <c r="D71" s="2"/>
      <c r="E71" s="2"/>
      <c r="F71" s="2"/>
      <c r="G71" s="2"/>
      <c r="H71" s="2"/>
      <c r="I71" s="2"/>
      <c r="J71" s="2"/>
      <c r="K71" s="2"/>
    </row>
    <row r="72" spans="1:11" x14ac:dyDescent="0.25">
      <c r="B72" s="2"/>
      <c r="C72" s="2"/>
      <c r="D72" s="2"/>
      <c r="E72" s="2"/>
      <c r="F72" s="2"/>
      <c r="G72" s="2"/>
      <c r="H72" s="2"/>
      <c r="I72" s="2"/>
      <c r="J72" s="2"/>
      <c r="K72" s="2"/>
    </row>
    <row r="73" spans="1:11" x14ac:dyDescent="0.25">
      <c r="B73" s="2"/>
      <c r="C73" s="2"/>
      <c r="D73" s="2"/>
      <c r="E73" s="2"/>
      <c r="F73" s="2"/>
      <c r="G73" s="2"/>
      <c r="H73" s="2"/>
      <c r="I73" s="2"/>
      <c r="J73" s="2"/>
      <c r="K73" s="2"/>
    </row>
    <row r="74" spans="1:11" ht="15.6" x14ac:dyDescent="0.25">
      <c r="A74" s="255" t="s">
        <v>254</v>
      </c>
      <c r="B74" s="255"/>
      <c r="C74" s="255"/>
      <c r="D74" s="255"/>
      <c r="E74" s="255"/>
      <c r="F74" s="255"/>
      <c r="G74" s="255"/>
      <c r="H74" s="255"/>
      <c r="I74" s="255"/>
      <c r="J74" s="255"/>
      <c r="K74" s="2"/>
    </row>
    <row r="77" spans="1:11" s="2" customFormat="1" x14ac:dyDescent="0.25">
      <c r="B77" s="230" t="s">
        <v>52</v>
      </c>
      <c r="C77" s="230" t="s">
        <v>267</v>
      </c>
    </row>
    <row r="78" spans="1:11" x14ac:dyDescent="0.25">
      <c r="B78" s="152"/>
      <c r="C78" s="232" t="s">
        <v>286</v>
      </c>
      <c r="D78" s="3"/>
      <c r="E78" s="2"/>
      <c r="F78" s="2"/>
      <c r="G78" s="2"/>
      <c r="H78" s="2"/>
      <c r="I78" s="2"/>
      <c r="J78" s="2"/>
      <c r="K78" s="2"/>
    </row>
    <row r="79" spans="1:11" x14ac:dyDescent="0.25">
      <c r="B79" s="156" t="s">
        <v>1</v>
      </c>
      <c r="C79" s="186">
        <f>Annual_sorted!L5/Annual_sorted!M5</f>
        <v>0.46126005012359683</v>
      </c>
      <c r="D79" s="2"/>
      <c r="E79" s="2"/>
      <c r="F79" s="2"/>
      <c r="G79" s="2"/>
      <c r="H79" s="2"/>
      <c r="I79" s="2"/>
      <c r="J79" s="2"/>
      <c r="K79" s="2"/>
    </row>
    <row r="80" spans="1:11" x14ac:dyDescent="0.25">
      <c r="B80" s="156" t="s">
        <v>195</v>
      </c>
      <c r="C80" s="186">
        <f>Annual_sorted!L6/Annual_sorted!M6</f>
        <v>0.13303339943743758</v>
      </c>
      <c r="D80" s="2"/>
      <c r="E80" s="2"/>
      <c r="F80" s="2"/>
      <c r="G80" s="2"/>
      <c r="H80" s="2"/>
      <c r="I80" s="2"/>
      <c r="J80" s="2"/>
      <c r="K80" s="2"/>
    </row>
    <row r="81" spans="2:11" x14ac:dyDescent="0.25">
      <c r="B81" s="156" t="s">
        <v>2</v>
      </c>
      <c r="C81" s="186">
        <f>Annual_sorted!L7/Annual_sorted!M7</f>
        <v>0.37818711052816151</v>
      </c>
      <c r="D81" s="2"/>
      <c r="E81" s="2"/>
      <c r="F81" s="2"/>
      <c r="G81" s="2"/>
      <c r="H81" s="2"/>
      <c r="I81" s="2"/>
      <c r="J81" s="2"/>
      <c r="K81" s="2"/>
    </row>
    <row r="82" spans="2:11" x14ac:dyDescent="0.25">
      <c r="B82" s="156" t="s">
        <v>3</v>
      </c>
      <c r="C82" s="186">
        <f>Annual_sorted!L8/Annual_sorted!M8</f>
        <v>0.97288786972856489</v>
      </c>
      <c r="D82" s="2"/>
      <c r="E82" s="2"/>
      <c r="F82" s="2"/>
      <c r="G82" s="2"/>
      <c r="H82" s="2"/>
      <c r="I82" s="2"/>
      <c r="J82" s="2"/>
      <c r="K82" s="2"/>
    </row>
    <row r="83" spans="2:11" x14ac:dyDescent="0.25">
      <c r="B83" s="156" t="s">
        <v>4</v>
      </c>
      <c r="C83" s="186">
        <f>Annual_sorted!L9/Annual_sorted!M9</f>
        <v>0.87327889084132249</v>
      </c>
      <c r="D83" s="2"/>
      <c r="E83" s="2"/>
      <c r="F83" s="2"/>
      <c r="G83" s="2"/>
      <c r="H83" s="2"/>
      <c r="I83" s="2"/>
      <c r="J83" s="2"/>
      <c r="K83" s="2"/>
    </row>
    <row r="84" spans="2:11" x14ac:dyDescent="0.25">
      <c r="B84" s="156" t="s">
        <v>5</v>
      </c>
      <c r="C84" s="186">
        <f>Annual_sorted!L10/Annual_sorted!M10</f>
        <v>0.71288875757188874</v>
      </c>
      <c r="D84" s="2"/>
      <c r="E84" s="2"/>
      <c r="F84" s="2"/>
      <c r="G84" s="2"/>
      <c r="H84" s="2"/>
      <c r="I84" s="2"/>
      <c r="J84" s="2"/>
      <c r="K84" s="2"/>
    </row>
    <row r="85" spans="2:11" x14ac:dyDescent="0.25">
      <c r="B85" s="156" t="s">
        <v>6</v>
      </c>
      <c r="C85" s="186">
        <f>Annual_sorted!L11/Annual_sorted!M11</f>
        <v>0.48797279444357189</v>
      </c>
      <c r="D85" s="2"/>
      <c r="E85" s="2"/>
      <c r="F85" s="2"/>
      <c r="G85" s="2"/>
      <c r="H85" s="2"/>
      <c r="I85" s="2"/>
      <c r="J85" s="2"/>
      <c r="K85" s="2"/>
    </row>
    <row r="86" spans="2:11" x14ac:dyDescent="0.25">
      <c r="B86" s="156" t="s">
        <v>7</v>
      </c>
      <c r="C86" s="186">
        <f>Annual_sorted!L12/Annual_sorted!M12</f>
        <v>0.44603965668255618</v>
      </c>
      <c r="D86" s="2"/>
      <c r="E86" s="2"/>
      <c r="F86" s="2"/>
      <c r="G86" s="2"/>
      <c r="H86" s="2"/>
      <c r="I86" s="2"/>
      <c r="J86" s="2"/>
      <c r="K86" s="2"/>
    </row>
    <row r="87" spans="2:11" x14ac:dyDescent="0.25">
      <c r="B87" s="156" t="s">
        <v>8</v>
      </c>
      <c r="C87" s="186">
        <f>Annual_sorted!L13/Annual_sorted!M13</f>
        <v>1.5110658463599722</v>
      </c>
      <c r="D87" s="2"/>
      <c r="E87" s="2"/>
      <c r="F87" s="2"/>
      <c r="G87" s="2"/>
      <c r="H87" s="2"/>
      <c r="I87" s="2"/>
      <c r="J87" s="2"/>
      <c r="K87" s="2"/>
    </row>
    <row r="88" spans="2:11" x14ac:dyDescent="0.25">
      <c r="B88" s="156" t="s">
        <v>9</v>
      </c>
      <c r="C88" s="186">
        <f>Annual_sorted!L14/Annual_sorted!M14</f>
        <v>2.0369850992272389</v>
      </c>
      <c r="D88" s="2"/>
      <c r="E88" s="2"/>
      <c r="F88" s="2"/>
      <c r="G88" s="2"/>
      <c r="H88" s="2"/>
      <c r="I88" s="2"/>
      <c r="J88" s="2"/>
      <c r="K88" s="2"/>
    </row>
    <row r="89" spans="2:11" x14ac:dyDescent="0.25">
      <c r="B89" s="159" t="s">
        <v>10</v>
      </c>
      <c r="C89" s="222">
        <f>Annual_sorted!L15/Annual_sorted!M15</f>
        <v>0.73589037705607896</v>
      </c>
      <c r="D89" s="2"/>
      <c r="E89" s="2"/>
      <c r="F89" s="2"/>
      <c r="G89" s="2"/>
      <c r="H89" s="2"/>
      <c r="I89" s="2"/>
      <c r="J89" s="2"/>
      <c r="K89" s="2"/>
    </row>
    <row r="90" spans="2:11" x14ac:dyDescent="0.25">
      <c r="B90" s="2"/>
      <c r="C90" s="2"/>
      <c r="D90" s="2"/>
      <c r="E90" s="2"/>
      <c r="F90" s="2"/>
      <c r="G90" s="2"/>
      <c r="H90" s="2"/>
      <c r="I90" s="2"/>
      <c r="J90" s="2"/>
      <c r="K90" s="2"/>
    </row>
    <row r="91" spans="2:11" x14ac:dyDescent="0.25">
      <c r="B91" s="2"/>
      <c r="C91" s="2"/>
      <c r="D91" s="2"/>
      <c r="E91" s="2"/>
      <c r="F91" s="2"/>
      <c r="G91" s="2"/>
      <c r="H91" s="2"/>
      <c r="I91" s="2"/>
      <c r="J91" s="2"/>
      <c r="K91" s="2"/>
    </row>
    <row r="92" spans="2:11" x14ac:dyDescent="0.25">
      <c r="B92" s="2"/>
      <c r="C92" s="2"/>
      <c r="D92" s="2"/>
      <c r="E92" s="2"/>
      <c r="F92" s="2"/>
      <c r="G92" s="2"/>
      <c r="H92" s="2"/>
      <c r="I92" s="2"/>
      <c r="J92" s="2"/>
      <c r="K92" s="2"/>
    </row>
    <row r="93" spans="2:11" x14ac:dyDescent="0.25">
      <c r="B93" s="2"/>
      <c r="C93" s="2"/>
      <c r="D93" s="2"/>
      <c r="E93" s="2"/>
      <c r="F93" s="2"/>
      <c r="G93" s="2"/>
      <c r="H93" s="2"/>
      <c r="I93" s="2"/>
      <c r="J93" s="2"/>
      <c r="K93" s="2"/>
    </row>
  </sheetData>
  <mergeCells count="6">
    <mergeCell ref="A74:J74"/>
    <mergeCell ref="B4:L4"/>
    <mergeCell ref="X3:AH3"/>
    <mergeCell ref="B20:K20"/>
    <mergeCell ref="A35:J35"/>
    <mergeCell ref="A54:J54"/>
  </mergeCells>
  <pageMargins left="0.7" right="0.7" top="0.75" bottom="0.75" header="0.3" footer="0.3"/>
  <pageSetup paperSize="9" orientation="portrait" r:id="rId1"/>
  <ignoredErrors>
    <ignoredError sqref="Z16:AH16" formulaRange="1"/>
  </ignoredErrors>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1B594A-046A-450B-B8F0-42CC6563A94F}">
  <dimension ref="C4:F28"/>
  <sheetViews>
    <sheetView showGridLines="0" tabSelected="1" topLeftCell="A13" zoomScale="91" workbookViewId="0">
      <selection activeCell="C26" sqref="C26"/>
    </sheetView>
  </sheetViews>
  <sheetFormatPr defaultRowHeight="13.2" x14ac:dyDescent="0.25"/>
  <cols>
    <col min="3" max="3" width="3.88671875" customWidth="1"/>
    <col min="4" max="4" width="76.6640625" customWidth="1"/>
    <col min="5" max="5" width="13.6640625" style="2" customWidth="1"/>
    <col min="6" max="6" width="15" style="2" customWidth="1"/>
  </cols>
  <sheetData>
    <row r="4" spans="3:6" s="2" customFormat="1" x14ac:dyDescent="0.25">
      <c r="C4" s="64"/>
      <c r="D4" s="64"/>
      <c r="E4" s="64"/>
      <c r="F4" s="64"/>
    </row>
    <row r="5" spans="3:6" x14ac:dyDescent="0.25">
      <c r="C5" s="172" t="s">
        <v>136</v>
      </c>
      <c r="D5" s="172" t="s">
        <v>185</v>
      </c>
      <c r="E5" s="171"/>
      <c r="F5" s="171"/>
    </row>
    <row r="6" spans="3:6" s="2" customFormat="1" ht="26.4" x14ac:dyDescent="0.25">
      <c r="C6" s="169">
        <v>1</v>
      </c>
      <c r="D6" s="170" t="s">
        <v>149</v>
      </c>
      <c r="E6" s="170"/>
      <c r="F6" s="170"/>
    </row>
    <row r="7" spans="3:6" ht="26.4" x14ac:dyDescent="0.25">
      <c r="C7" s="171">
        <v>2</v>
      </c>
      <c r="D7" s="170" t="s">
        <v>150</v>
      </c>
      <c r="E7" s="170"/>
      <c r="F7" s="170"/>
    </row>
    <row r="8" spans="3:6" ht="39.6" x14ac:dyDescent="0.25">
      <c r="C8" s="171">
        <v>3</v>
      </c>
      <c r="D8" s="170" t="s">
        <v>294</v>
      </c>
      <c r="E8" s="170"/>
      <c r="F8" s="170"/>
    </row>
    <row r="9" spans="3:6" ht="26.4" x14ac:dyDescent="0.25">
      <c r="C9" s="171">
        <v>4</v>
      </c>
      <c r="D9" s="170" t="s">
        <v>154</v>
      </c>
      <c r="E9" s="170"/>
      <c r="F9" s="170"/>
    </row>
    <row r="10" spans="3:6" ht="26.4" x14ac:dyDescent="0.25">
      <c r="C10" s="171">
        <v>5</v>
      </c>
      <c r="D10" s="170" t="s">
        <v>151</v>
      </c>
      <c r="E10" s="170"/>
      <c r="F10" s="170"/>
    </row>
    <row r="11" spans="3:6" ht="26.4" x14ac:dyDescent="0.25">
      <c r="C11" s="171">
        <v>6</v>
      </c>
      <c r="D11" s="170" t="s">
        <v>152</v>
      </c>
      <c r="E11" s="170"/>
      <c r="F11" s="170"/>
    </row>
    <row r="12" spans="3:6" ht="26.4" x14ac:dyDescent="0.25">
      <c r="C12" s="171">
        <v>7</v>
      </c>
      <c r="D12" s="170" t="s">
        <v>153</v>
      </c>
      <c r="E12" s="170"/>
      <c r="F12" s="170"/>
    </row>
    <row r="13" spans="3:6" x14ac:dyDescent="0.25">
      <c r="D13" s="2"/>
    </row>
    <row r="15" spans="3:6" ht="15.6" x14ac:dyDescent="0.3">
      <c r="C15" s="175" t="s">
        <v>136</v>
      </c>
      <c r="D15" s="175" t="s">
        <v>184</v>
      </c>
      <c r="E15" s="175" t="s">
        <v>160</v>
      </c>
      <c r="F15" s="175" t="s">
        <v>157</v>
      </c>
    </row>
    <row r="16" spans="3:6" ht="31.2" x14ac:dyDescent="0.3">
      <c r="C16" s="176">
        <v>1</v>
      </c>
      <c r="D16" s="168" t="s">
        <v>156</v>
      </c>
      <c r="E16" s="179" t="s">
        <v>159</v>
      </c>
      <c r="F16" s="179" t="s">
        <v>158</v>
      </c>
    </row>
    <row r="17" spans="3:6" ht="31.2" x14ac:dyDescent="0.3">
      <c r="C17" s="177">
        <v>2</v>
      </c>
      <c r="D17" s="173" t="s">
        <v>155</v>
      </c>
      <c r="E17" s="178" t="s">
        <v>166</v>
      </c>
      <c r="F17" s="178" t="s">
        <v>161</v>
      </c>
    </row>
    <row r="18" spans="3:6" ht="15.6" x14ac:dyDescent="0.3">
      <c r="C18" s="177">
        <v>3</v>
      </c>
      <c r="D18" s="174" t="s">
        <v>167</v>
      </c>
      <c r="E18" s="178" t="s">
        <v>169</v>
      </c>
      <c r="F18" s="178" t="s">
        <v>168</v>
      </c>
    </row>
    <row r="19" spans="3:6" ht="31.2" customHeight="1" x14ac:dyDescent="0.3">
      <c r="C19" s="177">
        <v>4</v>
      </c>
      <c r="D19" s="173" t="s">
        <v>170</v>
      </c>
      <c r="E19" s="178" t="s">
        <v>169</v>
      </c>
      <c r="F19" s="178" t="s">
        <v>171</v>
      </c>
    </row>
    <row r="20" spans="3:6" ht="28.8" customHeight="1" x14ac:dyDescent="0.3">
      <c r="C20" s="177">
        <v>5</v>
      </c>
      <c r="D20" s="173" t="s">
        <v>172</v>
      </c>
      <c r="E20" s="178" t="s">
        <v>174</v>
      </c>
      <c r="F20" s="178" t="s">
        <v>173</v>
      </c>
    </row>
    <row r="21" spans="3:6" ht="31.2" x14ac:dyDescent="0.3">
      <c r="C21" s="177">
        <v>6</v>
      </c>
      <c r="D21" s="173" t="s">
        <v>175</v>
      </c>
      <c r="E21" s="178" t="s">
        <v>176</v>
      </c>
      <c r="F21" s="178" t="s">
        <v>162</v>
      </c>
    </row>
    <row r="22" spans="3:6" s="2" customFormat="1" ht="46.8" x14ac:dyDescent="0.3">
      <c r="C22" s="177">
        <v>7</v>
      </c>
      <c r="D22" s="173" t="s">
        <v>177</v>
      </c>
      <c r="E22" s="178" t="s">
        <v>178</v>
      </c>
      <c r="F22" s="178">
        <v>1949</v>
      </c>
    </row>
    <row r="23" spans="3:6" s="2" customFormat="1" ht="31.2" x14ac:dyDescent="0.3">
      <c r="C23" s="177">
        <v>8</v>
      </c>
      <c r="D23" s="173" t="s">
        <v>179</v>
      </c>
      <c r="E23" s="178" t="s">
        <v>180</v>
      </c>
      <c r="F23" s="178" t="s">
        <v>163</v>
      </c>
    </row>
    <row r="24" spans="3:6" s="2" customFormat="1" ht="31.2" x14ac:dyDescent="0.3">
      <c r="C24" s="177">
        <v>9</v>
      </c>
      <c r="D24" s="173" t="s">
        <v>181</v>
      </c>
      <c r="E24" s="178" t="s">
        <v>178</v>
      </c>
      <c r="F24" s="178" t="s">
        <v>164</v>
      </c>
    </row>
    <row r="25" spans="3:6" s="2" customFormat="1" ht="31.2" x14ac:dyDescent="0.3">
      <c r="C25" s="177">
        <v>10</v>
      </c>
      <c r="D25" s="173" t="s">
        <v>182</v>
      </c>
      <c r="E25" s="178" t="s">
        <v>183</v>
      </c>
      <c r="F25" s="178" t="s">
        <v>165</v>
      </c>
    </row>
    <row r="26" spans="3:6" s="2" customFormat="1" ht="28.8" customHeight="1" x14ac:dyDescent="0.25">
      <c r="C26" s="171"/>
      <c r="D26" s="170"/>
      <c r="E26" s="170"/>
      <c r="F26" s="170"/>
    </row>
    <row r="28" spans="3:6" s="2" customFormat="1" x14ac:dyDescent="0.25">
      <c r="C28"/>
      <c r="D28"/>
    </row>
  </sheetData>
  <pageMargins left="0.7" right="0.7" top="0.75" bottom="0.75" header="0.3" footer="0.3"/>
  <tableParts count="2">
    <tablePart r:id="rId1"/>
    <tablePart r:id="rId2"/>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3E94C2-B858-4F6D-A157-10CBD917403E}">
  <dimension ref="A1:Y520"/>
  <sheetViews>
    <sheetView showGridLines="0" zoomScale="55" zoomScaleNormal="55" workbookViewId="0">
      <selection activeCell="W49" sqref="W49"/>
    </sheetView>
  </sheetViews>
  <sheetFormatPr defaultColWidth="12.6640625" defaultRowHeight="15" customHeight="1" x14ac:dyDescent="0.25"/>
  <cols>
    <col min="1" max="1" width="8.6640625" style="2" customWidth="1"/>
    <col min="2" max="2" width="15.109375" style="2" bestFit="1" customWidth="1"/>
    <col min="3" max="3" width="16.33203125" style="2" bestFit="1" customWidth="1"/>
    <col min="4" max="4" width="13.21875" style="2" customWidth="1"/>
    <col min="5" max="5" width="9.6640625" style="2" customWidth="1"/>
    <col min="6" max="6" width="13.33203125" style="2" customWidth="1"/>
    <col min="7" max="7" width="14" style="2" bestFit="1" customWidth="1"/>
    <col min="8" max="8" width="14.21875" style="2" bestFit="1" customWidth="1"/>
    <col min="9" max="9" width="20.21875" style="2" bestFit="1" customWidth="1"/>
    <col min="10" max="13" width="16.109375" style="2" customWidth="1"/>
    <col min="14" max="14" width="20" style="2" customWidth="1"/>
    <col min="15" max="15" width="12.6640625" style="2"/>
    <col min="16" max="16" width="27.77734375" style="2" customWidth="1"/>
    <col min="17" max="17" width="17.21875" style="2" bestFit="1" customWidth="1"/>
    <col min="18" max="18" width="12" style="2" bestFit="1" customWidth="1"/>
    <col min="19" max="20" width="12.44140625" style="2" bestFit="1" customWidth="1"/>
    <col min="21" max="21" width="17.21875" style="2" bestFit="1" customWidth="1"/>
    <col min="22" max="22" width="12" style="2" bestFit="1" customWidth="1"/>
    <col min="23" max="23" width="7.88671875" style="2" customWidth="1"/>
    <col min="24" max="24" width="13" style="2" customWidth="1"/>
    <col min="25" max="25" width="15.21875" style="2" customWidth="1"/>
    <col min="26" max="16384" width="12.6640625" style="2"/>
  </cols>
  <sheetData>
    <row r="1" spans="1:25" ht="25.05" customHeight="1" x14ac:dyDescent="0.25">
      <c r="A1" s="252" t="s">
        <v>81</v>
      </c>
      <c r="B1" s="252"/>
      <c r="C1" s="252"/>
      <c r="D1" s="252"/>
      <c r="E1" s="252"/>
      <c r="F1" s="252"/>
    </row>
    <row r="2" spans="1:25" ht="12.75" customHeight="1" x14ac:dyDescent="0.25">
      <c r="D2" s="1"/>
    </row>
    <row r="3" spans="1:25" ht="12.75" customHeight="1" x14ac:dyDescent="0.25"/>
    <row r="4" spans="1:25" ht="21" customHeight="1" thickBot="1" x14ac:dyDescent="0.35">
      <c r="B4" s="256" t="s">
        <v>95</v>
      </c>
      <c r="C4" s="256"/>
      <c r="D4" s="256"/>
      <c r="E4" s="256"/>
      <c r="F4" s="256"/>
      <c r="G4" s="256"/>
      <c r="H4" s="256"/>
      <c r="I4" s="256"/>
    </row>
    <row r="5" spans="1:25" s="8" customFormat="1" ht="40.200000000000003" customHeight="1" thickBot="1" x14ac:dyDescent="0.3">
      <c r="B5" s="36" t="s">
        <v>19</v>
      </c>
      <c r="C5" s="37" t="s">
        <v>42</v>
      </c>
      <c r="D5" s="37" t="s">
        <v>41</v>
      </c>
      <c r="E5" s="37" t="s">
        <v>27</v>
      </c>
      <c r="F5" s="37" t="s">
        <v>16</v>
      </c>
      <c r="G5" s="37" t="s">
        <v>28</v>
      </c>
      <c r="H5" s="37" t="s">
        <v>116</v>
      </c>
      <c r="I5" s="37" t="s">
        <v>20</v>
      </c>
      <c r="U5" s="23"/>
      <c r="V5" s="121" t="s">
        <v>131</v>
      </c>
      <c r="W5" s="127" t="s">
        <v>134</v>
      </c>
      <c r="X5" s="127" t="s">
        <v>132</v>
      </c>
      <c r="Y5" s="127" t="s">
        <v>133</v>
      </c>
    </row>
    <row r="6" spans="1:25" ht="12.75" customHeight="1" x14ac:dyDescent="0.25">
      <c r="B6" s="4"/>
      <c r="C6" s="26">
        <v>0</v>
      </c>
      <c r="D6" s="26">
        <v>0</v>
      </c>
      <c r="E6" s="49">
        <v>0</v>
      </c>
      <c r="F6" s="49">
        <v>0</v>
      </c>
      <c r="G6" s="49">
        <v>0</v>
      </c>
      <c r="H6" s="50">
        <f>F6</f>
        <v>0</v>
      </c>
      <c r="I6" s="49">
        <v>0</v>
      </c>
      <c r="P6" s="18"/>
      <c r="Q6" s="14"/>
      <c r="R6" s="15"/>
      <c r="U6" s="18" t="s">
        <v>0</v>
      </c>
      <c r="V6" s="60">
        <f>I20</f>
        <v>0.54554858320698996</v>
      </c>
      <c r="W6" s="60">
        <f>I41</f>
        <v>0.55218492816660647</v>
      </c>
      <c r="X6" s="60">
        <f>I63</f>
        <v>0.5245034116831544</v>
      </c>
      <c r="Y6" s="60">
        <f>I84</f>
        <v>0.15133674183777068</v>
      </c>
    </row>
    <row r="7" spans="1:25" ht="12.75" customHeight="1" x14ac:dyDescent="0.25">
      <c r="B7" s="82" t="s">
        <v>1</v>
      </c>
      <c r="C7" s="29">
        <v>4.4920799454716969</v>
      </c>
      <c r="D7" s="29">
        <v>83.946549000000005</v>
      </c>
      <c r="E7" s="49">
        <f t="shared" ref="E7:E17" si="0">C7/$C$18</f>
        <v>2.0572122059260146E-3</v>
      </c>
      <c r="F7" s="49">
        <f t="shared" ref="F7:F17" si="1">D7/$D$18</f>
        <v>0.3138345928266002</v>
      </c>
      <c r="G7" s="49">
        <f t="shared" ref="G7:G17" si="2">G6+E7</f>
        <v>2.0572122059260146E-3</v>
      </c>
      <c r="H7" s="50">
        <f t="shared" ref="H7:H17" si="3">F7+H6</f>
        <v>0.3138345928266002</v>
      </c>
      <c r="I7" s="49">
        <f t="shared" ref="I7:I17" si="4">(G6+G7)*0.5*(H7-H6)</f>
        <v>3.2281217750235143E-4</v>
      </c>
      <c r="P7" s="18"/>
      <c r="Q7" s="14"/>
      <c r="R7" s="15"/>
      <c r="U7" s="18" t="s">
        <v>130</v>
      </c>
      <c r="V7" s="60">
        <f>I108</f>
        <v>0.49012705618528829</v>
      </c>
      <c r="W7" s="60">
        <f>I129</f>
        <v>0.52085809970367136</v>
      </c>
      <c r="X7" s="60">
        <f>I150</f>
        <v>0.59086747854318544</v>
      </c>
      <c r="Y7" s="60">
        <f>I171</f>
        <v>0.33576685642860848</v>
      </c>
    </row>
    <row r="8" spans="1:25" ht="12.75" customHeight="1" thickBot="1" x14ac:dyDescent="0.3">
      <c r="B8" s="82" t="s">
        <v>195</v>
      </c>
      <c r="C8" s="29">
        <v>14.349918475935281</v>
      </c>
      <c r="D8" s="29">
        <v>1.2901100000000001</v>
      </c>
      <c r="E8" s="49">
        <f t="shared" si="0"/>
        <v>6.5717502362121075E-3</v>
      </c>
      <c r="F8" s="49">
        <f>D8/$D$18</f>
        <v>4.8230826802841556E-3</v>
      </c>
      <c r="G8" s="49">
        <f>G7+E8</f>
        <v>8.6289624421381217E-3</v>
      </c>
      <c r="H8" s="50">
        <f t="shared" si="3"/>
        <v>0.31865767550688434</v>
      </c>
      <c r="I8" s="49">
        <f t="shared" si="4"/>
        <v>2.5770151931784806E-5</v>
      </c>
      <c r="P8" s="18"/>
      <c r="Q8" s="14"/>
      <c r="R8" s="15"/>
      <c r="U8" s="125" t="s">
        <v>135</v>
      </c>
      <c r="V8" s="126">
        <f>I192</f>
        <v>0.44061157335332302</v>
      </c>
      <c r="W8" s="126">
        <f>I213</f>
        <v>0.49362023491195917</v>
      </c>
      <c r="X8" s="126">
        <f>I234</f>
        <v>0.57979349822944881</v>
      </c>
      <c r="Y8" s="126">
        <f>I255</f>
        <v>0.25973650901091605</v>
      </c>
    </row>
    <row r="9" spans="1:25" ht="12.75" customHeight="1" x14ac:dyDescent="0.25">
      <c r="B9" s="82" t="s">
        <v>2</v>
      </c>
      <c r="C9" s="29">
        <v>19.81100613627877</v>
      </c>
      <c r="D9" s="29">
        <v>6.169632</v>
      </c>
      <c r="E9" s="49">
        <f t="shared" si="0"/>
        <v>9.07273337294719E-3</v>
      </c>
      <c r="F9" s="49">
        <f t="shared" si="1"/>
        <v>2.3065200054977402E-2</v>
      </c>
      <c r="G9" s="49">
        <f t="shared" si="2"/>
        <v>1.7701695815085312E-2</v>
      </c>
      <c r="H9" s="50">
        <f t="shared" si="3"/>
        <v>0.34172287556186176</v>
      </c>
      <c r="I9" s="49">
        <f t="shared" si="4"/>
        <v>3.0366095014105077E-4</v>
      </c>
      <c r="P9" s="18"/>
      <c r="Q9" s="14"/>
      <c r="R9" s="15"/>
    </row>
    <row r="10" spans="1:25" ht="12.75" customHeight="1" x14ac:dyDescent="0.25">
      <c r="B10" s="82" t="s">
        <v>3</v>
      </c>
      <c r="C10" s="29">
        <v>27.244562190582403</v>
      </c>
      <c r="D10" s="29">
        <v>3.8753060000000001</v>
      </c>
      <c r="E10" s="49">
        <f t="shared" si="0"/>
        <v>1.2477036598619828E-2</v>
      </c>
      <c r="F10" s="49">
        <f t="shared" si="1"/>
        <v>1.4487850841712157E-2</v>
      </c>
      <c r="G10" s="49">
        <f>G9+E10</f>
        <v>3.0178732413705139E-2</v>
      </c>
      <c r="H10" s="50">
        <f t="shared" si="3"/>
        <v>0.35621072640357393</v>
      </c>
      <c r="I10" s="49">
        <f t="shared" si="4"/>
        <v>3.4684225120801038E-4</v>
      </c>
      <c r="P10" s="18"/>
      <c r="Q10" s="14"/>
      <c r="R10" s="15"/>
    </row>
    <row r="11" spans="1:25" ht="12.75" customHeight="1" x14ac:dyDescent="0.25">
      <c r="B11" s="82" t="s">
        <v>4</v>
      </c>
      <c r="C11" s="29">
        <v>27.762864026902566</v>
      </c>
      <c r="D11" s="29">
        <v>11.426439</v>
      </c>
      <c r="E11" s="49">
        <f t="shared" si="0"/>
        <v>1.2714400331450664E-2</v>
      </c>
      <c r="F11" s="49">
        <f>D11/$D$18</f>
        <v>4.2717799287055679E-2</v>
      </c>
      <c r="G11" s="49">
        <f t="shared" si="2"/>
        <v>4.2893132745155806E-2</v>
      </c>
      <c r="H11" s="50">
        <f>F11+H10</f>
        <v>0.39892852569062959</v>
      </c>
      <c r="I11" s="49">
        <f t="shared" si="4"/>
        <v>1.5607346346935085E-3</v>
      </c>
      <c r="P11" s="18"/>
      <c r="Q11" s="14"/>
      <c r="R11" s="15"/>
    </row>
    <row r="12" spans="1:25" ht="12.75" customHeight="1" x14ac:dyDescent="0.25">
      <c r="B12" s="82" t="s">
        <v>5</v>
      </c>
      <c r="C12" s="29">
        <v>83.428364274259323</v>
      </c>
      <c r="D12" s="29">
        <v>19.742709999999999</v>
      </c>
      <c r="E12" s="49">
        <f>C12/$C$18</f>
        <v>3.8207211667829283E-2</v>
      </c>
      <c r="F12" s="49">
        <f t="shared" si="1"/>
        <v>7.3808219967966132E-2</v>
      </c>
      <c r="G12" s="49">
        <f t="shared" si="2"/>
        <v>8.1100344412985081E-2</v>
      </c>
      <c r="H12" s="50">
        <f t="shared" si="3"/>
        <v>0.47273674565859569</v>
      </c>
      <c r="I12" s="49">
        <f t="shared" si="4"/>
        <v>4.5758689183405211E-3</v>
      </c>
      <c r="P12" s="18"/>
      <c r="Q12" s="14"/>
      <c r="R12" s="15"/>
    </row>
    <row r="13" spans="1:25" ht="12.75" customHeight="1" x14ac:dyDescent="0.25">
      <c r="B13" s="111" t="s">
        <v>6</v>
      </c>
      <c r="C13" s="29">
        <v>162.7577156565315</v>
      </c>
      <c r="D13" s="29">
        <v>11.996235</v>
      </c>
      <c r="E13" s="49">
        <f t="shared" si="0"/>
        <v>7.4537221804073045E-2</v>
      </c>
      <c r="F13" s="49">
        <f t="shared" si="1"/>
        <v>4.4847984479709946E-2</v>
      </c>
      <c r="G13" s="49">
        <f t="shared" si="2"/>
        <v>0.15563756621705813</v>
      </c>
      <c r="H13" s="50">
        <f t="shared" si="3"/>
        <v>0.51758473013830564</v>
      </c>
      <c r="I13" s="49">
        <f t="shared" si="4"/>
        <v>5.3086090708475689E-3</v>
      </c>
      <c r="P13" s="18"/>
      <c r="Q13" s="14"/>
      <c r="R13" s="15"/>
    </row>
    <row r="14" spans="1:25" ht="12.75" customHeight="1" x14ac:dyDescent="0.25">
      <c r="B14" s="82" t="s">
        <v>7</v>
      </c>
      <c r="C14" s="29">
        <v>330.96219581347026</v>
      </c>
      <c r="D14" s="29">
        <v>41.918567000000003</v>
      </c>
      <c r="E14" s="49">
        <f t="shared" si="0"/>
        <v>0.15156886724910063</v>
      </c>
      <c r="F14" s="49">
        <f t="shared" si="1"/>
        <v>0.15671277215123591</v>
      </c>
      <c r="G14" s="49">
        <f t="shared" si="2"/>
        <v>0.30720643346615872</v>
      </c>
      <c r="H14" s="50">
        <f t="shared" si="3"/>
        <v>0.67429750228954155</v>
      </c>
      <c r="I14" s="49">
        <f t="shared" si="4"/>
        <v>3.6266783131961335E-2</v>
      </c>
      <c r="P14" s="18"/>
      <c r="Q14" s="14"/>
      <c r="R14" s="15"/>
    </row>
    <row r="15" spans="1:25" ht="12.75" customHeight="1" x14ac:dyDescent="0.25">
      <c r="B15" s="82" t="s">
        <v>8</v>
      </c>
      <c r="C15" s="29">
        <v>416.80308732067164</v>
      </c>
      <c r="D15" s="29">
        <v>36.982824999999998</v>
      </c>
      <c r="E15" s="49">
        <f t="shared" si="0"/>
        <v>0.19088093023992125</v>
      </c>
      <c r="F15" s="49">
        <f t="shared" si="1"/>
        <v>0.13826047602567212</v>
      </c>
      <c r="G15" s="49">
        <f t="shared" si="2"/>
        <v>0.49808736370607998</v>
      </c>
      <c r="H15" s="50">
        <f t="shared" si="3"/>
        <v>0.8125579783152137</v>
      </c>
      <c r="I15" s="49">
        <f t="shared" si="4"/>
        <v>5.5670151868777398E-2</v>
      </c>
      <c r="P15" s="18"/>
      <c r="Q15" s="14"/>
      <c r="R15" s="15"/>
    </row>
    <row r="16" spans="1:25" ht="12.75" customHeight="1" x14ac:dyDescent="0.25">
      <c r="B16" s="82" t="s">
        <v>9</v>
      </c>
      <c r="C16" s="29">
        <v>448.50336533961865</v>
      </c>
      <c r="D16" s="29">
        <v>39.232453</v>
      </c>
      <c r="E16" s="49">
        <f t="shared" si="0"/>
        <v>0.20539852557736976</v>
      </c>
      <c r="F16" s="49">
        <f t="shared" si="1"/>
        <v>0.14667072154262981</v>
      </c>
      <c r="G16" s="49">
        <f t="shared" si="2"/>
        <v>0.70348588928344968</v>
      </c>
      <c r="H16" s="50">
        <f t="shared" si="3"/>
        <v>0.95922869985784354</v>
      </c>
      <c r="I16" s="49">
        <f t="shared" si="4"/>
        <v>8.81178080011496E-2</v>
      </c>
      <c r="P16" s="18"/>
      <c r="Q16" s="14"/>
      <c r="R16" s="15"/>
    </row>
    <row r="17" spans="1:14" ht="12.75" customHeight="1" thickBot="1" x14ac:dyDescent="0.3">
      <c r="B17" s="86" t="s">
        <v>10</v>
      </c>
      <c r="C17" s="32">
        <v>647.46120330334657</v>
      </c>
      <c r="D17" s="32">
        <v>10.9057765568511</v>
      </c>
      <c r="E17" s="51">
        <f t="shared" si="0"/>
        <v>0.29651411071655015</v>
      </c>
      <c r="F17" s="51">
        <f t="shared" si="1"/>
        <v>4.0771300142156491E-2</v>
      </c>
      <c r="G17" s="49">
        <f t="shared" si="2"/>
        <v>0.99999999999999978</v>
      </c>
      <c r="H17" s="52">
        <f t="shared" si="3"/>
        <v>1</v>
      </c>
      <c r="I17" s="51">
        <f t="shared" si="4"/>
        <v>3.4726667239951915E-2</v>
      </c>
    </row>
    <row r="18" spans="1:14" ht="12.75" customHeight="1" thickBot="1" x14ac:dyDescent="0.3">
      <c r="B18" s="35" t="s">
        <v>12</v>
      </c>
      <c r="C18" s="6">
        <f>SUM(C6:C17)</f>
        <v>2183.5763624830688</v>
      </c>
      <c r="D18" s="6">
        <f>SUM(D6:D17)</f>
        <v>267.4866025568511</v>
      </c>
      <c r="E18" s="59">
        <f>SUM(E7:E17)</f>
        <v>0.99999999999999978</v>
      </c>
      <c r="F18" s="59">
        <f>SUM(F7:F17)</f>
        <v>1</v>
      </c>
      <c r="G18" s="53"/>
      <c r="H18" s="53"/>
      <c r="I18" s="59">
        <f>SUM(I6:I17)</f>
        <v>0.22722570839650505</v>
      </c>
    </row>
    <row r="19" spans="1:14" ht="12.75" customHeight="1" thickBot="1" x14ac:dyDescent="0.3">
      <c r="B19" s="4"/>
      <c r="C19" s="4"/>
      <c r="D19" s="4"/>
      <c r="E19" s="50"/>
      <c r="F19" s="50"/>
      <c r="G19" s="50"/>
      <c r="H19" s="53"/>
      <c r="I19" s="53"/>
    </row>
    <row r="20" spans="1:14" ht="12.75" customHeight="1" thickBot="1" x14ac:dyDescent="0.3">
      <c r="B20" s="4"/>
      <c r="C20" s="4"/>
      <c r="D20" s="4"/>
      <c r="E20" s="50"/>
      <c r="F20" s="50"/>
      <c r="G20" s="55"/>
      <c r="H20" s="56" t="s">
        <v>30</v>
      </c>
      <c r="I20" s="52">
        <f>1-(2*I18)</f>
        <v>0.54554858320698996</v>
      </c>
    </row>
    <row r="21" spans="1:14" ht="12.75" customHeight="1" x14ac:dyDescent="0.25"/>
    <row r="22" spans="1:14" ht="12.75" customHeight="1" x14ac:dyDescent="0.25"/>
    <row r="23" spans="1:14" ht="12.75" customHeight="1" x14ac:dyDescent="0.25"/>
    <row r="24" spans="1:14" ht="13.2" customHeight="1" x14ac:dyDescent="0.25"/>
    <row r="25" spans="1:14" ht="14.4" customHeight="1" thickBot="1" x14ac:dyDescent="0.35">
      <c r="B25" s="256" t="s">
        <v>96</v>
      </c>
      <c r="C25" s="256"/>
      <c r="D25" s="256"/>
      <c r="E25" s="256"/>
      <c r="F25" s="256"/>
      <c r="G25" s="256"/>
      <c r="H25" s="256"/>
      <c r="I25" s="256"/>
    </row>
    <row r="26" spans="1:14" ht="12.6" customHeight="1" thickBot="1" x14ac:dyDescent="0.3">
      <c r="B26" s="36" t="s">
        <v>19</v>
      </c>
      <c r="C26" s="37" t="s">
        <v>97</v>
      </c>
      <c r="D26" s="37" t="s">
        <v>41</v>
      </c>
      <c r="E26" s="37" t="s">
        <v>31</v>
      </c>
      <c r="F26" s="37" t="s">
        <v>16</v>
      </c>
      <c r="G26" s="37" t="s">
        <v>32</v>
      </c>
      <c r="H26" s="37" t="s">
        <v>116</v>
      </c>
      <c r="I26" s="37" t="s">
        <v>20</v>
      </c>
      <c r="J26" s="8"/>
      <c r="K26" s="8"/>
      <c r="L26" s="8"/>
      <c r="M26" s="8"/>
      <c r="N26" s="8"/>
    </row>
    <row r="27" spans="1:14" ht="12.75" customHeight="1" x14ac:dyDescent="0.25">
      <c r="B27" s="4"/>
      <c r="C27" s="26">
        <v>0</v>
      </c>
      <c r="D27" s="26">
        <v>0</v>
      </c>
      <c r="E27" s="49">
        <f t="shared" ref="E27:E37" si="5">C27/$C$39</f>
        <v>0</v>
      </c>
      <c r="F27" s="49">
        <f>D27/$D$39</f>
        <v>0</v>
      </c>
      <c r="G27" s="49">
        <v>0</v>
      </c>
      <c r="H27" s="50">
        <f>F27</f>
        <v>0</v>
      </c>
      <c r="I27" s="49">
        <v>0</v>
      </c>
    </row>
    <row r="28" spans="1:14" ht="13.2" x14ac:dyDescent="0.25">
      <c r="A28" s="8"/>
      <c r="B28" s="82" t="s">
        <v>1</v>
      </c>
      <c r="C28" s="29">
        <v>12.495254145281351</v>
      </c>
      <c r="D28" s="29">
        <v>1.2901100000000001</v>
      </c>
      <c r="E28" s="49">
        <f t="shared" si="5"/>
        <v>5.6387986055587242E-3</v>
      </c>
      <c r="F28" s="49">
        <f t="shared" ref="F28:F31" si="6">D28/$D$39</f>
        <v>4.8230826802841548E-3</v>
      </c>
      <c r="G28" s="49">
        <f t="shared" ref="G28:G38" si="7">G27+E28</f>
        <v>5.6387986055587242E-3</v>
      </c>
      <c r="H28" s="50">
        <f t="shared" ref="H28:H38" si="8">F28+H27</f>
        <v>4.8230826802841548E-3</v>
      </c>
      <c r="I28" s="49">
        <f t="shared" ref="I28:I38" si="9">(G27+G28)*0.5*(H28-H27)</f>
        <v>1.3598195946040363E-5</v>
      </c>
    </row>
    <row r="29" spans="1:14" ht="12.75" customHeight="1" x14ac:dyDescent="0.25">
      <c r="B29" s="82" t="s">
        <v>195</v>
      </c>
      <c r="C29" s="29">
        <v>12.678271607557253</v>
      </c>
      <c r="D29" s="29">
        <v>6.169632</v>
      </c>
      <c r="E29" s="49">
        <f t="shared" si="5"/>
        <v>5.7213898517290938E-3</v>
      </c>
      <c r="F29" s="49">
        <f t="shared" si="6"/>
        <v>2.3065200054977395E-2</v>
      </c>
      <c r="G29" s="49">
        <f t="shared" si="7"/>
        <v>1.1360188457287819E-2</v>
      </c>
      <c r="H29" s="50">
        <f t="shared" si="8"/>
        <v>2.788828273526155E-2</v>
      </c>
      <c r="I29" s="49">
        <f t="shared" si="9"/>
        <v>1.9604251866826408E-4</v>
      </c>
    </row>
    <row r="30" spans="1:14" ht="12.75" customHeight="1" x14ac:dyDescent="0.25">
      <c r="B30" s="82" t="s">
        <v>2</v>
      </c>
      <c r="C30" s="29">
        <v>19.681066838943018</v>
      </c>
      <c r="D30" s="29">
        <v>11.426439</v>
      </c>
      <c r="E30" s="49">
        <f t="shared" si="5"/>
        <v>8.8815778340330109E-3</v>
      </c>
      <c r="F30" s="49">
        <f>D30/$D$39</f>
        <v>4.2717799287055672E-2</v>
      </c>
      <c r="G30" s="49">
        <f t="shared" si="7"/>
        <v>2.024176629132083E-2</v>
      </c>
      <c r="H30" s="50">
        <f t="shared" si="8"/>
        <v>7.0606082022317218E-2</v>
      </c>
      <c r="I30" s="49">
        <f t="shared" si="9"/>
        <v>6.7498298001484008E-4</v>
      </c>
    </row>
    <row r="31" spans="1:14" ht="12.75" customHeight="1" x14ac:dyDescent="0.25">
      <c r="B31" s="82" t="s">
        <v>3</v>
      </c>
      <c r="C31" s="29">
        <v>26.084130370190923</v>
      </c>
      <c r="D31" s="29">
        <v>3.8753060000000001</v>
      </c>
      <c r="E31" s="49">
        <f t="shared" si="5"/>
        <v>1.1771121759391212E-2</v>
      </c>
      <c r="F31" s="49">
        <f t="shared" si="6"/>
        <v>1.4487850841712153E-2</v>
      </c>
      <c r="G31" s="49">
        <f t="shared" si="7"/>
        <v>3.2012888050712042E-2</v>
      </c>
      <c r="H31" s="50">
        <f t="shared" si="8"/>
        <v>8.5093932864029373E-2</v>
      </c>
      <c r="I31" s="49">
        <f t="shared" si="9"/>
        <v>3.7852881894629933E-4</v>
      </c>
    </row>
    <row r="32" spans="1:14" ht="12.75" customHeight="1" x14ac:dyDescent="0.25">
      <c r="B32" s="82" t="s">
        <v>4</v>
      </c>
      <c r="C32" s="29">
        <v>57.060380284925856</v>
      </c>
      <c r="D32" s="29">
        <v>19.742709999999999</v>
      </c>
      <c r="E32" s="49">
        <f t="shared" si="5"/>
        <v>2.5749935859031358E-2</v>
      </c>
      <c r="F32" s="49">
        <f>D32/$D$39</f>
        <v>7.3808219967966118E-2</v>
      </c>
      <c r="G32" s="49">
        <f>G31+E32</f>
        <v>5.7762823909743397E-2</v>
      </c>
      <c r="H32" s="50">
        <f t="shared" si="8"/>
        <v>0.15890215283199549</v>
      </c>
      <c r="I32" s="49">
        <f t="shared" si="9"/>
        <v>3.3130927480790311E-3</v>
      </c>
    </row>
    <row r="33" spans="2:14" ht="12.75" customHeight="1" x14ac:dyDescent="0.25">
      <c r="B33" s="82" t="s">
        <v>5</v>
      </c>
      <c r="C33" s="29">
        <v>68.224789784349042</v>
      </c>
      <c r="D33" s="29">
        <v>83.946549000000005</v>
      </c>
      <c r="E33" s="49">
        <f>C33/$C$39</f>
        <v>3.0788157249750939E-2</v>
      </c>
      <c r="F33" s="49">
        <f>D33/$D$39</f>
        <v>0.31383459282660014</v>
      </c>
      <c r="G33" s="49">
        <f t="shared" si="7"/>
        <v>8.8550981159494335E-2</v>
      </c>
      <c r="H33" s="50">
        <f>F33+H32</f>
        <v>0.47273674565859564</v>
      </c>
      <c r="I33" s="49">
        <f t="shared" si="9"/>
        <v>2.2959166719407387E-2</v>
      </c>
    </row>
    <row r="34" spans="2:14" ht="12.75" customHeight="1" x14ac:dyDescent="0.25">
      <c r="B34" s="111" t="s">
        <v>6</v>
      </c>
      <c r="C34" s="29">
        <v>115.09356267302397</v>
      </c>
      <c r="D34" s="29">
        <v>11.996235</v>
      </c>
      <c r="E34" s="49">
        <f>C34/$C$39</f>
        <v>5.1938873204472963E-2</v>
      </c>
      <c r="F34" s="49">
        <f t="shared" ref="F34:F38" si="10">D34/$D$39</f>
        <v>4.4847984479709932E-2</v>
      </c>
      <c r="G34" s="49">
        <f t="shared" si="7"/>
        <v>0.1404898543639673</v>
      </c>
      <c r="H34" s="50">
        <f t="shared" si="8"/>
        <v>0.51758473013830553</v>
      </c>
      <c r="I34" s="49">
        <f t="shared" si="9"/>
        <v>5.1360099183879963E-3</v>
      </c>
    </row>
    <row r="35" spans="2:14" ht="12.75" customHeight="1" x14ac:dyDescent="0.25">
      <c r="B35" s="82" t="s">
        <v>7</v>
      </c>
      <c r="C35" s="29">
        <v>275.60885090207972</v>
      </c>
      <c r="D35" s="29">
        <v>41.918567000000003</v>
      </c>
      <c r="E35" s="49">
        <f t="shared" si="5"/>
        <v>0.12437544575539296</v>
      </c>
      <c r="F35" s="49">
        <f t="shared" si="10"/>
        <v>0.15671277215123589</v>
      </c>
      <c r="G35" s="49">
        <f t="shared" si="7"/>
        <v>0.26486530011936027</v>
      </c>
      <c r="H35" s="50">
        <f t="shared" si="8"/>
        <v>0.67429750228954144</v>
      </c>
      <c r="I35" s="49">
        <f t="shared" si="9"/>
        <v>3.1762164982437377E-2</v>
      </c>
    </row>
    <row r="36" spans="2:14" ht="12.75" customHeight="1" x14ac:dyDescent="0.25">
      <c r="B36" s="82" t="s">
        <v>8</v>
      </c>
      <c r="C36" s="29">
        <v>371.80449767139828</v>
      </c>
      <c r="D36" s="29">
        <v>39.232453</v>
      </c>
      <c r="E36" s="49">
        <f t="shared" si="5"/>
        <v>0.16778615773906982</v>
      </c>
      <c r="F36" s="49">
        <f>D36/$D$39</f>
        <v>0.14667072154262978</v>
      </c>
      <c r="G36" s="49">
        <f t="shared" si="7"/>
        <v>0.43265145785843007</v>
      </c>
      <c r="H36" s="50">
        <f t="shared" si="8"/>
        <v>0.82096822383217116</v>
      </c>
      <c r="I36" s="49">
        <f t="shared" si="9"/>
        <v>5.1152643090339164E-2</v>
      </c>
    </row>
    <row r="37" spans="2:14" ht="12.75" customHeight="1" x14ac:dyDescent="0.25">
      <c r="B37" s="82" t="s">
        <v>9</v>
      </c>
      <c r="C37" s="29">
        <v>477.69664528568518</v>
      </c>
      <c r="D37" s="29">
        <v>36.982824999999998</v>
      </c>
      <c r="E37" s="49">
        <f t="shared" si="5"/>
        <v>0.21557266030753078</v>
      </c>
      <c r="F37" s="49">
        <f t="shared" si="10"/>
        <v>0.1382604760256721</v>
      </c>
      <c r="G37" s="49">
        <f t="shared" si="7"/>
        <v>0.64822411816596082</v>
      </c>
      <c r="H37" s="50">
        <f t="shared" si="8"/>
        <v>0.9592286998578432</v>
      </c>
      <c r="I37" s="49">
        <f t="shared" si="9"/>
        <v>7.4721185832827372E-2</v>
      </c>
    </row>
    <row r="38" spans="2:14" ht="12.75" customHeight="1" thickBot="1" x14ac:dyDescent="0.3">
      <c r="B38" s="86" t="s">
        <v>10</v>
      </c>
      <c r="C38" s="32">
        <v>779.51516859702542</v>
      </c>
      <c r="D38" s="32">
        <v>10.905776556851148</v>
      </c>
      <c r="E38" s="51">
        <f>C38/$C$39</f>
        <v>0.35177588183403924</v>
      </c>
      <c r="F38" s="49">
        <f t="shared" si="10"/>
        <v>4.0771300142156658E-2</v>
      </c>
      <c r="G38" s="51">
        <f t="shared" si="7"/>
        <v>1</v>
      </c>
      <c r="H38" s="52">
        <f t="shared" si="8"/>
        <v>0.99999999999999989</v>
      </c>
      <c r="I38" s="51">
        <f t="shared" si="9"/>
        <v>3.3600120111642963E-2</v>
      </c>
    </row>
    <row r="39" spans="2:14" ht="12.75" customHeight="1" thickBot="1" x14ac:dyDescent="0.3">
      <c r="B39" s="35" t="s">
        <v>12</v>
      </c>
      <c r="C39" s="6">
        <f>SUM(C27:C38)</f>
        <v>2215.9426181604599</v>
      </c>
      <c r="D39" s="6">
        <f>SUM(D27:D38)</f>
        <v>267.48660255685115</v>
      </c>
      <c r="E39" s="51">
        <f>SUM(E28:E38)</f>
        <v>1</v>
      </c>
      <c r="F39" s="59">
        <f>SUM(F28:F38)</f>
        <v>0.99999999999999989</v>
      </c>
      <c r="G39" s="53"/>
      <c r="H39" s="53"/>
      <c r="I39" s="59">
        <f>SUM(I27:I38)</f>
        <v>0.22390753591669674</v>
      </c>
    </row>
    <row r="40" spans="2:14" ht="12.75" customHeight="1" thickBot="1" x14ac:dyDescent="0.3">
      <c r="B40" s="4"/>
      <c r="C40" s="4"/>
      <c r="D40" s="4"/>
      <c r="E40" s="50"/>
      <c r="F40" s="50"/>
      <c r="G40" s="50"/>
      <c r="H40" s="53"/>
      <c r="I40" s="53"/>
    </row>
    <row r="41" spans="2:14" ht="12.75" customHeight="1" thickBot="1" x14ac:dyDescent="0.3">
      <c r="B41" s="4"/>
      <c r="C41" s="4"/>
      <c r="D41" s="4"/>
      <c r="E41" s="50"/>
      <c r="F41" s="50"/>
      <c r="G41" s="55"/>
      <c r="H41" s="56" t="s">
        <v>29</v>
      </c>
      <c r="I41" s="52">
        <f>1-(2*I39)</f>
        <v>0.55218492816660647</v>
      </c>
    </row>
    <row r="42" spans="2:14" ht="12.75" customHeight="1" x14ac:dyDescent="0.25">
      <c r="E42" s="60"/>
      <c r="F42" s="60"/>
      <c r="G42" s="60"/>
      <c r="H42" s="60"/>
      <c r="I42" s="60"/>
    </row>
    <row r="43" spans="2:14" ht="12.75" customHeight="1" x14ac:dyDescent="0.25"/>
    <row r="44" spans="2:14" ht="12.75" customHeight="1" x14ac:dyDescent="0.25"/>
    <row r="45" spans="2:14" ht="12.75" customHeight="1" x14ac:dyDescent="0.25"/>
    <row r="46" spans="2:14" ht="12.75" customHeight="1" x14ac:dyDescent="0.25"/>
    <row r="47" spans="2:14" ht="16.2" thickBot="1" x14ac:dyDescent="0.35">
      <c r="B47" s="257" t="s">
        <v>104</v>
      </c>
      <c r="C47" s="257"/>
      <c r="D47" s="257"/>
      <c r="E47" s="257"/>
      <c r="F47" s="257"/>
      <c r="G47" s="257"/>
      <c r="H47" s="257"/>
      <c r="I47" s="257"/>
      <c r="J47" s="122"/>
    </row>
    <row r="48" spans="2:14" ht="27" thickBot="1" x14ac:dyDescent="0.3">
      <c r="B48" s="30" t="s">
        <v>19</v>
      </c>
      <c r="C48" s="31" t="s">
        <v>38</v>
      </c>
      <c r="D48" s="31" t="s">
        <v>41</v>
      </c>
      <c r="E48" s="31" t="s">
        <v>15</v>
      </c>
      <c r="F48" s="31" t="s">
        <v>16</v>
      </c>
      <c r="G48" s="31" t="s">
        <v>17</v>
      </c>
      <c r="H48" s="31" t="s">
        <v>116</v>
      </c>
      <c r="I48" s="31" t="s">
        <v>20</v>
      </c>
      <c r="J48" s="25"/>
      <c r="K48" s="8"/>
      <c r="L48" s="8"/>
      <c r="M48" s="8"/>
      <c r="N48" s="8"/>
    </row>
    <row r="49" spans="1:10" ht="12.75" customHeight="1" x14ac:dyDescent="0.25">
      <c r="B49" s="4"/>
      <c r="C49" s="26">
        <v>0</v>
      </c>
      <c r="D49" s="26">
        <v>0</v>
      </c>
      <c r="E49" s="49">
        <f t="shared" ref="E49:E53" si="11">C49/$C$61</f>
        <v>0</v>
      </c>
      <c r="F49" s="49">
        <f t="shared" ref="F49:F53" si="12">D49/$D$61</f>
        <v>0</v>
      </c>
      <c r="G49" s="49">
        <v>0</v>
      </c>
      <c r="H49" s="50">
        <f>F49</f>
        <v>0</v>
      </c>
      <c r="I49" s="49">
        <v>0</v>
      </c>
      <c r="J49" s="28"/>
    </row>
    <row r="50" spans="1:10" ht="12.75" customHeight="1" x14ac:dyDescent="0.25">
      <c r="B50" s="82" t="s">
        <v>1</v>
      </c>
      <c r="C50" s="29">
        <v>0</v>
      </c>
      <c r="D50" s="29">
        <v>83.946549000000005</v>
      </c>
      <c r="E50" s="49">
        <f t="shared" si="11"/>
        <v>0</v>
      </c>
      <c r="F50" s="49">
        <f t="shared" si="12"/>
        <v>0.31383459282660014</v>
      </c>
      <c r="G50" s="49">
        <f t="shared" ref="G50:G60" si="13">G49+E50</f>
        <v>0</v>
      </c>
      <c r="H50" s="50">
        <f t="shared" ref="H50:H60" si="14">F50+H49</f>
        <v>0.31383459282660014</v>
      </c>
      <c r="I50" s="49">
        <f t="shared" ref="I50:I60" si="15">(G49+G50)*0.5*(H50-H49)</f>
        <v>0</v>
      </c>
      <c r="J50" s="28"/>
    </row>
    <row r="51" spans="1:10" ht="12.75" customHeight="1" x14ac:dyDescent="0.25">
      <c r="A51" s="8"/>
      <c r="B51" s="82" t="s">
        <v>195</v>
      </c>
      <c r="C51" s="29">
        <v>0</v>
      </c>
      <c r="D51" s="29">
        <v>36.982824999999998</v>
      </c>
      <c r="E51" s="49">
        <f t="shared" si="11"/>
        <v>0</v>
      </c>
      <c r="F51" s="49">
        <f t="shared" si="12"/>
        <v>0.1382604760256721</v>
      </c>
      <c r="G51" s="49">
        <f t="shared" si="13"/>
        <v>0</v>
      </c>
      <c r="H51" s="50">
        <f t="shared" si="14"/>
        <v>0.45209506885227224</v>
      </c>
      <c r="I51" s="49">
        <f t="shared" si="15"/>
        <v>0</v>
      </c>
      <c r="J51" s="28"/>
    </row>
    <row r="52" spans="1:10" ht="12.75" customHeight="1" x14ac:dyDescent="0.25">
      <c r="B52" s="82" t="s">
        <v>2</v>
      </c>
      <c r="C52" s="29">
        <v>0</v>
      </c>
      <c r="D52" s="29">
        <v>10.905776556851148</v>
      </c>
      <c r="E52" s="49">
        <f t="shared" si="11"/>
        <v>0</v>
      </c>
      <c r="F52" s="49">
        <f t="shared" si="12"/>
        <v>4.0771300142156658E-2</v>
      </c>
      <c r="G52" s="49">
        <f t="shared" si="13"/>
        <v>0</v>
      </c>
      <c r="H52" s="50">
        <f t="shared" si="14"/>
        <v>0.49286636899442893</v>
      </c>
      <c r="I52" s="49">
        <f t="shared" si="15"/>
        <v>0</v>
      </c>
      <c r="J52" s="28"/>
    </row>
    <row r="53" spans="1:10" ht="12.75" customHeight="1" x14ac:dyDescent="0.25">
      <c r="B53" s="82" t="s">
        <v>3</v>
      </c>
      <c r="C53" s="29">
        <v>1.3224981196287995</v>
      </c>
      <c r="D53" s="29">
        <v>3.8753060000000001</v>
      </c>
      <c r="E53" s="49">
        <f t="shared" si="11"/>
        <v>5.4290577913134646E-3</v>
      </c>
      <c r="F53" s="49">
        <f t="shared" si="12"/>
        <v>1.4487850841712153E-2</v>
      </c>
      <c r="G53" s="49">
        <f t="shared" si="13"/>
        <v>5.4290577913134646E-3</v>
      </c>
      <c r="H53" s="50">
        <f t="shared" si="14"/>
        <v>0.50735421983614104</v>
      </c>
      <c r="I53" s="49">
        <f t="shared" si="15"/>
        <v>3.9327689745792245E-5</v>
      </c>
      <c r="J53" s="28"/>
    </row>
    <row r="54" spans="1:10" ht="12.75" customHeight="1" x14ac:dyDescent="0.25">
      <c r="B54" s="82" t="s">
        <v>4</v>
      </c>
      <c r="C54" s="29">
        <v>1.9103503028842752</v>
      </c>
      <c r="D54" s="29">
        <v>1.2901100000000001</v>
      </c>
      <c r="E54" s="49">
        <f>C54/$C$61</f>
        <v>7.8422812418992086E-3</v>
      </c>
      <c r="F54" s="49">
        <f>D54/$D$61</f>
        <v>4.8230826802841548E-3</v>
      </c>
      <c r="G54" s="49">
        <f t="shared" si="13"/>
        <v>1.3271339033212672E-2</v>
      </c>
      <c r="H54" s="50">
        <f t="shared" si="14"/>
        <v>0.51217730251642524</v>
      </c>
      <c r="I54" s="49">
        <f t="shared" si="15"/>
        <v>4.5096780019406796E-5</v>
      </c>
      <c r="J54" s="28"/>
    </row>
    <row r="55" spans="1:10" ht="12.75" customHeight="1" x14ac:dyDescent="0.25">
      <c r="B55" s="82" t="s">
        <v>5</v>
      </c>
      <c r="C55" s="29">
        <v>7.1530660073489152</v>
      </c>
      <c r="D55" s="29">
        <v>6.169632</v>
      </c>
      <c r="E55" s="49">
        <f t="shared" ref="E55:E60" si="16">C55/$C$61</f>
        <v>2.9364433992448483E-2</v>
      </c>
      <c r="F55" s="49">
        <f t="shared" ref="F55:F60" si="17">D55/$D$61</f>
        <v>2.3065200054977395E-2</v>
      </c>
      <c r="G55" s="49">
        <f>G54+E55</f>
        <v>4.2635773025661156E-2</v>
      </c>
      <c r="H55" s="50">
        <f t="shared" si="14"/>
        <v>0.5352425025714026</v>
      </c>
      <c r="I55" s="49">
        <f t="shared" si="15"/>
        <v>6.447543620669812E-4</v>
      </c>
      <c r="J55" s="28"/>
    </row>
    <row r="56" spans="1:10" ht="12.75" customHeight="1" x14ac:dyDescent="0.25">
      <c r="B56" s="111" t="s">
        <v>6</v>
      </c>
      <c r="C56" s="29">
        <v>8.1725692358649695</v>
      </c>
      <c r="D56" s="29">
        <v>11.426439</v>
      </c>
      <c r="E56" s="49">
        <f t="shared" si="16"/>
        <v>3.3549651244475932E-2</v>
      </c>
      <c r="F56" s="49">
        <f t="shared" si="17"/>
        <v>4.2717799287055672E-2</v>
      </c>
      <c r="G56" s="49">
        <f t="shared" si="13"/>
        <v>7.6185424270137081E-2</v>
      </c>
      <c r="H56" s="50">
        <f t="shared" si="14"/>
        <v>0.57796030185845826</v>
      </c>
      <c r="I56" s="49">
        <f t="shared" si="15"/>
        <v>2.5378900285647748E-3</v>
      </c>
      <c r="J56" s="28"/>
    </row>
    <row r="57" spans="1:10" ht="12.75" customHeight="1" x14ac:dyDescent="0.25">
      <c r="B57" s="82" t="s">
        <v>7</v>
      </c>
      <c r="C57" s="29">
        <v>27.678981965070257</v>
      </c>
      <c r="D57" s="29">
        <v>19.742709999999999</v>
      </c>
      <c r="E57" s="49">
        <f t="shared" si="16"/>
        <v>0.11362646983215957</v>
      </c>
      <c r="F57" s="49">
        <f t="shared" si="17"/>
        <v>7.3808219967966118E-2</v>
      </c>
      <c r="G57" s="49">
        <f t="shared" si="13"/>
        <v>0.18981189410229665</v>
      </c>
      <c r="H57" s="50">
        <f>F57+H56</f>
        <v>0.65176852182642442</v>
      </c>
      <c r="I57" s="49">
        <f t="shared" si="15"/>
        <v>9.8163942926608582E-3</v>
      </c>
      <c r="J57" s="28"/>
    </row>
    <row r="58" spans="1:10" ht="12.75" customHeight="1" x14ac:dyDescent="0.25">
      <c r="B58" s="82" t="s">
        <v>8</v>
      </c>
      <c r="C58" s="29">
        <v>58.968413233176513</v>
      </c>
      <c r="D58" s="29">
        <v>11.996235</v>
      </c>
      <c r="E58" s="49">
        <f t="shared" si="16"/>
        <v>0.24207438827574823</v>
      </c>
      <c r="F58" s="49">
        <f>D58/$D$61</f>
        <v>4.4847984479709932E-2</v>
      </c>
      <c r="G58" s="49">
        <f t="shared" si="13"/>
        <v>0.43188628237804488</v>
      </c>
      <c r="H58" s="50">
        <f t="shared" si="14"/>
        <v>0.69661650630613436</v>
      </c>
      <c r="I58" s="49">
        <f t="shared" si="15"/>
        <v>1.3940955084927166E-2</v>
      </c>
      <c r="J58" s="28"/>
    </row>
    <row r="59" spans="1:10" ht="12.75" customHeight="1" x14ac:dyDescent="0.25">
      <c r="B59" s="82" t="s">
        <v>9</v>
      </c>
      <c r="C59" s="29">
        <v>61.077225932354281</v>
      </c>
      <c r="D59" s="29">
        <v>41.918567000000003</v>
      </c>
      <c r="E59" s="49">
        <f t="shared" si="16"/>
        <v>0.25073138811942691</v>
      </c>
      <c r="F59" s="49">
        <f t="shared" si="17"/>
        <v>0.15671277215123589</v>
      </c>
      <c r="G59" s="49">
        <f t="shared" si="13"/>
        <v>0.6826176704974718</v>
      </c>
      <c r="H59" s="50">
        <f t="shared" si="14"/>
        <v>0.85332927845737028</v>
      </c>
      <c r="I59" s="49">
        <f t="shared" si="15"/>
        <v>8.7328502014316314E-2</v>
      </c>
      <c r="J59" s="28"/>
    </row>
    <row r="60" spans="1:10" ht="12.75" customHeight="1" thickBot="1" x14ac:dyDescent="0.3">
      <c r="B60" s="86" t="s">
        <v>10</v>
      </c>
      <c r="C60" s="32">
        <v>77.313145320001027</v>
      </c>
      <c r="D60" s="32">
        <v>39.232453</v>
      </c>
      <c r="E60" s="49">
        <f t="shared" si="16"/>
        <v>0.31738232950252826</v>
      </c>
      <c r="F60" s="49">
        <f t="shared" si="17"/>
        <v>0.14667072154262978</v>
      </c>
      <c r="G60" s="51">
        <f t="shared" si="13"/>
        <v>1</v>
      </c>
      <c r="H60" s="52">
        <f t="shared" si="14"/>
        <v>1</v>
      </c>
      <c r="I60" s="51">
        <f t="shared" si="15"/>
        <v>0.12339537390612149</v>
      </c>
      <c r="J60" s="28"/>
    </row>
    <row r="61" spans="1:10" ht="12.75" customHeight="1" thickBot="1" x14ac:dyDescent="0.3">
      <c r="B61" s="35" t="s">
        <v>12</v>
      </c>
      <c r="C61" s="6">
        <f>SUM(C49:C60)</f>
        <v>243.59625011632903</v>
      </c>
      <c r="D61" s="6">
        <f t="shared" ref="D61:H61" si="18">SUM(D49:D60)</f>
        <v>267.48660255685115</v>
      </c>
      <c r="E61" s="6">
        <f t="shared" si="18"/>
        <v>1</v>
      </c>
      <c r="F61" s="6">
        <f t="shared" si="18"/>
        <v>1</v>
      </c>
      <c r="G61" s="6">
        <f t="shared" si="18"/>
        <v>2.4418374410981376</v>
      </c>
      <c r="H61" s="6">
        <f t="shared" si="18"/>
        <v>6.5932446640456579</v>
      </c>
      <c r="I61" s="106">
        <f>SUM(I49:I60)</f>
        <v>0.23774829415842277</v>
      </c>
      <c r="J61" s="28"/>
    </row>
    <row r="62" spans="1:10" ht="12.75" customHeight="1" thickBot="1" x14ac:dyDescent="0.3">
      <c r="B62" s="4"/>
      <c r="C62" s="4"/>
      <c r="D62" s="4"/>
      <c r="E62" s="50"/>
      <c r="F62" s="50"/>
      <c r="G62" s="50"/>
      <c r="H62" s="53"/>
      <c r="I62" s="53"/>
      <c r="J62" s="9"/>
    </row>
    <row r="63" spans="1:10" ht="12.75" customHeight="1" thickBot="1" x14ac:dyDescent="0.3">
      <c r="B63" s="4"/>
      <c r="C63" s="4"/>
      <c r="D63" s="4"/>
      <c r="E63" s="50"/>
      <c r="F63" s="50"/>
      <c r="G63" s="55"/>
      <c r="H63" s="56" t="s">
        <v>29</v>
      </c>
      <c r="I63" s="52">
        <f>1-(2*I61)</f>
        <v>0.5245034116831544</v>
      </c>
      <c r="J63" s="9"/>
    </row>
    <row r="64" spans="1:10" ht="12.75" customHeight="1" x14ac:dyDescent="0.25"/>
    <row r="65" spans="2:14" ht="12.75" customHeight="1" x14ac:dyDescent="0.25"/>
    <row r="66" spans="2:14" ht="12.75" customHeight="1" x14ac:dyDescent="0.25"/>
    <row r="67" spans="2:14" ht="12.75" customHeight="1" x14ac:dyDescent="0.25"/>
    <row r="68" spans="2:14" ht="16.2" thickBot="1" x14ac:dyDescent="0.35">
      <c r="B68" s="256" t="s">
        <v>98</v>
      </c>
      <c r="C68" s="256"/>
      <c r="D68" s="256"/>
      <c r="E68" s="256"/>
      <c r="F68" s="256"/>
      <c r="G68" s="256"/>
      <c r="H68" s="256"/>
      <c r="I68" s="256"/>
    </row>
    <row r="69" spans="2:14" ht="37.200000000000003" customHeight="1" thickBot="1" x14ac:dyDescent="0.3">
      <c r="B69" s="36" t="s">
        <v>19</v>
      </c>
      <c r="C69" s="37" t="s">
        <v>93</v>
      </c>
      <c r="D69" s="37" t="s">
        <v>41</v>
      </c>
      <c r="E69" s="37" t="s">
        <v>91</v>
      </c>
      <c r="F69" s="37" t="s">
        <v>16</v>
      </c>
      <c r="G69" s="37" t="s">
        <v>92</v>
      </c>
      <c r="H69" s="37" t="s">
        <v>116</v>
      </c>
      <c r="I69" s="37" t="s">
        <v>20</v>
      </c>
      <c r="J69" s="8"/>
      <c r="K69" s="8"/>
      <c r="L69" s="8"/>
      <c r="M69" s="8"/>
      <c r="N69" s="8"/>
    </row>
    <row r="70" spans="2:14" ht="12.75" customHeight="1" x14ac:dyDescent="0.25">
      <c r="B70" s="4"/>
      <c r="C70" s="26">
        <v>0</v>
      </c>
      <c r="D70" s="26">
        <v>0</v>
      </c>
      <c r="E70" s="49">
        <f t="shared" ref="E70:E81" si="19">C70/$C$82</f>
        <v>0</v>
      </c>
      <c r="F70" s="49">
        <v>0</v>
      </c>
      <c r="G70" s="49">
        <v>0</v>
      </c>
      <c r="H70" s="50">
        <f>F70</f>
        <v>0</v>
      </c>
      <c r="I70" s="49">
        <v>0</v>
      </c>
    </row>
    <row r="71" spans="2:14" ht="12.75" customHeight="1" x14ac:dyDescent="0.25">
      <c r="B71" s="82" t="s">
        <v>1</v>
      </c>
      <c r="C71" s="29">
        <v>1.3224981196287995</v>
      </c>
      <c r="D71" s="29">
        <v>3.8753060000000001</v>
      </c>
      <c r="E71" s="49">
        <f t="shared" si="19"/>
        <v>3.4593541506786328E-3</v>
      </c>
      <c r="F71" s="49">
        <f t="shared" ref="F71:F81" si="20">D71/$D$82</f>
        <v>1.4487850841712153E-2</v>
      </c>
      <c r="G71" s="49">
        <f t="shared" ref="G71:G81" si="21">G70+E71</f>
        <v>3.4593541506786328E-3</v>
      </c>
      <c r="H71" s="50">
        <f t="shared" ref="H71:H81" si="22">F71+H70</f>
        <v>1.4487850841712153E-2</v>
      </c>
      <c r="I71" s="49">
        <f t="shared" ref="I71:I81" si="23">(G70+G71)*0.5*(H71-H70)</f>
        <v>2.5059303471844928E-5</v>
      </c>
    </row>
    <row r="72" spans="2:14" ht="12.75" customHeight="1" x14ac:dyDescent="0.25">
      <c r="B72" s="82" t="s">
        <v>195</v>
      </c>
      <c r="C72" s="29">
        <v>1.9103503028842752</v>
      </c>
      <c r="D72" s="29">
        <v>1.2901100000000001</v>
      </c>
      <c r="E72" s="49">
        <f t="shared" si="19"/>
        <v>4.9970416981672573E-3</v>
      </c>
      <c r="F72" s="49">
        <f t="shared" si="20"/>
        <v>4.8230826802841548E-3</v>
      </c>
      <c r="G72" s="49">
        <f t="shared" si="21"/>
        <v>8.4563958488458896E-3</v>
      </c>
      <c r="H72" s="50">
        <f t="shared" si="22"/>
        <v>1.931093352199631E-2</v>
      </c>
      <c r="I72" s="49">
        <f t="shared" si="23"/>
        <v>2.8735323722651335E-5</v>
      </c>
    </row>
    <row r="73" spans="2:14" ht="12.75" customHeight="1" x14ac:dyDescent="0.25">
      <c r="B73" s="82" t="s">
        <v>2</v>
      </c>
      <c r="C73" s="29">
        <v>7.1530660073489152</v>
      </c>
      <c r="D73" s="29">
        <v>6.169632</v>
      </c>
      <c r="E73" s="49">
        <f t="shared" si="19"/>
        <v>1.8710793017646148E-2</v>
      </c>
      <c r="F73" s="49">
        <f t="shared" si="20"/>
        <v>2.3065200054977395E-2</v>
      </c>
      <c r="G73" s="49">
        <f t="shared" si="21"/>
        <v>2.716718886649204E-2</v>
      </c>
      <c r="H73" s="50">
        <f t="shared" si="22"/>
        <v>4.2376133576973701E-2</v>
      </c>
      <c r="I73" s="49">
        <f t="shared" si="23"/>
        <v>4.1083255406735208E-4</v>
      </c>
    </row>
    <row r="74" spans="2:14" ht="12.75" customHeight="1" x14ac:dyDescent="0.25">
      <c r="B74" s="82" t="s">
        <v>3</v>
      </c>
      <c r="C74" s="29">
        <v>11.97256923586497</v>
      </c>
      <c r="D74" s="29">
        <v>11.426439</v>
      </c>
      <c r="E74" s="49">
        <f t="shared" si="19"/>
        <v>3.1317516800705825E-2</v>
      </c>
      <c r="F74" s="49">
        <f t="shared" si="20"/>
        <v>4.2717799287055672E-2</v>
      </c>
      <c r="G74" s="49">
        <f t="shared" si="21"/>
        <v>5.8484705667197864E-2</v>
      </c>
      <c r="H74" s="50">
        <f t="shared" si="22"/>
        <v>8.5093932864029373E-2</v>
      </c>
      <c r="I74" s="49">
        <f t="shared" si="23"/>
        <v>1.829430219623113E-3</v>
      </c>
    </row>
    <row r="75" spans="2:14" ht="12.75" customHeight="1" x14ac:dyDescent="0.25">
      <c r="B75" s="82" t="s">
        <v>4</v>
      </c>
      <c r="C75" s="29">
        <v>23.5</v>
      </c>
      <c r="D75" s="29">
        <v>10.905776556851148</v>
      </c>
      <c r="E75" s="49">
        <f t="shared" si="19"/>
        <v>6.1470652649219498E-2</v>
      </c>
      <c r="F75" s="49">
        <f t="shared" si="20"/>
        <v>4.0771300142156658E-2</v>
      </c>
      <c r="G75" s="49">
        <f t="shared" si="21"/>
        <v>0.11995535831641736</v>
      </c>
      <c r="H75" s="50">
        <f t="shared" si="22"/>
        <v>0.12586523300618602</v>
      </c>
      <c r="I75" s="49">
        <f t="shared" si="23"/>
        <v>3.6376167030308061E-3</v>
      </c>
    </row>
    <row r="76" spans="2:14" ht="12.75" customHeight="1" x14ac:dyDescent="0.25">
      <c r="B76" s="82" t="s">
        <v>5</v>
      </c>
      <c r="C76" s="29">
        <v>27.678981965070257</v>
      </c>
      <c r="D76" s="29">
        <v>19.742709999999999</v>
      </c>
      <c r="E76" s="49">
        <f t="shared" si="19"/>
        <v>7.2401918555695513E-2</v>
      </c>
      <c r="F76" s="49">
        <f t="shared" si="20"/>
        <v>7.3808219967966118E-2</v>
      </c>
      <c r="G76" s="49">
        <f t="shared" si="21"/>
        <v>0.19235727687211288</v>
      </c>
      <c r="H76" s="50">
        <f t="shared" si="22"/>
        <v>0.19967345297415212</v>
      </c>
      <c r="I76" s="49">
        <f t="shared" si="23"/>
        <v>1.1525619838385097E-2</v>
      </c>
    </row>
    <row r="77" spans="2:14" ht="12.75" customHeight="1" x14ac:dyDescent="0.25">
      <c r="B77" s="111" t="s">
        <v>6</v>
      </c>
      <c r="C77" s="29">
        <v>33.799999999999997</v>
      </c>
      <c r="D77" s="29">
        <v>36.982824999999998</v>
      </c>
      <c r="E77" s="49">
        <f t="shared" si="19"/>
        <v>8.8413108916749736E-2</v>
      </c>
      <c r="F77" s="49">
        <f t="shared" si="20"/>
        <v>0.1382604760256721</v>
      </c>
      <c r="G77" s="49">
        <f t="shared" si="21"/>
        <v>0.2807703857888626</v>
      </c>
      <c r="H77" s="50">
        <f t="shared" si="22"/>
        <v>0.33793392899982422</v>
      </c>
      <c r="I77" s="49">
        <f t="shared" si="23"/>
        <v>3.2707427930210038E-2</v>
      </c>
    </row>
    <row r="78" spans="2:14" ht="12.75" customHeight="1" x14ac:dyDescent="0.25">
      <c r="B78" s="82" t="s">
        <v>7</v>
      </c>
      <c r="C78" s="29">
        <v>56.5</v>
      </c>
      <c r="D78" s="29">
        <v>83.946549000000005</v>
      </c>
      <c r="E78" s="49">
        <f t="shared" si="19"/>
        <v>0.14779114360344262</v>
      </c>
      <c r="F78" s="49">
        <f t="shared" si="20"/>
        <v>0.31383459282660014</v>
      </c>
      <c r="G78" s="49">
        <f t="shared" si="21"/>
        <v>0.42856152939230518</v>
      </c>
      <c r="H78" s="50">
        <f t="shared" si="22"/>
        <v>0.65176852182642442</v>
      </c>
      <c r="I78" s="49">
        <f t="shared" si="23"/>
        <v>0.11130644638989715</v>
      </c>
    </row>
    <row r="79" spans="2:14" ht="12.75" customHeight="1" x14ac:dyDescent="0.25">
      <c r="B79" s="82" t="s">
        <v>8</v>
      </c>
      <c r="C79" s="29">
        <v>58.968413233176513</v>
      </c>
      <c r="D79" s="29">
        <v>11.996235</v>
      </c>
      <c r="E79" s="49">
        <f t="shared" si="19"/>
        <v>0.15424795094179711</v>
      </c>
      <c r="F79" s="49">
        <f t="shared" si="20"/>
        <v>4.4847984479709932E-2</v>
      </c>
      <c r="G79" s="49">
        <f t="shared" si="21"/>
        <v>0.58280948033410229</v>
      </c>
      <c r="H79" s="50">
        <f t="shared" si="22"/>
        <v>0.69661650630613436</v>
      </c>
      <c r="I79" s="49">
        <f t="shared" si="23"/>
        <v>2.2678975673719251E-2</v>
      </c>
    </row>
    <row r="80" spans="2:14" ht="12.75" customHeight="1" x14ac:dyDescent="0.25">
      <c r="B80" s="82" t="s">
        <v>9</v>
      </c>
      <c r="C80" s="29">
        <v>77.313145320001027</v>
      </c>
      <c r="D80" s="29">
        <v>39.232453</v>
      </c>
      <c r="E80" s="49">
        <f t="shared" si="19"/>
        <v>0.20223359579508141</v>
      </c>
      <c r="F80" s="49">
        <f t="shared" si="20"/>
        <v>0.14667072154262978</v>
      </c>
      <c r="G80" s="49">
        <f t="shared" si="21"/>
        <v>0.78504307612918367</v>
      </c>
      <c r="H80" s="50">
        <f t="shared" si="22"/>
        <v>0.8432872278487642</v>
      </c>
      <c r="I80" s="49">
        <f t="shared" si="23"/>
        <v>0.10031196071020049</v>
      </c>
    </row>
    <row r="81" spans="1:14" ht="12.75" customHeight="1" thickBot="1" x14ac:dyDescent="0.3">
      <c r="B81" s="86" t="s">
        <v>10</v>
      </c>
      <c r="C81" s="32">
        <v>82.177225932354276</v>
      </c>
      <c r="D81" s="32">
        <v>41.918567000000003</v>
      </c>
      <c r="E81" s="51">
        <f t="shared" si="19"/>
        <v>0.21495692387081627</v>
      </c>
      <c r="F81" s="51">
        <f t="shared" si="20"/>
        <v>0.15671277215123589</v>
      </c>
      <c r="G81" s="51">
        <f t="shared" si="21"/>
        <v>1</v>
      </c>
      <c r="H81" s="52">
        <f t="shared" si="22"/>
        <v>1</v>
      </c>
      <c r="I81" s="51">
        <f t="shared" si="23"/>
        <v>0.13986952443478692</v>
      </c>
    </row>
    <row r="82" spans="1:14" ht="12.75" customHeight="1" thickBot="1" x14ac:dyDescent="0.3">
      <c r="B82" s="38" t="s">
        <v>12</v>
      </c>
      <c r="C82" s="32">
        <f>SUM(C70:C81)</f>
        <v>382.29625011632902</v>
      </c>
      <c r="D82" s="32">
        <f>SUM(D70:D81)</f>
        <v>267.48660255685115</v>
      </c>
      <c r="E82" s="51">
        <f>SUM(E71:E81)</f>
        <v>1</v>
      </c>
      <c r="F82" s="51">
        <f>SUM(F71:F81)</f>
        <v>1</v>
      </c>
      <c r="G82" s="52"/>
      <c r="H82" s="52"/>
      <c r="I82" s="51">
        <f>SUM(I70:I81)</f>
        <v>0.42433162908111466</v>
      </c>
    </row>
    <row r="83" spans="1:14" ht="12.75" customHeight="1" thickBot="1" x14ac:dyDescent="0.3">
      <c r="B83" s="47"/>
      <c r="C83" s="29"/>
      <c r="D83" s="29"/>
      <c r="E83" s="26"/>
      <c r="F83" s="27"/>
      <c r="G83" s="4"/>
      <c r="H83" s="40"/>
      <c r="I83" s="34"/>
    </row>
    <row r="84" spans="1:14" ht="12.75" customHeight="1" thickBot="1" x14ac:dyDescent="0.3">
      <c r="B84" s="4"/>
      <c r="C84" s="4"/>
      <c r="D84" s="4"/>
      <c r="E84" s="4"/>
      <c r="F84" s="4"/>
      <c r="G84" s="5"/>
      <c r="H84" s="48" t="s">
        <v>37</v>
      </c>
      <c r="I84" s="61">
        <f>1-(2*I82)</f>
        <v>0.15133674183777068</v>
      </c>
    </row>
    <row r="85" spans="1:14" ht="12.75" customHeight="1" x14ac:dyDescent="0.25">
      <c r="B85" s="4"/>
      <c r="C85" s="4"/>
      <c r="D85" s="4"/>
      <c r="E85" s="4"/>
      <c r="F85" s="4"/>
      <c r="G85" s="5"/>
      <c r="H85" s="107"/>
      <c r="I85" s="108"/>
    </row>
    <row r="86" spans="1:14" ht="12.75" customHeight="1" x14ac:dyDescent="0.25">
      <c r="B86" s="4"/>
      <c r="C86" s="4"/>
      <c r="D86" s="4"/>
      <c r="E86" s="4"/>
      <c r="F86" s="4"/>
      <c r="G86" s="5"/>
      <c r="H86" s="107"/>
      <c r="I86" s="108"/>
    </row>
    <row r="87" spans="1:14" ht="12.75" customHeight="1" x14ac:dyDescent="0.25"/>
    <row r="88" spans="1:14" ht="12.75" customHeight="1" x14ac:dyDescent="0.25"/>
    <row r="89" spans="1:14" ht="23.55" customHeight="1" x14ac:dyDescent="0.25">
      <c r="A89" s="252" t="s">
        <v>113</v>
      </c>
      <c r="B89" s="252"/>
      <c r="C89" s="252"/>
      <c r="D89" s="252"/>
      <c r="E89" s="252"/>
      <c r="F89" s="252"/>
    </row>
    <row r="90" spans="1:14" ht="12.75" customHeight="1" x14ac:dyDescent="0.25">
      <c r="D90" s="1"/>
    </row>
    <row r="91" spans="1:14" ht="12.75" customHeight="1" x14ac:dyDescent="0.25"/>
    <row r="92" spans="1:14" ht="16.2" thickBot="1" x14ac:dyDescent="0.35">
      <c r="B92" s="256" t="s">
        <v>99</v>
      </c>
      <c r="C92" s="256"/>
      <c r="D92" s="256"/>
      <c r="E92" s="256"/>
      <c r="F92" s="256"/>
      <c r="G92" s="256"/>
      <c r="H92" s="256"/>
      <c r="I92" s="256"/>
    </row>
    <row r="93" spans="1:14" ht="27" thickBot="1" x14ac:dyDescent="0.3">
      <c r="A93" s="8"/>
      <c r="B93" s="36" t="s">
        <v>19</v>
      </c>
      <c r="C93" s="37" t="s">
        <v>42</v>
      </c>
      <c r="D93" s="37" t="s">
        <v>44</v>
      </c>
      <c r="E93" s="37" t="s">
        <v>27</v>
      </c>
      <c r="F93" s="37" t="s">
        <v>21</v>
      </c>
      <c r="G93" s="37" t="s">
        <v>28</v>
      </c>
      <c r="H93" s="37" t="s">
        <v>117</v>
      </c>
      <c r="I93" s="37" t="s">
        <v>20</v>
      </c>
      <c r="J93" s="8"/>
      <c r="K93" s="8"/>
      <c r="L93" s="8"/>
      <c r="M93" s="8"/>
      <c r="N93" s="8"/>
    </row>
    <row r="94" spans="1:14" ht="12.75" customHeight="1" x14ac:dyDescent="0.25">
      <c r="B94" s="4"/>
      <c r="C94" s="26">
        <v>0</v>
      </c>
      <c r="D94" s="26">
        <v>0</v>
      </c>
      <c r="E94" s="49">
        <v>0</v>
      </c>
      <c r="F94" s="49">
        <v>0</v>
      </c>
      <c r="G94" s="49">
        <v>0</v>
      </c>
      <c r="H94" s="50">
        <f>F94</f>
        <v>0</v>
      </c>
      <c r="I94" s="49">
        <v>0</v>
      </c>
    </row>
    <row r="95" spans="1:14" ht="12.75" customHeight="1" x14ac:dyDescent="0.25">
      <c r="B95" s="82" t="s">
        <v>1</v>
      </c>
      <c r="C95" s="29">
        <v>4.4920799454716969</v>
      </c>
      <c r="D95" s="29">
        <v>7498.2226388555227</v>
      </c>
      <c r="E95" s="49">
        <f t="shared" ref="E95:E105" si="24">C95/$C$106</f>
        <v>2.0572122059260146E-3</v>
      </c>
      <c r="F95" s="49">
        <f t="shared" ref="F95:F105" si="25">D95/$D$106</f>
        <v>1.3686107021111144E-2</v>
      </c>
      <c r="G95" s="49">
        <f t="shared" ref="G95:G105" si="26">G94+E95</f>
        <v>2.0572122059260146E-3</v>
      </c>
      <c r="H95" s="50">
        <f t="shared" ref="H95:H105" si="27">F95+H94</f>
        <v>1.3686107021111144E-2</v>
      </c>
      <c r="I95" s="49">
        <f t="shared" ref="I95:I105" si="28">(G94+G95)*0.5*(H95-H94)</f>
        <v>1.4077613207719786E-5</v>
      </c>
    </row>
    <row r="96" spans="1:14" ht="12.75" customHeight="1" x14ac:dyDescent="0.25">
      <c r="B96" s="82" t="s">
        <v>195</v>
      </c>
      <c r="C96" s="29">
        <v>14.349918475935281</v>
      </c>
      <c r="D96" s="29">
        <v>4549.0211045835586</v>
      </c>
      <c r="E96" s="49">
        <f t="shared" si="24"/>
        <v>6.5717502362121075E-3</v>
      </c>
      <c r="F96" s="49">
        <f t="shared" si="25"/>
        <v>8.3030863015460567E-3</v>
      </c>
      <c r="G96" s="49">
        <f t="shared" si="26"/>
        <v>8.6289624421381217E-3</v>
      </c>
      <c r="H96" s="50">
        <f t="shared" si="27"/>
        <v>2.19891933226572E-2</v>
      </c>
      <c r="I96" s="49">
        <f t="shared" si="28"/>
        <v>4.4364115168135043E-5</v>
      </c>
    </row>
    <row r="97" spans="2:9" ht="12.75" customHeight="1" x14ac:dyDescent="0.25">
      <c r="B97" s="82" t="s">
        <v>2</v>
      </c>
      <c r="C97" s="29">
        <v>19.81100613627877</v>
      </c>
      <c r="D97" s="29">
        <v>33738.127951375733</v>
      </c>
      <c r="E97" s="49">
        <f t="shared" si="24"/>
        <v>9.07273337294719E-3</v>
      </c>
      <c r="F97" s="49">
        <f t="shared" si="25"/>
        <v>6.1580410728501248E-2</v>
      </c>
      <c r="G97" s="49">
        <f t="shared" si="26"/>
        <v>1.7701695815085312E-2</v>
      </c>
      <c r="H97" s="50">
        <f t="shared" si="27"/>
        <v>8.3569604051158444E-2</v>
      </c>
      <c r="I97" s="49">
        <f t="shared" si="28"/>
        <v>8.1072637511581092E-4</v>
      </c>
    </row>
    <row r="98" spans="2:9" ht="12.75" customHeight="1" x14ac:dyDescent="0.25">
      <c r="B98" s="82" t="s">
        <v>3</v>
      </c>
      <c r="C98" s="29">
        <v>27.244562190582403</v>
      </c>
      <c r="D98" s="29">
        <v>4739.5256339269945</v>
      </c>
      <c r="E98" s="49">
        <f t="shared" si="24"/>
        <v>1.2477036598619828E-2</v>
      </c>
      <c r="F98" s="49">
        <f t="shared" si="25"/>
        <v>8.6508040877704764E-3</v>
      </c>
      <c r="G98" s="49">
        <f t="shared" si="26"/>
        <v>3.0178732413705139E-2</v>
      </c>
      <c r="H98" s="50">
        <f t="shared" si="27"/>
        <v>9.2220408138928928E-2</v>
      </c>
      <c r="I98" s="49">
        <f t="shared" si="28"/>
        <v>2.0710210212291082E-4</v>
      </c>
    </row>
    <row r="99" spans="2:9" ht="12.75" customHeight="1" x14ac:dyDescent="0.25">
      <c r="B99" s="82" t="s">
        <v>4</v>
      </c>
      <c r="C99" s="29">
        <v>27.762864026902566</v>
      </c>
      <c r="D99" s="29">
        <v>149774.72401466093</v>
      </c>
      <c r="E99" s="49">
        <f t="shared" si="24"/>
        <v>1.2714400331450664E-2</v>
      </c>
      <c r="F99" s="49">
        <f t="shared" si="25"/>
        <v>0.273375838602054</v>
      </c>
      <c r="G99" s="49">
        <f t="shared" si="26"/>
        <v>4.2893132745155806E-2</v>
      </c>
      <c r="H99" s="50">
        <f t="shared" si="27"/>
        <v>0.3655962467409829</v>
      </c>
      <c r="I99" s="49">
        <f t="shared" si="28"/>
        <v>9.9880412080099075E-3</v>
      </c>
    </row>
    <row r="100" spans="2:9" ht="12.75" customHeight="1" x14ac:dyDescent="0.25">
      <c r="B100" s="82" t="s">
        <v>5</v>
      </c>
      <c r="C100" s="29">
        <v>83.428364274259323</v>
      </c>
      <c r="D100" s="29">
        <v>34543.134541376516</v>
      </c>
      <c r="E100" s="49">
        <f t="shared" si="24"/>
        <v>3.8207211667829283E-2</v>
      </c>
      <c r="F100" s="49">
        <f t="shared" si="25"/>
        <v>6.3049746446323052E-2</v>
      </c>
      <c r="G100" s="49">
        <f t="shared" si="26"/>
        <v>8.1100344412985081E-2</v>
      </c>
      <c r="H100" s="50">
        <f t="shared" si="27"/>
        <v>0.42864599318730595</v>
      </c>
      <c r="I100" s="49">
        <f t="shared" si="28"/>
        <v>3.9088786479093661E-3</v>
      </c>
    </row>
    <row r="101" spans="2:9" ht="12.75" customHeight="1" x14ac:dyDescent="0.25">
      <c r="B101" s="111" t="s">
        <v>6</v>
      </c>
      <c r="C101" s="29">
        <v>162.7577156565315</v>
      </c>
      <c r="D101" s="29">
        <v>12709.055149886017</v>
      </c>
      <c r="E101" s="49">
        <f t="shared" si="24"/>
        <v>7.4537221804073045E-2</v>
      </c>
      <c r="F101" s="49">
        <f t="shared" si="25"/>
        <v>2.3197162487174745E-2</v>
      </c>
      <c r="G101" s="49">
        <f t="shared" si="26"/>
        <v>0.15563756621705813</v>
      </c>
      <c r="H101" s="50">
        <f t="shared" si="27"/>
        <v>0.45184315567448069</v>
      </c>
      <c r="I101" s="49">
        <f t="shared" si="28"/>
        <v>2.7458238898796822E-3</v>
      </c>
    </row>
    <row r="102" spans="2:9" ht="12.75" customHeight="1" x14ac:dyDescent="0.25">
      <c r="B102" s="82" t="s">
        <v>7</v>
      </c>
      <c r="C102" s="29">
        <v>330.96219581347026</v>
      </c>
      <c r="D102" s="29">
        <v>179268.67227891536</v>
      </c>
      <c r="E102" s="49">
        <f t="shared" si="24"/>
        <v>0.15156886724910063</v>
      </c>
      <c r="F102" s="49">
        <f t="shared" si="25"/>
        <v>0.327209573856588</v>
      </c>
      <c r="G102" s="49">
        <f t="shared" si="26"/>
        <v>0.30720643346615872</v>
      </c>
      <c r="H102" s="50">
        <f t="shared" si="27"/>
        <v>0.77905272953106874</v>
      </c>
      <c r="I102" s="49">
        <f t="shared" si="28"/>
        <v>7.5723493949212087E-2</v>
      </c>
    </row>
    <row r="103" spans="2:9" ht="12.75" customHeight="1" x14ac:dyDescent="0.25">
      <c r="B103" s="82" t="s">
        <v>8</v>
      </c>
      <c r="C103" s="29">
        <v>416.80308732067164</v>
      </c>
      <c r="D103" s="29">
        <v>8412.6065227973904</v>
      </c>
      <c r="E103" s="49">
        <f t="shared" si="24"/>
        <v>0.19088093023992125</v>
      </c>
      <c r="F103" s="49">
        <f t="shared" si="25"/>
        <v>1.5355083296789959E-2</v>
      </c>
      <c r="G103" s="49">
        <f t="shared" si="26"/>
        <v>0.49808736370607998</v>
      </c>
      <c r="H103" s="50">
        <f t="shared" si="27"/>
        <v>0.79440781282785866</v>
      </c>
      <c r="I103" s="49">
        <f t="shared" si="28"/>
        <v>6.1826766669839852E-3</v>
      </c>
    </row>
    <row r="104" spans="2:9" ht="12.75" customHeight="1" x14ac:dyDescent="0.25">
      <c r="B104" s="82" t="s">
        <v>9</v>
      </c>
      <c r="C104" s="29">
        <v>448.50336533961865</v>
      </c>
      <c r="D104" s="29">
        <v>43226.930239887697</v>
      </c>
      <c r="E104" s="49">
        <f t="shared" si="24"/>
        <v>0.20539852557736976</v>
      </c>
      <c r="F104" s="49">
        <f t="shared" si="25"/>
        <v>7.8899816923481969E-2</v>
      </c>
      <c r="G104" s="49">
        <f t="shared" si="26"/>
        <v>0.70348588928344968</v>
      </c>
      <c r="H104" s="50">
        <f t="shared" si="27"/>
        <v>0.87330762975134069</v>
      </c>
      <c r="I104" s="49">
        <f t="shared" si="28"/>
        <v>4.7401954840513315E-2</v>
      </c>
    </row>
    <row r="105" spans="2:9" ht="12.75" customHeight="1" thickBot="1" x14ac:dyDescent="0.3">
      <c r="B105" s="86" t="s">
        <v>10</v>
      </c>
      <c r="C105" s="32">
        <v>647.46120330334657</v>
      </c>
      <c r="D105" s="32">
        <v>69411.089457609574</v>
      </c>
      <c r="E105" s="51">
        <f t="shared" si="24"/>
        <v>0.29651411071655015</v>
      </c>
      <c r="F105" s="51">
        <f t="shared" si="25"/>
        <v>0.12669237024865945</v>
      </c>
      <c r="G105" s="51">
        <f t="shared" si="26"/>
        <v>0.99999999999999978</v>
      </c>
      <c r="H105" s="52">
        <f t="shared" si="27"/>
        <v>1.0000000000000002</v>
      </c>
      <c r="I105" s="51">
        <f t="shared" si="28"/>
        <v>0.10790933249923292</v>
      </c>
    </row>
    <row r="106" spans="2:9" ht="12.75" customHeight="1" thickBot="1" x14ac:dyDescent="0.3">
      <c r="B106" s="38" t="s">
        <v>12</v>
      </c>
      <c r="C106" s="32">
        <f>SUM(C95:C105)</f>
        <v>2183.5763624830688</v>
      </c>
      <c r="D106" s="32">
        <f>SUM(D94:D105)</f>
        <v>547871.10953387525</v>
      </c>
      <c r="E106" s="39">
        <f>SUM(E95:E105)</f>
        <v>0.99999999999999978</v>
      </c>
      <c r="F106" s="33">
        <f>SUM(F95:F105)</f>
        <v>1.0000000000000002</v>
      </c>
      <c r="G106" s="40"/>
      <c r="H106" s="40"/>
      <c r="I106" s="51">
        <f>SUM(I94:I105)</f>
        <v>0.25493647190735585</v>
      </c>
    </row>
    <row r="107" spans="2:9" ht="12.75" customHeight="1" thickBot="1" x14ac:dyDescent="0.3">
      <c r="B107" s="4"/>
      <c r="C107" s="4"/>
      <c r="D107" s="4"/>
      <c r="E107" s="4"/>
      <c r="F107" s="4"/>
      <c r="G107" s="4"/>
      <c r="H107" s="7"/>
      <c r="I107" s="53"/>
    </row>
    <row r="108" spans="2:9" ht="12.75" customHeight="1" thickBot="1" x14ac:dyDescent="0.3">
      <c r="B108" s="4"/>
      <c r="C108" s="4"/>
      <c r="D108" s="4"/>
      <c r="E108" s="4"/>
      <c r="F108" s="4"/>
      <c r="G108" s="5"/>
      <c r="H108" s="24" t="s">
        <v>29</v>
      </c>
      <c r="I108" s="52">
        <f>1-(2*I106)</f>
        <v>0.49012705618528829</v>
      </c>
    </row>
    <row r="109" spans="2:9" ht="12.75" customHeight="1" x14ac:dyDescent="0.25"/>
    <row r="110" spans="2:9" ht="12.75" customHeight="1" x14ac:dyDescent="0.25"/>
    <row r="111" spans="2:9" ht="12.75" customHeight="1" x14ac:dyDescent="0.25"/>
    <row r="112" spans="2:9" ht="12.75" customHeight="1" x14ac:dyDescent="0.25"/>
    <row r="113" spans="1:14" ht="16.2" thickBot="1" x14ac:dyDescent="0.35">
      <c r="B113" s="256" t="s">
        <v>100</v>
      </c>
      <c r="C113" s="256"/>
      <c r="D113" s="256"/>
      <c r="E113" s="256"/>
      <c r="F113" s="256"/>
      <c r="G113" s="256"/>
      <c r="H113" s="256"/>
      <c r="I113" s="256"/>
    </row>
    <row r="114" spans="1:14" ht="27" thickBot="1" x14ac:dyDescent="0.3">
      <c r="A114" s="8"/>
      <c r="B114" s="30" t="s">
        <v>19</v>
      </c>
      <c r="C114" s="31" t="s">
        <v>43</v>
      </c>
      <c r="D114" s="31" t="s">
        <v>44</v>
      </c>
      <c r="E114" s="31" t="s">
        <v>31</v>
      </c>
      <c r="F114" s="31" t="s">
        <v>21</v>
      </c>
      <c r="G114" s="31" t="s">
        <v>32</v>
      </c>
      <c r="H114" s="31" t="s">
        <v>117</v>
      </c>
      <c r="I114" s="31" t="s">
        <v>20</v>
      </c>
      <c r="J114" s="8"/>
      <c r="K114" s="8"/>
      <c r="L114" s="8"/>
      <c r="M114" s="8"/>
      <c r="N114" s="8"/>
    </row>
    <row r="115" spans="1:14" ht="12.75" customHeight="1" x14ac:dyDescent="0.25">
      <c r="B115" s="4"/>
      <c r="C115" s="26">
        <v>0</v>
      </c>
      <c r="D115" s="26">
        <v>0</v>
      </c>
      <c r="E115" s="49">
        <f t="shared" ref="E115:E126" si="29">C115/$C$127</f>
        <v>0</v>
      </c>
      <c r="F115" s="49">
        <v>0</v>
      </c>
      <c r="G115" s="49">
        <v>0</v>
      </c>
      <c r="H115" s="50">
        <f>F115</f>
        <v>0</v>
      </c>
      <c r="I115" s="49">
        <v>0</v>
      </c>
    </row>
    <row r="116" spans="1:14" ht="12.75" customHeight="1" x14ac:dyDescent="0.25">
      <c r="B116" s="82" t="s">
        <v>1</v>
      </c>
      <c r="C116" s="29">
        <v>12.495254145281351</v>
      </c>
      <c r="D116" s="29">
        <v>7498.2226388555227</v>
      </c>
      <c r="E116" s="49">
        <f t="shared" si="29"/>
        <v>5.6387986055587242E-3</v>
      </c>
      <c r="F116" s="49">
        <f>D116/$D$127</f>
        <v>1.3686107021111144E-2</v>
      </c>
      <c r="G116" s="49">
        <f t="shared" ref="G116:G126" si="30">G115+E116</f>
        <v>5.6387986055587242E-3</v>
      </c>
      <c r="H116" s="50">
        <f t="shared" ref="H116:H126" si="31">F116+H115</f>
        <v>1.3686107021111144E-2</v>
      </c>
      <c r="I116" s="49">
        <f t="shared" ref="I116:I126" si="32">(G115+G116)*0.5*(H116-H115)</f>
        <v>3.8586600593084488E-5</v>
      </c>
    </row>
    <row r="117" spans="1:14" ht="12.75" customHeight="1" x14ac:dyDescent="0.25">
      <c r="B117" s="82" t="s">
        <v>195</v>
      </c>
      <c r="C117" s="29">
        <v>12.678271607557253</v>
      </c>
      <c r="D117" s="29">
        <v>4549.0211045835586</v>
      </c>
      <c r="E117" s="49">
        <f t="shared" si="29"/>
        <v>5.7213898517290938E-3</v>
      </c>
      <c r="F117" s="49">
        <f t="shared" ref="F117:F126" si="33">D117/$D$127</f>
        <v>8.3030863015460567E-3</v>
      </c>
      <c r="G117" s="49">
        <f t="shared" si="30"/>
        <v>1.1360188457287819E-2</v>
      </c>
      <c r="H117" s="50">
        <f t="shared" si="31"/>
        <v>2.19891933226572E-2</v>
      </c>
      <c r="I117" s="49">
        <f t="shared" si="32"/>
        <v>7.0572028310839893E-5</v>
      </c>
    </row>
    <row r="118" spans="1:14" ht="12.75" customHeight="1" x14ac:dyDescent="0.25">
      <c r="B118" s="82" t="s">
        <v>2</v>
      </c>
      <c r="C118" s="29">
        <v>19.681066838943018</v>
      </c>
      <c r="D118" s="29">
        <v>33738.127951375733</v>
      </c>
      <c r="E118" s="49">
        <f t="shared" si="29"/>
        <v>8.8815778340330109E-3</v>
      </c>
      <c r="F118" s="49">
        <f t="shared" si="33"/>
        <v>6.1580410728501248E-2</v>
      </c>
      <c r="G118" s="49">
        <f t="shared" si="30"/>
        <v>2.024176629132083E-2</v>
      </c>
      <c r="H118" s="50">
        <f t="shared" si="31"/>
        <v>8.3569604051158444E-2</v>
      </c>
      <c r="I118" s="49">
        <f t="shared" si="32"/>
        <v>9.7303067662141553E-4</v>
      </c>
    </row>
    <row r="119" spans="1:14" ht="12.75" customHeight="1" x14ac:dyDescent="0.25">
      <c r="B119" s="82" t="s">
        <v>3</v>
      </c>
      <c r="C119" s="29">
        <v>26.084130370190923</v>
      </c>
      <c r="D119" s="29">
        <v>4739.5256339269945</v>
      </c>
      <c r="E119" s="49">
        <f t="shared" si="29"/>
        <v>1.1771121759391212E-2</v>
      </c>
      <c r="F119" s="49">
        <f t="shared" si="33"/>
        <v>8.6508040877704764E-3</v>
      </c>
      <c r="G119" s="49">
        <f t="shared" si="30"/>
        <v>3.2012888050712042E-2</v>
      </c>
      <c r="H119" s="50">
        <f t="shared" si="31"/>
        <v>9.2220408138928928E-2</v>
      </c>
      <c r="I119" s="49">
        <f t="shared" si="32"/>
        <v>2.2602238869354581E-4</v>
      </c>
    </row>
    <row r="120" spans="1:14" ht="12.75" customHeight="1" x14ac:dyDescent="0.25">
      <c r="B120" s="82" t="s">
        <v>4</v>
      </c>
      <c r="C120" s="29">
        <v>57.060380284925856</v>
      </c>
      <c r="D120" s="29">
        <v>149774.72401466093</v>
      </c>
      <c r="E120" s="49">
        <f t="shared" si="29"/>
        <v>2.5749935859031358E-2</v>
      </c>
      <c r="F120" s="49">
        <f t="shared" si="33"/>
        <v>0.273375838602054</v>
      </c>
      <c r="G120" s="49">
        <f t="shared" si="30"/>
        <v>5.7762823909743397E-2</v>
      </c>
      <c r="H120" s="50">
        <f t="shared" si="31"/>
        <v>0.3655962467409829</v>
      </c>
      <c r="I120" s="49">
        <f t="shared" si="32"/>
        <v>1.2271255271642975E-2</v>
      </c>
    </row>
    <row r="121" spans="1:14" ht="12.75" customHeight="1" x14ac:dyDescent="0.25">
      <c r="B121" s="82" t="s">
        <v>5</v>
      </c>
      <c r="C121" s="29">
        <v>68.224789784349042</v>
      </c>
      <c r="D121" s="29">
        <v>34543.134541376516</v>
      </c>
      <c r="E121" s="49">
        <f t="shared" si="29"/>
        <v>3.0788157249750939E-2</v>
      </c>
      <c r="F121" s="49">
        <f t="shared" si="33"/>
        <v>6.3049746446323052E-2</v>
      </c>
      <c r="G121" s="49">
        <f t="shared" si="30"/>
        <v>8.8550981159494335E-2</v>
      </c>
      <c r="H121" s="50">
        <f t="shared" si="31"/>
        <v>0.42864599318730595</v>
      </c>
      <c r="I121" s="49">
        <f t="shared" si="32"/>
        <v>4.6125241556060877E-3</v>
      </c>
    </row>
    <row r="122" spans="1:14" ht="12.75" customHeight="1" x14ac:dyDescent="0.25">
      <c r="B122" s="111" t="s">
        <v>6</v>
      </c>
      <c r="C122" s="29">
        <v>115.09356267302397</v>
      </c>
      <c r="D122" s="29">
        <v>12709.055149886017</v>
      </c>
      <c r="E122" s="49">
        <f t="shared" si="29"/>
        <v>5.1938873204472963E-2</v>
      </c>
      <c r="F122" s="49">
        <f>D122/$D$127</f>
        <v>2.3197162487174745E-2</v>
      </c>
      <c r="G122" s="49">
        <f t="shared" si="30"/>
        <v>0.1404898543639673</v>
      </c>
      <c r="H122" s="50">
        <f t="shared" si="31"/>
        <v>0.45184315567448069</v>
      </c>
      <c r="I122" s="49">
        <f t="shared" si="32"/>
        <v>2.6565487389180018E-3</v>
      </c>
    </row>
    <row r="123" spans="1:14" ht="12.75" customHeight="1" x14ac:dyDescent="0.25">
      <c r="B123" s="82" t="s">
        <v>7</v>
      </c>
      <c r="C123" s="29">
        <v>275.60885090207972</v>
      </c>
      <c r="D123" s="29">
        <v>179268.67227891536</v>
      </c>
      <c r="E123" s="49">
        <f t="shared" si="29"/>
        <v>0.12437544575539296</v>
      </c>
      <c r="F123" s="49">
        <f t="shared" si="33"/>
        <v>0.327209573856588</v>
      </c>
      <c r="G123" s="49">
        <f t="shared" si="30"/>
        <v>0.26486530011936027</v>
      </c>
      <c r="H123" s="50">
        <f t="shared" si="31"/>
        <v>0.77905272953106874</v>
      </c>
      <c r="I123" s="49">
        <f t="shared" si="32"/>
        <v>6.6318043679530522E-2</v>
      </c>
    </row>
    <row r="124" spans="1:14" ht="12.75" customHeight="1" x14ac:dyDescent="0.25">
      <c r="B124" s="82" t="s">
        <v>8</v>
      </c>
      <c r="C124" s="29">
        <v>371.80449767139828</v>
      </c>
      <c r="D124" s="29">
        <v>8412.6065227973904</v>
      </c>
      <c r="E124" s="49">
        <f>C124/$C$127</f>
        <v>0.16778615773906982</v>
      </c>
      <c r="F124" s="49">
        <f t="shared" si="33"/>
        <v>1.5355083296789959E-2</v>
      </c>
      <c r="G124" s="49">
        <f t="shared" si="30"/>
        <v>0.43265145785843007</v>
      </c>
      <c r="H124" s="50">
        <f t="shared" si="31"/>
        <v>0.79440781282785866</v>
      </c>
      <c r="I124" s="49">
        <f t="shared" si="32"/>
        <v>5.3552139598279118E-3</v>
      </c>
    </row>
    <row r="125" spans="1:14" ht="12.75" customHeight="1" x14ac:dyDescent="0.25">
      <c r="B125" s="82" t="s">
        <v>9</v>
      </c>
      <c r="C125" s="29">
        <v>477.69664528568518</v>
      </c>
      <c r="D125" s="29">
        <v>43226.930239887697</v>
      </c>
      <c r="E125" s="49">
        <f>C125/$C$127</f>
        <v>0.21557266030753078</v>
      </c>
      <c r="F125" s="49">
        <f t="shared" si="33"/>
        <v>7.8899816923481969E-2</v>
      </c>
      <c r="G125" s="49">
        <f t="shared" si="30"/>
        <v>0.64822411816596082</v>
      </c>
      <c r="H125" s="50">
        <f t="shared" si="31"/>
        <v>0.87330762975134069</v>
      </c>
      <c r="I125" s="49">
        <f t="shared" si="32"/>
        <v>4.2640442532693806E-2</v>
      </c>
    </row>
    <row r="126" spans="1:14" ht="12.75" customHeight="1" thickBot="1" x14ac:dyDescent="0.3">
      <c r="B126" s="86" t="s">
        <v>10</v>
      </c>
      <c r="C126" s="32">
        <v>779.51516859702542</v>
      </c>
      <c r="D126" s="32">
        <v>69411.089457609574</v>
      </c>
      <c r="E126" s="51">
        <f t="shared" si="29"/>
        <v>0.35177588183403924</v>
      </c>
      <c r="F126" s="51">
        <f t="shared" si="33"/>
        <v>0.12669237024865945</v>
      </c>
      <c r="G126" s="51">
        <f t="shared" si="30"/>
        <v>1</v>
      </c>
      <c r="H126" s="52">
        <f t="shared" si="31"/>
        <v>1.0000000000000002</v>
      </c>
      <c r="I126" s="51">
        <f t="shared" si="32"/>
        <v>0.10440871011572614</v>
      </c>
    </row>
    <row r="127" spans="1:14" ht="12.75" customHeight="1" thickBot="1" x14ac:dyDescent="0.3">
      <c r="B127" s="38" t="s">
        <v>12</v>
      </c>
      <c r="C127" s="32">
        <f>SUM(C115:C126)</f>
        <v>2215.9426181604599</v>
      </c>
      <c r="D127" s="32">
        <f>SUM(D115:D126)</f>
        <v>547871.10953387525</v>
      </c>
      <c r="E127" s="51">
        <f>SUM(E116:E126)</f>
        <v>1</v>
      </c>
      <c r="F127" s="51">
        <f>SUM(F116:F126)</f>
        <v>1.0000000000000002</v>
      </c>
      <c r="G127" s="52"/>
      <c r="H127" s="52"/>
      <c r="I127" s="51">
        <f>SUM(I115:I126)</f>
        <v>0.23957095014816432</v>
      </c>
    </row>
    <row r="128" spans="1:14" ht="12.75" customHeight="1" thickBot="1" x14ac:dyDescent="0.3">
      <c r="B128" s="4"/>
      <c r="C128" s="4"/>
      <c r="D128" s="4"/>
      <c r="E128" s="50"/>
      <c r="F128" s="50"/>
      <c r="G128" s="50"/>
      <c r="H128" s="53"/>
      <c r="I128" s="53"/>
    </row>
    <row r="129" spans="1:14" ht="12.75" customHeight="1" thickBot="1" x14ac:dyDescent="0.3">
      <c r="B129" s="4"/>
      <c r="C129" s="4"/>
      <c r="D129" s="4"/>
      <c r="E129" s="50"/>
      <c r="F129" s="50"/>
      <c r="G129" s="55"/>
      <c r="H129" s="56" t="s">
        <v>29</v>
      </c>
      <c r="I129" s="52">
        <f>1-(2*I127)</f>
        <v>0.52085809970367136</v>
      </c>
    </row>
    <row r="130" spans="1:14" ht="12.75" customHeight="1" x14ac:dyDescent="0.25"/>
    <row r="131" spans="1:14" ht="12.75" customHeight="1" x14ac:dyDescent="0.25"/>
    <row r="132" spans="1:14" ht="12.75" customHeight="1" x14ac:dyDescent="0.25"/>
    <row r="133" spans="1:14" ht="12.75" customHeight="1" x14ac:dyDescent="0.25"/>
    <row r="134" spans="1:14" ht="16.2" thickBot="1" x14ac:dyDescent="0.35">
      <c r="B134" s="256" t="s">
        <v>105</v>
      </c>
      <c r="C134" s="256"/>
      <c r="D134" s="256"/>
      <c r="E134" s="256"/>
      <c r="F134" s="256"/>
      <c r="G134" s="256"/>
      <c r="H134" s="256"/>
      <c r="I134" s="256"/>
    </row>
    <row r="135" spans="1:14" ht="27" thickBot="1" x14ac:dyDescent="0.3">
      <c r="A135" s="8"/>
      <c r="B135" s="30" t="s">
        <v>19</v>
      </c>
      <c r="C135" s="31" t="s">
        <v>38</v>
      </c>
      <c r="D135" s="31" t="s">
        <v>34</v>
      </c>
      <c r="E135" s="31" t="s">
        <v>15</v>
      </c>
      <c r="F135" s="31" t="s">
        <v>21</v>
      </c>
      <c r="G135" s="31" t="s">
        <v>17</v>
      </c>
      <c r="H135" s="31" t="s">
        <v>117</v>
      </c>
      <c r="I135" s="31" t="s">
        <v>20</v>
      </c>
      <c r="J135" s="8"/>
      <c r="K135" s="8"/>
      <c r="L135" s="8"/>
      <c r="M135" s="8"/>
      <c r="N135" s="8"/>
    </row>
    <row r="136" spans="1:14" ht="12.75" customHeight="1" x14ac:dyDescent="0.25">
      <c r="B136" s="4"/>
      <c r="C136" s="26">
        <v>0</v>
      </c>
      <c r="D136" s="26">
        <v>0</v>
      </c>
      <c r="E136" s="49">
        <v>0</v>
      </c>
      <c r="F136" s="49">
        <v>0</v>
      </c>
      <c r="G136" s="49">
        <v>0</v>
      </c>
      <c r="H136" s="50">
        <f>F136</f>
        <v>0</v>
      </c>
      <c r="I136" s="49">
        <v>0</v>
      </c>
    </row>
    <row r="137" spans="1:14" ht="12.75" customHeight="1" x14ac:dyDescent="0.25">
      <c r="B137" s="82" t="s">
        <v>1</v>
      </c>
      <c r="C137" s="29">
        <v>0</v>
      </c>
      <c r="D137" s="29">
        <v>7498.2226388555227</v>
      </c>
      <c r="E137" s="49">
        <f>C137/$C$148</f>
        <v>0</v>
      </c>
      <c r="F137" s="49">
        <f>D137/$D$148</f>
        <v>1.3686107021111144E-2</v>
      </c>
      <c r="G137" s="49">
        <f t="shared" ref="G137:G147" si="34">G136+E137</f>
        <v>0</v>
      </c>
      <c r="H137" s="50">
        <f t="shared" ref="H137:H147" si="35">F137+H136</f>
        <v>1.3686107021111144E-2</v>
      </c>
      <c r="I137" s="49">
        <f t="shared" ref="I137:I147" si="36">(G136+G137)*0.5*(H137-H136)</f>
        <v>0</v>
      </c>
    </row>
    <row r="138" spans="1:14" ht="12.75" customHeight="1" x14ac:dyDescent="0.25">
      <c r="B138" s="82" t="s">
        <v>195</v>
      </c>
      <c r="C138" s="29">
        <v>0</v>
      </c>
      <c r="D138" s="29">
        <v>4549.0211045835586</v>
      </c>
      <c r="E138" s="49">
        <f t="shared" ref="E138:E147" si="37">C138/$C$148</f>
        <v>0</v>
      </c>
      <c r="F138" s="49">
        <f t="shared" ref="F138:F147" si="38">D138/$D$148</f>
        <v>8.3030863015460567E-3</v>
      </c>
      <c r="G138" s="49">
        <f t="shared" si="34"/>
        <v>0</v>
      </c>
      <c r="H138" s="50">
        <f t="shared" si="35"/>
        <v>2.19891933226572E-2</v>
      </c>
      <c r="I138" s="49">
        <f t="shared" si="36"/>
        <v>0</v>
      </c>
    </row>
    <row r="139" spans="1:14" ht="12.75" customHeight="1" x14ac:dyDescent="0.25">
      <c r="B139" s="82" t="s">
        <v>2</v>
      </c>
      <c r="C139" s="29">
        <v>0</v>
      </c>
      <c r="D139" s="29">
        <v>33738.127951375733</v>
      </c>
      <c r="E139" s="49">
        <f t="shared" si="37"/>
        <v>0</v>
      </c>
      <c r="F139" s="49">
        <f t="shared" si="38"/>
        <v>6.1580410728501248E-2</v>
      </c>
      <c r="G139" s="49">
        <f t="shared" si="34"/>
        <v>0</v>
      </c>
      <c r="H139" s="50">
        <f t="shared" si="35"/>
        <v>8.3569604051158444E-2</v>
      </c>
      <c r="I139" s="49">
        <f t="shared" si="36"/>
        <v>0</v>
      </c>
    </row>
    <row r="140" spans="1:14" ht="12.75" customHeight="1" x14ac:dyDescent="0.25">
      <c r="B140" s="82" t="s">
        <v>3</v>
      </c>
      <c r="C140" s="29">
        <v>1.3224981196287995</v>
      </c>
      <c r="D140" s="29">
        <v>4739.5256339269945</v>
      </c>
      <c r="E140" s="49">
        <f t="shared" si="37"/>
        <v>5.4290577913134646E-3</v>
      </c>
      <c r="F140" s="49">
        <f t="shared" si="38"/>
        <v>8.6508040877704764E-3</v>
      </c>
      <c r="G140" s="49">
        <f t="shared" si="34"/>
        <v>5.4290577913134646E-3</v>
      </c>
      <c r="H140" s="50">
        <f t="shared" si="35"/>
        <v>9.2220408138928928E-2</v>
      </c>
      <c r="I140" s="49">
        <f t="shared" si="36"/>
        <v>2.3482857666918354E-5</v>
      </c>
    </row>
    <row r="141" spans="1:14" ht="12.75" customHeight="1" x14ac:dyDescent="0.25">
      <c r="B141" s="82" t="s">
        <v>4</v>
      </c>
      <c r="C141" s="29">
        <v>1.9103503028842752</v>
      </c>
      <c r="D141" s="29">
        <v>149774.72401466093</v>
      </c>
      <c r="E141" s="49">
        <f t="shared" si="37"/>
        <v>7.8422812418992086E-3</v>
      </c>
      <c r="F141" s="49">
        <f t="shared" si="38"/>
        <v>0.273375838602054</v>
      </c>
      <c r="G141" s="49">
        <f t="shared" si="34"/>
        <v>1.3271339033212672E-2</v>
      </c>
      <c r="H141" s="50">
        <f t="shared" si="35"/>
        <v>0.3655962467409829</v>
      </c>
      <c r="I141" s="49">
        <f t="shared" si="36"/>
        <v>2.5561183320480093E-3</v>
      </c>
    </row>
    <row r="142" spans="1:14" ht="12.75" customHeight="1" x14ac:dyDescent="0.25">
      <c r="B142" s="82" t="s">
        <v>5</v>
      </c>
      <c r="C142" s="29">
        <v>7.1530660073489152</v>
      </c>
      <c r="D142" s="29">
        <v>34543.134541376516</v>
      </c>
      <c r="E142" s="49">
        <f t="shared" si="37"/>
        <v>2.9364433992448483E-2</v>
      </c>
      <c r="F142" s="49">
        <f t="shared" si="38"/>
        <v>6.3049746446323052E-2</v>
      </c>
      <c r="G142" s="49">
        <f t="shared" si="34"/>
        <v>4.2635773025661156E-2</v>
      </c>
      <c r="H142" s="50">
        <f t="shared" si="35"/>
        <v>0.42864599318730595</v>
      </c>
      <c r="I142" s="49">
        <f t="shared" si="36"/>
        <v>1.7624646199290825E-3</v>
      </c>
    </row>
    <row r="143" spans="1:14" ht="12.75" customHeight="1" x14ac:dyDescent="0.25">
      <c r="B143" s="111" t="s">
        <v>6</v>
      </c>
      <c r="C143" s="29">
        <v>8.1725692358649695</v>
      </c>
      <c r="D143" s="29">
        <v>12709.055149886017</v>
      </c>
      <c r="E143" s="49">
        <f t="shared" si="37"/>
        <v>3.3549651244475932E-2</v>
      </c>
      <c r="F143" s="49">
        <f t="shared" si="38"/>
        <v>2.3197162487174745E-2</v>
      </c>
      <c r="G143" s="49">
        <f t="shared" si="34"/>
        <v>7.6185424270137081E-2</v>
      </c>
      <c r="H143" s="50">
        <f t="shared" si="35"/>
        <v>0.45184315567448069</v>
      </c>
      <c r="I143" s="49">
        <f t="shared" si="36"/>
        <v>1.3781573102956397E-3</v>
      </c>
    </row>
    <row r="144" spans="1:14" ht="12.75" customHeight="1" x14ac:dyDescent="0.25">
      <c r="B144" s="82" t="s">
        <v>7</v>
      </c>
      <c r="C144" s="29">
        <v>27.678981965070257</v>
      </c>
      <c r="D144" s="29">
        <v>179268.67227891536</v>
      </c>
      <c r="E144" s="49">
        <f t="shared" si="37"/>
        <v>0.11362646983215957</v>
      </c>
      <c r="F144" s="49">
        <f t="shared" si="38"/>
        <v>0.327209573856588</v>
      </c>
      <c r="G144" s="49">
        <f t="shared" si="34"/>
        <v>0.18981189410229665</v>
      </c>
      <c r="H144" s="50">
        <f>F144+H143</f>
        <v>0.77905272953106874</v>
      </c>
      <c r="I144" s="49">
        <f t="shared" si="36"/>
        <v>4.3518434595819611E-2</v>
      </c>
    </row>
    <row r="145" spans="1:14" ht="12.75" customHeight="1" x14ac:dyDescent="0.25">
      <c r="B145" s="82" t="s">
        <v>8</v>
      </c>
      <c r="C145" s="29">
        <v>58.968413233176513</v>
      </c>
      <c r="D145" s="29">
        <v>8412.6065227973904</v>
      </c>
      <c r="E145" s="49">
        <f t="shared" si="37"/>
        <v>0.24207438827574823</v>
      </c>
      <c r="F145" s="49">
        <f t="shared" si="38"/>
        <v>1.5355083296789959E-2</v>
      </c>
      <c r="G145" s="49">
        <f t="shared" si="34"/>
        <v>0.43188628237804488</v>
      </c>
      <c r="H145" s="50">
        <f t="shared" si="35"/>
        <v>0.79440781282785866</v>
      </c>
      <c r="I145" s="49">
        <f t="shared" si="36"/>
        <v>4.7731136426590213E-3</v>
      </c>
    </row>
    <row r="146" spans="1:14" ht="12.75" customHeight="1" x14ac:dyDescent="0.25">
      <c r="B146" s="82" t="s">
        <v>9</v>
      </c>
      <c r="C146" s="29">
        <v>61.077225932354281</v>
      </c>
      <c r="D146" s="29">
        <v>43226.930239887697</v>
      </c>
      <c r="E146" s="49">
        <f t="shared" si="37"/>
        <v>0.25073138811942691</v>
      </c>
      <c r="F146" s="49">
        <f>D146/$D$148</f>
        <v>7.8899816923481969E-2</v>
      </c>
      <c r="G146" s="49">
        <f t="shared" si="34"/>
        <v>0.6826176704974718</v>
      </c>
      <c r="H146" s="50">
        <f t="shared" si="35"/>
        <v>0.87330762975134069</v>
      </c>
      <c r="I146" s="49">
        <f t="shared" si="36"/>
        <v>4.3967078921187654E-2</v>
      </c>
    </row>
    <row r="147" spans="1:14" ht="12.75" customHeight="1" thickBot="1" x14ac:dyDescent="0.3">
      <c r="B147" s="86" t="s">
        <v>10</v>
      </c>
      <c r="C147" s="32">
        <v>77.313145320001027</v>
      </c>
      <c r="D147" s="32">
        <v>69411.089457609574</v>
      </c>
      <c r="E147" s="51">
        <f t="shared" si="37"/>
        <v>0.31738232950252826</v>
      </c>
      <c r="F147" s="51">
        <f t="shared" si="38"/>
        <v>0.12669237024865945</v>
      </c>
      <c r="G147" s="51">
        <f t="shared" si="34"/>
        <v>1</v>
      </c>
      <c r="H147" s="52">
        <f t="shared" si="35"/>
        <v>1.0000000000000002</v>
      </c>
      <c r="I147" s="51">
        <f t="shared" si="36"/>
        <v>0.10658741044880135</v>
      </c>
    </row>
    <row r="148" spans="1:14" ht="12.75" customHeight="1" thickBot="1" x14ac:dyDescent="0.3">
      <c r="B148" s="38" t="s">
        <v>12</v>
      </c>
      <c r="C148" s="32">
        <f>SUM(C136:C147)</f>
        <v>243.59625011632903</v>
      </c>
      <c r="D148" s="32">
        <f>SUM(D136:D147)</f>
        <v>547871.10953387525</v>
      </c>
      <c r="E148" s="51">
        <f>SUM(E137:E147)</f>
        <v>1</v>
      </c>
      <c r="F148" s="51">
        <f>SUM(F137:F147)</f>
        <v>1.0000000000000002</v>
      </c>
      <c r="G148" s="52"/>
      <c r="H148" s="52"/>
      <c r="I148" s="51">
        <f>SUM(I136:I147)</f>
        <v>0.20456626072840728</v>
      </c>
    </row>
    <row r="149" spans="1:14" ht="12.75" customHeight="1" thickBot="1" x14ac:dyDescent="0.3">
      <c r="B149" s="4"/>
      <c r="C149" s="4"/>
      <c r="D149" s="4"/>
      <c r="E149" s="50"/>
      <c r="F149" s="50"/>
      <c r="G149" s="50"/>
      <c r="H149" s="53"/>
      <c r="I149" s="53"/>
    </row>
    <row r="150" spans="1:14" ht="12.75" customHeight="1" thickBot="1" x14ac:dyDescent="0.3">
      <c r="B150" s="4"/>
      <c r="C150" s="4"/>
      <c r="D150" s="4"/>
      <c r="E150" s="50"/>
      <c r="F150" s="50"/>
      <c r="G150" s="55"/>
      <c r="H150" s="56" t="s">
        <v>33</v>
      </c>
      <c r="I150" s="52">
        <f>1-(2*I148)</f>
        <v>0.59086747854318544</v>
      </c>
    </row>
    <row r="151" spans="1:14" ht="12.75" customHeight="1" x14ac:dyDescent="0.25"/>
    <row r="152" spans="1:14" ht="12.75" customHeight="1" x14ac:dyDescent="0.25"/>
    <row r="153" spans="1:14" ht="12.75" customHeight="1" x14ac:dyDescent="0.25"/>
    <row r="154" spans="1:14" ht="12.75" customHeight="1" x14ac:dyDescent="0.25"/>
    <row r="155" spans="1:14" ht="16.2" thickBot="1" x14ac:dyDescent="0.35">
      <c r="B155" s="256" t="s">
        <v>101</v>
      </c>
      <c r="C155" s="256"/>
      <c r="D155" s="256"/>
      <c r="E155" s="256"/>
      <c r="F155" s="256"/>
      <c r="G155" s="256"/>
      <c r="H155" s="256"/>
      <c r="I155" s="256"/>
    </row>
    <row r="156" spans="1:14" ht="27" thickBot="1" x14ac:dyDescent="0.3">
      <c r="A156" s="8"/>
      <c r="B156" s="30" t="s">
        <v>19</v>
      </c>
      <c r="C156" s="31" t="s">
        <v>39</v>
      </c>
      <c r="D156" s="31" t="s">
        <v>40</v>
      </c>
      <c r="E156" s="31" t="s">
        <v>15</v>
      </c>
      <c r="F156" s="31" t="s">
        <v>21</v>
      </c>
      <c r="G156" s="31" t="s">
        <v>17</v>
      </c>
      <c r="H156" s="31" t="s">
        <v>117</v>
      </c>
      <c r="I156" s="31" t="s">
        <v>20</v>
      </c>
      <c r="J156" s="8"/>
      <c r="K156" s="8"/>
      <c r="L156" s="8"/>
      <c r="M156" s="8"/>
      <c r="N156" s="8"/>
    </row>
    <row r="157" spans="1:14" ht="12.75" customHeight="1" x14ac:dyDescent="0.25">
      <c r="B157" s="4"/>
      <c r="C157" s="26">
        <v>0</v>
      </c>
      <c r="D157" s="26">
        <v>0</v>
      </c>
      <c r="E157" s="49">
        <v>0</v>
      </c>
      <c r="F157" s="49">
        <v>0</v>
      </c>
      <c r="G157" s="49">
        <v>0</v>
      </c>
      <c r="H157" s="50">
        <f>F157</f>
        <v>0</v>
      </c>
      <c r="I157" s="49">
        <v>0</v>
      </c>
    </row>
    <row r="158" spans="1:14" ht="12.75" customHeight="1" x14ac:dyDescent="0.25">
      <c r="B158" s="82" t="s">
        <v>1</v>
      </c>
      <c r="C158" s="29">
        <v>1.3224981196287995</v>
      </c>
      <c r="D158" s="29">
        <v>7498.2226388555227</v>
      </c>
      <c r="E158" s="49">
        <f t="shared" ref="E158:E168" si="39">C158/$C$169</f>
        <v>3.4593541506786328E-3</v>
      </c>
      <c r="F158" s="49">
        <f t="shared" ref="F158:F168" si="40">D158/$D$169</f>
        <v>1.3686107021111144E-2</v>
      </c>
      <c r="G158" s="49">
        <f t="shared" ref="G158:G168" si="41">G157+E158</f>
        <v>3.4593541506786328E-3</v>
      </c>
      <c r="H158" s="50">
        <f t="shared" ref="H158:H168" si="42">F158+H157</f>
        <v>1.3686107021111144E-2</v>
      </c>
      <c r="I158" s="49">
        <f t="shared" ref="I158:I168" si="43">(G157+G158)*0.5*(H158-H157)</f>
        <v>2.3672545565056405E-5</v>
      </c>
    </row>
    <row r="159" spans="1:14" ht="12.75" customHeight="1" x14ac:dyDescent="0.25">
      <c r="B159" s="82" t="s">
        <v>195</v>
      </c>
      <c r="C159" s="29">
        <v>1.9103503028842752</v>
      </c>
      <c r="D159" s="29">
        <v>4549.0211045835586</v>
      </c>
      <c r="E159" s="49">
        <f t="shared" si="39"/>
        <v>4.9970416981672573E-3</v>
      </c>
      <c r="F159" s="49">
        <f t="shared" si="40"/>
        <v>8.3030863015460567E-3</v>
      </c>
      <c r="G159" s="49">
        <f t="shared" si="41"/>
        <v>8.4563958488458896E-3</v>
      </c>
      <c r="H159" s="50">
        <f t="shared" si="42"/>
        <v>2.19891933226572E-2</v>
      </c>
      <c r="I159" s="49">
        <f t="shared" si="43"/>
        <v>4.9468750296849743E-5</v>
      </c>
    </row>
    <row r="160" spans="1:14" ht="12.75" customHeight="1" x14ac:dyDescent="0.25">
      <c r="B160" s="82" t="s">
        <v>2</v>
      </c>
      <c r="C160" s="29">
        <v>7.1530660073489152</v>
      </c>
      <c r="D160" s="29">
        <v>33738.127951375733</v>
      </c>
      <c r="E160" s="49">
        <f t="shared" si="39"/>
        <v>1.8710793017646148E-2</v>
      </c>
      <c r="F160" s="49">
        <f t="shared" si="40"/>
        <v>6.1580410728501248E-2</v>
      </c>
      <c r="G160" s="49">
        <f t="shared" si="41"/>
        <v>2.716718886649204E-2</v>
      </c>
      <c r="H160" s="50">
        <f t="shared" si="42"/>
        <v>8.3569604051158444E-2</v>
      </c>
      <c r="I160" s="49">
        <f t="shared" si="43"/>
        <v>1.0968574891960343E-3</v>
      </c>
    </row>
    <row r="161" spans="1:9" ht="12.75" customHeight="1" x14ac:dyDescent="0.25">
      <c r="B161" s="82" t="s">
        <v>3</v>
      </c>
      <c r="C161" s="29">
        <v>11.97256923586497</v>
      </c>
      <c r="D161" s="29">
        <v>4739.5256339269945</v>
      </c>
      <c r="E161" s="49">
        <f t="shared" si="39"/>
        <v>3.1317516800705825E-2</v>
      </c>
      <c r="F161" s="49">
        <f t="shared" si="40"/>
        <v>8.6508040877704764E-3</v>
      </c>
      <c r="G161" s="49">
        <f t="shared" si="41"/>
        <v>5.8484705667197864E-2</v>
      </c>
      <c r="H161" s="50">
        <f t="shared" si="42"/>
        <v>9.2220408138928928E-2</v>
      </c>
      <c r="I161" s="49">
        <f t="shared" si="43"/>
        <v>3.7047887967866545E-4</v>
      </c>
    </row>
    <row r="162" spans="1:9" ht="12.75" customHeight="1" x14ac:dyDescent="0.25">
      <c r="B162" s="82" t="s">
        <v>4</v>
      </c>
      <c r="C162" s="29">
        <v>23.5</v>
      </c>
      <c r="D162" s="29">
        <v>149774.72401466093</v>
      </c>
      <c r="E162" s="49">
        <f t="shared" si="39"/>
        <v>6.1470652649219498E-2</v>
      </c>
      <c r="F162" s="49">
        <f t="shared" si="40"/>
        <v>0.273375838602054</v>
      </c>
      <c r="G162" s="49">
        <f t="shared" si="41"/>
        <v>0.11995535831641736</v>
      </c>
      <c r="H162" s="50">
        <f t="shared" si="42"/>
        <v>0.3655962467409829</v>
      </c>
      <c r="I162" s="49">
        <f t="shared" si="43"/>
        <v>2.4390601065862487E-2</v>
      </c>
    </row>
    <row r="163" spans="1:9" ht="12.75" customHeight="1" x14ac:dyDescent="0.25">
      <c r="B163" s="82" t="s">
        <v>5</v>
      </c>
      <c r="C163" s="29">
        <v>27.678981965070257</v>
      </c>
      <c r="D163" s="29">
        <v>34543.134541376516</v>
      </c>
      <c r="E163" s="49">
        <f t="shared" si="39"/>
        <v>7.2401918555695513E-2</v>
      </c>
      <c r="F163" s="49">
        <f t="shared" si="40"/>
        <v>6.3049746446323052E-2</v>
      </c>
      <c r="G163" s="49">
        <f t="shared" si="41"/>
        <v>0.19235727687211288</v>
      </c>
      <c r="H163" s="50">
        <f t="shared" si="42"/>
        <v>0.42864599318730595</v>
      </c>
      <c r="I163" s="49">
        <f t="shared" si="43"/>
        <v>9.8456162303099115E-3</v>
      </c>
    </row>
    <row r="164" spans="1:9" ht="12.75" customHeight="1" x14ac:dyDescent="0.25">
      <c r="B164" s="111" t="s">
        <v>6</v>
      </c>
      <c r="C164" s="29">
        <v>33.799999999999997</v>
      </c>
      <c r="D164" s="29">
        <v>12709.055149886017</v>
      </c>
      <c r="E164" s="49">
        <f t="shared" si="39"/>
        <v>8.8413108916749736E-2</v>
      </c>
      <c r="F164" s="49">
        <f t="shared" si="40"/>
        <v>2.3197162487174745E-2</v>
      </c>
      <c r="G164" s="49">
        <f t="shared" si="41"/>
        <v>0.2807703857888626</v>
      </c>
      <c r="H164" s="50">
        <f t="shared" si="42"/>
        <v>0.45184315567448069</v>
      </c>
      <c r="I164" s="49">
        <f t="shared" si="43"/>
        <v>5.487609633961923E-3</v>
      </c>
    </row>
    <row r="165" spans="1:9" ht="12.75" customHeight="1" x14ac:dyDescent="0.25">
      <c r="B165" s="82" t="s">
        <v>7</v>
      </c>
      <c r="C165" s="29">
        <v>56.5</v>
      </c>
      <c r="D165" s="29">
        <v>179268.67227891536</v>
      </c>
      <c r="E165" s="49">
        <f t="shared" si="39"/>
        <v>0.14779114360344262</v>
      </c>
      <c r="F165" s="49">
        <f t="shared" si="40"/>
        <v>0.327209573856588</v>
      </c>
      <c r="G165" s="49">
        <f t="shared" si="41"/>
        <v>0.42856152939230518</v>
      </c>
      <c r="H165" s="50">
        <f t="shared" si="42"/>
        <v>0.77905272953106874</v>
      </c>
      <c r="I165" s="49">
        <f t="shared" si="43"/>
        <v>0.11605009684465369</v>
      </c>
    </row>
    <row r="166" spans="1:9" ht="12.75" customHeight="1" x14ac:dyDescent="0.25">
      <c r="B166" s="82" t="s">
        <v>8</v>
      </c>
      <c r="C166" s="29">
        <v>58.968413233176513</v>
      </c>
      <c r="D166" s="29">
        <v>8412.6065227973904</v>
      </c>
      <c r="E166" s="49">
        <f t="shared" si="39"/>
        <v>0.15424795094179711</v>
      </c>
      <c r="F166" s="49">
        <f t="shared" si="40"/>
        <v>1.5355083296789959E-2</v>
      </c>
      <c r="G166" s="49">
        <f t="shared" si="41"/>
        <v>0.58280948033410229</v>
      </c>
      <c r="H166" s="50">
        <f t="shared" si="42"/>
        <v>0.79440781282785866</v>
      </c>
      <c r="I166" s="49">
        <f t="shared" si="43"/>
        <v>7.7648430491537562E-3</v>
      </c>
    </row>
    <row r="167" spans="1:9" ht="12.75" customHeight="1" x14ac:dyDescent="0.25">
      <c r="B167" s="82" t="s">
        <v>9</v>
      </c>
      <c r="C167" s="29">
        <v>77.313145320001027</v>
      </c>
      <c r="D167" s="29">
        <v>43226.930239887697</v>
      </c>
      <c r="E167" s="49">
        <f t="shared" si="39"/>
        <v>0.20223359579508141</v>
      </c>
      <c r="F167" s="49">
        <f t="shared" si="40"/>
        <v>7.8899816923481969E-2</v>
      </c>
      <c r="G167" s="49">
        <f t="shared" si="41"/>
        <v>0.78504307612918367</v>
      </c>
      <c r="H167" s="50">
        <f t="shared" si="42"/>
        <v>0.87330762975134069</v>
      </c>
      <c r="I167" s="49">
        <f t="shared" si="43"/>
        <v>5.396165814163506E-2</v>
      </c>
    </row>
    <row r="168" spans="1:9" ht="12.75" customHeight="1" thickBot="1" x14ac:dyDescent="0.3">
      <c r="B168" s="86" t="s">
        <v>10</v>
      </c>
      <c r="C168" s="32">
        <v>82.177225932354276</v>
      </c>
      <c r="D168" s="32">
        <v>69411.089457609574</v>
      </c>
      <c r="E168" s="51">
        <f t="shared" si="39"/>
        <v>0.21495692387081627</v>
      </c>
      <c r="F168" s="51">
        <f t="shared" si="40"/>
        <v>0.12669237024865945</v>
      </c>
      <c r="G168" s="51">
        <f t="shared" si="41"/>
        <v>1</v>
      </c>
      <c r="H168" s="52">
        <f t="shared" si="42"/>
        <v>1.0000000000000002</v>
      </c>
      <c r="I168" s="51">
        <f t="shared" si="43"/>
        <v>0.11307566915538235</v>
      </c>
    </row>
    <row r="169" spans="1:9" ht="12.75" customHeight="1" thickBot="1" x14ac:dyDescent="0.3">
      <c r="B169" s="38" t="s">
        <v>12</v>
      </c>
      <c r="C169" s="32">
        <f>SUM(C157:C168)</f>
        <v>382.29625011632902</v>
      </c>
      <c r="D169" s="32">
        <f>SUM(D157:D168)</f>
        <v>547871.10953387525</v>
      </c>
      <c r="E169" s="51">
        <f>SUM(E158:E168)</f>
        <v>1</v>
      </c>
      <c r="F169" s="51">
        <f>SUM(F158:F168)</f>
        <v>1.0000000000000002</v>
      </c>
      <c r="G169" s="52"/>
      <c r="H169" s="52"/>
      <c r="I169" s="51">
        <f>SUM(I157:I168)</f>
        <v>0.33211657178569576</v>
      </c>
    </row>
    <row r="170" spans="1:9" ht="12.75" customHeight="1" thickBot="1" x14ac:dyDescent="0.3">
      <c r="B170" s="4"/>
      <c r="C170" s="4"/>
      <c r="D170" s="4"/>
      <c r="E170" s="50"/>
      <c r="F170" s="50"/>
      <c r="G170" s="50"/>
      <c r="H170" s="53"/>
      <c r="I170" s="53"/>
    </row>
    <row r="171" spans="1:9" ht="12.75" customHeight="1" thickBot="1" x14ac:dyDescent="0.3">
      <c r="B171" s="4"/>
      <c r="C171" s="4"/>
      <c r="D171" s="4"/>
      <c r="E171" s="50"/>
      <c r="F171" s="50"/>
      <c r="G171" s="55"/>
      <c r="H171" s="57" t="s">
        <v>29</v>
      </c>
      <c r="I171" s="58">
        <f>1-(2*I169)</f>
        <v>0.33576685642860848</v>
      </c>
    </row>
    <row r="172" spans="1:9" ht="12.75" customHeight="1" x14ac:dyDescent="0.25">
      <c r="B172" s="4"/>
      <c r="C172" s="4"/>
      <c r="D172" s="4"/>
      <c r="E172" s="50"/>
      <c r="F172" s="50"/>
      <c r="G172" s="55"/>
      <c r="H172" s="116"/>
      <c r="I172" s="108"/>
    </row>
    <row r="173" spans="1:9" ht="12.75" customHeight="1" x14ac:dyDescent="0.25">
      <c r="B173" s="4"/>
      <c r="C173" s="4"/>
      <c r="D173" s="4"/>
      <c r="E173" s="50"/>
      <c r="F173" s="50"/>
      <c r="G173" s="55"/>
      <c r="H173" s="116"/>
      <c r="I173" s="108"/>
    </row>
    <row r="174" spans="1:9" ht="28.2" customHeight="1" x14ac:dyDescent="0.25">
      <c r="A174" s="252" t="s">
        <v>94</v>
      </c>
      <c r="B174" s="252"/>
      <c r="C174" s="252"/>
      <c r="D174" s="252"/>
      <c r="E174" s="252"/>
      <c r="F174" s="252"/>
      <c r="G174" s="55"/>
      <c r="H174" s="116"/>
      <c r="I174" s="108"/>
    </row>
    <row r="175" spans="1:9" ht="12.75" customHeight="1" x14ac:dyDescent="0.25"/>
    <row r="176" spans="1:9" ht="16.2" thickBot="1" x14ac:dyDescent="0.35">
      <c r="B176" s="256" t="s">
        <v>114</v>
      </c>
      <c r="C176" s="256"/>
      <c r="D176" s="256"/>
      <c r="E176" s="256"/>
      <c r="F176" s="256"/>
      <c r="G176" s="256"/>
      <c r="H176" s="256"/>
      <c r="I176" s="256"/>
    </row>
    <row r="177" spans="1:14" ht="42.6" customHeight="1" thickBot="1" x14ac:dyDescent="0.3">
      <c r="A177" s="8"/>
      <c r="B177" s="36" t="s">
        <v>19</v>
      </c>
      <c r="C177" s="37" t="s">
        <v>42</v>
      </c>
      <c r="D177" s="37" t="s">
        <v>115</v>
      </c>
      <c r="E177" s="37" t="s">
        <v>27</v>
      </c>
      <c r="F177" s="37" t="s">
        <v>21</v>
      </c>
      <c r="G177" s="37" t="s">
        <v>28</v>
      </c>
      <c r="H177" s="37" t="s">
        <v>117</v>
      </c>
      <c r="I177" s="37" t="s">
        <v>20</v>
      </c>
      <c r="J177" s="8"/>
      <c r="K177" s="8"/>
      <c r="L177" s="8"/>
      <c r="M177" s="8"/>
      <c r="N177" s="8"/>
    </row>
    <row r="178" spans="1:14" ht="12.75" customHeight="1" x14ac:dyDescent="0.25">
      <c r="B178" s="4"/>
      <c r="C178" s="26">
        <v>0</v>
      </c>
      <c r="D178" s="26">
        <v>0</v>
      </c>
      <c r="E178" s="49">
        <v>0</v>
      </c>
      <c r="F178" s="49">
        <v>0</v>
      </c>
      <c r="G178" s="49">
        <v>0</v>
      </c>
      <c r="H178" s="50">
        <f>F178</f>
        <v>0</v>
      </c>
      <c r="I178" s="49">
        <v>0</v>
      </c>
    </row>
    <row r="179" spans="1:14" ht="12.75" customHeight="1" x14ac:dyDescent="0.25">
      <c r="B179" s="82" t="s">
        <v>1</v>
      </c>
      <c r="C179" s="84">
        <v>4.4920799454717004</v>
      </c>
      <c r="D179" s="29">
        <v>13199.085501550475</v>
      </c>
      <c r="E179" s="49">
        <f t="shared" ref="E179:E189" si="44">C179/$C$190</f>
        <v>2.0574426410451801E-3</v>
      </c>
      <c r="F179" s="49">
        <f t="shared" ref="F179:F189" si="45">D179/$D$190</f>
        <v>4.3177805010323955E-3</v>
      </c>
      <c r="G179" s="49">
        <f t="shared" ref="G179:G189" si="46">G178+E179</f>
        <v>2.0574426410451801E-3</v>
      </c>
      <c r="H179" s="50">
        <f t="shared" ref="H179:H189" si="47">F179+H178</f>
        <v>4.3177805010323955E-3</v>
      </c>
      <c r="I179" s="49">
        <f t="shared" ref="I179:I189" si="48">(G178+G179)*0.5*(H179-H178)</f>
        <v>4.4417928587487362E-6</v>
      </c>
    </row>
    <row r="180" spans="1:14" ht="12.75" customHeight="1" x14ac:dyDescent="0.25">
      <c r="B180" s="82" t="s">
        <v>195</v>
      </c>
      <c r="C180" s="84">
        <v>14.349918475935281</v>
      </c>
      <c r="D180" s="29">
        <v>20450.034940117202</v>
      </c>
      <c r="E180" s="49">
        <f t="shared" si="44"/>
        <v>6.572486359614659E-3</v>
      </c>
      <c r="F180" s="49">
        <f t="shared" si="45"/>
        <v>6.6897636279041406E-3</v>
      </c>
      <c r="G180" s="49">
        <f t="shared" si="46"/>
        <v>8.6299290006598382E-3</v>
      </c>
      <c r="H180" s="50">
        <f t="shared" si="47"/>
        <v>1.1007544128936536E-2</v>
      </c>
      <c r="I180" s="49">
        <f t="shared" si="48"/>
        <v>3.5747995043286199E-5</v>
      </c>
    </row>
    <row r="181" spans="1:14" ht="12.75" customHeight="1" x14ac:dyDescent="0.25">
      <c r="B181" s="82" t="s">
        <v>2</v>
      </c>
      <c r="C181" s="84">
        <v>19.811006136278799</v>
      </c>
      <c r="D181" s="29">
        <v>251430.37783690859</v>
      </c>
      <c r="E181" s="49">
        <f t="shared" si="44"/>
        <v>9.0737496397134201E-3</v>
      </c>
      <c r="F181" s="49">
        <f t="shared" si="45"/>
        <v>8.2249727275718124E-2</v>
      </c>
      <c r="G181" s="49">
        <f t="shared" si="46"/>
        <v>1.7703678640373258E-2</v>
      </c>
      <c r="H181" s="50">
        <f t="shared" si="47"/>
        <v>9.325727140465466E-2</v>
      </c>
      <c r="I181" s="49">
        <f t="shared" si="48"/>
        <v>1.0829660233303696E-3</v>
      </c>
    </row>
    <row r="182" spans="1:14" ht="12.75" customHeight="1" x14ac:dyDescent="0.25">
      <c r="B182" s="82" t="s">
        <v>3</v>
      </c>
      <c r="C182" s="84">
        <v>27</v>
      </c>
      <c r="D182" s="29">
        <v>24496.645034227455</v>
      </c>
      <c r="E182" s="49">
        <f t="shared" si="44"/>
        <v>1.2366420896898489E-2</v>
      </c>
      <c r="F182" s="49">
        <f t="shared" si="45"/>
        <v>8.0135200470573958E-3</v>
      </c>
      <c r="G182" s="49">
        <f t="shared" si="46"/>
        <v>3.0070099537271747E-2</v>
      </c>
      <c r="H182" s="50">
        <f t="shared" si="47"/>
        <v>0.10127079145171206</v>
      </c>
      <c r="I182" s="49">
        <f t="shared" si="48"/>
        <v>1.9141806457511571E-4</v>
      </c>
    </row>
    <row r="183" spans="1:14" ht="12.75" customHeight="1" x14ac:dyDescent="0.25">
      <c r="B183" s="82" t="s">
        <v>4</v>
      </c>
      <c r="C183" s="84">
        <v>27.762864026902566</v>
      </c>
      <c r="D183" s="29">
        <v>363314.38569269452</v>
      </c>
      <c r="E183" s="49">
        <f t="shared" si="44"/>
        <v>1.2715824513334787E-2</v>
      </c>
      <c r="F183" s="49">
        <f t="shared" si="45"/>
        <v>0.1188500347318915</v>
      </c>
      <c r="G183" s="49">
        <f t="shared" si="46"/>
        <v>4.2785924050606536E-2</v>
      </c>
      <c r="H183" s="50">
        <f t="shared" si="47"/>
        <v>0.22012082618360357</v>
      </c>
      <c r="I183" s="49">
        <f t="shared" si="48"/>
        <v>4.3294704669234203E-3</v>
      </c>
    </row>
    <row r="184" spans="1:14" ht="12.75" customHeight="1" x14ac:dyDescent="0.25">
      <c r="B184" s="82" t="s">
        <v>5</v>
      </c>
      <c r="C184" s="84">
        <v>83.428364274259323</v>
      </c>
      <c r="D184" s="29">
        <v>49475.746319971244</v>
      </c>
      <c r="E184" s="49">
        <f t="shared" si="44"/>
        <v>3.821149138352814E-2</v>
      </c>
      <c r="F184" s="49">
        <f t="shared" si="45"/>
        <v>1.6184864679397896E-2</v>
      </c>
      <c r="G184" s="49">
        <f t="shared" si="46"/>
        <v>8.0997415434134676E-2</v>
      </c>
      <c r="H184" s="50">
        <f t="shared" si="47"/>
        <v>0.23630569086300146</v>
      </c>
      <c r="I184" s="49">
        <f t="shared" si="48"/>
        <v>1.0017082995622533E-3</v>
      </c>
    </row>
    <row r="185" spans="1:14" ht="12.75" customHeight="1" x14ac:dyDescent="0.25">
      <c r="B185" s="111" t="s">
        <v>6</v>
      </c>
      <c r="C185" s="84">
        <v>162.7577156565315</v>
      </c>
      <c r="D185" s="29">
        <v>20836.189535136225</v>
      </c>
      <c r="E185" s="49">
        <f t="shared" si="44"/>
        <v>7.4545570963940502E-2</v>
      </c>
      <c r="F185" s="49">
        <f t="shared" si="45"/>
        <v>6.8160853174303836E-3</v>
      </c>
      <c r="G185" s="49">
        <f t="shared" si="46"/>
        <v>0.15554298639807518</v>
      </c>
      <c r="H185" s="50">
        <f t="shared" si="47"/>
        <v>0.24312177618043185</v>
      </c>
      <c r="I185" s="49">
        <f t="shared" si="48"/>
        <v>8.0613977995380476E-4</v>
      </c>
    </row>
    <row r="186" spans="1:14" ht="12.75" customHeight="1" x14ac:dyDescent="0.25">
      <c r="B186" s="82" t="s">
        <v>7</v>
      </c>
      <c r="C186" s="84">
        <v>330.96219581347026</v>
      </c>
      <c r="D186" s="29">
        <v>1339764.2833351614</v>
      </c>
      <c r="E186" s="49">
        <f t="shared" si="44"/>
        <v>0.15158584497744845</v>
      </c>
      <c r="F186" s="49">
        <f t="shared" si="45"/>
        <v>0.43827340143259691</v>
      </c>
      <c r="G186" s="49">
        <f t="shared" si="46"/>
        <v>0.3071288313755236</v>
      </c>
      <c r="H186" s="50">
        <f t="shared" si="47"/>
        <v>0.6813951776130287</v>
      </c>
      <c r="I186" s="49">
        <f t="shared" si="48"/>
        <v>0.10138837566131888</v>
      </c>
    </row>
    <row r="187" spans="1:14" ht="12.75" customHeight="1" x14ac:dyDescent="0.25">
      <c r="B187" s="82" t="s">
        <v>8</v>
      </c>
      <c r="C187" s="84">
        <v>416.80308732067164</v>
      </c>
      <c r="D187" s="29">
        <v>617141.72101696266</v>
      </c>
      <c r="E187" s="49">
        <f t="shared" si="44"/>
        <v>0.1909023114420059</v>
      </c>
      <c r="F187" s="49">
        <f t="shared" si="45"/>
        <v>0.20188387211126102</v>
      </c>
      <c r="G187" s="49">
        <f t="shared" si="46"/>
        <v>0.49803114281752947</v>
      </c>
      <c r="H187" s="50">
        <f t="shared" si="47"/>
        <v>0.88327904972428972</v>
      </c>
      <c r="I187" s="49">
        <f t="shared" si="48"/>
        <v>8.1274406629548282E-2</v>
      </c>
    </row>
    <row r="188" spans="1:14" ht="12.75" customHeight="1" x14ac:dyDescent="0.25">
      <c r="B188" s="82" t="s">
        <v>9</v>
      </c>
      <c r="C188" s="84">
        <v>448.50336533961865</v>
      </c>
      <c r="D188" s="29">
        <v>119784.51078433092</v>
      </c>
      <c r="E188" s="49">
        <f t="shared" si="44"/>
        <v>0.20542153294315399</v>
      </c>
      <c r="F188" s="49">
        <f t="shared" si="45"/>
        <v>3.9184777227902166E-2</v>
      </c>
      <c r="G188" s="49">
        <f t="shared" si="46"/>
        <v>0.70345267576068349</v>
      </c>
      <c r="H188" s="50">
        <f t="shared" si="47"/>
        <v>0.92246382695219187</v>
      </c>
      <c r="I188" s="49">
        <f t="shared" si="48"/>
        <v>2.3539937886958233E-2</v>
      </c>
    </row>
    <row r="189" spans="1:14" ht="12.75" customHeight="1" thickBot="1" x14ac:dyDescent="0.3">
      <c r="B189" s="86" t="s">
        <v>10</v>
      </c>
      <c r="C189" s="87">
        <v>647.46120330334657</v>
      </c>
      <c r="D189" s="32">
        <v>237021.44592026682</v>
      </c>
      <c r="E189" s="51">
        <f t="shared" si="44"/>
        <v>0.29654732423931651</v>
      </c>
      <c r="F189" s="51">
        <f t="shared" si="45"/>
        <v>7.7536173047808091E-2</v>
      </c>
      <c r="G189" s="51">
        <f t="shared" si="46"/>
        <v>1</v>
      </c>
      <c r="H189" s="52">
        <f t="shared" si="47"/>
        <v>1</v>
      </c>
      <c r="I189" s="51">
        <f t="shared" si="48"/>
        <v>6.6039600723266076E-2</v>
      </c>
    </row>
    <row r="190" spans="1:14" ht="12.75" customHeight="1" thickBot="1" x14ac:dyDescent="0.3">
      <c r="B190" s="38" t="s">
        <v>12</v>
      </c>
      <c r="C190" s="32">
        <f>SUM(C178:C189)</f>
        <v>2183.3318002924862</v>
      </c>
      <c r="D190" s="32">
        <f>SUM(D178:D189)</f>
        <v>3056914.4259173274</v>
      </c>
      <c r="E190" s="39">
        <f>SUM(E179:E189)</f>
        <v>1</v>
      </c>
      <c r="F190" s="33">
        <f>SUM(F179:F189)</f>
        <v>1</v>
      </c>
      <c r="G190" s="40"/>
      <c r="H190" s="40"/>
      <c r="I190" s="51">
        <f>SUM(I178:I189)</f>
        <v>0.27969421332333849</v>
      </c>
    </row>
    <row r="191" spans="1:14" ht="12.75" customHeight="1" thickBot="1" x14ac:dyDescent="0.3">
      <c r="B191" s="4"/>
      <c r="C191" s="4"/>
      <c r="D191" s="4"/>
      <c r="E191" s="4"/>
      <c r="F191" s="4"/>
      <c r="G191" s="4"/>
      <c r="H191" s="7"/>
      <c r="I191" s="53"/>
    </row>
    <row r="192" spans="1:14" ht="12.75" customHeight="1" thickBot="1" x14ac:dyDescent="0.3">
      <c r="B192" s="4"/>
      <c r="C192" s="4"/>
      <c r="D192" s="4"/>
      <c r="E192" s="4"/>
      <c r="F192" s="4"/>
      <c r="G192" s="5"/>
      <c r="H192" s="24" t="s">
        <v>29</v>
      </c>
      <c r="I192" s="52">
        <f>1-(2*I190)</f>
        <v>0.44061157335332302</v>
      </c>
    </row>
    <row r="193" spans="1:14" ht="12.75" customHeight="1" x14ac:dyDescent="0.25"/>
    <row r="194" spans="1:14" ht="12.75" customHeight="1" x14ac:dyDescent="0.25"/>
    <row r="195" spans="1:14" ht="12.75" customHeight="1" x14ac:dyDescent="0.25"/>
    <row r="196" spans="1:14" ht="12.75" customHeight="1" x14ac:dyDescent="0.25"/>
    <row r="197" spans="1:14" ht="16.2" thickBot="1" x14ac:dyDescent="0.35">
      <c r="B197" s="256" t="s">
        <v>120</v>
      </c>
      <c r="C197" s="256"/>
      <c r="D197" s="256"/>
      <c r="E197" s="256"/>
      <c r="F197" s="256"/>
      <c r="G197" s="256"/>
      <c r="H197" s="256"/>
      <c r="I197" s="256"/>
    </row>
    <row r="198" spans="1:14" ht="27" thickBot="1" x14ac:dyDescent="0.3">
      <c r="A198" s="8"/>
      <c r="B198" s="30" t="s">
        <v>19</v>
      </c>
      <c r="C198" s="31" t="s">
        <v>43</v>
      </c>
      <c r="D198" s="37" t="s">
        <v>115</v>
      </c>
      <c r="E198" s="31" t="s">
        <v>31</v>
      </c>
      <c r="F198" s="31" t="s">
        <v>21</v>
      </c>
      <c r="G198" s="31" t="s">
        <v>32</v>
      </c>
      <c r="H198" s="31" t="s">
        <v>117</v>
      </c>
      <c r="I198" s="31" t="s">
        <v>20</v>
      </c>
      <c r="J198" s="8"/>
      <c r="K198" s="8"/>
      <c r="L198" s="8"/>
      <c r="M198" s="8"/>
      <c r="N198" s="8"/>
    </row>
    <row r="199" spans="1:14" ht="12.75" customHeight="1" x14ac:dyDescent="0.25">
      <c r="B199" s="4"/>
      <c r="C199" s="26">
        <v>0</v>
      </c>
      <c r="D199" s="26">
        <v>0</v>
      </c>
      <c r="E199" s="49">
        <f>C199/$C$127</f>
        <v>0</v>
      </c>
      <c r="F199" s="49">
        <v>0</v>
      </c>
      <c r="G199" s="49">
        <v>0</v>
      </c>
      <c r="H199" s="50">
        <f>F199</f>
        <v>0</v>
      </c>
      <c r="I199" s="49">
        <v>0</v>
      </c>
    </row>
    <row r="200" spans="1:14" ht="12.75" customHeight="1" x14ac:dyDescent="0.25">
      <c r="B200" s="82" t="s">
        <v>1</v>
      </c>
      <c r="C200" s="84">
        <v>12.495254145281351</v>
      </c>
      <c r="D200" s="29">
        <v>13199.085501550475</v>
      </c>
      <c r="E200" s="49">
        <f t="shared" ref="E200:E210" si="49">C200/$C$211</f>
        <v>5.6387986055587242E-3</v>
      </c>
      <c r="F200" s="49">
        <f t="shared" ref="F200:F210" si="50">D200/$D$211</f>
        <v>4.3177805010323955E-3</v>
      </c>
      <c r="G200" s="49">
        <f t="shared" ref="G200:G210" si="51">G199+E200</f>
        <v>5.6387986055587242E-3</v>
      </c>
      <c r="H200" s="50">
        <f t="shared" ref="H200:H210" si="52">F200+H199</f>
        <v>4.3177805010323955E-3</v>
      </c>
      <c r="I200" s="49">
        <f t="shared" ref="I200:I210" si="53">(G199+G200)*0.5*(H200-H199)</f>
        <v>1.217354733416506E-5</v>
      </c>
    </row>
    <row r="201" spans="1:14" ht="12.75" customHeight="1" x14ac:dyDescent="0.25">
      <c r="B201" s="82" t="s">
        <v>195</v>
      </c>
      <c r="C201" s="84">
        <v>12.678271607557253</v>
      </c>
      <c r="D201" s="29">
        <v>20450.034940117202</v>
      </c>
      <c r="E201" s="49">
        <f t="shared" si="49"/>
        <v>5.7213898517290938E-3</v>
      </c>
      <c r="F201" s="49">
        <f t="shared" si="50"/>
        <v>6.6897636279041406E-3</v>
      </c>
      <c r="G201" s="49">
        <f t="shared" si="51"/>
        <v>1.1360188457287819E-2</v>
      </c>
      <c r="H201" s="50">
        <f t="shared" si="52"/>
        <v>1.1007544128936536E-2</v>
      </c>
      <c r="I201" s="49">
        <f t="shared" si="53"/>
        <v>5.6859602682121927E-5</v>
      </c>
    </row>
    <row r="202" spans="1:14" ht="12.75" customHeight="1" x14ac:dyDescent="0.25">
      <c r="B202" s="82" t="s">
        <v>2</v>
      </c>
      <c r="C202" s="84">
        <v>19.681066838943018</v>
      </c>
      <c r="D202" s="29">
        <v>251430.37783690859</v>
      </c>
      <c r="E202" s="49">
        <f t="shared" si="49"/>
        <v>8.8815778340330109E-3</v>
      </c>
      <c r="F202" s="49">
        <f t="shared" si="50"/>
        <v>8.2249727275718124E-2</v>
      </c>
      <c r="G202" s="49">
        <f t="shared" si="51"/>
        <v>2.024176629132083E-2</v>
      </c>
      <c r="H202" s="50">
        <f t="shared" si="52"/>
        <v>9.325727140465466E-2</v>
      </c>
      <c r="I202" s="49">
        <f t="shared" si="53"/>
        <v>1.2996260797263233E-3</v>
      </c>
    </row>
    <row r="203" spans="1:14" ht="12.75" customHeight="1" x14ac:dyDescent="0.25">
      <c r="B203" s="82" t="s">
        <v>3</v>
      </c>
      <c r="C203" s="84">
        <v>26.084130370190923</v>
      </c>
      <c r="D203" s="29">
        <v>24496.645034227455</v>
      </c>
      <c r="E203" s="49">
        <f t="shared" si="49"/>
        <v>1.1771121759391212E-2</v>
      </c>
      <c r="F203" s="49">
        <f t="shared" si="50"/>
        <v>8.0135200470573958E-3</v>
      </c>
      <c r="G203" s="49">
        <f t="shared" si="51"/>
        <v>3.2012888050712042E-2</v>
      </c>
      <c r="H203" s="50">
        <f t="shared" si="52"/>
        <v>0.10127079145171206</v>
      </c>
      <c r="I203" s="49">
        <f t="shared" si="53"/>
        <v>2.0937186006096762E-4</v>
      </c>
    </row>
    <row r="204" spans="1:14" ht="12.75" customHeight="1" x14ac:dyDescent="0.25">
      <c r="B204" s="82" t="s">
        <v>4</v>
      </c>
      <c r="C204" s="84">
        <v>57.060380284925856</v>
      </c>
      <c r="D204" s="29">
        <v>363314.38569269452</v>
      </c>
      <c r="E204" s="49">
        <f t="shared" si="49"/>
        <v>2.5749935859031358E-2</v>
      </c>
      <c r="F204" s="49">
        <f t="shared" si="50"/>
        <v>0.1188500347318915</v>
      </c>
      <c r="G204" s="49">
        <f t="shared" si="51"/>
        <v>5.7762823909743397E-2</v>
      </c>
      <c r="H204" s="50">
        <f t="shared" si="52"/>
        <v>0.22012082618360357</v>
      </c>
      <c r="I204" s="49">
        <f t="shared" si="53"/>
        <v>5.3349232422902088E-3</v>
      </c>
    </row>
    <row r="205" spans="1:14" ht="12.75" customHeight="1" x14ac:dyDescent="0.25">
      <c r="B205" s="82" t="s">
        <v>5</v>
      </c>
      <c r="C205" s="84">
        <v>68.224789784349042</v>
      </c>
      <c r="D205" s="29">
        <v>49475.746319971244</v>
      </c>
      <c r="E205" s="49">
        <f t="shared" si="49"/>
        <v>3.0788157249750939E-2</v>
      </c>
      <c r="F205" s="49">
        <f t="shared" si="50"/>
        <v>1.6184864679397896E-2</v>
      </c>
      <c r="G205" s="49">
        <f t="shared" si="51"/>
        <v>8.8550981159494335E-2</v>
      </c>
      <c r="H205" s="50">
        <f t="shared" si="52"/>
        <v>0.23630569086300146</v>
      </c>
      <c r="I205" s="49">
        <f t="shared" si="53"/>
        <v>1.1840345678867071E-3</v>
      </c>
    </row>
    <row r="206" spans="1:14" ht="12.75" customHeight="1" x14ac:dyDescent="0.25">
      <c r="B206" s="111" t="s">
        <v>6</v>
      </c>
      <c r="C206" s="84">
        <v>115.09356267302397</v>
      </c>
      <c r="D206" s="29">
        <v>20836.189535136225</v>
      </c>
      <c r="E206" s="49">
        <f t="shared" si="49"/>
        <v>5.1938873204472963E-2</v>
      </c>
      <c r="F206" s="49">
        <f t="shared" si="50"/>
        <v>6.8160853174303836E-3</v>
      </c>
      <c r="G206" s="49">
        <f t="shared" si="51"/>
        <v>0.1404898543639673</v>
      </c>
      <c r="H206" s="50">
        <f t="shared" si="52"/>
        <v>0.24312177618043185</v>
      </c>
      <c r="I206" s="49">
        <f t="shared" si="53"/>
        <v>7.8058093805172756E-4</v>
      </c>
    </row>
    <row r="207" spans="1:14" ht="12.75" customHeight="1" x14ac:dyDescent="0.25">
      <c r="B207" s="82" t="s">
        <v>7</v>
      </c>
      <c r="C207" s="84">
        <v>275.60885090207972</v>
      </c>
      <c r="D207" s="29">
        <v>1339764.2833351614</v>
      </c>
      <c r="E207" s="49">
        <f t="shared" si="49"/>
        <v>0.12437544575539296</v>
      </c>
      <c r="F207" s="49">
        <f t="shared" si="50"/>
        <v>0.43827340143259691</v>
      </c>
      <c r="G207" s="49">
        <f t="shared" si="51"/>
        <v>0.26486530011936027</v>
      </c>
      <c r="H207" s="50">
        <f t="shared" si="52"/>
        <v>0.6813951776130287</v>
      </c>
      <c r="I207" s="49">
        <f t="shared" si="53"/>
        <v>8.8828191171821877E-2</v>
      </c>
    </row>
    <row r="208" spans="1:14" ht="12.75" customHeight="1" x14ac:dyDescent="0.25">
      <c r="B208" s="82" t="s">
        <v>8</v>
      </c>
      <c r="C208" s="84">
        <v>371.80449767139828</v>
      </c>
      <c r="D208" s="29">
        <v>617141.72101696266</v>
      </c>
      <c r="E208" s="49">
        <f t="shared" si="49"/>
        <v>0.16778615773906982</v>
      </c>
      <c r="F208" s="49">
        <f t="shared" si="50"/>
        <v>0.20188387211126102</v>
      </c>
      <c r="G208" s="49">
        <f t="shared" si="51"/>
        <v>0.43265145785843007</v>
      </c>
      <c r="H208" s="50">
        <f t="shared" si="52"/>
        <v>0.88327904972428972</v>
      </c>
      <c r="I208" s="49">
        <f t="shared" si="53"/>
        <v>7.0408691981524815E-2</v>
      </c>
    </row>
    <row r="209" spans="1:14" ht="12.75" customHeight="1" x14ac:dyDescent="0.25">
      <c r="B209" s="82" t="s">
        <v>9</v>
      </c>
      <c r="C209" s="84">
        <v>477.69664528568518</v>
      </c>
      <c r="D209" s="29">
        <v>119784.51078433092</v>
      </c>
      <c r="E209" s="49">
        <f t="shared" si="49"/>
        <v>0.21557266030753078</v>
      </c>
      <c r="F209" s="49">
        <f t="shared" si="50"/>
        <v>3.9184777227902166E-2</v>
      </c>
      <c r="G209" s="49">
        <f t="shared" si="51"/>
        <v>0.64822411816596082</v>
      </c>
      <c r="H209" s="50">
        <f t="shared" si="52"/>
        <v>0.92246382695219187</v>
      </c>
      <c r="I209" s="49">
        <f t="shared" si="53"/>
        <v>2.1176934328798084E-2</v>
      </c>
    </row>
    <row r="210" spans="1:14" ht="12.75" customHeight="1" thickBot="1" x14ac:dyDescent="0.3">
      <c r="B210" s="86" t="s">
        <v>10</v>
      </c>
      <c r="C210" s="87">
        <v>779.51516859702542</v>
      </c>
      <c r="D210" s="32">
        <v>237021.44592026682</v>
      </c>
      <c r="E210" s="51">
        <f t="shared" si="49"/>
        <v>0.35177588183403924</v>
      </c>
      <c r="F210" s="51">
        <f t="shared" si="50"/>
        <v>7.7536173047808091E-2</v>
      </c>
      <c r="G210" s="51">
        <f t="shared" si="51"/>
        <v>1</v>
      </c>
      <c r="H210" s="52">
        <f t="shared" si="52"/>
        <v>1</v>
      </c>
      <c r="I210" s="51">
        <f t="shared" si="53"/>
        <v>6.3898495223843457E-2</v>
      </c>
    </row>
    <row r="211" spans="1:14" ht="12.75" customHeight="1" thickBot="1" x14ac:dyDescent="0.3">
      <c r="B211" s="38" t="s">
        <v>12</v>
      </c>
      <c r="C211" s="32">
        <f>SUM(C199:C210)</f>
        <v>2215.9426181604599</v>
      </c>
      <c r="D211" s="32">
        <f>SUM(D199:D210)</f>
        <v>3056914.4259173274</v>
      </c>
      <c r="E211" s="51">
        <f>SUM(E200:E210)</f>
        <v>1</v>
      </c>
      <c r="F211" s="51">
        <f>SUM(F200:F210)</f>
        <v>1</v>
      </c>
      <c r="G211" s="52"/>
      <c r="H211" s="52"/>
      <c r="I211" s="51">
        <f>SUM(I199:I210)</f>
        <v>0.25318988254402042</v>
      </c>
    </row>
    <row r="212" spans="1:14" ht="12.75" customHeight="1" thickBot="1" x14ac:dyDescent="0.3">
      <c r="B212" s="4"/>
      <c r="C212" s="4"/>
      <c r="D212" s="4"/>
      <c r="E212" s="50"/>
      <c r="F212" s="50"/>
      <c r="G212" s="50"/>
      <c r="H212" s="53"/>
      <c r="I212" s="53"/>
    </row>
    <row r="213" spans="1:14" ht="12.75" customHeight="1" thickBot="1" x14ac:dyDescent="0.3">
      <c r="B213" s="4"/>
      <c r="C213" s="4"/>
      <c r="D213" s="4"/>
      <c r="E213" s="50"/>
      <c r="F213" s="50"/>
      <c r="G213" s="55"/>
      <c r="H213" s="56" t="s">
        <v>29</v>
      </c>
      <c r="I213" s="52">
        <f>1-(2*I211)</f>
        <v>0.49362023491195917</v>
      </c>
    </row>
    <row r="214" spans="1:14" ht="12.75" customHeight="1" x14ac:dyDescent="0.25"/>
    <row r="215" spans="1:14" ht="12.75" customHeight="1" x14ac:dyDescent="0.25"/>
    <row r="216" spans="1:14" ht="12.75" customHeight="1" x14ac:dyDescent="0.25"/>
    <row r="217" spans="1:14" ht="12.75" customHeight="1" x14ac:dyDescent="0.25"/>
    <row r="218" spans="1:14" ht="16.2" thickBot="1" x14ac:dyDescent="0.35">
      <c r="B218" s="256" t="s">
        <v>119</v>
      </c>
      <c r="C218" s="256"/>
      <c r="D218" s="256"/>
      <c r="E218" s="256"/>
      <c r="F218" s="256"/>
      <c r="G218" s="256"/>
      <c r="H218" s="256"/>
      <c r="I218" s="256"/>
    </row>
    <row r="219" spans="1:14" ht="27" thickBot="1" x14ac:dyDescent="0.3">
      <c r="A219" s="8"/>
      <c r="B219" s="30" t="s">
        <v>19</v>
      </c>
      <c r="C219" s="31" t="s">
        <v>38</v>
      </c>
      <c r="D219" s="37" t="s">
        <v>115</v>
      </c>
      <c r="E219" s="31" t="s">
        <v>15</v>
      </c>
      <c r="F219" s="31" t="s">
        <v>21</v>
      </c>
      <c r="G219" s="31" t="s">
        <v>17</v>
      </c>
      <c r="H219" s="31" t="s">
        <v>117</v>
      </c>
      <c r="I219" s="31" t="s">
        <v>20</v>
      </c>
      <c r="J219" s="8"/>
      <c r="K219" s="8"/>
      <c r="L219" s="8"/>
      <c r="M219" s="8"/>
      <c r="N219" s="8"/>
    </row>
    <row r="220" spans="1:14" ht="12.75" customHeight="1" x14ac:dyDescent="0.25">
      <c r="B220" s="4"/>
      <c r="C220" s="26">
        <v>0</v>
      </c>
      <c r="D220" s="26">
        <v>0</v>
      </c>
      <c r="E220" s="49">
        <v>0</v>
      </c>
      <c r="F220" s="49">
        <v>0</v>
      </c>
      <c r="G220" s="49">
        <v>0</v>
      </c>
      <c r="H220" s="50">
        <f>F220</f>
        <v>0</v>
      </c>
      <c r="I220" s="49">
        <v>0</v>
      </c>
    </row>
    <row r="221" spans="1:14" ht="12.75" customHeight="1" x14ac:dyDescent="0.25">
      <c r="B221" s="82" t="s">
        <v>1</v>
      </c>
      <c r="C221" s="84">
        <v>0</v>
      </c>
      <c r="D221" s="29">
        <v>13199.085501550475</v>
      </c>
      <c r="E221" s="49">
        <f t="shared" ref="E221:E231" si="54">C221/$C$232</f>
        <v>0</v>
      </c>
      <c r="F221" s="49">
        <f t="shared" ref="F221:F231" si="55">D221/$D$232</f>
        <v>4.3177805010323955E-3</v>
      </c>
      <c r="G221" s="49">
        <f t="shared" ref="G221:G231" si="56">G220+E221</f>
        <v>0</v>
      </c>
      <c r="H221" s="50">
        <f t="shared" ref="H221:H231" si="57">F221+H220</f>
        <v>4.3177805010323955E-3</v>
      </c>
      <c r="I221" s="49">
        <f t="shared" ref="I221:I231" si="58">(G220+G221)*0.5*(H221-H220)</f>
        <v>0</v>
      </c>
    </row>
    <row r="222" spans="1:14" ht="12.75" customHeight="1" x14ac:dyDescent="0.25">
      <c r="B222" s="82" t="s">
        <v>195</v>
      </c>
      <c r="C222" s="84">
        <v>0</v>
      </c>
      <c r="D222" s="29">
        <v>20450.034940117202</v>
      </c>
      <c r="E222" s="49">
        <f t="shared" si="54"/>
        <v>0</v>
      </c>
      <c r="F222" s="49">
        <f t="shared" si="55"/>
        <v>6.6897636279041406E-3</v>
      </c>
      <c r="G222" s="49">
        <f t="shared" si="56"/>
        <v>0</v>
      </c>
      <c r="H222" s="50">
        <f t="shared" si="57"/>
        <v>1.1007544128936536E-2</v>
      </c>
      <c r="I222" s="49">
        <f t="shared" si="58"/>
        <v>0</v>
      </c>
    </row>
    <row r="223" spans="1:14" ht="12.75" customHeight="1" x14ac:dyDescent="0.25">
      <c r="B223" s="82" t="s">
        <v>2</v>
      </c>
      <c r="C223" s="84">
        <v>0</v>
      </c>
      <c r="D223" s="29">
        <v>251430.37783690859</v>
      </c>
      <c r="E223" s="49">
        <f t="shared" si="54"/>
        <v>0</v>
      </c>
      <c r="F223" s="49">
        <f t="shared" si="55"/>
        <v>8.2249727275718124E-2</v>
      </c>
      <c r="G223" s="49">
        <f t="shared" si="56"/>
        <v>0</v>
      </c>
      <c r="H223" s="50">
        <f t="shared" si="57"/>
        <v>9.325727140465466E-2</v>
      </c>
      <c r="I223" s="49">
        <f t="shared" si="58"/>
        <v>0</v>
      </c>
    </row>
    <row r="224" spans="1:14" ht="12.75" customHeight="1" x14ac:dyDescent="0.25">
      <c r="B224" s="82" t="s">
        <v>3</v>
      </c>
      <c r="C224" s="84">
        <v>1.3224981196287995</v>
      </c>
      <c r="D224" s="29">
        <v>24496.645034227455</v>
      </c>
      <c r="E224" s="49">
        <f t="shared" si="54"/>
        <v>5.4290577913134646E-3</v>
      </c>
      <c r="F224" s="49">
        <f t="shared" si="55"/>
        <v>8.0135200470573958E-3</v>
      </c>
      <c r="G224" s="49">
        <f t="shared" si="56"/>
        <v>5.4290577913134646E-3</v>
      </c>
      <c r="H224" s="50">
        <f t="shared" si="57"/>
        <v>0.10127079145171206</v>
      </c>
      <c r="I224" s="49">
        <f t="shared" si="58"/>
        <v>2.1752931723661797E-5</v>
      </c>
    </row>
    <row r="225" spans="1:14" ht="12.75" customHeight="1" x14ac:dyDescent="0.25">
      <c r="B225" s="82" t="s">
        <v>4</v>
      </c>
      <c r="C225" s="84">
        <v>1.9103503028842752</v>
      </c>
      <c r="D225" s="29">
        <v>363314.38569269452</v>
      </c>
      <c r="E225" s="49">
        <f t="shared" si="54"/>
        <v>7.8422812418992086E-3</v>
      </c>
      <c r="F225" s="49">
        <f t="shared" si="55"/>
        <v>0.1188500347318915</v>
      </c>
      <c r="G225" s="49">
        <f t="shared" si="56"/>
        <v>1.3271339033212672E-2</v>
      </c>
      <c r="H225" s="50">
        <f t="shared" si="57"/>
        <v>0.22012082618360357</v>
      </c>
      <c r="I225" s="49">
        <f t="shared" si="58"/>
        <v>1.1112714060475424E-3</v>
      </c>
    </row>
    <row r="226" spans="1:14" ht="12.75" customHeight="1" x14ac:dyDescent="0.25">
      <c r="B226" s="82" t="s">
        <v>5</v>
      </c>
      <c r="C226" s="84">
        <v>7.1530660073489152</v>
      </c>
      <c r="D226" s="29">
        <v>49475.746319971244</v>
      </c>
      <c r="E226" s="49">
        <f t="shared" si="54"/>
        <v>2.9364433992448483E-2</v>
      </c>
      <c r="F226" s="49">
        <f t="shared" si="55"/>
        <v>1.6184864679397896E-2</v>
      </c>
      <c r="G226" s="49">
        <f t="shared" si="56"/>
        <v>4.2635773025661156E-2</v>
      </c>
      <c r="H226" s="50">
        <f t="shared" si="57"/>
        <v>0.23630569086300146</v>
      </c>
      <c r="I226" s="49">
        <f t="shared" si="58"/>
        <v>4.524245216444035E-4</v>
      </c>
    </row>
    <row r="227" spans="1:14" ht="12.75" customHeight="1" x14ac:dyDescent="0.25">
      <c r="B227" s="111" t="s">
        <v>6</v>
      </c>
      <c r="C227" s="84">
        <v>8.1725692358649695</v>
      </c>
      <c r="D227" s="29">
        <v>20836.189535136225</v>
      </c>
      <c r="E227" s="49">
        <f t="shared" si="54"/>
        <v>3.3549651244475932E-2</v>
      </c>
      <c r="F227" s="49">
        <f t="shared" si="55"/>
        <v>6.8160853174303836E-3</v>
      </c>
      <c r="G227" s="49">
        <f t="shared" si="56"/>
        <v>7.6185424270137081E-2</v>
      </c>
      <c r="H227" s="50">
        <f t="shared" si="57"/>
        <v>0.24312177618043185</v>
      </c>
      <c r="I227" s="49">
        <f t="shared" si="58"/>
        <v>4.0494770914369479E-4</v>
      </c>
    </row>
    <row r="228" spans="1:14" ht="12.75" customHeight="1" x14ac:dyDescent="0.25">
      <c r="B228" s="82" t="s">
        <v>7</v>
      </c>
      <c r="C228" s="84">
        <v>27.678981965070257</v>
      </c>
      <c r="D228" s="29">
        <v>1339764.2833351614</v>
      </c>
      <c r="E228" s="49">
        <f t="shared" si="54"/>
        <v>0.11362646983215957</v>
      </c>
      <c r="F228" s="49">
        <f t="shared" si="55"/>
        <v>0.43827340143259691</v>
      </c>
      <c r="G228" s="49">
        <f t="shared" si="56"/>
        <v>0.18981189410229665</v>
      </c>
      <c r="H228" s="50">
        <f t="shared" si="57"/>
        <v>0.6813951776130287</v>
      </c>
      <c r="I228" s="49">
        <f t="shared" si="58"/>
        <v>5.828977474751796E-2</v>
      </c>
    </row>
    <row r="229" spans="1:14" ht="12.75" customHeight="1" x14ac:dyDescent="0.25">
      <c r="B229" s="82" t="s">
        <v>8</v>
      </c>
      <c r="C229" s="84">
        <v>58.968413233176513</v>
      </c>
      <c r="D229" s="29">
        <v>617141.72101696266</v>
      </c>
      <c r="E229" s="49">
        <f t="shared" si="54"/>
        <v>0.24207438827574823</v>
      </c>
      <c r="F229" s="49">
        <f t="shared" si="55"/>
        <v>0.20188387211126102</v>
      </c>
      <c r="G229" s="49">
        <f t="shared" si="56"/>
        <v>0.43188628237804488</v>
      </c>
      <c r="H229" s="50">
        <f t="shared" si="57"/>
        <v>0.88327904972428972</v>
      </c>
      <c r="I229" s="49">
        <f t="shared" si="58"/>
        <v>6.2755417576180722E-2</v>
      </c>
    </row>
    <row r="230" spans="1:14" ht="12.75" customHeight="1" x14ac:dyDescent="0.25">
      <c r="B230" s="82" t="s">
        <v>9</v>
      </c>
      <c r="C230" s="84">
        <v>61.077225932354281</v>
      </c>
      <c r="D230" s="29">
        <v>119784.51078433092</v>
      </c>
      <c r="E230" s="49">
        <f t="shared" si="54"/>
        <v>0.25073138811942691</v>
      </c>
      <c r="F230" s="49">
        <f t="shared" si="55"/>
        <v>3.9184777227902166E-2</v>
      </c>
      <c r="G230" s="49">
        <f t="shared" si="56"/>
        <v>0.6826176704974718</v>
      </c>
      <c r="H230" s="50">
        <f t="shared" si="57"/>
        <v>0.92246382695219187</v>
      </c>
      <c r="I230" s="49">
        <f t="shared" si="58"/>
        <v>2.1835794556521737E-2</v>
      </c>
    </row>
    <row r="231" spans="1:14" ht="12.75" customHeight="1" thickBot="1" x14ac:dyDescent="0.3">
      <c r="B231" s="86" t="s">
        <v>10</v>
      </c>
      <c r="C231" s="87">
        <v>77.313145320001027</v>
      </c>
      <c r="D231" s="32">
        <v>237021.44592026682</v>
      </c>
      <c r="E231" s="51">
        <f t="shared" si="54"/>
        <v>0.31738232950252826</v>
      </c>
      <c r="F231" s="51">
        <f t="shared" si="55"/>
        <v>7.7536173047808091E-2</v>
      </c>
      <c r="G231" s="51">
        <f t="shared" si="56"/>
        <v>1</v>
      </c>
      <c r="H231" s="52">
        <f t="shared" si="57"/>
        <v>1</v>
      </c>
      <c r="I231" s="51">
        <f t="shared" si="58"/>
        <v>6.5231867436495894E-2</v>
      </c>
    </row>
    <row r="232" spans="1:14" ht="12.75" customHeight="1" thickBot="1" x14ac:dyDescent="0.3">
      <c r="B232" s="38" t="s">
        <v>12</v>
      </c>
      <c r="C232" s="32">
        <f>SUM(C220:C231)</f>
        <v>243.59625011632903</v>
      </c>
      <c r="D232" s="32">
        <f>SUM(D220:D231)</f>
        <v>3056914.4259173274</v>
      </c>
      <c r="E232" s="51">
        <f>SUM(E221:E231)</f>
        <v>1</v>
      </c>
      <c r="F232" s="51">
        <f>SUM(F221:F231)</f>
        <v>1</v>
      </c>
      <c r="G232" s="52"/>
      <c r="H232" s="52"/>
      <c r="I232" s="51">
        <f>SUM(I220:I231)</f>
        <v>0.21010325088527562</v>
      </c>
    </row>
    <row r="233" spans="1:14" ht="12.75" customHeight="1" thickBot="1" x14ac:dyDescent="0.3">
      <c r="B233" s="4"/>
      <c r="C233" s="4"/>
      <c r="D233" s="4"/>
      <c r="E233" s="50"/>
      <c r="F233" s="50"/>
      <c r="G233" s="50"/>
      <c r="H233" s="53"/>
      <c r="I233" s="53"/>
    </row>
    <row r="234" spans="1:14" ht="12.75" customHeight="1" thickBot="1" x14ac:dyDescent="0.3">
      <c r="B234" s="4"/>
      <c r="C234" s="4"/>
      <c r="D234" s="4"/>
      <c r="E234" s="50"/>
      <c r="F234" s="50"/>
      <c r="G234" s="55"/>
      <c r="H234" s="56" t="s">
        <v>33</v>
      </c>
      <c r="I234" s="52">
        <f>1-(2*I232)</f>
        <v>0.57979349822944881</v>
      </c>
    </row>
    <row r="235" spans="1:14" ht="12.75" customHeight="1" x14ac:dyDescent="0.25"/>
    <row r="236" spans="1:14" ht="12.75" customHeight="1" x14ac:dyDescent="0.25"/>
    <row r="237" spans="1:14" ht="12.75" customHeight="1" x14ac:dyDescent="0.25"/>
    <row r="238" spans="1:14" ht="12.75" customHeight="1" x14ac:dyDescent="0.25"/>
    <row r="239" spans="1:14" ht="16.2" thickBot="1" x14ac:dyDescent="0.35">
      <c r="B239" s="256" t="s">
        <v>118</v>
      </c>
      <c r="C239" s="256"/>
      <c r="D239" s="256"/>
      <c r="E239" s="256"/>
      <c r="F239" s="256"/>
      <c r="G239" s="256"/>
      <c r="H239" s="256"/>
      <c r="I239" s="256"/>
    </row>
    <row r="240" spans="1:14" ht="27" thickBot="1" x14ac:dyDescent="0.3">
      <c r="A240" s="8"/>
      <c r="B240" s="30" t="s">
        <v>19</v>
      </c>
      <c r="C240" s="31" t="s">
        <v>39</v>
      </c>
      <c r="D240" s="37" t="s">
        <v>115</v>
      </c>
      <c r="E240" s="31" t="s">
        <v>15</v>
      </c>
      <c r="F240" s="31" t="s">
        <v>21</v>
      </c>
      <c r="G240" s="31" t="s">
        <v>17</v>
      </c>
      <c r="H240" s="31" t="s">
        <v>117</v>
      </c>
      <c r="I240" s="31" t="s">
        <v>20</v>
      </c>
      <c r="J240" s="8"/>
      <c r="K240" s="8"/>
      <c r="L240" s="8"/>
      <c r="M240" s="8"/>
      <c r="N240" s="8"/>
    </row>
    <row r="241" spans="2:9" ht="12.75" customHeight="1" x14ac:dyDescent="0.25">
      <c r="B241" s="4"/>
      <c r="C241" s="26">
        <v>0</v>
      </c>
      <c r="D241" s="26">
        <v>0</v>
      </c>
      <c r="E241" s="49">
        <v>0</v>
      </c>
      <c r="F241" s="49">
        <v>0</v>
      </c>
      <c r="G241" s="49">
        <v>0</v>
      </c>
      <c r="H241" s="50">
        <f>F241</f>
        <v>0</v>
      </c>
      <c r="I241" s="49">
        <v>0</v>
      </c>
    </row>
    <row r="242" spans="2:9" ht="12.75" customHeight="1" x14ac:dyDescent="0.25">
      <c r="B242" s="82" t="s">
        <v>1</v>
      </c>
      <c r="C242" s="29">
        <v>1.3224981196287995</v>
      </c>
      <c r="D242" s="29">
        <v>13199.085501550475</v>
      </c>
      <c r="E242" s="49">
        <f t="shared" ref="E242:E252" si="59">C242/$C$253</f>
        <v>3.4593541506786328E-3</v>
      </c>
      <c r="F242" s="49">
        <f t="shared" ref="F242:F252" si="60">D242/$D$253</f>
        <v>4.3177805010323955E-3</v>
      </c>
      <c r="G242" s="49">
        <f t="shared" ref="G242:G252" si="61">G241+E242</f>
        <v>3.4593541506786328E-3</v>
      </c>
      <c r="H242" s="50">
        <f t="shared" ref="H242:H252" si="62">F242+H241</f>
        <v>4.3177805010323955E-3</v>
      </c>
      <c r="I242" s="49">
        <f t="shared" ref="I242:I252" si="63">(G241+G242)*0.5*(H242-H241)</f>
        <v>7.4683659489828421E-6</v>
      </c>
    </row>
    <row r="243" spans="2:9" ht="12.75" customHeight="1" x14ac:dyDescent="0.25">
      <c r="B243" s="82" t="s">
        <v>195</v>
      </c>
      <c r="C243" s="29">
        <v>1.9103503028842752</v>
      </c>
      <c r="D243" s="29">
        <v>20450.034940117202</v>
      </c>
      <c r="E243" s="49">
        <f t="shared" si="59"/>
        <v>4.9970416981672573E-3</v>
      </c>
      <c r="F243" s="49">
        <f t="shared" si="60"/>
        <v>6.6897636279041406E-3</v>
      </c>
      <c r="G243" s="49">
        <f t="shared" si="61"/>
        <v>8.4563958488458896E-3</v>
      </c>
      <c r="H243" s="50">
        <f t="shared" si="62"/>
        <v>1.1007544128936536E-2</v>
      </c>
      <c r="I243" s="49">
        <f t="shared" si="63"/>
        <v>3.9856775473008967E-5</v>
      </c>
    </row>
    <row r="244" spans="2:9" ht="12.75" customHeight="1" x14ac:dyDescent="0.25">
      <c r="B244" s="82" t="s">
        <v>2</v>
      </c>
      <c r="C244" s="29">
        <v>7.1530660073489152</v>
      </c>
      <c r="D244" s="29">
        <v>251430.37783690859</v>
      </c>
      <c r="E244" s="49">
        <f t="shared" si="59"/>
        <v>1.8710793017646148E-2</v>
      </c>
      <c r="F244" s="49">
        <f t="shared" si="60"/>
        <v>8.2249727275718124E-2</v>
      </c>
      <c r="G244" s="49">
        <f t="shared" si="61"/>
        <v>2.716718886649204E-2</v>
      </c>
      <c r="H244" s="50">
        <f t="shared" si="62"/>
        <v>9.325727140465466E-2</v>
      </c>
      <c r="I244" s="49">
        <f t="shared" si="63"/>
        <v>1.4650150637099926E-3</v>
      </c>
    </row>
    <row r="245" spans="2:9" ht="12.75" customHeight="1" x14ac:dyDescent="0.25">
      <c r="B245" s="82" t="s">
        <v>3</v>
      </c>
      <c r="C245" s="29">
        <v>11.97256923586497</v>
      </c>
      <c r="D245" s="29">
        <v>24496.645034227455</v>
      </c>
      <c r="E245" s="49">
        <f t="shared" si="59"/>
        <v>3.1317516800705825E-2</v>
      </c>
      <c r="F245" s="49">
        <f t="shared" si="60"/>
        <v>8.0135200470573958E-3</v>
      </c>
      <c r="G245" s="49">
        <f t="shared" si="61"/>
        <v>5.8484705667197864E-2</v>
      </c>
      <c r="H245" s="50">
        <f t="shared" si="62"/>
        <v>0.10127079145171206</v>
      </c>
      <c r="I245" s="49">
        <f t="shared" si="63"/>
        <v>3.4318658695708492E-4</v>
      </c>
    </row>
    <row r="246" spans="2:9" ht="12.75" customHeight="1" x14ac:dyDescent="0.25">
      <c r="B246" s="82" t="s">
        <v>4</v>
      </c>
      <c r="C246" s="29">
        <v>23.5</v>
      </c>
      <c r="D246" s="29">
        <v>363314.38569269452</v>
      </c>
      <c r="E246" s="49">
        <f t="shared" si="59"/>
        <v>6.1470652649219498E-2</v>
      </c>
      <c r="F246" s="49">
        <f t="shared" si="60"/>
        <v>0.1188500347318915</v>
      </c>
      <c r="G246" s="49">
        <f t="shared" si="61"/>
        <v>0.11995535831641736</v>
      </c>
      <c r="H246" s="50">
        <f t="shared" si="62"/>
        <v>0.22012082618360357</v>
      </c>
      <c r="I246" s="49">
        <f t="shared" si="63"/>
        <v>1.0603803901006808E-2</v>
      </c>
    </row>
    <row r="247" spans="2:9" ht="12.75" customHeight="1" x14ac:dyDescent="0.25">
      <c r="B247" s="82" t="s">
        <v>5</v>
      </c>
      <c r="C247" s="29">
        <v>27.678981965070257</v>
      </c>
      <c r="D247" s="29">
        <v>49475.746319971244</v>
      </c>
      <c r="E247" s="49">
        <f t="shared" si="59"/>
        <v>7.2401918555695513E-2</v>
      </c>
      <c r="F247" s="49">
        <f t="shared" si="60"/>
        <v>1.6184864679397896E-2</v>
      </c>
      <c r="G247" s="49">
        <f t="shared" si="61"/>
        <v>0.19235727687211288</v>
      </c>
      <c r="H247" s="50">
        <f t="shared" si="62"/>
        <v>0.23630569086300146</v>
      </c>
      <c r="I247" s="49">
        <f t="shared" si="63"/>
        <v>2.5273688690962614E-3</v>
      </c>
    </row>
    <row r="248" spans="2:9" ht="12.75" customHeight="1" x14ac:dyDescent="0.25">
      <c r="B248" s="111" t="s">
        <v>6</v>
      </c>
      <c r="C248" s="29">
        <v>33.799999999999997</v>
      </c>
      <c r="D248" s="29">
        <v>20836.189535136225</v>
      </c>
      <c r="E248" s="49">
        <f t="shared" si="59"/>
        <v>8.8413108916749736E-2</v>
      </c>
      <c r="F248" s="49">
        <f t="shared" si="60"/>
        <v>6.8160853174303836E-3</v>
      </c>
      <c r="G248" s="49">
        <f t="shared" si="61"/>
        <v>0.2807703857888626</v>
      </c>
      <c r="H248" s="50">
        <f t="shared" si="62"/>
        <v>0.24312177618043185</v>
      </c>
      <c r="I248" s="49">
        <f t="shared" si="63"/>
        <v>1.6124392573668162E-3</v>
      </c>
    </row>
    <row r="249" spans="2:9" ht="12.75" customHeight="1" x14ac:dyDescent="0.25">
      <c r="B249" s="82" t="s">
        <v>7</v>
      </c>
      <c r="C249" s="29">
        <v>56.5</v>
      </c>
      <c r="D249" s="29">
        <v>1339764.2833351614</v>
      </c>
      <c r="E249" s="49">
        <f t="shared" si="59"/>
        <v>0.14779114360344262</v>
      </c>
      <c r="F249" s="49">
        <f t="shared" si="60"/>
        <v>0.43827340143259691</v>
      </c>
      <c r="G249" s="49">
        <f t="shared" si="61"/>
        <v>0.42856152939230518</v>
      </c>
      <c r="H249" s="50">
        <f t="shared" si="62"/>
        <v>0.6813951776130287</v>
      </c>
      <c r="I249" s="49">
        <f t="shared" si="63"/>
        <v>0.15544065560557435</v>
      </c>
    </row>
    <row r="250" spans="2:9" ht="12.75" customHeight="1" x14ac:dyDescent="0.25">
      <c r="B250" s="82" t="s">
        <v>8</v>
      </c>
      <c r="C250" s="29">
        <v>58.968413233176513</v>
      </c>
      <c r="D250" s="29">
        <v>617141.72101696266</v>
      </c>
      <c r="E250" s="49">
        <f t="shared" si="59"/>
        <v>0.15424795094179711</v>
      </c>
      <c r="F250" s="49">
        <f t="shared" si="60"/>
        <v>0.20188387211126102</v>
      </c>
      <c r="G250" s="49">
        <f t="shared" si="61"/>
        <v>0.58280948033410229</v>
      </c>
      <c r="H250" s="50">
        <f t="shared" si="62"/>
        <v>0.88327904972428972</v>
      </c>
      <c r="I250" s="49">
        <f t="shared" si="63"/>
        <v>0.10208974779232148</v>
      </c>
    </row>
    <row r="251" spans="2:9" ht="12.75" customHeight="1" x14ac:dyDescent="0.25">
      <c r="B251" s="82" t="s">
        <v>9</v>
      </c>
      <c r="C251" s="29">
        <v>77.313145320001027</v>
      </c>
      <c r="D251" s="29">
        <v>119784.51078433092</v>
      </c>
      <c r="E251" s="49">
        <f t="shared" si="59"/>
        <v>0.20223359579508141</v>
      </c>
      <c r="F251" s="49">
        <f t="shared" si="60"/>
        <v>3.9184777227902166E-2</v>
      </c>
      <c r="G251" s="49">
        <f t="shared" si="61"/>
        <v>0.78504307612918367</v>
      </c>
      <c r="H251" s="50">
        <f t="shared" si="62"/>
        <v>0.92246382695219187</v>
      </c>
      <c r="I251" s="49">
        <f t="shared" si="63"/>
        <v>2.679949885281515E-2</v>
      </c>
    </row>
    <row r="252" spans="2:9" ht="12.75" customHeight="1" thickBot="1" x14ac:dyDescent="0.3">
      <c r="B252" s="86" t="s">
        <v>10</v>
      </c>
      <c r="C252" s="32">
        <v>82.177225932354276</v>
      </c>
      <c r="D252" s="32">
        <v>237021.44592026682</v>
      </c>
      <c r="E252" s="51">
        <f t="shared" si="59"/>
        <v>0.21495692387081627</v>
      </c>
      <c r="F252" s="51">
        <f t="shared" si="60"/>
        <v>7.7536173047808091E-2</v>
      </c>
      <c r="G252" s="51">
        <f t="shared" si="61"/>
        <v>1</v>
      </c>
      <c r="H252" s="52">
        <f t="shared" si="62"/>
        <v>1</v>
      </c>
      <c r="I252" s="51">
        <f t="shared" si="63"/>
        <v>6.9202704424272066E-2</v>
      </c>
    </row>
    <row r="253" spans="2:9" ht="12.75" customHeight="1" thickBot="1" x14ac:dyDescent="0.3">
      <c r="B253" s="38" t="s">
        <v>12</v>
      </c>
      <c r="C253" s="32">
        <f>SUM(C241:C252)</f>
        <v>382.29625011632902</v>
      </c>
      <c r="D253" s="32">
        <f>SUM(D241:D252)</f>
        <v>3056914.4259173274</v>
      </c>
      <c r="E253" s="51">
        <f>SUM(E242:E252)</f>
        <v>1</v>
      </c>
      <c r="F253" s="51">
        <f>SUM(F242:F252)</f>
        <v>1</v>
      </c>
      <c r="G253" s="52"/>
      <c r="H253" s="52"/>
      <c r="I253" s="51">
        <f>SUM(I241:I252)</f>
        <v>0.37013174549454197</v>
      </c>
    </row>
    <row r="254" spans="2:9" ht="12.75" customHeight="1" thickBot="1" x14ac:dyDescent="0.3">
      <c r="B254" s="4"/>
      <c r="C254" s="4"/>
      <c r="D254" s="4"/>
      <c r="E254" s="50"/>
      <c r="F254" s="50"/>
      <c r="G254" s="50"/>
      <c r="H254" s="53"/>
      <c r="I254" s="53"/>
    </row>
    <row r="255" spans="2:9" ht="12.75" customHeight="1" thickBot="1" x14ac:dyDescent="0.3">
      <c r="B255" s="4"/>
      <c r="C255" s="4"/>
      <c r="D255" s="4"/>
      <c r="E255" s="50"/>
      <c r="F255" s="50"/>
      <c r="G255" s="55"/>
      <c r="H255" s="57" t="s">
        <v>29</v>
      </c>
      <c r="I255" s="58">
        <f>1-(2*I253)</f>
        <v>0.25973650901091605</v>
      </c>
    </row>
    <row r="256" spans="2:9" ht="12.6" customHeight="1" x14ac:dyDescent="0.25"/>
    <row r="257" ht="12.75" customHeight="1" x14ac:dyDescent="0.25"/>
    <row r="258" ht="12.75" customHeight="1" x14ac:dyDescent="0.25"/>
    <row r="259" ht="12.75" customHeight="1" x14ac:dyDescent="0.25"/>
    <row r="260" ht="12.75" customHeight="1" x14ac:dyDescent="0.25"/>
    <row r="261" ht="12.75" customHeight="1" x14ac:dyDescent="0.25"/>
    <row r="262" ht="12.75" customHeight="1" x14ac:dyDescent="0.25"/>
    <row r="263" ht="12.75" customHeight="1" x14ac:dyDescent="0.25"/>
    <row r="264" ht="12.75" customHeight="1" x14ac:dyDescent="0.25"/>
    <row r="265" ht="12.75" customHeight="1" x14ac:dyDescent="0.25"/>
    <row r="266" ht="12.75" customHeight="1" x14ac:dyDescent="0.25"/>
    <row r="267" ht="12.75" customHeight="1" x14ac:dyDescent="0.25"/>
    <row r="268" ht="12.75" customHeight="1" x14ac:dyDescent="0.25"/>
    <row r="269" ht="12.75" customHeight="1" x14ac:dyDescent="0.25"/>
    <row r="270" ht="12.75" customHeight="1" x14ac:dyDescent="0.25"/>
    <row r="271" ht="12.75" customHeight="1" x14ac:dyDescent="0.25"/>
    <row r="272" ht="12.75" customHeight="1" x14ac:dyDescent="0.25"/>
    <row r="273" ht="12.75" customHeight="1" x14ac:dyDescent="0.25"/>
    <row r="274" ht="12.75" customHeight="1" x14ac:dyDescent="0.25"/>
    <row r="275" ht="12.75" customHeight="1" x14ac:dyDescent="0.25"/>
    <row r="276" ht="12.75" customHeight="1" x14ac:dyDescent="0.25"/>
    <row r="277" ht="12.75" customHeight="1" x14ac:dyDescent="0.25"/>
    <row r="278" ht="12.75" customHeight="1" x14ac:dyDescent="0.25"/>
    <row r="279" ht="12.75" customHeight="1" x14ac:dyDescent="0.25"/>
    <row r="280" ht="12.75" customHeight="1" x14ac:dyDescent="0.25"/>
    <row r="281" ht="12.75" customHeight="1" x14ac:dyDescent="0.25"/>
    <row r="282" ht="12.75" customHeight="1" x14ac:dyDescent="0.25"/>
    <row r="283" ht="12.75" customHeight="1" x14ac:dyDescent="0.25"/>
    <row r="284" ht="12.75" customHeight="1" x14ac:dyDescent="0.25"/>
    <row r="285" ht="12.75" customHeight="1" x14ac:dyDescent="0.25"/>
    <row r="286" ht="12.75" customHeight="1" x14ac:dyDescent="0.25"/>
    <row r="287" ht="12.75" customHeight="1" x14ac:dyDescent="0.25"/>
    <row r="288" ht="12.75" customHeight="1" x14ac:dyDescent="0.25"/>
    <row r="289" ht="12.75" customHeight="1" x14ac:dyDescent="0.25"/>
    <row r="290" ht="12.75" customHeight="1" x14ac:dyDescent="0.25"/>
    <row r="291" ht="12.75" customHeight="1" x14ac:dyDescent="0.25"/>
    <row r="292" ht="12.75" customHeight="1" x14ac:dyDescent="0.25"/>
    <row r="293" ht="12.75" customHeight="1" x14ac:dyDescent="0.25"/>
    <row r="294" ht="12.75" customHeight="1" x14ac:dyDescent="0.25"/>
    <row r="295" ht="12.75" customHeight="1" x14ac:dyDescent="0.25"/>
    <row r="296" ht="12.75" customHeight="1" x14ac:dyDescent="0.25"/>
    <row r="297" ht="12.75" customHeight="1" x14ac:dyDescent="0.25"/>
    <row r="298" ht="12.75" customHeight="1" x14ac:dyDescent="0.25"/>
    <row r="299" ht="12.75" customHeight="1" x14ac:dyDescent="0.25"/>
    <row r="300" ht="12.75" customHeight="1" x14ac:dyDescent="0.25"/>
    <row r="301" ht="12.75" customHeight="1" x14ac:dyDescent="0.25"/>
    <row r="302" ht="12.75" customHeight="1" x14ac:dyDescent="0.25"/>
    <row r="303" ht="12.75" customHeight="1" x14ac:dyDescent="0.25"/>
    <row r="304" ht="12.75" customHeight="1" x14ac:dyDescent="0.25"/>
    <row r="305" ht="12.75" customHeight="1" x14ac:dyDescent="0.25"/>
    <row r="306" ht="12.75" customHeight="1" x14ac:dyDescent="0.25"/>
    <row r="307" ht="12.75" customHeight="1" x14ac:dyDescent="0.25"/>
    <row r="308" ht="12.75" customHeight="1" x14ac:dyDescent="0.25"/>
    <row r="309" ht="12.75" customHeight="1" x14ac:dyDescent="0.25"/>
    <row r="310" ht="12.75" customHeight="1" x14ac:dyDescent="0.25"/>
    <row r="311" ht="12.75" customHeight="1" x14ac:dyDescent="0.25"/>
    <row r="312" ht="12.75" customHeight="1" x14ac:dyDescent="0.25"/>
    <row r="313" ht="12.75" customHeight="1" x14ac:dyDescent="0.25"/>
    <row r="314" ht="12.75" customHeight="1" x14ac:dyDescent="0.25"/>
    <row r="315" ht="12.75" customHeight="1" x14ac:dyDescent="0.25"/>
    <row r="316" ht="12.75" customHeight="1" x14ac:dyDescent="0.25"/>
    <row r="317" ht="12.75" customHeight="1" x14ac:dyDescent="0.25"/>
    <row r="318" ht="12.75" customHeight="1" x14ac:dyDescent="0.25"/>
    <row r="319" ht="12.75" customHeight="1" x14ac:dyDescent="0.25"/>
    <row r="320" ht="12.75" customHeight="1" x14ac:dyDescent="0.25"/>
    <row r="321" ht="12.75" customHeight="1" x14ac:dyDescent="0.25"/>
    <row r="322" ht="12.75" customHeight="1" x14ac:dyDescent="0.25"/>
    <row r="323" ht="12.75" customHeight="1" x14ac:dyDescent="0.25"/>
    <row r="324" ht="12.75" customHeight="1" x14ac:dyDescent="0.25"/>
    <row r="325" ht="12.75" customHeight="1" x14ac:dyDescent="0.25"/>
    <row r="326" ht="12.75" customHeight="1" x14ac:dyDescent="0.25"/>
    <row r="327" ht="12.75" customHeight="1" x14ac:dyDescent="0.25"/>
    <row r="328" ht="12.75" customHeight="1" x14ac:dyDescent="0.25"/>
    <row r="329" ht="12.75" customHeight="1" x14ac:dyDescent="0.25"/>
    <row r="330" ht="12.75" customHeight="1" x14ac:dyDescent="0.25"/>
    <row r="331" ht="12.75" customHeight="1" x14ac:dyDescent="0.25"/>
    <row r="332" ht="12.75" customHeight="1" x14ac:dyDescent="0.25"/>
    <row r="333" ht="12.75" customHeight="1" x14ac:dyDescent="0.25"/>
    <row r="334" ht="12.75" customHeight="1" x14ac:dyDescent="0.25"/>
    <row r="335" ht="12.75" customHeight="1" x14ac:dyDescent="0.25"/>
    <row r="336" ht="12.75" customHeight="1" x14ac:dyDescent="0.25"/>
    <row r="337" ht="12.75" customHeight="1" x14ac:dyDescent="0.25"/>
    <row r="338" ht="12.75" customHeight="1" x14ac:dyDescent="0.25"/>
    <row r="339" ht="12.75" customHeight="1" x14ac:dyDescent="0.25"/>
    <row r="340" ht="12.75" customHeight="1" x14ac:dyDescent="0.25"/>
    <row r="341" ht="12.75" customHeight="1" x14ac:dyDescent="0.25"/>
    <row r="342" ht="12.75" customHeight="1" x14ac:dyDescent="0.25"/>
    <row r="343" ht="12.75" customHeight="1" x14ac:dyDescent="0.25"/>
    <row r="344" ht="12.75" customHeight="1" x14ac:dyDescent="0.25"/>
    <row r="345" ht="12.75" customHeight="1" x14ac:dyDescent="0.25"/>
    <row r="346" ht="12.75" customHeight="1" x14ac:dyDescent="0.25"/>
    <row r="347" ht="12.75" customHeight="1" x14ac:dyDescent="0.25"/>
    <row r="348" ht="12.75" customHeight="1" x14ac:dyDescent="0.25"/>
    <row r="349" ht="12.75" customHeight="1" x14ac:dyDescent="0.25"/>
    <row r="350" ht="12.75" customHeight="1" x14ac:dyDescent="0.25"/>
    <row r="351" ht="12.75" customHeight="1" x14ac:dyDescent="0.25"/>
    <row r="352" ht="12.75" customHeight="1" x14ac:dyDescent="0.25"/>
    <row r="353" ht="12.75" customHeight="1" x14ac:dyDescent="0.25"/>
    <row r="354" ht="12.75" customHeight="1" x14ac:dyDescent="0.25"/>
    <row r="355" ht="12.75" customHeight="1" x14ac:dyDescent="0.25"/>
    <row r="356" ht="12.75" customHeight="1" x14ac:dyDescent="0.25"/>
    <row r="357" ht="12.75" customHeight="1" x14ac:dyDescent="0.25"/>
    <row r="358" ht="12.75" customHeight="1" x14ac:dyDescent="0.25"/>
    <row r="359" ht="12.75" customHeight="1" x14ac:dyDescent="0.25"/>
    <row r="360" ht="12.75" customHeight="1" x14ac:dyDescent="0.25"/>
    <row r="361" ht="12.75" customHeight="1" x14ac:dyDescent="0.25"/>
    <row r="362" ht="12.75" customHeight="1" x14ac:dyDescent="0.25"/>
    <row r="363" ht="12.75" customHeight="1" x14ac:dyDescent="0.25"/>
    <row r="364" ht="12.75" customHeight="1" x14ac:dyDescent="0.25"/>
    <row r="365" ht="12.75" customHeight="1" x14ac:dyDescent="0.25"/>
    <row r="366" ht="12.75" customHeight="1" x14ac:dyDescent="0.25"/>
    <row r="367" ht="12.75" customHeight="1" x14ac:dyDescent="0.25"/>
    <row r="368" ht="12.75" customHeight="1" x14ac:dyDescent="0.25"/>
    <row r="369" ht="12.75" customHeight="1" x14ac:dyDescent="0.25"/>
    <row r="370" ht="12.75" customHeight="1" x14ac:dyDescent="0.25"/>
    <row r="371" ht="12.75" customHeight="1" x14ac:dyDescent="0.25"/>
    <row r="372" ht="12.75" customHeight="1" x14ac:dyDescent="0.25"/>
    <row r="373" ht="12.75" customHeight="1" x14ac:dyDescent="0.25"/>
    <row r="374" ht="12.75" customHeight="1" x14ac:dyDescent="0.25"/>
    <row r="375" ht="12.75" customHeight="1" x14ac:dyDescent="0.25"/>
    <row r="376" ht="12.75" customHeight="1" x14ac:dyDescent="0.25"/>
    <row r="377" ht="12.75" customHeight="1" x14ac:dyDescent="0.25"/>
    <row r="378" ht="12.75" customHeight="1" x14ac:dyDescent="0.25"/>
    <row r="379" ht="12.75" customHeight="1" x14ac:dyDescent="0.25"/>
    <row r="380" ht="12.75" customHeight="1" x14ac:dyDescent="0.25"/>
    <row r="381" ht="12.75" customHeight="1" x14ac:dyDescent="0.25"/>
    <row r="382" ht="12.75" customHeight="1" x14ac:dyDescent="0.25"/>
    <row r="383" ht="12.75" customHeight="1" x14ac:dyDescent="0.25"/>
    <row r="384" ht="12.75" customHeight="1" x14ac:dyDescent="0.25"/>
    <row r="385" ht="12.75" customHeight="1" x14ac:dyDescent="0.25"/>
    <row r="386" ht="12.75" customHeight="1" x14ac:dyDescent="0.25"/>
    <row r="387" ht="12.75" customHeight="1" x14ac:dyDescent="0.25"/>
    <row r="388" ht="12.75" customHeight="1" x14ac:dyDescent="0.25"/>
    <row r="389" ht="12.75" customHeight="1" x14ac:dyDescent="0.25"/>
    <row r="390" ht="12.75" customHeight="1" x14ac:dyDescent="0.25"/>
    <row r="391" ht="12.75" customHeight="1" x14ac:dyDescent="0.25"/>
    <row r="392" ht="12.75" customHeight="1" x14ac:dyDescent="0.25"/>
    <row r="393" ht="12.75" customHeight="1" x14ac:dyDescent="0.25"/>
    <row r="394" ht="12.75" customHeight="1" x14ac:dyDescent="0.25"/>
    <row r="395" ht="12.75" customHeight="1" x14ac:dyDescent="0.25"/>
    <row r="396" ht="12.75" customHeight="1" x14ac:dyDescent="0.25"/>
    <row r="397" ht="12.75" customHeight="1" x14ac:dyDescent="0.25"/>
    <row r="398" ht="12.75" customHeight="1" x14ac:dyDescent="0.25"/>
    <row r="399" ht="12.75" customHeight="1" x14ac:dyDescent="0.25"/>
    <row r="400" ht="12.75" customHeight="1" x14ac:dyDescent="0.25"/>
    <row r="401" ht="12.75" customHeight="1" x14ac:dyDescent="0.25"/>
    <row r="402" ht="12.75" customHeight="1" x14ac:dyDescent="0.25"/>
    <row r="403" ht="12.75" customHeight="1" x14ac:dyDescent="0.25"/>
    <row r="404" ht="12.75" customHeight="1" x14ac:dyDescent="0.25"/>
    <row r="405" ht="12.75" customHeight="1" x14ac:dyDescent="0.25"/>
    <row r="406" ht="12.75" customHeight="1" x14ac:dyDescent="0.25"/>
    <row r="407" ht="12.75" customHeight="1" x14ac:dyDescent="0.25"/>
    <row r="408" ht="12.75" customHeight="1" x14ac:dyDescent="0.25"/>
    <row r="409" ht="12.75" customHeight="1" x14ac:dyDescent="0.25"/>
    <row r="410" ht="12.75" customHeight="1" x14ac:dyDescent="0.25"/>
    <row r="411" ht="12.75" customHeight="1" x14ac:dyDescent="0.25"/>
    <row r="412" ht="12.75" customHeight="1" x14ac:dyDescent="0.25"/>
    <row r="413" ht="12.75" customHeight="1" x14ac:dyDescent="0.25"/>
    <row r="414" ht="12.75" customHeight="1" x14ac:dyDescent="0.25"/>
    <row r="415" ht="12.75" customHeight="1" x14ac:dyDescent="0.25"/>
    <row r="416" ht="12.75" customHeight="1" x14ac:dyDescent="0.25"/>
    <row r="417" ht="12.75" customHeight="1" x14ac:dyDescent="0.25"/>
    <row r="418" ht="12.75" customHeight="1" x14ac:dyDescent="0.25"/>
    <row r="419" ht="12.75" customHeight="1" x14ac:dyDescent="0.25"/>
    <row r="420" ht="12.75" customHeight="1" x14ac:dyDescent="0.25"/>
    <row r="421" ht="12.75" customHeight="1" x14ac:dyDescent="0.25"/>
    <row r="422" ht="12.75" customHeight="1" x14ac:dyDescent="0.25"/>
    <row r="423" ht="12.75" customHeight="1" x14ac:dyDescent="0.25"/>
    <row r="424" ht="12.75" customHeight="1" x14ac:dyDescent="0.25"/>
    <row r="425" ht="12.75" customHeight="1" x14ac:dyDescent="0.25"/>
    <row r="426" ht="12.75" customHeight="1" x14ac:dyDescent="0.25"/>
    <row r="427" ht="12.75" customHeight="1" x14ac:dyDescent="0.25"/>
    <row r="428" ht="12.75" customHeight="1" x14ac:dyDescent="0.25"/>
    <row r="429" ht="12.75" customHeight="1" x14ac:dyDescent="0.25"/>
    <row r="430" ht="12.75" customHeight="1" x14ac:dyDescent="0.25"/>
    <row r="431" ht="12.75" customHeight="1" x14ac:dyDescent="0.25"/>
    <row r="432" ht="12.75" customHeight="1" x14ac:dyDescent="0.25"/>
    <row r="433" ht="12.75" customHeight="1" x14ac:dyDescent="0.25"/>
    <row r="434" ht="12.75" customHeight="1" x14ac:dyDescent="0.25"/>
    <row r="435" ht="12.75" customHeight="1" x14ac:dyDescent="0.25"/>
    <row r="436" ht="12.75" customHeight="1" x14ac:dyDescent="0.25"/>
    <row r="437" ht="12.75" customHeight="1" x14ac:dyDescent="0.25"/>
    <row r="438" ht="12.75" customHeight="1" x14ac:dyDescent="0.25"/>
    <row r="439" ht="12.75" customHeight="1" x14ac:dyDescent="0.25"/>
    <row r="440" ht="12.75" customHeight="1" x14ac:dyDescent="0.25"/>
    <row r="441" ht="12.75" customHeight="1" x14ac:dyDescent="0.25"/>
    <row r="442" ht="12.75" customHeight="1" x14ac:dyDescent="0.25"/>
    <row r="443" ht="12.75" customHeight="1" x14ac:dyDescent="0.25"/>
    <row r="444" ht="12.75" customHeight="1" x14ac:dyDescent="0.25"/>
    <row r="445" ht="12.75" customHeight="1" x14ac:dyDescent="0.25"/>
    <row r="446" ht="12.75" customHeight="1" x14ac:dyDescent="0.25"/>
    <row r="447" ht="12.75" customHeight="1" x14ac:dyDescent="0.25"/>
    <row r="448" ht="12.75" customHeight="1" x14ac:dyDescent="0.25"/>
    <row r="449" ht="12.75" customHeight="1" x14ac:dyDescent="0.25"/>
    <row r="450" ht="12.75" customHeight="1" x14ac:dyDescent="0.25"/>
    <row r="451" ht="12.75" customHeight="1" x14ac:dyDescent="0.25"/>
    <row r="452" ht="12.75" customHeight="1" x14ac:dyDescent="0.25"/>
    <row r="453" ht="12.75" customHeight="1" x14ac:dyDescent="0.25"/>
    <row r="454" ht="12.75" customHeight="1" x14ac:dyDescent="0.25"/>
    <row r="455" ht="12.75" customHeight="1" x14ac:dyDescent="0.25"/>
    <row r="456" ht="12.75" customHeight="1" x14ac:dyDescent="0.25"/>
    <row r="457" ht="12.75" customHeight="1" x14ac:dyDescent="0.25"/>
    <row r="458" ht="12.75" customHeight="1" x14ac:dyDescent="0.25"/>
    <row r="459" ht="12.75" customHeight="1" x14ac:dyDescent="0.25"/>
    <row r="460" ht="12.75" customHeight="1" x14ac:dyDescent="0.25"/>
    <row r="461" ht="12.75" customHeight="1" x14ac:dyDescent="0.25"/>
    <row r="462" ht="12.75" customHeight="1" x14ac:dyDescent="0.25"/>
    <row r="463" ht="12.75" customHeight="1" x14ac:dyDescent="0.25"/>
    <row r="464" ht="12.75" customHeight="1" x14ac:dyDescent="0.25"/>
    <row r="465" ht="12.75" customHeight="1" x14ac:dyDescent="0.25"/>
    <row r="466" ht="12.75" customHeight="1" x14ac:dyDescent="0.25"/>
    <row r="467" ht="12.75" customHeight="1" x14ac:dyDescent="0.25"/>
    <row r="468" ht="12.75" customHeight="1" x14ac:dyDescent="0.25"/>
    <row r="469" ht="12.75" customHeight="1" x14ac:dyDescent="0.25"/>
    <row r="470" ht="12.75" customHeight="1" x14ac:dyDescent="0.25"/>
    <row r="471" ht="12.75" customHeight="1" x14ac:dyDescent="0.25"/>
    <row r="472" ht="12.75" customHeight="1" x14ac:dyDescent="0.25"/>
    <row r="473" ht="12.75" customHeight="1" x14ac:dyDescent="0.25"/>
    <row r="474" ht="12.75" customHeight="1" x14ac:dyDescent="0.25"/>
    <row r="475" ht="12.75" customHeight="1" x14ac:dyDescent="0.25"/>
    <row r="476" ht="12.75" customHeight="1" x14ac:dyDescent="0.25"/>
    <row r="477" ht="12.75" customHeight="1" x14ac:dyDescent="0.25"/>
    <row r="478" ht="12.75" customHeight="1" x14ac:dyDescent="0.25"/>
    <row r="479" ht="12.75" customHeight="1" x14ac:dyDescent="0.25"/>
    <row r="480" ht="12.75" customHeight="1" x14ac:dyDescent="0.25"/>
    <row r="481" ht="12.75" customHeight="1" x14ac:dyDescent="0.25"/>
    <row r="482" ht="12.75" customHeight="1" x14ac:dyDescent="0.25"/>
    <row r="483" ht="12.75" customHeight="1" x14ac:dyDescent="0.25"/>
    <row r="484" ht="12.75" customHeight="1" x14ac:dyDescent="0.25"/>
    <row r="485" ht="12.75" customHeight="1" x14ac:dyDescent="0.25"/>
    <row r="486" ht="12.75" customHeight="1" x14ac:dyDescent="0.25"/>
    <row r="487" ht="12.75" customHeight="1" x14ac:dyDescent="0.25"/>
    <row r="488" ht="12.75" customHeight="1" x14ac:dyDescent="0.25"/>
    <row r="489" ht="12.75" customHeight="1" x14ac:dyDescent="0.25"/>
    <row r="490" ht="12.75" customHeight="1" x14ac:dyDescent="0.25"/>
    <row r="491" ht="12.75" customHeight="1" x14ac:dyDescent="0.25"/>
    <row r="492" ht="12.75" customHeight="1" x14ac:dyDescent="0.25"/>
    <row r="493" ht="12.75" customHeight="1" x14ac:dyDescent="0.25"/>
    <row r="494" ht="12.75" customHeight="1" x14ac:dyDescent="0.25"/>
    <row r="495" ht="12.75" customHeight="1" x14ac:dyDescent="0.25"/>
    <row r="496" ht="12.75" customHeight="1" x14ac:dyDescent="0.25"/>
    <row r="497" ht="12.75" customHeight="1" x14ac:dyDescent="0.25"/>
    <row r="498" ht="12.75" customHeight="1" x14ac:dyDescent="0.25"/>
    <row r="499" ht="12.75" customHeight="1" x14ac:dyDescent="0.25"/>
    <row r="500" ht="12.75" customHeight="1" x14ac:dyDescent="0.25"/>
    <row r="501" ht="12.75" customHeight="1" x14ac:dyDescent="0.25"/>
    <row r="502" ht="12.75" customHeight="1" x14ac:dyDescent="0.25"/>
    <row r="503" ht="12.75" customHeight="1" x14ac:dyDescent="0.25"/>
    <row r="504" ht="12.75" customHeight="1" x14ac:dyDescent="0.25"/>
    <row r="505" ht="12.75" customHeight="1" x14ac:dyDescent="0.25"/>
    <row r="506" ht="12.75" customHeight="1" x14ac:dyDescent="0.25"/>
    <row r="507" ht="12.75" customHeight="1" x14ac:dyDescent="0.25"/>
    <row r="508" ht="12.75" customHeight="1" x14ac:dyDescent="0.25"/>
    <row r="509" ht="12.75" customHeight="1" x14ac:dyDescent="0.25"/>
    <row r="510" ht="12.75" customHeight="1" x14ac:dyDescent="0.25"/>
    <row r="511" ht="12.75" customHeight="1" x14ac:dyDescent="0.25"/>
    <row r="512" ht="12.75" customHeight="1" x14ac:dyDescent="0.25"/>
    <row r="513" ht="12.75" customHeight="1" x14ac:dyDescent="0.25"/>
    <row r="514" ht="12.75" customHeight="1" x14ac:dyDescent="0.25"/>
    <row r="515" ht="12.75" customHeight="1" x14ac:dyDescent="0.25"/>
    <row r="516" ht="12.75" customHeight="1" x14ac:dyDescent="0.25"/>
    <row r="517" ht="12.75" customHeight="1" x14ac:dyDescent="0.25"/>
    <row r="518" ht="12.75" customHeight="1" x14ac:dyDescent="0.25"/>
    <row r="519" ht="12.75" customHeight="1" x14ac:dyDescent="0.25"/>
    <row r="520" ht="12.75" customHeight="1" x14ac:dyDescent="0.25"/>
  </sheetData>
  <mergeCells count="15">
    <mergeCell ref="A1:F1"/>
    <mergeCell ref="B4:I4"/>
    <mergeCell ref="B25:I25"/>
    <mergeCell ref="B239:I239"/>
    <mergeCell ref="B47:I47"/>
    <mergeCell ref="B68:I68"/>
    <mergeCell ref="A89:F89"/>
    <mergeCell ref="B92:I92"/>
    <mergeCell ref="B113:I113"/>
    <mergeCell ref="B134:I134"/>
    <mergeCell ref="B155:I155"/>
    <mergeCell ref="A174:F174"/>
    <mergeCell ref="B176:I176"/>
    <mergeCell ref="B197:I197"/>
    <mergeCell ref="B218:I218"/>
  </mergeCells>
  <pageMargins left="0.7" right="0.7" top="0.75" bottom="0.75" header="0" footer="0"/>
  <pageSetup paperSize="9" orientation="portrait" r:id="rId1"/>
  <ignoredErrors>
    <ignoredError sqref="D106" formula="1"/>
    <ignoredError sqref="C1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23</vt:i4>
      </vt:variant>
    </vt:vector>
  </HeadingPairs>
  <TitlesOfParts>
    <vt:vector size="23" baseType="lpstr">
      <vt:lpstr>Raw Data</vt:lpstr>
      <vt:lpstr>Annual_sorted</vt:lpstr>
      <vt:lpstr>Envy Freeness_2010</vt:lpstr>
      <vt:lpstr>Envy Freeness_2011</vt:lpstr>
      <vt:lpstr>Envy Freeness_2012</vt:lpstr>
      <vt:lpstr>Envy Freeness_2013</vt:lpstr>
      <vt:lpstr>Envy Freeness_2014</vt:lpstr>
      <vt:lpstr>Envy Freeness_2015</vt:lpstr>
      <vt:lpstr>Envy Freeness_2016</vt:lpstr>
      <vt:lpstr>Envy Freeness_2017</vt:lpstr>
      <vt:lpstr>Envy Freeness_2018</vt:lpstr>
      <vt:lpstr>Gini_2010</vt:lpstr>
      <vt:lpstr>Gini_2011</vt:lpstr>
      <vt:lpstr>Gini_2012</vt:lpstr>
      <vt:lpstr>Gini_2013</vt:lpstr>
      <vt:lpstr>Gini_2014</vt:lpstr>
      <vt:lpstr>Gini_2015</vt:lpstr>
      <vt:lpstr>Gini_2016</vt:lpstr>
      <vt:lpstr>Gini_2017</vt:lpstr>
      <vt:lpstr>Gini_2018</vt:lpstr>
      <vt:lpstr>Utilitarianism</vt:lpstr>
      <vt:lpstr>Agreements</vt:lpstr>
      <vt:lpstr>Gini_Format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Suzan Dehati</dc:creator>
  <cp:lastModifiedBy>Suzan Dehati</cp:lastModifiedBy>
  <dcterms:created xsi:type="dcterms:W3CDTF">2023-03-03T08:05:22Z</dcterms:created>
  <dcterms:modified xsi:type="dcterms:W3CDTF">2023-04-16T13:22:10Z</dcterms:modified>
</cp:coreProperties>
</file>