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an\Downloads\"/>
    </mc:Choice>
  </mc:AlternateContent>
  <xr:revisionPtr revIDLastSave="0" documentId="13_ncr:1_{F82C4BC5-3352-4267-AC09-F5CABC92C29D}" xr6:coauthVersionLast="47" xr6:coauthVersionMax="47" xr10:uidLastSave="{00000000-0000-0000-0000-000000000000}"/>
  <bookViews>
    <workbookView xWindow="-90" yWindow="-90" windowWidth="19380" windowHeight="10260" activeTab="1" xr2:uid="{7E3A07F7-A3FE-4840-B335-B49EC86EA13D}"/>
  </bookViews>
  <sheets>
    <sheet name="OverView " sheetId="3" r:id="rId1"/>
    <sheet name="A DCF Short term" sheetId="1" r:id="rId2"/>
    <sheet name="A DCF Long-term" sheetId="7" r:id="rId3"/>
    <sheet name="B DCF" sheetId="6" r:id="rId4"/>
  </sheets>
  <calcPr calcId="191029" iterate="1" iterateCount="6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1" i="7" l="1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F40" i="7"/>
  <c r="Y33" i="7"/>
  <c r="P3" i="7"/>
  <c r="Q3" i="7" s="1"/>
  <c r="R3" i="7" s="1"/>
  <c r="S3" i="7" s="1"/>
  <c r="T3" i="7" s="1"/>
  <c r="U3" i="7" s="1"/>
  <c r="V3" i="7" s="1"/>
  <c r="W3" i="7" s="1"/>
  <c r="X3" i="7" s="1"/>
  <c r="Y3" i="7" s="1"/>
  <c r="Z3" i="7" s="1"/>
  <c r="J71" i="1"/>
  <c r="I71" i="1"/>
  <c r="F71" i="1"/>
  <c r="G71" i="1"/>
  <c r="E72" i="1"/>
  <c r="E73" i="1"/>
  <c r="E76" i="1"/>
  <c r="E75" i="1"/>
  <c r="G52" i="6"/>
  <c r="F52" i="6" s="1"/>
  <c r="I52" i="6"/>
  <c r="J52" i="6" s="1"/>
  <c r="E66" i="6"/>
  <c r="E67" i="6" s="1"/>
  <c r="E64" i="6"/>
  <c r="E63" i="6" s="1"/>
  <c r="I62" i="6"/>
  <c r="J62" i="6" s="1"/>
  <c r="G62" i="6"/>
  <c r="F62" i="6" s="1"/>
  <c r="E56" i="6"/>
  <c r="E57" i="6" s="1"/>
  <c r="E54" i="6"/>
  <c r="E53" i="6" s="1"/>
  <c r="E46" i="6"/>
  <c r="E47" i="6" s="1"/>
  <c r="E44" i="6"/>
  <c r="E43" i="6" s="1"/>
  <c r="I42" i="6"/>
  <c r="J42" i="6" s="1"/>
  <c r="G42" i="6"/>
  <c r="F42" i="6" s="1"/>
  <c r="B33" i="1"/>
  <c r="E32" i="7"/>
  <c r="E31" i="7"/>
  <c r="E26" i="7"/>
  <c r="E25" i="7"/>
  <c r="E29" i="7" s="1"/>
  <c r="F20" i="7"/>
  <c r="F19" i="7"/>
  <c r="F14" i="7"/>
  <c r="G14" i="7" s="1"/>
  <c r="H14" i="7" s="1"/>
  <c r="I14" i="7" s="1"/>
  <c r="J14" i="7" s="1"/>
  <c r="K14" i="7" s="1"/>
  <c r="L14" i="7" s="1"/>
  <c r="M14" i="7" s="1"/>
  <c r="N14" i="7" s="1"/>
  <c r="O14" i="7" s="1"/>
  <c r="P14" i="7" s="1"/>
  <c r="Q14" i="7" s="1"/>
  <c r="R14" i="7" s="1"/>
  <c r="S14" i="7" s="1"/>
  <c r="T14" i="7" s="1"/>
  <c r="U14" i="7" s="1"/>
  <c r="V14" i="7" s="1"/>
  <c r="W14" i="7" s="1"/>
  <c r="X14" i="7" s="1"/>
  <c r="Y14" i="7" s="1"/>
  <c r="F13" i="7"/>
  <c r="F11" i="7"/>
  <c r="F15" i="7" s="1"/>
  <c r="F7" i="7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F3" i="7"/>
  <c r="F2" i="7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E2" i="7"/>
  <c r="G1" i="7"/>
  <c r="F18" i="6"/>
  <c r="E31" i="6"/>
  <c r="E30" i="6"/>
  <c r="E25" i="6"/>
  <c r="E24" i="6"/>
  <c r="E28" i="6" s="1"/>
  <c r="F19" i="6"/>
  <c r="F13" i="6"/>
  <c r="G13" i="6" s="1"/>
  <c r="H13" i="6" s="1"/>
  <c r="I13" i="6" s="1"/>
  <c r="J13" i="6" s="1"/>
  <c r="K13" i="6" s="1"/>
  <c r="L13" i="6" s="1"/>
  <c r="M13" i="6" s="1"/>
  <c r="N13" i="6" s="1"/>
  <c r="O13" i="6" s="1"/>
  <c r="F12" i="6"/>
  <c r="F11" i="6"/>
  <c r="F14" i="6" s="1"/>
  <c r="F7" i="6"/>
  <c r="G7" i="6" s="1"/>
  <c r="H7" i="6" s="1"/>
  <c r="I7" i="6" s="1"/>
  <c r="J7" i="6" s="1"/>
  <c r="K7" i="6" s="1"/>
  <c r="L7" i="6" s="1"/>
  <c r="M7" i="6" s="1"/>
  <c r="N7" i="6" s="1"/>
  <c r="O7" i="6" s="1"/>
  <c r="P7" i="6" s="1"/>
  <c r="F3" i="6"/>
  <c r="E2" i="6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G1" i="6"/>
  <c r="I42" i="1"/>
  <c r="J42" i="1" s="1"/>
  <c r="G42" i="1"/>
  <c r="F42" i="1" s="1"/>
  <c r="E67" i="1"/>
  <c r="E66" i="1"/>
  <c r="E63" i="1"/>
  <c r="E64" i="1"/>
  <c r="J62" i="1"/>
  <c r="I62" i="1"/>
  <c r="F62" i="1"/>
  <c r="G62" i="1"/>
  <c r="G52" i="1"/>
  <c r="F52" i="1" s="1"/>
  <c r="I52" i="1"/>
  <c r="J52" i="1" s="1"/>
  <c r="E54" i="1"/>
  <c r="E53" i="1" s="1"/>
  <c r="E56" i="1"/>
  <c r="E57" i="1" s="1"/>
  <c r="E44" i="1"/>
  <c r="E43" i="1" s="1"/>
  <c r="E46" i="1"/>
  <c r="E47" i="1" s="1"/>
  <c r="F12" i="1"/>
  <c r="F11" i="1"/>
  <c r="E33" i="6" l="1"/>
  <c r="E34" i="7"/>
  <c r="F21" i="7"/>
  <c r="F4" i="7"/>
  <c r="F5" i="7" s="1"/>
  <c r="F9" i="7" s="1"/>
  <c r="B34" i="7" s="1"/>
  <c r="G3" i="7"/>
  <c r="G19" i="7"/>
  <c r="G20" i="7"/>
  <c r="G13" i="7"/>
  <c r="G11" i="7"/>
  <c r="H1" i="7"/>
  <c r="F20" i="6"/>
  <c r="F39" i="6" s="1"/>
  <c r="F4" i="6"/>
  <c r="F5" i="6" s="1"/>
  <c r="F9" i="6" s="1"/>
  <c r="G3" i="6"/>
  <c r="G18" i="6"/>
  <c r="G19" i="6"/>
  <c r="G12" i="6"/>
  <c r="G11" i="6"/>
  <c r="G14" i="6" s="1"/>
  <c r="H1" i="6"/>
  <c r="F3" i="1"/>
  <c r="G3" i="1" s="1"/>
  <c r="F7" i="1"/>
  <c r="G7" i="1" s="1"/>
  <c r="H7" i="1" s="1"/>
  <c r="G1" i="1"/>
  <c r="F13" i="1"/>
  <c r="G13" i="1" s="1"/>
  <c r="H13" i="1" s="1"/>
  <c r="G19" i="1"/>
  <c r="H1" i="1"/>
  <c r="F18" i="1"/>
  <c r="F19" i="1"/>
  <c r="E24" i="1"/>
  <c r="E25" i="1"/>
  <c r="E30" i="1"/>
  <c r="E31" i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G15" i="7" l="1"/>
  <c r="B39" i="6"/>
  <c r="B40" i="7"/>
  <c r="F17" i="7"/>
  <c r="H3" i="7"/>
  <c r="G4" i="7"/>
  <c r="G5" i="7" s="1"/>
  <c r="G9" i="7" s="1"/>
  <c r="I1" i="7"/>
  <c r="H11" i="7"/>
  <c r="H13" i="7"/>
  <c r="H20" i="7"/>
  <c r="H19" i="7"/>
  <c r="G21" i="7"/>
  <c r="G20" i="6"/>
  <c r="F16" i="6"/>
  <c r="F37" i="6" s="1"/>
  <c r="B33" i="6"/>
  <c r="H3" i="6"/>
  <c r="G4" i="6"/>
  <c r="G5" i="6" s="1"/>
  <c r="G9" i="6" s="1"/>
  <c r="G16" i="6" s="1"/>
  <c r="H11" i="6"/>
  <c r="H14" i="6" s="1"/>
  <c r="H12" i="6"/>
  <c r="I1" i="6"/>
  <c r="H19" i="6"/>
  <c r="H18" i="6"/>
  <c r="E28" i="1"/>
  <c r="G18" i="1"/>
  <c r="G12" i="1"/>
  <c r="G11" i="1"/>
  <c r="H12" i="1"/>
  <c r="H11" i="1"/>
  <c r="F20" i="1"/>
  <c r="F39" i="1" s="1"/>
  <c r="H19" i="1"/>
  <c r="H18" i="1"/>
  <c r="F4" i="1"/>
  <c r="F5" i="1" s="1"/>
  <c r="F9" i="1" s="1"/>
  <c r="G4" i="1"/>
  <c r="G5" i="1" s="1"/>
  <c r="G9" i="1" s="1"/>
  <c r="H3" i="1"/>
  <c r="H4" i="1" s="1"/>
  <c r="I1" i="1"/>
  <c r="F14" i="1"/>
  <c r="I7" i="1"/>
  <c r="I13" i="1"/>
  <c r="J13" i="1" s="1"/>
  <c r="K13" i="1" s="1"/>
  <c r="H14" i="1"/>
  <c r="G14" i="1"/>
  <c r="G39" i="6" l="1"/>
  <c r="G17" i="7"/>
  <c r="B39" i="1"/>
  <c r="F38" i="7"/>
  <c r="F29" i="7"/>
  <c r="F23" i="7"/>
  <c r="F36" i="7" s="1"/>
  <c r="H4" i="7"/>
  <c r="H5" i="7"/>
  <c r="H9" i="7" s="1"/>
  <c r="I3" i="7"/>
  <c r="J1" i="7"/>
  <c r="I11" i="7"/>
  <c r="I13" i="7"/>
  <c r="I20" i="7"/>
  <c r="I19" i="7"/>
  <c r="I21" i="7" s="1"/>
  <c r="H21" i="7"/>
  <c r="H15" i="7"/>
  <c r="G38" i="7"/>
  <c r="G29" i="7"/>
  <c r="G34" i="7" s="1"/>
  <c r="G23" i="7"/>
  <c r="E33" i="1"/>
  <c r="G20" i="1"/>
  <c r="G39" i="1" s="1"/>
  <c r="F28" i="6"/>
  <c r="F22" i="6"/>
  <c r="F35" i="6" s="1"/>
  <c r="I3" i="6"/>
  <c r="H4" i="6"/>
  <c r="H5" i="6" s="1"/>
  <c r="H9" i="6" s="1"/>
  <c r="H16" i="6" s="1"/>
  <c r="I19" i="6"/>
  <c r="I18" i="6"/>
  <c r="J1" i="6"/>
  <c r="I11" i="6"/>
  <c r="I12" i="6"/>
  <c r="H20" i="6"/>
  <c r="G28" i="6"/>
  <c r="G22" i="6"/>
  <c r="I12" i="1"/>
  <c r="I11" i="1"/>
  <c r="H20" i="1"/>
  <c r="F16" i="1"/>
  <c r="H5" i="1"/>
  <c r="H9" i="1" s="1"/>
  <c r="I3" i="1"/>
  <c r="I4" i="1" s="1"/>
  <c r="I5" i="1" s="1"/>
  <c r="I9" i="1" s="1"/>
  <c r="G16" i="1"/>
  <c r="I18" i="1"/>
  <c r="J1" i="1"/>
  <c r="I19" i="1"/>
  <c r="J7" i="1"/>
  <c r="L13" i="1"/>
  <c r="H39" i="6" l="1"/>
  <c r="H16" i="1"/>
  <c r="H39" i="1"/>
  <c r="H37" i="6"/>
  <c r="H17" i="7"/>
  <c r="F34" i="7"/>
  <c r="J3" i="7"/>
  <c r="I4" i="7"/>
  <c r="I5" i="7"/>
  <c r="I9" i="7" s="1"/>
  <c r="K1" i="7"/>
  <c r="J11" i="7"/>
  <c r="J13" i="7"/>
  <c r="J20" i="7"/>
  <c r="J19" i="7"/>
  <c r="I15" i="7"/>
  <c r="F33" i="6"/>
  <c r="G35" i="6" s="1"/>
  <c r="G37" i="6"/>
  <c r="G33" i="6"/>
  <c r="J3" i="6"/>
  <c r="I4" i="6"/>
  <c r="I5" i="6" s="1"/>
  <c r="I9" i="6" s="1"/>
  <c r="J11" i="6"/>
  <c r="J14" i="6" s="1"/>
  <c r="K1" i="6"/>
  <c r="J12" i="6"/>
  <c r="J19" i="6"/>
  <c r="J18" i="6"/>
  <c r="I14" i="6"/>
  <c r="H28" i="6"/>
  <c r="H22" i="6"/>
  <c r="I20" i="6"/>
  <c r="F28" i="1"/>
  <c r="F37" i="1"/>
  <c r="G22" i="1"/>
  <c r="G37" i="1"/>
  <c r="J12" i="1"/>
  <c r="J11" i="1"/>
  <c r="I20" i="1"/>
  <c r="I39" i="1" s="1"/>
  <c r="F22" i="1"/>
  <c r="F35" i="1" s="1"/>
  <c r="J3" i="1"/>
  <c r="K3" i="1" s="1"/>
  <c r="I14" i="1"/>
  <c r="I16" i="1" s="1"/>
  <c r="G28" i="1"/>
  <c r="J19" i="1"/>
  <c r="J18" i="1"/>
  <c r="K1" i="1"/>
  <c r="K7" i="1"/>
  <c r="M13" i="1"/>
  <c r="I39" i="6" l="1"/>
  <c r="H22" i="1"/>
  <c r="H28" i="1"/>
  <c r="J15" i="7"/>
  <c r="H38" i="7"/>
  <c r="H23" i="7"/>
  <c r="H36" i="7" s="1"/>
  <c r="H29" i="7"/>
  <c r="H34" i="7" s="1"/>
  <c r="H35" i="6"/>
  <c r="I17" i="7"/>
  <c r="G36" i="7"/>
  <c r="K3" i="7"/>
  <c r="J4" i="7"/>
  <c r="J5" i="7"/>
  <c r="J9" i="7" s="1"/>
  <c r="J17" i="7" s="1"/>
  <c r="J29" i="7" s="1"/>
  <c r="K11" i="7"/>
  <c r="K15" i="7" s="1"/>
  <c r="K13" i="7"/>
  <c r="K20" i="7"/>
  <c r="K19" i="7"/>
  <c r="L1" i="7"/>
  <c r="J21" i="7"/>
  <c r="G33" i="1"/>
  <c r="J20" i="6"/>
  <c r="H33" i="6"/>
  <c r="K3" i="6"/>
  <c r="J4" i="6"/>
  <c r="J5" i="6" s="1"/>
  <c r="J9" i="6" s="1"/>
  <c r="J16" i="6" s="1"/>
  <c r="K12" i="6"/>
  <c r="K19" i="6"/>
  <c r="K18" i="6"/>
  <c r="L1" i="6"/>
  <c r="K11" i="6"/>
  <c r="K14" i="6" s="1"/>
  <c r="I16" i="6"/>
  <c r="I37" i="6" s="1"/>
  <c r="H37" i="1"/>
  <c r="F33" i="1"/>
  <c r="I28" i="1"/>
  <c r="K12" i="1"/>
  <c r="K11" i="1"/>
  <c r="J4" i="1"/>
  <c r="J5" i="1" s="1"/>
  <c r="J9" i="1" s="1"/>
  <c r="J20" i="1"/>
  <c r="I22" i="1"/>
  <c r="K4" i="1"/>
  <c r="K5" i="1" s="1"/>
  <c r="K9" i="1" s="1"/>
  <c r="L3" i="1"/>
  <c r="K18" i="1"/>
  <c r="K19" i="1"/>
  <c r="L1" i="1"/>
  <c r="J14" i="1"/>
  <c r="L7" i="1"/>
  <c r="N13" i="1"/>
  <c r="J39" i="6" l="1"/>
  <c r="H33" i="1"/>
  <c r="I35" i="1" s="1"/>
  <c r="I37" i="1"/>
  <c r="J39" i="1"/>
  <c r="I29" i="7"/>
  <c r="I38" i="7"/>
  <c r="I23" i="7"/>
  <c r="I36" i="7" s="1"/>
  <c r="L3" i="7"/>
  <c r="K4" i="7"/>
  <c r="K5" i="7"/>
  <c r="K9" i="7" s="1"/>
  <c r="K17" i="7" s="1"/>
  <c r="M1" i="7"/>
  <c r="L11" i="7"/>
  <c r="L13" i="7"/>
  <c r="L20" i="7"/>
  <c r="L19" i="7"/>
  <c r="K21" i="7"/>
  <c r="J34" i="7"/>
  <c r="J23" i="7"/>
  <c r="I33" i="1"/>
  <c r="L3" i="6"/>
  <c r="K4" i="6"/>
  <c r="K5" i="6" s="1"/>
  <c r="K9" i="6" s="1"/>
  <c r="K16" i="6" s="1"/>
  <c r="K20" i="6"/>
  <c r="L11" i="6"/>
  <c r="L12" i="6"/>
  <c r="M1" i="6"/>
  <c r="L19" i="6"/>
  <c r="L18" i="6"/>
  <c r="I22" i="6"/>
  <c r="I35" i="6" s="1"/>
  <c r="I28" i="6"/>
  <c r="J28" i="6"/>
  <c r="J33" i="6" s="1"/>
  <c r="J22" i="6"/>
  <c r="H35" i="1"/>
  <c r="G35" i="1"/>
  <c r="L12" i="1"/>
  <c r="L11" i="1"/>
  <c r="J16" i="1"/>
  <c r="K20" i="1"/>
  <c r="K39" i="1" s="1"/>
  <c r="K14" i="1"/>
  <c r="K16" i="1" s="1"/>
  <c r="L18" i="1"/>
  <c r="L19" i="1"/>
  <c r="M1" i="1"/>
  <c r="L4" i="1"/>
  <c r="L5" i="1" s="1"/>
  <c r="L9" i="1" s="1"/>
  <c r="M3" i="1"/>
  <c r="M7" i="1"/>
  <c r="O13" i="1"/>
  <c r="K39" i="6" l="1"/>
  <c r="K37" i="6"/>
  <c r="J37" i="6"/>
  <c r="I34" i="7"/>
  <c r="J38" i="7"/>
  <c r="K29" i="7"/>
  <c r="K34" i="7" s="1"/>
  <c r="K38" i="7"/>
  <c r="J36" i="7"/>
  <c r="L21" i="7"/>
  <c r="M3" i="7"/>
  <c r="L4" i="7"/>
  <c r="L5" i="7" s="1"/>
  <c r="L9" i="7" s="1"/>
  <c r="M11" i="7"/>
  <c r="M13" i="7"/>
  <c r="M20" i="7"/>
  <c r="M19" i="7"/>
  <c r="N1" i="7"/>
  <c r="L15" i="7"/>
  <c r="K23" i="7"/>
  <c r="K36" i="7" s="1"/>
  <c r="L20" i="6"/>
  <c r="I33" i="6"/>
  <c r="M3" i="6"/>
  <c r="L4" i="6"/>
  <c r="L5" i="6" s="1"/>
  <c r="L9" i="6" s="1"/>
  <c r="M19" i="6"/>
  <c r="M18" i="6"/>
  <c r="N1" i="6"/>
  <c r="M11" i="6"/>
  <c r="M14" i="6" s="1"/>
  <c r="M12" i="6"/>
  <c r="L14" i="6"/>
  <c r="K22" i="6"/>
  <c r="K28" i="6"/>
  <c r="J28" i="1"/>
  <c r="J37" i="1"/>
  <c r="K28" i="1"/>
  <c r="K33" i="1" s="1"/>
  <c r="M12" i="1"/>
  <c r="M11" i="1"/>
  <c r="J22" i="1"/>
  <c r="L20" i="1"/>
  <c r="L39" i="1" s="1"/>
  <c r="K22" i="1"/>
  <c r="M4" i="1"/>
  <c r="M5" i="1" s="1"/>
  <c r="M9" i="1" s="1"/>
  <c r="N3" i="1"/>
  <c r="N1" i="1"/>
  <c r="M18" i="1"/>
  <c r="M19" i="1"/>
  <c r="L14" i="1"/>
  <c r="L16" i="1" s="1"/>
  <c r="N7" i="1"/>
  <c r="L39" i="6" l="1"/>
  <c r="M15" i="7"/>
  <c r="K35" i="6"/>
  <c r="J35" i="6"/>
  <c r="M21" i="7"/>
  <c r="N3" i="7"/>
  <c r="M4" i="7"/>
  <c r="M5" i="7" s="1"/>
  <c r="M9" i="7" s="1"/>
  <c r="N11" i="7"/>
  <c r="N13" i="7"/>
  <c r="N20" i="7"/>
  <c r="O1" i="7"/>
  <c r="N19" i="7"/>
  <c r="L17" i="7"/>
  <c r="K37" i="1"/>
  <c r="L16" i="6"/>
  <c r="M20" i="6"/>
  <c r="K33" i="6"/>
  <c r="M4" i="6"/>
  <c r="M5" i="6" s="1"/>
  <c r="M9" i="6" s="1"/>
  <c r="M16" i="6" s="1"/>
  <c r="N3" i="6"/>
  <c r="N11" i="6"/>
  <c r="N14" i="6" s="1"/>
  <c r="O1" i="6"/>
  <c r="N12" i="6"/>
  <c r="N19" i="6"/>
  <c r="N18" i="6"/>
  <c r="L37" i="1"/>
  <c r="J33" i="1"/>
  <c r="N12" i="1"/>
  <c r="N11" i="1"/>
  <c r="J35" i="1"/>
  <c r="L28" i="1"/>
  <c r="L22" i="1"/>
  <c r="N18" i="1"/>
  <c r="N19" i="1"/>
  <c r="O1" i="1"/>
  <c r="M14" i="1"/>
  <c r="M16" i="1" s="1"/>
  <c r="M20" i="1"/>
  <c r="M39" i="1" s="1"/>
  <c r="N4" i="1"/>
  <c r="N5" i="1" s="1"/>
  <c r="N9" i="1" s="1"/>
  <c r="O3" i="1"/>
  <c r="O7" i="1"/>
  <c r="M39" i="6" l="1"/>
  <c r="M17" i="7"/>
  <c r="M29" i="7" s="1"/>
  <c r="M23" i="7"/>
  <c r="M34" i="7"/>
  <c r="O3" i="7"/>
  <c r="N4" i="7"/>
  <c r="N5" i="7" s="1"/>
  <c r="N9" i="7" s="1"/>
  <c r="O19" i="7"/>
  <c r="P1" i="7"/>
  <c r="O11" i="7"/>
  <c r="O13" i="7"/>
  <c r="O20" i="7"/>
  <c r="L23" i="7"/>
  <c r="L36" i="7" s="1"/>
  <c r="L29" i="7"/>
  <c r="L38" i="7"/>
  <c r="N15" i="7"/>
  <c r="N21" i="7"/>
  <c r="L33" i="1"/>
  <c r="L37" i="6"/>
  <c r="L22" i="6"/>
  <c r="L35" i="6" s="1"/>
  <c r="L28" i="6"/>
  <c r="N20" i="6"/>
  <c r="M22" i="6"/>
  <c r="M28" i="6"/>
  <c r="M33" i="6" s="1"/>
  <c r="N4" i="6"/>
  <c r="N5" i="6" s="1"/>
  <c r="N9" i="6" s="1"/>
  <c r="N16" i="6" s="1"/>
  <c r="O3" i="6"/>
  <c r="P1" i="6"/>
  <c r="O12" i="6"/>
  <c r="O19" i="6"/>
  <c r="O18" i="6"/>
  <c r="O11" i="6"/>
  <c r="O14" i="6" s="1"/>
  <c r="K35" i="1"/>
  <c r="M37" i="1"/>
  <c r="O12" i="1"/>
  <c r="O11" i="1"/>
  <c r="L35" i="1"/>
  <c r="M22" i="1"/>
  <c r="M28" i="1"/>
  <c r="O4" i="1"/>
  <c r="O5" i="1" s="1"/>
  <c r="O9" i="1" s="1"/>
  <c r="P3" i="1"/>
  <c r="O19" i="1"/>
  <c r="P1" i="1"/>
  <c r="O18" i="1"/>
  <c r="O32" i="1" s="1"/>
  <c r="N14" i="1"/>
  <c r="N16" i="1" s="1"/>
  <c r="N20" i="1"/>
  <c r="N39" i="1" s="1"/>
  <c r="P7" i="1"/>
  <c r="N39" i="6" l="1"/>
  <c r="N37" i="6"/>
  <c r="N17" i="7"/>
  <c r="O15" i="7"/>
  <c r="O4" i="7"/>
  <c r="O5" i="7" s="1"/>
  <c r="O9" i="7" s="1"/>
  <c r="P11" i="7"/>
  <c r="P13" i="7"/>
  <c r="P20" i="7"/>
  <c r="P19" i="7"/>
  <c r="Q1" i="7"/>
  <c r="M38" i="7"/>
  <c r="L34" i="7"/>
  <c r="N38" i="7"/>
  <c r="N29" i="7"/>
  <c r="N34" i="7" s="1"/>
  <c r="N23" i="7"/>
  <c r="N36" i="7" s="1"/>
  <c r="O21" i="7"/>
  <c r="M37" i="6"/>
  <c r="L33" i="6"/>
  <c r="M35" i="6" s="1"/>
  <c r="N28" i="6"/>
  <c r="N33" i="6" s="1"/>
  <c r="N22" i="6"/>
  <c r="O4" i="6"/>
  <c r="O5" i="6" s="1"/>
  <c r="O9" i="6" s="1"/>
  <c r="O16" i="6" s="1"/>
  <c r="P3" i="6"/>
  <c r="O32" i="6"/>
  <c r="O20" i="6"/>
  <c r="N37" i="1"/>
  <c r="M33" i="1"/>
  <c r="M35" i="1"/>
  <c r="O14" i="1"/>
  <c r="O16" i="1" s="1"/>
  <c r="N28" i="1"/>
  <c r="N33" i="1" s="1"/>
  <c r="N22" i="1"/>
  <c r="P4" i="1"/>
  <c r="P5" i="1" s="1"/>
  <c r="P9" i="1" s="1"/>
  <c r="O26" i="1" s="1"/>
  <c r="O27" i="1" s="1"/>
  <c r="O20" i="1"/>
  <c r="O39" i="1" s="1"/>
  <c r="B40" i="1" s="1"/>
  <c r="E71" i="1" s="1"/>
  <c r="O39" i="6" l="1"/>
  <c r="B40" i="6" s="1"/>
  <c r="E72" i="6" s="1"/>
  <c r="O37" i="6"/>
  <c r="B38" i="6" s="1"/>
  <c r="O17" i="7"/>
  <c r="P15" i="7"/>
  <c r="P21" i="7"/>
  <c r="N35" i="6"/>
  <c r="P4" i="7"/>
  <c r="P5" i="7" s="1"/>
  <c r="P9" i="7" s="1"/>
  <c r="P17" i="7" s="1"/>
  <c r="R1" i="7"/>
  <c r="Q11" i="7"/>
  <c r="Q15" i="7" s="1"/>
  <c r="Q13" i="7"/>
  <c r="Q20" i="7"/>
  <c r="Q19" i="7"/>
  <c r="M36" i="7"/>
  <c r="O38" i="7"/>
  <c r="O29" i="7"/>
  <c r="O23" i="7"/>
  <c r="O36" i="7" s="1"/>
  <c r="P4" i="6"/>
  <c r="P5" i="6" s="1"/>
  <c r="P9" i="6" s="1"/>
  <c r="O22" i="6"/>
  <c r="O35" i="6" s="1"/>
  <c r="O37" i="1"/>
  <c r="B38" i="1" s="1"/>
  <c r="N35" i="1"/>
  <c r="O22" i="1"/>
  <c r="B37" i="6" l="1"/>
  <c r="P29" i="7"/>
  <c r="P34" i="7" s="1"/>
  <c r="P23" i="7"/>
  <c r="Q21" i="7"/>
  <c r="Q4" i="7"/>
  <c r="Q5" i="7" s="1"/>
  <c r="Q9" i="7" s="1"/>
  <c r="Q17" i="7" s="1"/>
  <c r="R11" i="7"/>
  <c r="R13" i="7"/>
  <c r="R20" i="7"/>
  <c r="R19" i="7"/>
  <c r="S1" i="7"/>
  <c r="O34" i="7"/>
  <c r="P38" i="7"/>
  <c r="O28" i="1"/>
  <c r="B35" i="1" s="1"/>
  <c r="O35" i="1"/>
  <c r="B37" i="1" s="1"/>
  <c r="R21" i="7" l="1"/>
  <c r="P36" i="7"/>
  <c r="R4" i="7"/>
  <c r="R5" i="7" s="1"/>
  <c r="R9" i="7" s="1"/>
  <c r="S11" i="7"/>
  <c r="S13" i="7"/>
  <c r="S20" i="7"/>
  <c r="S19" i="7"/>
  <c r="S21" i="7" s="1"/>
  <c r="T1" i="7"/>
  <c r="R15" i="7"/>
  <c r="Q29" i="7"/>
  <c r="Q34" i="7" s="1"/>
  <c r="Q23" i="7"/>
  <c r="Q36" i="7" s="1"/>
  <c r="Q38" i="7"/>
  <c r="O33" i="1"/>
  <c r="B36" i="1" s="1"/>
  <c r="R17" i="7" l="1"/>
  <c r="B34" i="1"/>
  <c r="S4" i="7"/>
  <c r="S5" i="7" s="1"/>
  <c r="S9" i="7" s="1"/>
  <c r="U1" i="7"/>
  <c r="T11" i="7"/>
  <c r="T13" i="7"/>
  <c r="T20" i="7"/>
  <c r="T19" i="7"/>
  <c r="S15" i="7"/>
  <c r="E52" i="1"/>
  <c r="S17" i="7" l="1"/>
  <c r="R29" i="7"/>
  <c r="R34" i="7" s="1"/>
  <c r="R38" i="7"/>
  <c r="R23" i="7"/>
  <c r="R36" i="7" s="1"/>
  <c r="T21" i="7"/>
  <c r="T4" i="7"/>
  <c r="T5" i="7" s="1"/>
  <c r="T9" i="7" s="1"/>
  <c r="U11" i="7"/>
  <c r="U13" i="7"/>
  <c r="V1" i="7"/>
  <c r="U20" i="7"/>
  <c r="U19" i="7"/>
  <c r="T15" i="7"/>
  <c r="T17" i="7" l="1"/>
  <c r="U21" i="7"/>
  <c r="S38" i="7"/>
  <c r="S29" i="7"/>
  <c r="S23" i="7"/>
  <c r="S36" i="7" s="1"/>
  <c r="U4" i="7"/>
  <c r="U5" i="7" s="1"/>
  <c r="U9" i="7" s="1"/>
  <c r="U17" i="7" s="1"/>
  <c r="V20" i="7"/>
  <c r="V19" i="7"/>
  <c r="W1" i="7"/>
  <c r="V11" i="7"/>
  <c r="V13" i="7"/>
  <c r="U15" i="7"/>
  <c r="T23" i="7" l="1"/>
  <c r="T29" i="7"/>
  <c r="T34" i="7" s="1"/>
  <c r="S34" i="7"/>
  <c r="T38" i="7"/>
  <c r="V21" i="7"/>
  <c r="V4" i="7"/>
  <c r="V5" i="7"/>
  <c r="V9" i="7" s="1"/>
  <c r="X1" i="7"/>
  <c r="W11" i="7"/>
  <c r="W13" i="7"/>
  <c r="W20" i="7"/>
  <c r="W19" i="7"/>
  <c r="W21" i="7" s="1"/>
  <c r="U29" i="7"/>
  <c r="U34" i="7" s="1"/>
  <c r="U23" i="7"/>
  <c r="U38" i="7"/>
  <c r="V15" i="7"/>
  <c r="T36" i="7" l="1"/>
  <c r="V17" i="7"/>
  <c r="V29" i="7" s="1"/>
  <c r="W15" i="7"/>
  <c r="U36" i="7"/>
  <c r="W4" i="7"/>
  <c r="W5" i="7" s="1"/>
  <c r="W9" i="7" s="1"/>
  <c r="W17" i="7" s="1"/>
  <c r="Y1" i="7"/>
  <c r="X11" i="7"/>
  <c r="X13" i="7"/>
  <c r="X19" i="7"/>
  <c r="X20" i="7"/>
  <c r="V38" i="7" l="1"/>
  <c r="V23" i="7"/>
  <c r="V36" i="7" s="1"/>
  <c r="W29" i="7"/>
  <c r="W34" i="7" s="1"/>
  <c r="W23" i="7"/>
  <c r="X4" i="7"/>
  <c r="X5" i="7" s="1"/>
  <c r="X9" i="7" s="1"/>
  <c r="Y11" i="7"/>
  <c r="Y13" i="7"/>
  <c r="Y19" i="7"/>
  <c r="Y20" i="7"/>
  <c r="Z1" i="7"/>
  <c r="X15" i="7"/>
  <c r="X21" i="7"/>
  <c r="V34" i="7"/>
  <c r="W38" i="7"/>
  <c r="Y15" i="7" l="1"/>
  <c r="W36" i="7"/>
  <c r="Y4" i="7"/>
  <c r="Y5" i="7" s="1"/>
  <c r="Y9" i="7" s="1"/>
  <c r="Y21" i="7"/>
  <c r="X17" i="7"/>
  <c r="E42" i="1"/>
  <c r="Y17" i="7" l="1"/>
  <c r="Z4" i="7"/>
  <c r="Z5" i="7" s="1"/>
  <c r="Z9" i="7" s="1"/>
  <c r="Y27" i="7" s="1"/>
  <c r="X23" i="7"/>
  <c r="X36" i="7" s="1"/>
  <c r="X29" i="7"/>
  <c r="X34" i="7" s="1"/>
  <c r="X38" i="7"/>
  <c r="E62" i="1"/>
  <c r="Y38" i="7" l="1"/>
  <c r="B39" i="7" s="1"/>
  <c r="Y23" i="7"/>
  <c r="Y36" i="7" s="1"/>
  <c r="B38" i="7" s="1"/>
  <c r="Y28" i="7"/>
  <c r="Y29" i="7" s="1"/>
  <c r="Y34" i="7" l="1"/>
  <c r="B36" i="7"/>
  <c r="B37" i="7" l="1"/>
  <c r="B35" i="7"/>
  <c r="O26" i="6" l="1"/>
  <c r="O27" i="6" s="1"/>
  <c r="O28" i="6" s="1"/>
  <c r="B35" i="6" s="1"/>
  <c r="E42" i="6" l="1"/>
  <c r="O33" i="6"/>
  <c r="B34" i="6" l="1"/>
  <c r="E52" i="6" s="1"/>
  <c r="B36" i="6"/>
  <c r="E62" i="6" s="1"/>
</calcChain>
</file>

<file path=xl/sharedStrings.xml><?xml version="1.0" encoding="utf-8"?>
<sst xmlns="http://schemas.openxmlformats.org/spreadsheetml/2006/main" count="252" uniqueCount="82">
  <si>
    <t>Purchase Price</t>
  </si>
  <si>
    <t>Closing Costs</t>
  </si>
  <si>
    <t>Property Square Footage</t>
  </si>
  <si>
    <t>Gross Potential Rent/SF/Year</t>
  </si>
  <si>
    <t>General Vacancy Rate</t>
  </si>
  <si>
    <t>Gross Potential Revenue</t>
  </si>
  <si>
    <t>Vacancy</t>
  </si>
  <si>
    <t>Effective Gross Revenue</t>
  </si>
  <si>
    <t>Operating Expenses</t>
  </si>
  <si>
    <t>Net Operating Income</t>
  </si>
  <si>
    <t>Tenant Improvement Allowances</t>
  </si>
  <si>
    <t>Leasing Commissions</t>
  </si>
  <si>
    <t>Total Capital Expenses</t>
  </si>
  <si>
    <t>Cash Flow Before Debt Service</t>
  </si>
  <si>
    <t>Principal Payment</t>
  </si>
  <si>
    <t>Interest Payment</t>
  </si>
  <si>
    <t>Total Debt Service</t>
  </si>
  <si>
    <t>Cash Flow After Debt Service</t>
  </si>
  <si>
    <t>Sale Proceeds</t>
  </si>
  <si>
    <t>Costs of Sale</t>
  </si>
  <si>
    <t>Annual Rent Growth</t>
  </si>
  <si>
    <t>Expenses/SF/Year</t>
  </si>
  <si>
    <t>Annual Expense Growth</t>
  </si>
  <si>
    <t>Property Operating Metrics</t>
  </si>
  <si>
    <t>Acquisition Metrics</t>
  </si>
  <si>
    <t>Capital Expense Metrics</t>
  </si>
  <si>
    <t>Capital Expense Reserve/SF/Year</t>
  </si>
  <si>
    <t>Tenant Improvements</t>
  </si>
  <si>
    <t>Leasing Commissions Timing</t>
  </si>
  <si>
    <t>Tenant Improvements Timing</t>
  </si>
  <si>
    <t>Loan Metrics</t>
  </si>
  <si>
    <t>Sale Metrics</t>
  </si>
  <si>
    <t>Exit Cap Rate</t>
  </si>
  <si>
    <t>Interest Rate</t>
  </si>
  <si>
    <t>Loan Amount</t>
  </si>
  <si>
    <t>Amortization</t>
  </si>
  <si>
    <t>Year</t>
  </si>
  <si>
    <t>Acquisition Date</t>
  </si>
  <si>
    <t>Loan Proceeds</t>
  </si>
  <si>
    <t>Loan Payoff</t>
  </si>
  <si>
    <t>Total Unlevered Cash Flows</t>
  </si>
  <si>
    <t>Loan Fees</t>
  </si>
  <si>
    <t>Total Levered Cash Flows</t>
  </si>
  <si>
    <t>Capital Expense Reserve</t>
  </si>
  <si>
    <t>Capital Expense Reserve Growth/Year</t>
  </si>
  <si>
    <t>Loan Fees (as % of Loan Amount)</t>
  </si>
  <si>
    <t>Return Metrics</t>
  </si>
  <si>
    <t>Going-In Cap Rate</t>
  </si>
  <si>
    <t>Levered Internal Rate of Return (IRR)</t>
  </si>
  <si>
    <t>Levered Equity Multiple</t>
  </si>
  <si>
    <t>Year Ending</t>
  </si>
  <si>
    <t>10-Year Average Levered Cash-on-Cash</t>
  </si>
  <si>
    <t>10-Year Average UnLevered Cash-on-Cash</t>
  </si>
  <si>
    <t xml:space="preserve">Loan Constant </t>
  </si>
  <si>
    <t>Levered Cash-on-Cash Return</t>
  </si>
  <si>
    <t>Unlevered Cash-on-Cash Return</t>
  </si>
  <si>
    <t>DSCR</t>
  </si>
  <si>
    <t xml:space="preserve">Purchase price </t>
  </si>
  <si>
    <t>Unlevered IRR</t>
  </si>
  <si>
    <t>Levered IRR</t>
  </si>
  <si>
    <t>Unlevered Internal Rate of Return (IRR)</t>
  </si>
  <si>
    <t xml:space="preserve">SA of Unlevered IRR to cap rates and purchase price </t>
  </si>
  <si>
    <t xml:space="preserve">SA of levered IRR to cap rates and purchase price </t>
  </si>
  <si>
    <t>SA of Equity Mutiple by Exit Cap rate</t>
  </si>
  <si>
    <t xml:space="preserve">Rent Growth </t>
  </si>
  <si>
    <t xml:space="preserve">Exit cap </t>
  </si>
  <si>
    <t xml:space="preserve">purchase price </t>
  </si>
  <si>
    <t xml:space="preserve">Equity Mutiple </t>
  </si>
  <si>
    <t xml:space="preserve">Interest Rate </t>
  </si>
  <si>
    <t>Going in Cap Rate</t>
  </si>
  <si>
    <t>20-Year Average Levered Cash-on-Cash</t>
  </si>
  <si>
    <t>20-Year Average UnLevered Cash-on-Cash</t>
  </si>
  <si>
    <t xml:space="preserve">Property A </t>
  </si>
  <si>
    <t>Property B</t>
  </si>
  <si>
    <t xml:space="preserve">DSCR impact with rent growth </t>
  </si>
  <si>
    <t>Rent Growth</t>
  </si>
  <si>
    <t xml:space="preserve">Annual Expense Growth </t>
  </si>
  <si>
    <t>Annual rent Growth Extended Horizon</t>
  </si>
  <si>
    <t>DSCR average</t>
  </si>
  <si>
    <t>DSCR Average</t>
  </si>
  <si>
    <t xml:space="preserve">Rent growth and Exit Caprate changes on Equity Mutiple </t>
  </si>
  <si>
    <t xml:space="preserve"> Caprate and purchase price changes impact on Levered 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</si>
</sst>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&quot;$&quot;#,##0.00"/>
    <numFmt numFmtId="165" formatCode="&quot;$&quot;#,##0"/>
    <numFmt numFmtId="166" formatCode="&quot;Year&quot;\ 0"/>
    <numFmt numFmtId="167" formatCode="0\ &quot;Years&quot;"/>
    <numFmt numFmtId="168" formatCode="0.00&quot;x&quot;"/>
    <numFmt numFmtId="169" formatCode="#0.0%_);\(#0.0%\)"/>
    <numFmt numFmtId="170" formatCode="&quot;Acquisition&quot;"/>
    <numFmt numFmtId="171" formatCode="0.0%"/>
    <numFmt numFmtId="172" formatCode="0.000%"/>
    <numFmt numFmtId="178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theme="0"/>
      <name val="Franklin Gothic Book"/>
      <family val="2"/>
    </font>
    <font>
      <sz val="10"/>
      <color indexed="12"/>
      <name val="Franklin Gothic Book"/>
      <family val="2"/>
    </font>
    <font>
      <b/>
      <sz val="10"/>
      <color theme="1"/>
      <name val="Franklin Gothic Book"/>
      <family val="2"/>
    </font>
    <font>
      <i/>
      <sz val="10"/>
      <color theme="1"/>
      <name val="Franklin Gothic Book"/>
      <family val="2"/>
    </font>
    <font>
      <sz val="10"/>
      <color theme="0"/>
      <name val="Franklin Gothic Book"/>
      <family val="2"/>
    </font>
    <font>
      <sz val="10"/>
      <color indexed="8"/>
      <name val="Franklin Gothic Book"/>
      <family val="2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3">
    <xf numFmtId="0" fontId="0" fillId="0" borderId="0" xfId="0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6" fontId="4" fillId="0" borderId="2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0" fontId="4" fillId="0" borderId="3" xfId="0" applyNumberFormat="1" applyFont="1" applyBorder="1" applyAlignment="1">
      <alignment horizontal="center"/>
    </xf>
    <xf numFmtId="10" fontId="4" fillId="0" borderId="4" xfId="0" applyNumberFormat="1" applyFont="1" applyBorder="1" applyAlignment="1">
      <alignment horizontal="center"/>
    </xf>
    <xf numFmtId="8" fontId="4" fillId="0" borderId="2" xfId="0" applyNumberFormat="1" applyFont="1" applyBorder="1" applyAlignment="1">
      <alignment horizontal="center"/>
    </xf>
    <xf numFmtId="6" fontId="4" fillId="0" borderId="3" xfId="0" applyNumberFormat="1" applyFont="1" applyBorder="1" applyAlignment="1">
      <alignment horizontal="center"/>
    </xf>
    <xf numFmtId="166" fontId="4" fillId="0" borderId="3" xfId="0" applyNumberFormat="1" applyFont="1" applyBorder="1" applyAlignment="1">
      <alignment horizontal="center"/>
    </xf>
    <xf numFmtId="166" fontId="4" fillId="0" borderId="4" xfId="0" applyNumberFormat="1" applyFont="1" applyBorder="1" applyAlignment="1">
      <alignment horizontal="center"/>
    </xf>
    <xf numFmtId="167" fontId="4" fillId="0" borderId="4" xfId="0" applyNumberFormat="1" applyFont="1" applyBorder="1" applyAlignment="1">
      <alignment horizontal="center"/>
    </xf>
    <xf numFmtId="0" fontId="3" fillId="3" borderId="0" xfId="0" applyFont="1" applyFill="1" applyAlignment="1">
      <alignment horizontal="right"/>
    </xf>
    <xf numFmtId="165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right"/>
    </xf>
    <xf numFmtId="6" fontId="2" fillId="0" borderId="7" xfId="0" applyNumberFormat="1" applyFont="1" applyBorder="1" applyAlignment="1">
      <alignment horizontal="center"/>
    </xf>
    <xf numFmtId="6" fontId="2" fillId="0" borderId="8" xfId="0" applyNumberFormat="1" applyFont="1" applyBorder="1" applyAlignment="1">
      <alignment horizontal="center"/>
    </xf>
    <xf numFmtId="6" fontId="2" fillId="0" borderId="0" xfId="0" applyNumberFormat="1" applyFont="1" applyAlignment="1">
      <alignment horizontal="center"/>
    </xf>
    <xf numFmtId="6" fontId="2" fillId="0" borderId="9" xfId="0" applyNumberFormat="1" applyFont="1" applyBorder="1" applyAlignment="1">
      <alignment horizontal="center"/>
    </xf>
    <xf numFmtId="6" fontId="5" fillId="0" borderId="10" xfId="0" applyNumberFormat="1" applyFont="1" applyBorder="1" applyAlignment="1">
      <alignment horizontal="center"/>
    </xf>
    <xf numFmtId="6" fontId="5" fillId="0" borderId="6" xfId="0" applyNumberFormat="1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8" fontId="2" fillId="0" borderId="0" xfId="0" applyNumberFormat="1" applyFont="1"/>
    <xf numFmtId="0" fontId="3" fillId="4" borderId="5" xfId="0" applyFont="1" applyFill="1" applyBorder="1" applyAlignment="1">
      <alignment horizontal="centerContinuous"/>
    </xf>
    <xf numFmtId="0" fontId="3" fillId="4" borderId="6" xfId="0" applyFont="1" applyFill="1" applyBorder="1" applyAlignment="1">
      <alignment horizontal="centerContinuous"/>
    </xf>
    <xf numFmtId="169" fontId="6" fillId="0" borderId="10" xfId="1" applyNumberFormat="1" applyFont="1" applyBorder="1" applyAlignment="1">
      <alignment horizontal="center"/>
    </xf>
    <xf numFmtId="169" fontId="6" fillId="0" borderId="6" xfId="1" applyNumberFormat="1" applyFont="1" applyBorder="1" applyAlignment="1">
      <alignment horizontal="center"/>
    </xf>
    <xf numFmtId="170" fontId="3" fillId="3" borderId="0" xfId="0" applyNumberFormat="1" applyFont="1" applyFill="1" applyAlignment="1">
      <alignment horizontal="center"/>
    </xf>
    <xf numFmtId="166" fontId="3" fillId="3" borderId="0" xfId="0" applyNumberFormat="1" applyFont="1" applyFill="1" applyAlignment="1">
      <alignment horizontal="center"/>
    </xf>
    <xf numFmtId="10" fontId="8" fillId="5" borderId="3" xfId="0" applyNumberFormat="1" applyFont="1" applyFill="1" applyBorder="1" applyAlignment="1">
      <alignment horizontal="center"/>
    </xf>
    <xf numFmtId="168" fontId="8" fillId="5" borderId="3" xfId="0" applyNumberFormat="1" applyFont="1" applyFill="1" applyBorder="1" applyAlignment="1">
      <alignment horizontal="center"/>
    </xf>
    <xf numFmtId="10" fontId="8" fillId="5" borderId="4" xfId="0" applyNumberFormat="1" applyFont="1" applyFill="1" applyBorder="1" applyAlignment="1">
      <alignment horizontal="center"/>
    </xf>
    <xf numFmtId="169" fontId="8" fillId="5" borderId="4" xfId="0" applyNumberFormat="1" applyFont="1" applyFill="1" applyBorder="1" applyAlignment="1">
      <alignment horizontal="center"/>
    </xf>
    <xf numFmtId="43" fontId="8" fillId="5" borderId="4" xfId="2" applyFont="1" applyFill="1" applyBorder="1" applyAlignment="1">
      <alignment horizontal="center"/>
    </xf>
    <xf numFmtId="0" fontId="0" fillId="6" borderId="0" xfId="0" applyFill="1"/>
    <xf numFmtId="10" fontId="0" fillId="6" borderId="0" xfId="0" applyNumberFormat="1" applyFill="1"/>
    <xf numFmtId="10" fontId="0" fillId="6" borderId="11" xfId="1" applyNumberFormat="1" applyFont="1" applyFill="1" applyBorder="1"/>
    <xf numFmtId="10" fontId="0" fillId="6" borderId="7" xfId="1" applyNumberFormat="1" applyFont="1" applyFill="1" applyBorder="1"/>
    <xf numFmtId="10" fontId="0" fillId="6" borderId="8" xfId="1" applyNumberFormat="1" applyFont="1" applyFill="1" applyBorder="1"/>
    <xf numFmtId="10" fontId="0" fillId="6" borderId="12" xfId="1" applyNumberFormat="1" applyFont="1" applyFill="1" applyBorder="1"/>
    <xf numFmtId="10" fontId="0" fillId="6" borderId="0" xfId="1" applyNumberFormat="1" applyFont="1" applyFill="1" applyBorder="1"/>
    <xf numFmtId="10" fontId="0" fillId="6" borderId="9" xfId="1" applyNumberFormat="1" applyFont="1" applyFill="1" applyBorder="1"/>
    <xf numFmtId="10" fontId="0" fillId="6" borderId="13" xfId="1" applyNumberFormat="1" applyFont="1" applyFill="1" applyBorder="1"/>
    <xf numFmtId="10" fontId="0" fillId="6" borderId="14" xfId="1" applyNumberFormat="1" applyFont="1" applyFill="1" applyBorder="1"/>
    <xf numFmtId="10" fontId="0" fillId="6" borderId="15" xfId="1" applyNumberFormat="1" applyFont="1" applyFill="1" applyBorder="1"/>
    <xf numFmtId="10" fontId="0" fillId="7" borderId="0" xfId="1" applyNumberFormat="1" applyFont="1" applyFill="1" applyBorder="1"/>
    <xf numFmtId="0" fontId="2" fillId="0" borderId="14" xfId="0" applyFont="1" applyBorder="1"/>
    <xf numFmtId="0" fontId="3" fillId="8" borderId="14" xfId="0" applyFont="1" applyFill="1" applyBorder="1"/>
    <xf numFmtId="169" fontId="8" fillId="5" borderId="1" xfId="0" applyNumberFormat="1" applyFont="1" applyFill="1" applyBorder="1" applyAlignment="1">
      <alignment horizontal="center"/>
    </xf>
    <xf numFmtId="0" fontId="7" fillId="8" borderId="0" xfId="0" applyFont="1" applyFill="1"/>
    <xf numFmtId="0" fontId="2" fillId="0" borderId="7" xfId="0" applyFont="1" applyBorder="1"/>
    <xf numFmtId="0" fontId="2" fillId="0" borderId="0" xfId="0" applyFont="1" applyBorder="1"/>
    <xf numFmtId="0" fontId="2" fillId="6" borderId="0" xfId="0" applyFont="1" applyFill="1"/>
    <xf numFmtId="168" fontId="2" fillId="6" borderId="0" xfId="0" applyNumberFormat="1" applyFont="1" applyFill="1"/>
    <xf numFmtId="172" fontId="2" fillId="6" borderId="0" xfId="0" applyNumberFormat="1" applyFont="1" applyFill="1"/>
    <xf numFmtId="9" fontId="2" fillId="6" borderId="0" xfId="1" applyFont="1" applyFill="1"/>
    <xf numFmtId="2" fontId="2" fillId="6" borderId="11" xfId="0" applyNumberFormat="1" applyFont="1" applyFill="1" applyBorder="1"/>
    <xf numFmtId="2" fontId="2" fillId="6" borderId="7" xfId="0" applyNumberFormat="1" applyFont="1" applyFill="1" applyBorder="1"/>
    <xf numFmtId="2" fontId="2" fillId="6" borderId="8" xfId="0" applyNumberFormat="1" applyFont="1" applyFill="1" applyBorder="1"/>
    <xf numFmtId="2" fontId="2" fillId="6" borderId="12" xfId="0" applyNumberFormat="1" applyFont="1" applyFill="1" applyBorder="1"/>
    <xf numFmtId="2" fontId="2" fillId="6" borderId="0" xfId="0" applyNumberFormat="1" applyFont="1" applyFill="1" applyBorder="1"/>
    <xf numFmtId="2" fontId="2" fillId="6" borderId="9" xfId="0" applyNumberFormat="1" applyFont="1" applyFill="1" applyBorder="1"/>
    <xf numFmtId="2" fontId="2" fillId="6" borderId="13" xfId="0" applyNumberFormat="1" applyFont="1" applyFill="1" applyBorder="1"/>
    <xf numFmtId="2" fontId="2" fillId="6" borderId="14" xfId="0" applyNumberFormat="1" applyFont="1" applyFill="1" applyBorder="1"/>
    <xf numFmtId="2" fontId="2" fillId="6" borderId="15" xfId="0" applyNumberFormat="1" applyFont="1" applyFill="1" applyBorder="1"/>
    <xf numFmtId="0" fontId="0" fillId="9" borderId="0" xfId="0" applyFill="1"/>
    <xf numFmtId="43" fontId="4" fillId="0" borderId="2" xfId="2" applyFont="1" applyBorder="1" applyAlignment="1">
      <alignment horizontal="center"/>
    </xf>
    <xf numFmtId="9" fontId="0" fillId="6" borderId="0" xfId="1" applyFont="1" applyFill="1"/>
    <xf numFmtId="172" fontId="0" fillId="6" borderId="0" xfId="0" applyNumberFormat="1" applyFill="1"/>
    <xf numFmtId="0" fontId="9" fillId="10" borderId="11" xfId="0" applyFont="1" applyFill="1" applyBorder="1"/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6" borderId="12" xfId="0" applyFill="1" applyBorder="1"/>
    <xf numFmtId="10" fontId="0" fillId="0" borderId="9" xfId="0" applyNumberFormat="1" applyBorder="1"/>
    <xf numFmtId="0" fontId="0" fillId="6" borderId="13" xfId="0" applyFill="1" applyBorder="1"/>
    <xf numFmtId="6" fontId="0" fillId="0" borderId="15" xfId="0" applyNumberFormat="1" applyBorder="1"/>
    <xf numFmtId="10" fontId="0" fillId="6" borderId="0" xfId="1" applyNumberFormat="1" applyFont="1" applyFill="1"/>
    <xf numFmtId="0" fontId="7" fillId="10" borderId="0" xfId="0" applyFont="1" applyFill="1"/>
    <xf numFmtId="0" fontId="0" fillId="0" borderId="0" xfId="0" applyBorder="1"/>
    <xf numFmtId="0" fontId="3" fillId="10" borderId="14" xfId="0" applyFont="1" applyFill="1" applyBorder="1"/>
    <xf numFmtId="10" fontId="2" fillId="6" borderId="0" xfId="0" applyNumberFormat="1" applyFont="1" applyFill="1"/>
    <xf numFmtId="171" fontId="2" fillId="6" borderId="0" xfId="0" applyNumberFormat="1" applyFont="1" applyFill="1"/>
    <xf numFmtId="9" fontId="2" fillId="6" borderId="0" xfId="0" applyNumberFormat="1" applyFont="1" applyFill="1"/>
    <xf numFmtId="6" fontId="2" fillId="0" borderId="0" xfId="0" applyNumberFormat="1" applyFont="1" applyBorder="1" applyAlignment="1">
      <alignment horizontal="center"/>
    </xf>
    <xf numFmtId="14" fontId="3" fillId="9" borderId="0" xfId="0" applyNumberFormat="1" applyFont="1" applyFill="1" applyBorder="1" applyAlignment="1">
      <alignment horizontal="center"/>
    </xf>
    <xf numFmtId="6" fontId="2" fillId="9" borderId="0" xfId="0" applyNumberFormat="1" applyFont="1" applyFill="1" applyBorder="1" applyAlignment="1">
      <alignment horizontal="center"/>
    </xf>
    <xf numFmtId="0" fontId="2" fillId="9" borderId="0" xfId="0" applyFont="1" applyFill="1" applyBorder="1"/>
    <xf numFmtId="166" fontId="3" fillId="9" borderId="0" xfId="0" applyNumberFormat="1" applyFont="1" applyFill="1" applyBorder="1" applyAlignment="1">
      <alignment horizontal="center"/>
    </xf>
    <xf numFmtId="6" fontId="5" fillId="9" borderId="0" xfId="0" applyNumberFormat="1" applyFont="1" applyFill="1" applyBorder="1" applyAlignment="1">
      <alignment horizontal="center"/>
    </xf>
    <xf numFmtId="169" fontId="6" fillId="9" borderId="0" xfId="1" applyNumberFormat="1" applyFont="1" applyFill="1" applyBorder="1" applyAlignment="1">
      <alignment horizontal="center"/>
    </xf>
    <xf numFmtId="172" fontId="0" fillId="6" borderId="0" xfId="1" applyNumberFormat="1" applyFont="1" applyFill="1"/>
    <xf numFmtId="0" fontId="9" fillId="8" borderId="11" xfId="0" applyFont="1" applyFill="1" applyBorder="1"/>
    <xf numFmtId="0" fontId="0" fillId="9" borderId="7" xfId="0" applyFill="1" applyBorder="1"/>
    <xf numFmtId="0" fontId="2" fillId="6" borderId="7" xfId="0" applyFont="1" applyFill="1" applyBorder="1"/>
    <xf numFmtId="171" fontId="4" fillId="0" borderId="3" xfId="1" applyNumberFormat="1" applyFont="1" applyBorder="1" applyAlignment="1">
      <alignment horizontal="center"/>
    </xf>
    <xf numFmtId="2" fontId="2" fillId="6" borderId="0" xfId="0" applyNumberFormat="1" applyFont="1" applyFill="1"/>
    <xf numFmtId="43" fontId="8" fillId="9" borderId="10" xfId="2" applyFont="1" applyFill="1" applyBorder="1" applyAlignment="1">
      <alignment horizontal="center"/>
    </xf>
    <xf numFmtId="178" fontId="2" fillId="0" borderId="10" xfId="0" applyNumberFormat="1" applyFont="1" applyBorder="1"/>
    <xf numFmtId="0" fontId="2" fillId="0" borderId="10" xfId="0" applyFont="1" applyBorder="1"/>
    <xf numFmtId="0" fontId="2" fillId="0" borderId="5" xfId="0" applyFont="1" applyBorder="1"/>
    <xf numFmtId="0" fontId="2" fillId="2" borderId="0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10" fontId="8" fillId="5" borderId="9" xfId="0" applyNumberFormat="1" applyFont="1" applyFill="1" applyBorder="1" applyAlignment="1">
      <alignment horizontal="center"/>
    </xf>
    <xf numFmtId="169" fontId="8" fillId="5" borderId="3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7" fillId="8" borderId="0" xfId="0" applyFont="1" applyFill="1"/>
    <xf numFmtId="0" fontId="2" fillId="0" borderId="7" xfId="0" applyFont="1" applyBorder="1"/>
    <xf numFmtId="0" fontId="2" fillId="6" borderId="0" xfId="0" applyFont="1" applyFill="1"/>
    <xf numFmtId="168" fontId="2" fillId="6" borderId="0" xfId="0" applyNumberFormat="1" applyFont="1" applyFill="1"/>
    <xf numFmtId="9" fontId="2" fillId="6" borderId="0" xfId="1" applyFont="1" applyFill="1"/>
    <xf numFmtId="2" fontId="2" fillId="6" borderId="11" xfId="0" applyNumberFormat="1" applyFont="1" applyFill="1" applyBorder="1"/>
    <xf numFmtId="2" fontId="2" fillId="6" borderId="7" xfId="0" applyNumberFormat="1" applyFont="1" applyFill="1" applyBorder="1"/>
    <xf numFmtId="2" fontId="2" fillId="6" borderId="8" xfId="0" applyNumberFormat="1" applyFont="1" applyFill="1" applyBorder="1"/>
    <xf numFmtId="2" fontId="2" fillId="6" borderId="12" xfId="0" applyNumberFormat="1" applyFont="1" applyFill="1" applyBorder="1"/>
    <xf numFmtId="2" fontId="2" fillId="6" borderId="0" xfId="0" applyNumberFormat="1" applyFont="1" applyFill="1" applyBorder="1"/>
    <xf numFmtId="2" fontId="2" fillId="6" borderId="9" xfId="0" applyNumberFormat="1" applyFont="1" applyFill="1" applyBorder="1"/>
    <xf numFmtId="2" fontId="2" fillId="6" borderId="13" xfId="0" applyNumberFormat="1" applyFont="1" applyFill="1" applyBorder="1"/>
    <xf numFmtId="2" fontId="2" fillId="6" borderId="14" xfId="0" applyNumberFormat="1" applyFont="1" applyFill="1" applyBorder="1"/>
    <xf numFmtId="2" fontId="2" fillId="6" borderId="15" xfId="0" applyNumberFormat="1" applyFont="1" applyFill="1" applyBorder="1"/>
    <xf numFmtId="0" fontId="7" fillId="10" borderId="0" xfId="0" applyFont="1" applyFill="1"/>
    <xf numFmtId="171" fontId="2" fillId="6" borderId="0" xfId="0" applyNumberFormat="1" applyFont="1" applyFill="1"/>
    <xf numFmtId="9" fontId="2" fillId="6" borderId="0" xfId="0" applyNumberFormat="1" applyFont="1" applyFill="1"/>
    <xf numFmtId="0" fontId="0" fillId="0" borderId="5" xfId="0" applyBorder="1"/>
    <xf numFmtId="2" fontId="0" fillId="0" borderId="10" xfId="0" applyNumberFormat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7276-AB24-480F-A157-CCDFD552EDC5}">
  <dimension ref="A1:O35"/>
  <sheetViews>
    <sheetView zoomScale="74" zoomScaleNormal="74" workbookViewId="0">
      <selection activeCell="A27" sqref="A27"/>
    </sheetView>
  </sheetViews>
  <sheetFormatPr defaultRowHeight="14.75" x14ac:dyDescent="0.75"/>
  <cols>
    <col min="1" max="1" width="50.36328125" bestFit="1" customWidth="1"/>
    <col min="2" max="2" width="11.76953125" bestFit="1" customWidth="1"/>
    <col min="9" max="9" width="50.36328125" bestFit="1" customWidth="1"/>
    <col min="10" max="10" width="11.76953125" bestFit="1" customWidth="1"/>
  </cols>
  <sheetData>
    <row r="1" spans="1:15" x14ac:dyDescent="0.75">
      <c r="A1" s="76" t="s">
        <v>72</v>
      </c>
      <c r="B1" s="77"/>
      <c r="I1" s="99" t="s">
        <v>73</v>
      </c>
      <c r="J1" s="77"/>
    </row>
    <row r="2" spans="1:15" x14ac:dyDescent="0.75">
      <c r="A2" s="78"/>
      <c r="B2" s="79"/>
      <c r="I2" s="78"/>
      <c r="J2" s="79"/>
    </row>
    <row r="3" spans="1:15" x14ac:dyDescent="0.75">
      <c r="A3" s="80" t="s">
        <v>69</v>
      </c>
      <c r="B3" s="81">
        <v>5.8099999999999999E-2</v>
      </c>
      <c r="I3" s="80" t="s">
        <v>69</v>
      </c>
      <c r="J3" s="81">
        <v>6.9000000000000006E-2</v>
      </c>
    </row>
    <row r="4" spans="1:15" x14ac:dyDescent="0.75">
      <c r="A4" s="78"/>
      <c r="B4" s="79"/>
      <c r="I4" s="78"/>
      <c r="J4" s="79"/>
    </row>
    <row r="5" spans="1:15" x14ac:dyDescent="0.75">
      <c r="A5" s="82" t="s">
        <v>57</v>
      </c>
      <c r="B5" s="83">
        <v>20000000</v>
      </c>
      <c r="I5" s="82" t="s">
        <v>57</v>
      </c>
      <c r="J5" s="83">
        <v>24000000</v>
      </c>
    </row>
    <row r="9" spans="1:15" x14ac:dyDescent="0.75">
      <c r="A9" s="87" t="s">
        <v>81</v>
      </c>
      <c r="B9" s="57"/>
      <c r="C9" s="57"/>
      <c r="D9" s="57"/>
      <c r="E9" s="57" t="s">
        <v>68</v>
      </c>
      <c r="F9" s="57"/>
      <c r="G9" s="57"/>
      <c r="I9" s="54" t="s">
        <v>81</v>
      </c>
      <c r="J9" s="57"/>
      <c r="K9" s="57"/>
      <c r="L9" s="57"/>
      <c r="M9" s="57" t="s">
        <v>68</v>
      </c>
      <c r="N9" s="57"/>
      <c r="O9" s="57"/>
    </row>
    <row r="10" spans="1:15" x14ac:dyDescent="0.75">
      <c r="A10" s="41" t="s">
        <v>59</v>
      </c>
      <c r="B10" s="42">
        <v>0.12865061837328917</v>
      </c>
      <c r="C10" s="84">
        <v>2.8125000000000004E-2</v>
      </c>
      <c r="D10" s="84">
        <v>3.7500000000000006E-2</v>
      </c>
      <c r="E10" s="74">
        <v>0.05</v>
      </c>
      <c r="F10" s="84">
        <v>6.25E-2</v>
      </c>
      <c r="G10" s="84">
        <v>7.8125E-2</v>
      </c>
      <c r="I10" s="41" t="s">
        <v>59</v>
      </c>
      <c r="J10" s="42">
        <v>0.1462326954264761</v>
      </c>
      <c r="K10" s="84">
        <v>4.5000000000000005E-2</v>
      </c>
      <c r="L10" s="84">
        <v>0.05</v>
      </c>
      <c r="M10" s="84">
        <v>5.5E-2</v>
      </c>
      <c r="N10" s="84">
        <v>0.06</v>
      </c>
      <c r="O10" s="84">
        <v>7.4999999999999997E-2</v>
      </c>
    </row>
    <row r="11" spans="1:15" x14ac:dyDescent="0.75">
      <c r="A11" s="41"/>
      <c r="B11" s="41">
        <v>11250000</v>
      </c>
      <c r="C11" s="43">
        <v>0.53128207484164247</v>
      </c>
      <c r="D11" s="44">
        <v>0.50704575679163666</v>
      </c>
      <c r="E11" s="44">
        <v>0.47430544262838081</v>
      </c>
      <c r="F11" s="44">
        <v>0.44153667651631689</v>
      </c>
      <c r="G11" s="45">
        <v>0.40122369263761004</v>
      </c>
      <c r="I11" s="41"/>
      <c r="J11" s="41">
        <v>13500000</v>
      </c>
      <c r="K11" s="43">
        <v>0.57717798036787693</v>
      </c>
      <c r="L11" s="44">
        <v>0.56196386555809985</v>
      </c>
      <c r="M11" s="44">
        <v>0.54672834955836302</v>
      </c>
      <c r="N11" s="44">
        <v>0.53151156493993712</v>
      </c>
      <c r="O11" s="45">
        <v>0.48635071960818865</v>
      </c>
    </row>
    <row r="12" spans="1:15" x14ac:dyDescent="0.75">
      <c r="A12" s="41"/>
      <c r="B12" s="41">
        <v>15000000</v>
      </c>
      <c r="C12" s="46">
        <v>0.24376716289181521</v>
      </c>
      <c r="D12" s="47">
        <v>0.23583204626869048</v>
      </c>
      <c r="E12" s="47">
        <v>0.22477831624386058</v>
      </c>
      <c r="F12" s="47">
        <v>0.21326334681372794</v>
      </c>
      <c r="G12" s="48">
        <v>0.19836128039864453</v>
      </c>
      <c r="I12" s="41"/>
      <c r="J12" s="41">
        <v>18000000</v>
      </c>
      <c r="K12" s="46">
        <v>0.25892313767872133</v>
      </c>
      <c r="L12" s="47">
        <v>0.2544082458973087</v>
      </c>
      <c r="M12" s="47">
        <v>0.24981882407132905</v>
      </c>
      <c r="N12" s="47">
        <v>0.24516086624199529</v>
      </c>
      <c r="O12" s="48">
        <v>0.23083679336011387</v>
      </c>
    </row>
    <row r="13" spans="1:15" x14ac:dyDescent="0.75">
      <c r="A13" s="41" t="s">
        <v>66</v>
      </c>
      <c r="B13" s="41">
        <v>20000000</v>
      </c>
      <c r="C13" s="46">
        <v>0.14099916456423434</v>
      </c>
      <c r="D13" s="47">
        <v>0.13584647665786642</v>
      </c>
      <c r="E13" s="52">
        <v>0.12865061837328917</v>
      </c>
      <c r="F13" s="47">
        <v>0.12112347779010824</v>
      </c>
      <c r="G13" s="48">
        <v>0.11132149121476531</v>
      </c>
      <c r="I13" s="41" t="s">
        <v>66</v>
      </c>
      <c r="J13" s="41">
        <v>24000000</v>
      </c>
      <c r="K13" s="46">
        <v>0.15197933574264266</v>
      </c>
      <c r="L13" s="47">
        <v>0.14913194718141698</v>
      </c>
      <c r="M13" s="52">
        <v>0.1462326954264761</v>
      </c>
      <c r="N13" s="47">
        <v>0.14328456403618106</v>
      </c>
      <c r="O13" s="48">
        <v>0.13417755218016114</v>
      </c>
    </row>
    <row r="14" spans="1:15" x14ac:dyDescent="0.75">
      <c r="A14" s="41"/>
      <c r="B14" s="41">
        <v>25000000</v>
      </c>
      <c r="C14" s="46">
        <v>8.803118141513111E-2</v>
      </c>
      <c r="D14" s="47">
        <v>8.3882248166440521E-2</v>
      </c>
      <c r="E14" s="47">
        <v>7.8093951164114994E-2</v>
      </c>
      <c r="F14" s="47">
        <v>7.2042531872283266E-2</v>
      </c>
      <c r="G14" s="48">
        <v>6.4161280338779658E-2</v>
      </c>
      <c r="I14" s="41"/>
      <c r="J14" s="41">
        <v>30000000</v>
      </c>
      <c r="K14" s="46">
        <v>9.7606048177709681E-2</v>
      </c>
      <c r="L14" s="47">
        <v>9.5345478115663296E-2</v>
      </c>
      <c r="M14" s="47">
        <v>9.304428599124126E-2</v>
      </c>
      <c r="N14" s="47">
        <v>9.0704620461170116E-2</v>
      </c>
      <c r="O14" s="48">
        <v>8.347680833522686E-2</v>
      </c>
    </row>
    <row r="15" spans="1:15" x14ac:dyDescent="0.75">
      <c r="A15" s="41"/>
      <c r="B15" s="41">
        <v>31250000</v>
      </c>
      <c r="C15" s="49">
        <v>4.57643787144002E-2</v>
      </c>
      <c r="D15" s="50">
        <v>4.2253728353479625E-2</v>
      </c>
      <c r="E15" s="50">
        <v>3.7364779917048452E-2</v>
      </c>
      <c r="F15" s="50">
        <v>3.2261983501721714E-2</v>
      </c>
      <c r="G15" s="51">
        <v>2.5624836983433763E-2</v>
      </c>
      <c r="I15" s="41"/>
      <c r="J15" s="41">
        <v>37500000</v>
      </c>
      <c r="K15" s="49">
        <v>5.4470412598117912E-2</v>
      </c>
      <c r="L15" s="50">
        <v>5.2578492788181164E-2</v>
      </c>
      <c r="M15" s="50">
        <v>5.0653892865851535E-2</v>
      </c>
      <c r="N15" s="50">
        <v>4.8698308327947748E-2</v>
      </c>
      <c r="O15" s="51">
        <v>4.2662925866500778E-2</v>
      </c>
    </row>
    <row r="16" spans="1:15" x14ac:dyDescent="0.75">
      <c r="C16" s="86"/>
      <c r="D16" s="86"/>
      <c r="E16" s="86"/>
      <c r="I16" s="1"/>
      <c r="J16" s="1"/>
      <c r="K16" s="1"/>
      <c r="L16" s="1"/>
      <c r="M16" s="1"/>
      <c r="N16" s="1"/>
      <c r="O16" s="1"/>
    </row>
    <row r="17" spans="1:15" x14ac:dyDescent="0.75">
      <c r="I17" s="1"/>
      <c r="J17" s="1"/>
      <c r="K17" s="1"/>
      <c r="L17" s="1"/>
      <c r="M17" s="1"/>
      <c r="N17" s="1"/>
      <c r="O17" s="1"/>
    </row>
    <row r="18" spans="1:15" x14ac:dyDescent="0.75">
      <c r="I18" s="1"/>
      <c r="J18" s="1"/>
      <c r="K18" s="1"/>
      <c r="L18" s="1"/>
      <c r="M18" s="1"/>
      <c r="N18" s="1"/>
      <c r="O18" s="1"/>
    </row>
    <row r="19" spans="1:15" x14ac:dyDescent="0.75">
      <c r="A19" s="85" t="s">
        <v>80</v>
      </c>
      <c r="B19" s="57"/>
      <c r="C19" s="57"/>
      <c r="D19" s="57"/>
      <c r="E19" s="57" t="s">
        <v>65</v>
      </c>
      <c r="F19" s="57"/>
      <c r="G19" s="57"/>
      <c r="I19" s="56" t="s">
        <v>80</v>
      </c>
      <c r="J19" s="57"/>
      <c r="K19" s="57"/>
      <c r="L19" s="57"/>
      <c r="M19" s="57" t="s">
        <v>65</v>
      </c>
      <c r="N19" s="57"/>
      <c r="O19" s="57"/>
    </row>
    <row r="20" spans="1:15" x14ac:dyDescent="0.75">
      <c r="A20" s="59" t="s">
        <v>67</v>
      </c>
      <c r="B20" s="60">
        <v>2.9196023208474364</v>
      </c>
      <c r="C20" s="90">
        <v>0.05</v>
      </c>
      <c r="D20" s="89">
        <v>5.5E-2</v>
      </c>
      <c r="E20" s="62">
        <v>0.06</v>
      </c>
      <c r="F20" s="89">
        <v>6.5000000000000002E-2</v>
      </c>
      <c r="G20" s="90">
        <v>7.0000000000000007E-2</v>
      </c>
      <c r="I20" s="59" t="s">
        <v>67</v>
      </c>
      <c r="J20" s="60">
        <v>3.2604062121774122</v>
      </c>
      <c r="K20" s="61">
        <v>1.9999999999999997E-2</v>
      </c>
      <c r="L20" s="61">
        <v>2.4999999999999998E-2</v>
      </c>
      <c r="M20" s="62">
        <v>0.03</v>
      </c>
      <c r="N20" s="61">
        <v>3.4999999999999996E-2</v>
      </c>
      <c r="O20" s="61">
        <v>3.9999999999999994E-2</v>
      </c>
    </row>
    <row r="21" spans="1:15" x14ac:dyDescent="0.75">
      <c r="A21" s="59"/>
      <c r="B21" s="90">
        <v>3.0000000000000002E-2</v>
      </c>
      <c r="C21" s="63">
        <v>2.7934503965743782</v>
      </c>
      <c r="D21" s="64">
        <v>2.5245633319295675</v>
      </c>
      <c r="E21" s="64">
        <v>2.3004907780588919</v>
      </c>
      <c r="F21" s="64">
        <v>2.1108909247837051</v>
      </c>
      <c r="G21" s="65">
        <v>1.9483767648335442</v>
      </c>
      <c r="I21" s="59"/>
      <c r="J21" s="61">
        <v>3.0000000000000002E-2</v>
      </c>
      <c r="K21" s="63">
        <v>8.8310355785704608</v>
      </c>
      <c r="L21" s="64">
        <v>7.0710396338259898</v>
      </c>
      <c r="M21" s="64">
        <v>5.8977090039963436</v>
      </c>
      <c r="N21" s="64">
        <v>5.0596156969751673</v>
      </c>
      <c r="O21" s="65">
        <v>4.4310457167092849</v>
      </c>
    </row>
    <row r="22" spans="1:15" x14ac:dyDescent="0.75">
      <c r="A22" s="59"/>
      <c r="B22" s="89">
        <v>3.5000000000000003E-2</v>
      </c>
      <c r="C22" s="66">
        <v>3.1454488826742999</v>
      </c>
      <c r="D22" s="67">
        <v>2.8500220242897756</v>
      </c>
      <c r="E22" s="67">
        <v>2.6038329756360037</v>
      </c>
      <c r="F22" s="67">
        <v>2.3955191652366583</v>
      </c>
      <c r="G22" s="68">
        <v>2.216964470608648</v>
      </c>
      <c r="I22" s="59"/>
      <c r="J22" s="61">
        <v>3.5000000000000003E-2</v>
      </c>
      <c r="K22" s="66">
        <v>9.7233993078902916</v>
      </c>
      <c r="L22" s="67">
        <v>7.7985008652651366</v>
      </c>
      <c r="M22" s="67">
        <v>6.5152352368483637</v>
      </c>
      <c r="N22" s="67">
        <v>5.5986169308363847</v>
      </c>
      <c r="O22" s="68">
        <v>4.9111532013273997</v>
      </c>
    </row>
    <row r="23" spans="1:15" x14ac:dyDescent="0.75">
      <c r="A23" s="59" t="s">
        <v>64</v>
      </c>
      <c r="B23" s="62">
        <v>0.04</v>
      </c>
      <c r="C23" s="66">
        <v>3.5120366398805207</v>
      </c>
      <c r="D23" s="67">
        <v>3.1888906476806564</v>
      </c>
      <c r="E23" s="67">
        <v>2.9196023208474364</v>
      </c>
      <c r="F23" s="67">
        <v>2.6917429673731728</v>
      </c>
      <c r="G23" s="68">
        <v>2.496434950109518</v>
      </c>
      <c r="I23" s="59" t="s">
        <v>64</v>
      </c>
      <c r="J23" s="62">
        <v>0.04</v>
      </c>
      <c r="K23" s="66">
        <v>10.654227837749099</v>
      </c>
      <c r="L23" s="67">
        <v>8.5570991792425595</v>
      </c>
      <c r="M23" s="67">
        <v>7.1590134069048643</v>
      </c>
      <c r="N23" s="67">
        <v>6.1603807123779406</v>
      </c>
      <c r="O23" s="68">
        <v>5.4114061914827474</v>
      </c>
    </row>
    <row r="24" spans="1:15" x14ac:dyDescent="0.75">
      <c r="A24" s="59"/>
      <c r="B24" s="89">
        <v>4.4999999999999998E-2</v>
      </c>
      <c r="C24" s="66">
        <v>3.8937658232566807</v>
      </c>
      <c r="D24" s="67">
        <v>3.541675001946214</v>
      </c>
      <c r="E24" s="67">
        <v>3.2482659841874924</v>
      </c>
      <c r="F24" s="67">
        <v>2.9999968153147276</v>
      </c>
      <c r="G24" s="68">
        <v>2.7871946705666431</v>
      </c>
      <c r="I24" s="59"/>
      <c r="J24" s="61">
        <v>4.4999999999999998E-2</v>
      </c>
      <c r="K24" s="66">
        <v>11.625009014601314</v>
      </c>
      <c r="L24" s="67">
        <v>9.3480343984404222</v>
      </c>
      <c r="M24" s="67">
        <v>7.8300513209998268</v>
      </c>
      <c r="N24" s="67">
        <v>6.7457776942565468</v>
      </c>
      <c r="O24" s="68">
        <v>5.9325724741990875</v>
      </c>
    </row>
    <row r="25" spans="1:15" x14ac:dyDescent="0.75">
      <c r="A25" s="59"/>
      <c r="B25" s="90">
        <v>4.9999999999999996E-2</v>
      </c>
      <c r="C25" s="69">
        <v>4.2912070398633935</v>
      </c>
      <c r="D25" s="70">
        <v>3.9088977524013164</v>
      </c>
      <c r="E25" s="70">
        <v>3.590306679516253</v>
      </c>
      <c r="F25" s="70">
        <v>3.3207296178442745</v>
      </c>
      <c r="G25" s="71">
        <v>3.0896635649825801</v>
      </c>
      <c r="I25" s="59"/>
      <c r="J25" s="61">
        <v>4.9999999999999996E-2</v>
      </c>
      <c r="K25" s="69">
        <v>12.637281103497939</v>
      </c>
      <c r="L25" s="70">
        <v>10.172546906407574</v>
      </c>
      <c r="M25" s="70">
        <v>8.5293907750139937</v>
      </c>
      <c r="N25" s="70">
        <v>7.3557078240185803</v>
      </c>
      <c r="O25" s="71">
        <v>6.4754456107720202</v>
      </c>
    </row>
    <row r="29" spans="1:15" x14ac:dyDescent="0.75">
      <c r="A29" s="128" t="s">
        <v>74</v>
      </c>
      <c r="B29" s="115"/>
      <c r="C29" s="115"/>
      <c r="D29" s="115"/>
      <c r="E29" s="115" t="s">
        <v>76</v>
      </c>
      <c r="F29" s="115"/>
      <c r="G29" s="115"/>
      <c r="I29" s="114" t="s">
        <v>74</v>
      </c>
      <c r="J29" s="115"/>
      <c r="K29" s="115"/>
      <c r="L29" s="115"/>
      <c r="M29" s="115" t="s">
        <v>76</v>
      </c>
      <c r="N29" s="115"/>
      <c r="O29" s="115"/>
    </row>
    <row r="30" spans="1:15" x14ac:dyDescent="0.75">
      <c r="A30" s="116" t="s">
        <v>56</v>
      </c>
      <c r="B30" s="117">
        <v>2.498544686373203</v>
      </c>
      <c r="C30" s="130">
        <v>2.5000000000000001E-2</v>
      </c>
      <c r="D30" s="129">
        <v>2.75E-2</v>
      </c>
      <c r="E30" s="118">
        <v>0.03</v>
      </c>
      <c r="F30" s="129">
        <v>3.2500000000000001E-2</v>
      </c>
      <c r="G30" s="130">
        <v>3.5000000000000003E-2</v>
      </c>
      <c r="I30" s="116" t="s">
        <v>56</v>
      </c>
      <c r="J30" s="117">
        <v>2.15</v>
      </c>
      <c r="K30" s="129">
        <v>2.5000000000000001E-2</v>
      </c>
      <c r="L30" s="88">
        <v>2.75E-2</v>
      </c>
      <c r="M30" s="118">
        <v>0.03</v>
      </c>
      <c r="N30" s="88">
        <v>3.2500000000000001E-2</v>
      </c>
      <c r="O30" s="129">
        <v>3.5000000000000003E-2</v>
      </c>
    </row>
    <row r="31" spans="1:15" x14ac:dyDescent="0.75">
      <c r="A31" s="116"/>
      <c r="B31" s="130">
        <v>3.4999999999999996E-2</v>
      </c>
      <c r="C31" s="119">
        <v>2.4411050970482266</v>
      </c>
      <c r="D31" s="120">
        <v>2.4218059792361237</v>
      </c>
      <c r="E31" s="120">
        <v>2.4022485957624347</v>
      </c>
      <c r="F31" s="120">
        <v>2.3824295795949464</v>
      </c>
      <c r="G31" s="121">
        <v>2.362345523823683</v>
      </c>
      <c r="I31" s="116"/>
      <c r="J31" s="88">
        <v>3.4999999999999996E-2</v>
      </c>
      <c r="K31" s="119">
        <v>2.2831172723835027</v>
      </c>
      <c r="L31" s="120">
        <v>2.2616091753413263</v>
      </c>
      <c r="M31" s="120">
        <v>2.2398132515204279</v>
      </c>
      <c r="N31" s="120">
        <v>2.2177257484977013</v>
      </c>
      <c r="O31" s="121">
        <v>2.1953428694078658</v>
      </c>
    </row>
    <row r="32" spans="1:15" x14ac:dyDescent="0.75">
      <c r="A32" s="116"/>
      <c r="B32" s="129">
        <v>3.7499999999999999E-2</v>
      </c>
      <c r="C32" s="122">
        <v>2.4889335720897079</v>
      </c>
      <c r="D32" s="123">
        <v>2.4696344542776054</v>
      </c>
      <c r="E32" s="123">
        <v>2.4500770708039163</v>
      </c>
      <c r="F32" s="123">
        <v>2.4302580546364281</v>
      </c>
      <c r="G32" s="124">
        <v>2.4101739988651647</v>
      </c>
      <c r="I32" s="116"/>
      <c r="J32" s="88">
        <v>3.7499999999999999E-2</v>
      </c>
      <c r="K32" s="122">
        <v>2.3313329298345513</v>
      </c>
      <c r="L32" s="123">
        <v>2.3098248327923754</v>
      </c>
      <c r="M32" s="123">
        <v>2.2880289089714765</v>
      </c>
      <c r="N32" s="123">
        <v>2.2659414059487504</v>
      </c>
      <c r="O32" s="124">
        <v>2.2435585268589149</v>
      </c>
    </row>
    <row r="33" spans="1:15" x14ac:dyDescent="0.75">
      <c r="A33" s="116" t="s">
        <v>75</v>
      </c>
      <c r="B33" s="118">
        <v>0.04</v>
      </c>
      <c r="C33" s="122">
        <v>2.5374011876589955</v>
      </c>
      <c r="D33" s="123">
        <v>2.5181020698468921</v>
      </c>
      <c r="E33" s="123">
        <v>2.498544686373203</v>
      </c>
      <c r="F33" s="123">
        <v>2.4787256702057143</v>
      </c>
      <c r="G33" s="124">
        <v>2.458641614434451</v>
      </c>
      <c r="I33" s="116" t="s">
        <v>75</v>
      </c>
      <c r="J33" s="118">
        <v>0.04</v>
      </c>
      <c r="K33" s="122">
        <v>2.3801929018016894</v>
      </c>
      <c r="L33" s="123">
        <v>2.3586848047595135</v>
      </c>
      <c r="M33" s="123">
        <v>2.3368888809386146</v>
      </c>
      <c r="N33" s="123">
        <v>2.314801377915888</v>
      </c>
      <c r="O33" s="124">
        <v>2.292418498826053</v>
      </c>
    </row>
    <row r="34" spans="1:15" x14ac:dyDescent="0.75">
      <c r="A34" s="116"/>
      <c r="B34" s="129">
        <v>4.2500000000000003E-2</v>
      </c>
      <c r="C34" s="122">
        <v>2.5865162369186345</v>
      </c>
      <c r="D34" s="123">
        <v>2.5672171191065316</v>
      </c>
      <c r="E34" s="123">
        <v>2.5476597356328421</v>
      </c>
      <c r="F34" s="123">
        <v>2.5278407194653547</v>
      </c>
      <c r="G34" s="124">
        <v>2.5077566636940909</v>
      </c>
      <c r="I34" s="116"/>
      <c r="J34" s="88">
        <v>4.2500000000000003E-2</v>
      </c>
      <c r="K34" s="122">
        <v>2.4297055485825085</v>
      </c>
      <c r="L34" s="123">
        <v>2.4081974515403322</v>
      </c>
      <c r="M34" s="123">
        <v>2.3864015277194337</v>
      </c>
      <c r="N34" s="123">
        <v>2.3643140246967072</v>
      </c>
      <c r="O34" s="124">
        <v>2.3419311456068721</v>
      </c>
    </row>
    <row r="35" spans="1:15" x14ac:dyDescent="0.75">
      <c r="A35" s="116"/>
      <c r="B35" s="130">
        <v>4.5000000000000005E-2</v>
      </c>
      <c r="C35" s="125">
        <v>2.6362871106281278</v>
      </c>
      <c r="D35" s="126">
        <v>2.6169879928160249</v>
      </c>
      <c r="E35" s="126">
        <v>2.5974306093423358</v>
      </c>
      <c r="F35" s="126">
        <v>2.577611593174848</v>
      </c>
      <c r="G35" s="127">
        <v>2.5575275374035842</v>
      </c>
      <c r="I35" s="116"/>
      <c r="J35" s="88">
        <v>4.5000000000000005E-2</v>
      </c>
      <c r="K35" s="125">
        <v>2.4798793288616183</v>
      </c>
      <c r="L35" s="126">
        <v>2.4583712318194419</v>
      </c>
      <c r="M35" s="126">
        <v>2.4365753079985435</v>
      </c>
      <c r="N35" s="126">
        <v>2.4144878049758165</v>
      </c>
      <c r="O35" s="127">
        <v>2.3921049258859819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373D-9D64-4E9D-9935-98CD47A4159B}">
  <dimension ref="A1:Z76"/>
  <sheetViews>
    <sheetView showGridLines="0" tabSelected="1" topLeftCell="A15" zoomScale="62" zoomScaleNormal="62" workbookViewId="0">
      <selection activeCell="M53" sqref="M53"/>
    </sheetView>
  </sheetViews>
  <sheetFormatPr defaultColWidth="8.81640625" defaultRowHeight="13" x14ac:dyDescent="0.6"/>
  <cols>
    <col min="1" max="1" width="33.40625" style="1" bestFit="1" customWidth="1"/>
    <col min="2" max="2" width="14.1796875" style="1" bestFit="1" customWidth="1"/>
    <col min="3" max="3" width="5.81640625" style="1" customWidth="1"/>
    <col min="4" max="4" width="44.04296875" style="1" bestFit="1" customWidth="1"/>
    <col min="5" max="5" width="14.08984375" style="1" bestFit="1" customWidth="1"/>
    <col min="6" max="14" width="12.81640625" style="1" bestFit="1" customWidth="1"/>
    <col min="15" max="15" width="13.453125" style="1" bestFit="1" customWidth="1"/>
    <col min="16" max="16" width="12.36328125" style="1" bestFit="1" customWidth="1"/>
    <col min="17" max="24" width="11.58984375" style="1" bestFit="1" customWidth="1"/>
    <col min="25" max="25" width="12.08984375" style="1" bestFit="1" customWidth="1"/>
    <col min="26" max="26" width="11.58984375" style="1" bestFit="1" customWidth="1"/>
    <col min="27" max="16384" width="8.81640625" style="1"/>
  </cols>
  <sheetData>
    <row r="1" spans="1:26" x14ac:dyDescent="0.6">
      <c r="A1" s="5" t="s">
        <v>24</v>
      </c>
      <c r="B1" s="6"/>
      <c r="D1" s="17" t="s">
        <v>36</v>
      </c>
      <c r="E1" s="34">
        <v>0</v>
      </c>
      <c r="F1" s="35">
        <v>1</v>
      </c>
      <c r="G1" s="35">
        <f>F1+1</f>
        <v>2</v>
      </c>
      <c r="H1" s="35">
        <f t="shared" ref="H1:P1" si="0">G1+1</f>
        <v>3</v>
      </c>
      <c r="I1" s="35">
        <f t="shared" si="0"/>
        <v>4</v>
      </c>
      <c r="J1" s="35">
        <f t="shared" si="0"/>
        <v>5</v>
      </c>
      <c r="K1" s="35">
        <f t="shared" si="0"/>
        <v>6</v>
      </c>
      <c r="L1" s="35">
        <f t="shared" si="0"/>
        <v>7</v>
      </c>
      <c r="M1" s="35">
        <f t="shared" si="0"/>
        <v>8</v>
      </c>
      <c r="N1" s="35">
        <f t="shared" si="0"/>
        <v>9</v>
      </c>
      <c r="O1" s="35">
        <f t="shared" si="0"/>
        <v>10</v>
      </c>
      <c r="P1" s="35">
        <f t="shared" si="0"/>
        <v>11</v>
      </c>
      <c r="Q1" s="95"/>
      <c r="R1" s="95"/>
      <c r="S1" s="95"/>
      <c r="T1" s="95"/>
      <c r="U1" s="95"/>
      <c r="V1" s="95"/>
      <c r="W1" s="95"/>
      <c r="X1" s="95"/>
      <c r="Y1" s="95"/>
      <c r="Z1" s="95"/>
    </row>
    <row r="2" spans="1:26" x14ac:dyDescent="0.6">
      <c r="A2" s="2" t="s">
        <v>0</v>
      </c>
      <c r="B2" s="73">
        <v>20000000</v>
      </c>
      <c r="D2" s="17" t="s">
        <v>50</v>
      </c>
      <c r="E2" s="20">
        <f>B4</f>
        <v>45838</v>
      </c>
      <c r="F2" s="20">
        <f>EOMONTH(E2,12)</f>
        <v>46203</v>
      </c>
      <c r="G2" s="20">
        <f t="shared" ref="G2:P2" si="1">EOMONTH(F2,12)</f>
        <v>46568</v>
      </c>
      <c r="H2" s="20">
        <f t="shared" si="1"/>
        <v>46934</v>
      </c>
      <c r="I2" s="20">
        <f t="shared" si="1"/>
        <v>47299</v>
      </c>
      <c r="J2" s="20">
        <f t="shared" si="1"/>
        <v>47664</v>
      </c>
      <c r="K2" s="20">
        <f t="shared" si="1"/>
        <v>48029</v>
      </c>
      <c r="L2" s="20">
        <f t="shared" si="1"/>
        <v>48395</v>
      </c>
      <c r="M2" s="20">
        <f t="shared" si="1"/>
        <v>48760</v>
      </c>
      <c r="N2" s="20">
        <f t="shared" si="1"/>
        <v>49125</v>
      </c>
      <c r="O2" s="20">
        <f t="shared" si="1"/>
        <v>49490</v>
      </c>
      <c r="P2" s="20">
        <f t="shared" si="1"/>
        <v>49856</v>
      </c>
      <c r="Q2" s="92"/>
      <c r="R2" s="92"/>
      <c r="S2" s="92"/>
      <c r="T2" s="92"/>
      <c r="U2" s="92"/>
      <c r="V2" s="92"/>
      <c r="W2" s="92"/>
      <c r="X2" s="92"/>
      <c r="Y2" s="92"/>
      <c r="Z2" s="92"/>
    </row>
    <row r="3" spans="1:26" x14ac:dyDescent="0.6">
      <c r="A3" s="3" t="s">
        <v>1</v>
      </c>
      <c r="B3" s="18">
        <v>200000</v>
      </c>
      <c r="D3" s="2" t="s">
        <v>5</v>
      </c>
      <c r="E3" s="22">
        <v>0</v>
      </c>
      <c r="F3" s="22">
        <f>B7*B8</f>
        <v>2500000</v>
      </c>
      <c r="G3" s="22">
        <f t="shared" ref="G3:P3" si="2">F3*(1+$B$10)</f>
        <v>2600000</v>
      </c>
      <c r="H3" s="22">
        <f t="shared" si="2"/>
        <v>2704000</v>
      </c>
      <c r="I3" s="22">
        <f t="shared" si="2"/>
        <v>2812160</v>
      </c>
      <c r="J3" s="22">
        <f t="shared" si="2"/>
        <v>2924646.3999999999</v>
      </c>
      <c r="K3" s="22">
        <f t="shared" si="2"/>
        <v>3041632.2560000001</v>
      </c>
      <c r="L3" s="22">
        <f t="shared" si="2"/>
        <v>3163297.5462400001</v>
      </c>
      <c r="M3" s="22">
        <f t="shared" si="2"/>
        <v>3289829.4480896001</v>
      </c>
      <c r="N3" s="22">
        <f t="shared" si="2"/>
        <v>3421422.626013184</v>
      </c>
      <c r="O3" s="22">
        <f t="shared" si="2"/>
        <v>3558279.5310537117</v>
      </c>
      <c r="P3" s="22">
        <f t="shared" si="2"/>
        <v>3700610.7122958601</v>
      </c>
      <c r="Q3" s="93"/>
      <c r="R3" s="93"/>
      <c r="S3" s="93"/>
      <c r="T3" s="93"/>
      <c r="U3" s="93"/>
      <c r="V3" s="93"/>
      <c r="W3" s="93"/>
      <c r="X3" s="93"/>
      <c r="Y3" s="93"/>
      <c r="Z3" s="93"/>
    </row>
    <row r="4" spans="1:26" x14ac:dyDescent="0.6">
      <c r="A4" s="4" t="s">
        <v>37</v>
      </c>
      <c r="B4" s="19">
        <v>45838</v>
      </c>
      <c r="D4" s="3" t="s">
        <v>6</v>
      </c>
      <c r="E4" s="24">
        <v>0</v>
      </c>
      <c r="F4" s="24">
        <f t="shared" ref="F4:P4" si="3">-$B$9*F3</f>
        <v>-150000</v>
      </c>
      <c r="G4" s="24">
        <f t="shared" si="3"/>
        <v>-156000</v>
      </c>
      <c r="H4" s="24">
        <f t="shared" si="3"/>
        <v>-162240</v>
      </c>
      <c r="I4" s="24">
        <f t="shared" si="3"/>
        <v>-168729.60000000001</v>
      </c>
      <c r="J4" s="24">
        <f t="shared" si="3"/>
        <v>-175478.78399999999</v>
      </c>
      <c r="K4" s="24">
        <f t="shared" si="3"/>
        <v>-182497.93536</v>
      </c>
      <c r="L4" s="24">
        <f t="shared" si="3"/>
        <v>-189797.8527744</v>
      </c>
      <c r="M4" s="24">
        <f t="shared" si="3"/>
        <v>-197389.76688537601</v>
      </c>
      <c r="N4" s="24">
        <f t="shared" si="3"/>
        <v>-205285.35756079102</v>
      </c>
      <c r="O4" s="24">
        <f t="shared" si="3"/>
        <v>-213496.7718632227</v>
      </c>
      <c r="P4" s="91">
        <f t="shared" si="3"/>
        <v>-222036.64273775159</v>
      </c>
      <c r="Q4" s="93"/>
      <c r="R4" s="93"/>
      <c r="S4" s="93"/>
      <c r="T4" s="93"/>
      <c r="U4" s="93"/>
      <c r="V4" s="93"/>
      <c r="W4" s="93"/>
      <c r="X4" s="93"/>
      <c r="Y4" s="93"/>
      <c r="Z4" s="93"/>
    </row>
    <row r="5" spans="1:26" x14ac:dyDescent="0.6">
      <c r="D5" s="21" t="s">
        <v>7</v>
      </c>
      <c r="E5" s="26">
        <v>0</v>
      </c>
      <c r="F5" s="26">
        <f>SUM(F3:F4)</f>
        <v>2350000</v>
      </c>
      <c r="G5" s="26">
        <f t="shared" ref="G5:P5" si="4">SUM(G3:G4)</f>
        <v>2444000</v>
      </c>
      <c r="H5" s="26">
        <f t="shared" si="4"/>
        <v>2541760</v>
      </c>
      <c r="I5" s="26">
        <f t="shared" si="4"/>
        <v>2643430.3999999999</v>
      </c>
      <c r="J5" s="26">
        <f t="shared" si="4"/>
        <v>2749167.6159999999</v>
      </c>
      <c r="K5" s="26">
        <f t="shared" si="4"/>
        <v>2859134.32064</v>
      </c>
      <c r="L5" s="26">
        <f t="shared" si="4"/>
        <v>2973499.6934656003</v>
      </c>
      <c r="M5" s="26">
        <f t="shared" si="4"/>
        <v>3092439.681204224</v>
      </c>
      <c r="N5" s="26">
        <f t="shared" si="4"/>
        <v>3216137.2684523929</v>
      </c>
      <c r="O5" s="26">
        <f t="shared" si="4"/>
        <v>3344782.7591904891</v>
      </c>
      <c r="P5" s="26">
        <f t="shared" si="4"/>
        <v>3478574.0695581082</v>
      </c>
      <c r="Q5" s="96"/>
      <c r="R5" s="96"/>
      <c r="S5" s="96"/>
      <c r="T5" s="96"/>
      <c r="U5" s="96"/>
      <c r="V5" s="96"/>
      <c r="W5" s="96"/>
      <c r="X5" s="96"/>
      <c r="Y5" s="96"/>
      <c r="Z5" s="96"/>
    </row>
    <row r="6" spans="1:26" x14ac:dyDescent="0.6">
      <c r="A6" s="5" t="s">
        <v>23</v>
      </c>
      <c r="B6" s="6"/>
      <c r="D6" s="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91"/>
      <c r="Q6" s="93"/>
      <c r="R6" s="93"/>
      <c r="S6" s="93"/>
      <c r="T6" s="93"/>
      <c r="U6" s="93"/>
      <c r="V6" s="93"/>
      <c r="W6" s="93"/>
      <c r="X6" s="93"/>
      <c r="Y6" s="93"/>
      <c r="Z6" s="93"/>
    </row>
    <row r="7" spans="1:26" x14ac:dyDescent="0.6">
      <c r="A7" s="2" t="s">
        <v>2</v>
      </c>
      <c r="B7" s="8">
        <v>50000</v>
      </c>
      <c r="D7" s="21" t="s">
        <v>8</v>
      </c>
      <c r="E7" s="26">
        <v>0</v>
      </c>
      <c r="F7" s="26">
        <f>-B11*B7</f>
        <v>-1000000</v>
      </c>
      <c r="G7" s="26">
        <f>F7*(1+$B$12)</f>
        <v>-1030000</v>
      </c>
      <c r="H7" s="26">
        <f>G7*(1+$B$12)</f>
        <v>-1060900</v>
      </c>
      <c r="I7" s="26">
        <f t="shared" ref="I7:P7" si="5">H7*(1+$B$12)</f>
        <v>-1092727</v>
      </c>
      <c r="J7" s="26">
        <f t="shared" si="5"/>
        <v>-1125508.81</v>
      </c>
      <c r="K7" s="26">
        <f t="shared" si="5"/>
        <v>-1159274.0743</v>
      </c>
      <c r="L7" s="26">
        <f t="shared" si="5"/>
        <v>-1194052.2965289999</v>
      </c>
      <c r="M7" s="26">
        <f t="shared" si="5"/>
        <v>-1229873.86542487</v>
      </c>
      <c r="N7" s="26">
        <f t="shared" si="5"/>
        <v>-1266770.0813876162</v>
      </c>
      <c r="O7" s="26">
        <f t="shared" si="5"/>
        <v>-1304773.1838292447</v>
      </c>
      <c r="P7" s="26">
        <f t="shared" si="5"/>
        <v>-1343916.379344122</v>
      </c>
      <c r="Q7" s="96"/>
      <c r="R7" s="96"/>
      <c r="S7" s="96"/>
      <c r="T7" s="96"/>
      <c r="U7" s="96"/>
      <c r="V7" s="96"/>
      <c r="W7" s="96"/>
      <c r="X7" s="96"/>
      <c r="Y7" s="96"/>
      <c r="Z7" s="96"/>
    </row>
    <row r="8" spans="1:26" x14ac:dyDescent="0.6">
      <c r="A8" s="3" t="s">
        <v>3</v>
      </c>
      <c r="B8" s="9">
        <v>50</v>
      </c>
      <c r="D8" s="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91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spans="1:26" x14ac:dyDescent="0.6">
      <c r="A9" s="3" t="s">
        <v>4</v>
      </c>
      <c r="B9" s="10">
        <v>0.06</v>
      </c>
      <c r="D9" s="21" t="s">
        <v>9</v>
      </c>
      <c r="E9" s="26">
        <v>0</v>
      </c>
      <c r="F9" s="26">
        <f>SUM(F5,F7)</f>
        <v>1350000</v>
      </c>
      <c r="G9" s="26">
        <f t="shared" ref="G9:P9" si="6">SUM(G5,G7)</f>
        <v>1414000</v>
      </c>
      <c r="H9" s="26">
        <f t="shared" si="6"/>
        <v>1480860</v>
      </c>
      <c r="I9" s="26">
        <f t="shared" si="6"/>
        <v>1550703.4</v>
      </c>
      <c r="J9" s="26">
        <f t="shared" si="6"/>
        <v>1623658.8059999999</v>
      </c>
      <c r="K9" s="26">
        <f t="shared" si="6"/>
        <v>1699860.2463400001</v>
      </c>
      <c r="L9" s="26">
        <f t="shared" si="6"/>
        <v>1779447.3969366003</v>
      </c>
      <c r="M9" s="26">
        <f t="shared" si="6"/>
        <v>1862565.815779354</v>
      </c>
      <c r="N9" s="26">
        <f t="shared" si="6"/>
        <v>1949367.1870647767</v>
      </c>
      <c r="O9" s="26">
        <f t="shared" si="6"/>
        <v>2040009.5753612444</v>
      </c>
      <c r="P9" s="26">
        <f t="shared" si="6"/>
        <v>2134657.6902139862</v>
      </c>
      <c r="Q9" s="96"/>
      <c r="R9" s="96"/>
      <c r="S9" s="96"/>
      <c r="T9" s="96"/>
      <c r="U9" s="96"/>
      <c r="V9" s="96"/>
      <c r="W9" s="96"/>
      <c r="X9" s="96"/>
      <c r="Y9" s="96"/>
      <c r="Z9" s="96"/>
    </row>
    <row r="10" spans="1:26" x14ac:dyDescent="0.6">
      <c r="A10" s="3" t="s">
        <v>20</v>
      </c>
      <c r="B10" s="10">
        <v>0.04</v>
      </c>
      <c r="D10" s="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91"/>
      <c r="Q10" s="93"/>
      <c r="R10" s="93"/>
      <c r="S10" s="93"/>
      <c r="T10" s="93"/>
      <c r="U10" s="93"/>
      <c r="V10" s="93"/>
      <c r="W10" s="93"/>
      <c r="X10" s="93"/>
      <c r="Y10" s="93"/>
      <c r="Z10" s="93"/>
    </row>
    <row r="11" spans="1:26" x14ac:dyDescent="0.6">
      <c r="A11" s="3" t="s">
        <v>21</v>
      </c>
      <c r="B11" s="9">
        <v>20</v>
      </c>
      <c r="D11" s="3" t="s">
        <v>11</v>
      </c>
      <c r="E11" s="24">
        <v>0</v>
      </c>
      <c r="F11" s="24">
        <f>IF(F$1=$B$18,-$B$17,0)</f>
        <v>0</v>
      </c>
      <c r="G11" s="24">
        <f t="shared" ref="G11:O11" si="7">IF(G$1=$B$18,-$B$17,0)</f>
        <v>0</v>
      </c>
      <c r="H11" s="24">
        <f t="shared" si="7"/>
        <v>0</v>
      </c>
      <c r="I11" s="24">
        <f t="shared" si="7"/>
        <v>-125000</v>
      </c>
      <c r="J11" s="24">
        <f t="shared" si="7"/>
        <v>0</v>
      </c>
      <c r="K11" s="24">
        <f t="shared" si="7"/>
        <v>0</v>
      </c>
      <c r="L11" s="24">
        <f t="shared" si="7"/>
        <v>0</v>
      </c>
      <c r="M11" s="24">
        <f t="shared" si="7"/>
        <v>0</v>
      </c>
      <c r="N11" s="24">
        <f t="shared" si="7"/>
        <v>0</v>
      </c>
      <c r="O11" s="24">
        <f t="shared" si="7"/>
        <v>0</v>
      </c>
      <c r="P11" s="24"/>
      <c r="Q11" s="93"/>
      <c r="R11" s="93"/>
      <c r="S11" s="93"/>
      <c r="T11" s="93"/>
      <c r="U11" s="93"/>
      <c r="V11" s="93"/>
      <c r="W11" s="93"/>
      <c r="X11" s="93"/>
      <c r="Y11" s="93"/>
      <c r="Z11" s="93"/>
    </row>
    <row r="12" spans="1:26" x14ac:dyDescent="0.6">
      <c r="A12" s="4" t="s">
        <v>22</v>
      </c>
      <c r="B12" s="11">
        <v>0.03</v>
      </c>
      <c r="D12" s="3" t="s">
        <v>10</v>
      </c>
      <c r="E12" s="24">
        <v>0</v>
      </c>
      <c r="F12" s="24">
        <f>IF(F$1=$B$20,-$B$19,0)</f>
        <v>0</v>
      </c>
      <c r="G12" s="24">
        <f t="shared" ref="G12:O12" si="8">IF(G$1=$B$20,-$B$19,0)</f>
        <v>0</v>
      </c>
      <c r="H12" s="24">
        <f t="shared" si="8"/>
        <v>0</v>
      </c>
      <c r="I12" s="24">
        <f t="shared" si="8"/>
        <v>-200000</v>
      </c>
      <c r="J12" s="24">
        <f t="shared" si="8"/>
        <v>0</v>
      </c>
      <c r="K12" s="24">
        <f t="shared" si="8"/>
        <v>0</v>
      </c>
      <c r="L12" s="24">
        <f t="shared" si="8"/>
        <v>0</v>
      </c>
      <c r="M12" s="24">
        <f t="shared" si="8"/>
        <v>0</v>
      </c>
      <c r="N12" s="24">
        <f t="shared" si="8"/>
        <v>0</v>
      </c>
      <c r="O12" s="24">
        <f t="shared" si="8"/>
        <v>0</v>
      </c>
      <c r="P12" s="24"/>
      <c r="Q12" s="93"/>
      <c r="R12" s="93"/>
      <c r="S12" s="93"/>
      <c r="T12" s="93"/>
      <c r="U12" s="93"/>
      <c r="V12" s="93"/>
      <c r="W12" s="93"/>
      <c r="X12" s="93"/>
      <c r="Y12" s="93"/>
      <c r="Z12" s="93"/>
    </row>
    <row r="13" spans="1:26" x14ac:dyDescent="0.6">
      <c r="D13" s="3" t="s">
        <v>43</v>
      </c>
      <c r="E13" s="24">
        <v>0</v>
      </c>
      <c r="F13" s="24">
        <f>-B15*B7</f>
        <v>-25000</v>
      </c>
      <c r="G13" s="24">
        <f>F13*(1+$B$16)</f>
        <v>-25750</v>
      </c>
      <c r="H13" s="24">
        <f t="shared" ref="H13:O13" si="9">G13*(1+$B$16)</f>
        <v>-26522.5</v>
      </c>
      <c r="I13" s="24">
        <f t="shared" si="9"/>
        <v>-27318.174999999999</v>
      </c>
      <c r="J13" s="24">
        <f t="shared" si="9"/>
        <v>-28137.720249999998</v>
      </c>
      <c r="K13" s="24">
        <f t="shared" si="9"/>
        <v>-28981.851857499998</v>
      </c>
      <c r="L13" s="24">
        <f t="shared" si="9"/>
        <v>-29851.307413225</v>
      </c>
      <c r="M13" s="24">
        <f t="shared" si="9"/>
        <v>-30746.84663562175</v>
      </c>
      <c r="N13" s="24">
        <f t="shared" si="9"/>
        <v>-31669.252034690402</v>
      </c>
      <c r="O13" s="24">
        <f t="shared" si="9"/>
        <v>-32619.329595731117</v>
      </c>
      <c r="P13" s="24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 spans="1:26" x14ac:dyDescent="0.6">
      <c r="A14" s="5" t="s">
        <v>25</v>
      </c>
      <c r="B14" s="6"/>
      <c r="D14" s="21" t="s">
        <v>12</v>
      </c>
      <c r="E14" s="26">
        <v>0</v>
      </c>
      <c r="F14" s="26">
        <f t="shared" ref="F14:O14" si="10">SUM(F11:F13)</f>
        <v>-25000</v>
      </c>
      <c r="G14" s="26">
        <f t="shared" si="10"/>
        <v>-25750</v>
      </c>
      <c r="H14" s="26">
        <f t="shared" si="10"/>
        <v>-26522.5</v>
      </c>
      <c r="I14" s="26">
        <f t="shared" si="10"/>
        <v>-352318.17499999999</v>
      </c>
      <c r="J14" s="26">
        <f t="shared" si="10"/>
        <v>-28137.720249999998</v>
      </c>
      <c r="K14" s="26">
        <f t="shared" si="10"/>
        <v>-28981.851857499998</v>
      </c>
      <c r="L14" s="26">
        <f t="shared" si="10"/>
        <v>-29851.307413225</v>
      </c>
      <c r="M14" s="26">
        <f t="shared" si="10"/>
        <v>-30746.84663562175</v>
      </c>
      <c r="N14" s="26">
        <f t="shared" si="10"/>
        <v>-31669.252034690402</v>
      </c>
      <c r="O14" s="26">
        <f t="shared" si="10"/>
        <v>-32619.329595731117</v>
      </c>
      <c r="P14" s="26"/>
      <c r="Q14" s="96"/>
      <c r="R14" s="96"/>
      <c r="S14" s="96"/>
      <c r="T14" s="96"/>
      <c r="U14" s="96"/>
      <c r="V14" s="96"/>
      <c r="W14" s="96"/>
      <c r="X14" s="96"/>
      <c r="Y14" s="96"/>
      <c r="Z14" s="96"/>
    </row>
    <row r="15" spans="1:26" x14ac:dyDescent="0.6">
      <c r="A15" s="2" t="s">
        <v>26</v>
      </c>
      <c r="B15" s="12">
        <v>0.5</v>
      </c>
      <c r="D15" s="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93"/>
      <c r="R15" s="93"/>
      <c r="S15" s="93"/>
      <c r="T15" s="93"/>
      <c r="U15" s="93"/>
      <c r="V15" s="93"/>
      <c r="W15" s="93"/>
      <c r="X15" s="93"/>
      <c r="Y15" s="93"/>
      <c r="Z15" s="93"/>
    </row>
    <row r="16" spans="1:26" x14ac:dyDescent="0.6">
      <c r="A16" s="3" t="s">
        <v>44</v>
      </c>
      <c r="B16" s="10">
        <v>0.03</v>
      </c>
      <c r="D16" s="21" t="s">
        <v>13</v>
      </c>
      <c r="E16" s="26">
        <v>0</v>
      </c>
      <c r="F16" s="26">
        <f t="shared" ref="F16:O16" si="11">SUM(F14,F9)</f>
        <v>1325000</v>
      </c>
      <c r="G16" s="26">
        <f t="shared" si="11"/>
        <v>1388250</v>
      </c>
      <c r="H16" s="26">
        <f t="shared" si="11"/>
        <v>1454337.5</v>
      </c>
      <c r="I16" s="26">
        <f t="shared" si="11"/>
        <v>1198385.2249999999</v>
      </c>
      <c r="J16" s="26">
        <f t="shared" si="11"/>
        <v>1595521.0857499999</v>
      </c>
      <c r="K16" s="26">
        <f t="shared" si="11"/>
        <v>1670878.3944825002</v>
      </c>
      <c r="L16" s="26">
        <f t="shared" si="11"/>
        <v>1749596.0895233753</v>
      </c>
      <c r="M16" s="26">
        <f t="shared" si="11"/>
        <v>1831818.9691437322</v>
      </c>
      <c r="N16" s="26">
        <f t="shared" si="11"/>
        <v>1917697.9350300862</v>
      </c>
      <c r="O16" s="26">
        <f t="shared" si="11"/>
        <v>2007390.2457655133</v>
      </c>
      <c r="P16" s="26"/>
      <c r="Q16" s="96"/>
      <c r="R16" s="96"/>
      <c r="S16" s="96"/>
      <c r="T16" s="96"/>
      <c r="U16" s="96"/>
      <c r="V16" s="96"/>
      <c r="W16" s="96"/>
      <c r="X16" s="96"/>
      <c r="Y16" s="96"/>
      <c r="Z16" s="96"/>
    </row>
    <row r="17" spans="1:26" x14ac:dyDescent="0.6">
      <c r="A17" s="3" t="s">
        <v>11</v>
      </c>
      <c r="B17" s="13">
        <v>125000</v>
      </c>
      <c r="D17" s="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93"/>
      <c r="R17" s="93"/>
      <c r="S17" s="93"/>
      <c r="T17" s="93"/>
      <c r="U17" s="93"/>
      <c r="V17" s="93"/>
      <c r="W17" s="93"/>
      <c r="X17" s="93"/>
      <c r="Y17" s="93"/>
      <c r="Z17" s="93"/>
    </row>
    <row r="18" spans="1:26" x14ac:dyDescent="0.6">
      <c r="A18" s="3" t="s">
        <v>28</v>
      </c>
      <c r="B18" s="14">
        <v>4</v>
      </c>
      <c r="D18" s="3" t="s">
        <v>14</v>
      </c>
      <c r="E18" s="24">
        <v>0</v>
      </c>
      <c r="F18" s="24">
        <f t="shared" ref="F18:O18" si="12">CUMPRINC($B$25/12,$B$26*12,$B$23,F$1*12-11,F$1*12,0)</f>
        <v>-219958.60131169501</v>
      </c>
      <c r="G18" s="24">
        <f t="shared" si="12"/>
        <v>-230178.08911366909</v>
      </c>
      <c r="H18" s="24">
        <f t="shared" si="12"/>
        <v>-240872.3841307823</v>
      </c>
      <c r="I18" s="24">
        <f t="shared" si="12"/>
        <v>-252063.5463621183</v>
      </c>
      <c r="J18" s="24">
        <f t="shared" si="12"/>
        <v>-263774.66073549842</v>
      </c>
      <c r="K18" s="24">
        <f t="shared" si="12"/>
        <v>-276029.88472665485</v>
      </c>
      <c r="L18" s="24">
        <f t="shared" si="12"/>
        <v>-288854.4981908357</v>
      </c>
      <c r="M18" s="24">
        <f t="shared" si="12"/>
        <v>-302274.95550963585</v>
      </c>
      <c r="N18" s="24">
        <f t="shared" si="12"/>
        <v>-316318.94016061816</v>
      </c>
      <c r="O18" s="24">
        <f t="shared" si="12"/>
        <v>-331015.42182229221</v>
      </c>
      <c r="P18" s="24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 spans="1:26" x14ac:dyDescent="0.6">
      <c r="A19" s="3" t="s">
        <v>27</v>
      </c>
      <c r="B19" s="13">
        <v>200000</v>
      </c>
      <c r="D19" s="3" t="s">
        <v>15</v>
      </c>
      <c r="E19" s="24">
        <v>0</v>
      </c>
      <c r="F19" s="24">
        <f t="shared" ref="F19:O19" si="13">CUMIPMT($B$25/12,$B$26*12,$B$23,F$1*12-11,F$1*12,0)</f>
        <v>-450450.55802162696</v>
      </c>
      <c r="G19" s="24">
        <f t="shared" si="13"/>
        <v>-440231.07021965284</v>
      </c>
      <c r="H19" s="24">
        <f t="shared" si="13"/>
        <v>-429536.77520253963</v>
      </c>
      <c r="I19" s="24">
        <f t="shared" si="13"/>
        <v>-418345.61297120363</v>
      </c>
      <c r="J19" s="24">
        <f t="shared" si="13"/>
        <v>-406634.49859782355</v>
      </c>
      <c r="K19" s="24">
        <f t="shared" si="13"/>
        <v>-394379.27460666711</v>
      </c>
      <c r="L19" s="24">
        <f t="shared" si="13"/>
        <v>-381554.66114248626</v>
      </c>
      <c r="M19" s="24">
        <f t="shared" si="13"/>
        <v>-368134.20382368611</v>
      </c>
      <c r="N19" s="24">
        <f t="shared" si="13"/>
        <v>-354090.2191727038</v>
      </c>
      <c r="O19" s="24">
        <f t="shared" si="13"/>
        <v>-339393.73751102976</v>
      </c>
      <c r="P19" s="24"/>
      <c r="Q19" s="93"/>
      <c r="R19" s="93"/>
      <c r="S19" s="93"/>
      <c r="T19" s="93"/>
      <c r="U19" s="93"/>
      <c r="V19" s="93"/>
      <c r="W19" s="93"/>
      <c r="X19" s="93"/>
      <c r="Y19" s="93"/>
      <c r="Z19" s="93"/>
    </row>
    <row r="20" spans="1:26" x14ac:dyDescent="0.6">
      <c r="A20" s="4" t="s">
        <v>29</v>
      </c>
      <c r="B20" s="15">
        <v>4</v>
      </c>
      <c r="D20" s="21" t="s">
        <v>16</v>
      </c>
      <c r="E20" s="26">
        <v>0</v>
      </c>
      <c r="F20" s="26">
        <f>SUM(F18:F19)</f>
        <v>-670409.15933332196</v>
      </c>
      <c r="G20" s="26">
        <f t="shared" ref="G20:O20" si="14">SUM(G18:G19)</f>
        <v>-670409.15933332196</v>
      </c>
      <c r="H20" s="26">
        <f t="shared" si="14"/>
        <v>-670409.15933332196</v>
      </c>
      <c r="I20" s="26">
        <f t="shared" si="14"/>
        <v>-670409.15933332196</v>
      </c>
      <c r="J20" s="26">
        <f t="shared" si="14"/>
        <v>-670409.15933332196</v>
      </c>
      <c r="K20" s="26">
        <f t="shared" si="14"/>
        <v>-670409.15933332196</v>
      </c>
      <c r="L20" s="26">
        <f t="shared" si="14"/>
        <v>-670409.15933332196</v>
      </c>
      <c r="M20" s="26">
        <f t="shared" si="14"/>
        <v>-670409.15933332196</v>
      </c>
      <c r="N20" s="26">
        <f t="shared" si="14"/>
        <v>-670409.15933332196</v>
      </c>
      <c r="O20" s="26">
        <f t="shared" si="14"/>
        <v>-670409.15933332196</v>
      </c>
      <c r="P20" s="26"/>
      <c r="Q20" s="96"/>
      <c r="R20" s="96"/>
      <c r="S20" s="96"/>
      <c r="T20" s="96"/>
      <c r="U20" s="96"/>
      <c r="V20" s="96"/>
      <c r="W20" s="96"/>
      <c r="X20" s="96"/>
      <c r="Y20" s="96"/>
      <c r="Z20" s="96"/>
    </row>
    <row r="21" spans="1:26" x14ac:dyDescent="0.6">
      <c r="D21" s="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93"/>
      <c r="R21" s="93"/>
      <c r="S21" s="93"/>
      <c r="T21" s="93"/>
      <c r="U21" s="93"/>
      <c r="V21" s="93"/>
      <c r="W21" s="93"/>
      <c r="X21" s="93"/>
      <c r="Y21" s="93"/>
      <c r="Z21" s="93"/>
    </row>
    <row r="22" spans="1:26" x14ac:dyDescent="0.6">
      <c r="A22" s="5" t="s">
        <v>30</v>
      </c>
      <c r="B22" s="6"/>
      <c r="D22" s="21" t="s">
        <v>17</v>
      </c>
      <c r="E22" s="26">
        <v>0</v>
      </c>
      <c r="F22" s="26">
        <f>SUM(F16,F20)</f>
        <v>654590.84066667804</v>
      </c>
      <c r="G22" s="26">
        <f t="shared" ref="G22:O22" si="15">SUM(G16,G20)</f>
        <v>717840.84066667804</v>
      </c>
      <c r="H22" s="26">
        <f t="shared" si="15"/>
        <v>783928.34066667804</v>
      </c>
      <c r="I22" s="26">
        <f t="shared" si="15"/>
        <v>527976.0656666779</v>
      </c>
      <c r="J22" s="26">
        <f t="shared" si="15"/>
        <v>925111.92641667789</v>
      </c>
      <c r="K22" s="26">
        <f t="shared" si="15"/>
        <v>1000469.2351491782</v>
      </c>
      <c r="L22" s="26">
        <f t="shared" si="15"/>
        <v>1079186.9301900533</v>
      </c>
      <c r="M22" s="26">
        <f t="shared" si="15"/>
        <v>1161409.8098104103</v>
      </c>
      <c r="N22" s="26">
        <f t="shared" si="15"/>
        <v>1247288.7756967642</v>
      </c>
      <c r="O22" s="26">
        <f t="shared" si="15"/>
        <v>1336981.0864321913</v>
      </c>
      <c r="P22" s="2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 spans="1:26" x14ac:dyDescent="0.6">
      <c r="A23" s="2" t="s">
        <v>34</v>
      </c>
      <c r="B23" s="7">
        <v>10000000</v>
      </c>
      <c r="D23" s="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93"/>
      <c r="R23" s="93"/>
      <c r="S23" s="93"/>
      <c r="T23" s="93"/>
      <c r="U23" s="93"/>
      <c r="V23" s="93"/>
      <c r="W23" s="93"/>
      <c r="X23" s="93"/>
      <c r="Y23" s="93"/>
      <c r="Z23" s="93"/>
    </row>
    <row r="24" spans="1:26" x14ac:dyDescent="0.6">
      <c r="A24" s="3" t="s">
        <v>45</v>
      </c>
      <c r="B24" s="10">
        <v>0.01</v>
      </c>
      <c r="D24" s="3" t="s">
        <v>0</v>
      </c>
      <c r="E24" s="24">
        <f>-B2</f>
        <v>-20000000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/>
      <c r="Q24" s="93"/>
      <c r="R24" s="93"/>
      <c r="S24" s="93"/>
      <c r="T24" s="93"/>
      <c r="U24" s="93"/>
      <c r="V24" s="93"/>
      <c r="W24" s="93"/>
      <c r="X24" s="93"/>
      <c r="Y24" s="93"/>
      <c r="Z24" s="93"/>
    </row>
    <row r="25" spans="1:26" x14ac:dyDescent="0.6">
      <c r="A25" s="3" t="s">
        <v>33</v>
      </c>
      <c r="B25" s="10">
        <v>4.5499999999999999E-2</v>
      </c>
      <c r="D25" s="3" t="s">
        <v>1</v>
      </c>
      <c r="E25" s="24">
        <f>-B3</f>
        <v>-200000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/>
      <c r="Q25" s="93"/>
      <c r="R25" s="93"/>
      <c r="S25" s="93"/>
      <c r="T25" s="93"/>
      <c r="U25" s="93"/>
      <c r="V25" s="93"/>
      <c r="W25" s="93"/>
      <c r="X25" s="93"/>
      <c r="Y25" s="93"/>
      <c r="Z25" s="93"/>
    </row>
    <row r="26" spans="1:26" x14ac:dyDescent="0.6">
      <c r="A26" s="4" t="s">
        <v>35</v>
      </c>
      <c r="B26" s="16">
        <v>25</v>
      </c>
      <c r="D26" s="3" t="s">
        <v>18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f>P9/B29</f>
        <v>35577628.170233108</v>
      </c>
      <c r="P26" s="24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 spans="1:26" x14ac:dyDescent="0.6">
      <c r="D27" s="3" t="s">
        <v>19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f>O26*B30</f>
        <v>889440.7042558277</v>
      </c>
      <c r="P27" s="24"/>
      <c r="Q27" s="93"/>
      <c r="R27" s="93"/>
      <c r="S27" s="93"/>
      <c r="T27" s="93"/>
      <c r="U27" s="93"/>
      <c r="V27" s="93"/>
      <c r="W27" s="93"/>
      <c r="X27" s="93"/>
      <c r="Y27" s="93"/>
      <c r="Z27" s="93"/>
    </row>
    <row r="28" spans="1:26" x14ac:dyDescent="0.6">
      <c r="A28" s="5" t="s">
        <v>31</v>
      </c>
      <c r="B28" s="6"/>
      <c r="D28" s="21" t="s">
        <v>40</v>
      </c>
      <c r="E28" s="26">
        <f>SUM(E24:E27,E16)</f>
        <v>-20200000</v>
      </c>
      <c r="F28" s="26">
        <f>SUM(F24:F27,F16)</f>
        <v>1325000</v>
      </c>
      <c r="G28" s="26">
        <f t="shared" ref="G28:O28" si="16">SUM(G24:G27,G16)</f>
        <v>1388250</v>
      </c>
      <c r="H28" s="26">
        <f t="shared" si="16"/>
        <v>1454337.5</v>
      </c>
      <c r="I28" s="26">
        <f t="shared" si="16"/>
        <v>1198385.2249999999</v>
      </c>
      <c r="J28" s="26">
        <f t="shared" si="16"/>
        <v>1595521.0857499999</v>
      </c>
      <c r="K28" s="26">
        <f t="shared" si="16"/>
        <v>1670878.3944825002</v>
      </c>
      <c r="L28" s="26">
        <f t="shared" si="16"/>
        <v>1749596.0895233753</v>
      </c>
      <c r="M28" s="26">
        <f t="shared" si="16"/>
        <v>1831818.9691437322</v>
      </c>
      <c r="N28" s="26">
        <f t="shared" si="16"/>
        <v>1917697.9350300862</v>
      </c>
      <c r="O28" s="26">
        <f t="shared" si="16"/>
        <v>38474459.12025445</v>
      </c>
      <c r="P28" s="26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 spans="1:26" x14ac:dyDescent="0.6">
      <c r="A29" s="3" t="s">
        <v>32</v>
      </c>
      <c r="B29" s="28">
        <v>0.06</v>
      </c>
      <c r="D29" s="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 spans="1:26" x14ac:dyDescent="0.6">
      <c r="A30" s="4" t="s">
        <v>19</v>
      </c>
      <c r="B30" s="11">
        <v>2.5000000000000001E-2</v>
      </c>
      <c r="D30" s="3" t="s">
        <v>38</v>
      </c>
      <c r="E30" s="24">
        <f>B23</f>
        <v>10000000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spans="1:26" x14ac:dyDescent="0.6">
      <c r="D31" s="3" t="s">
        <v>41</v>
      </c>
      <c r="E31" s="24">
        <f>B23*-B24</f>
        <v>-100000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 spans="1:26" x14ac:dyDescent="0.6">
      <c r="A32" s="30" t="s">
        <v>46</v>
      </c>
      <c r="B32" s="31"/>
      <c r="D32" s="3" t="s">
        <v>39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f>-B23-SUM(F18:O18)</f>
        <v>-7278659.0179361999</v>
      </c>
      <c r="P32" s="24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 spans="1:26" x14ac:dyDescent="0.6">
      <c r="A33" s="3" t="s">
        <v>47</v>
      </c>
      <c r="B33" s="36">
        <f>F9/B2</f>
        <v>6.7500000000000004E-2</v>
      </c>
      <c r="D33" s="21" t="s">
        <v>42</v>
      </c>
      <c r="E33" s="26">
        <f>SUM(E20,E28:E32)</f>
        <v>-10300000</v>
      </c>
      <c r="F33" s="26">
        <f t="shared" ref="F33:O33" si="17">SUM(F20,F28:F32)</f>
        <v>654590.84066667804</v>
      </c>
      <c r="G33" s="26">
        <f t="shared" si="17"/>
        <v>717840.84066667804</v>
      </c>
      <c r="H33" s="26">
        <f t="shared" si="17"/>
        <v>783928.34066667804</v>
      </c>
      <c r="I33" s="26">
        <f t="shared" si="17"/>
        <v>527976.0656666779</v>
      </c>
      <c r="J33" s="26">
        <f t="shared" si="17"/>
        <v>925111.92641667789</v>
      </c>
      <c r="K33" s="26">
        <f t="shared" si="17"/>
        <v>1000469.2351491782</v>
      </c>
      <c r="L33" s="26">
        <f t="shared" si="17"/>
        <v>1079186.9301900533</v>
      </c>
      <c r="M33" s="26">
        <f t="shared" si="17"/>
        <v>1161409.8098104103</v>
      </c>
      <c r="N33" s="26">
        <f t="shared" si="17"/>
        <v>1247288.7756967642</v>
      </c>
      <c r="O33" s="26">
        <f t="shared" si="17"/>
        <v>30525390.942984931</v>
      </c>
      <c r="P33" s="26"/>
      <c r="Q33" s="96"/>
      <c r="R33" s="96"/>
      <c r="S33" s="96"/>
      <c r="T33" s="96"/>
      <c r="U33" s="96"/>
      <c r="V33" s="96"/>
      <c r="W33" s="96"/>
      <c r="X33" s="96"/>
      <c r="Y33" s="96"/>
      <c r="Z33" s="96"/>
    </row>
    <row r="34" spans="1:26" x14ac:dyDescent="0.6">
      <c r="A34" s="3" t="s">
        <v>48</v>
      </c>
      <c r="B34" s="36">
        <f>IRR(E33:O33)</f>
        <v>0.16585781538155708</v>
      </c>
      <c r="O34" s="29"/>
      <c r="P34" s="29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 spans="1:26" x14ac:dyDescent="0.6">
      <c r="A35" s="3" t="s">
        <v>60</v>
      </c>
      <c r="B35" s="36">
        <f>IRR(E28:O28)</f>
        <v>0.12174839627963885</v>
      </c>
      <c r="D35" s="21" t="s">
        <v>54</v>
      </c>
      <c r="E35" s="32"/>
      <c r="F35" s="32">
        <f>IF(F22&lt;0,0,F22/-SUMIF($E$33:E33,"&lt;"&amp;0,$E$33:E33))</f>
        <v>6.3552508802590099E-2</v>
      </c>
      <c r="G35" s="32">
        <f>IF(G22&lt;0,0,G22/-SUMIF($E$33:F33,"&lt;"&amp;0,$E$33:F33))</f>
        <v>6.9693285501619226E-2</v>
      </c>
      <c r="H35" s="32">
        <f>IF(H22&lt;0,0,H22/-SUMIF($E$33:G33,"&lt;"&amp;0,$E$33:G33))</f>
        <v>7.6109547637541561E-2</v>
      </c>
      <c r="I35" s="32">
        <f>IF(I22&lt;0,0,I22/-SUMIF($E$33:H33,"&lt;"&amp;0,$E$33:H33))</f>
        <v>5.125981220064834E-2</v>
      </c>
      <c r="J35" s="32">
        <f>IF(J22&lt;0,0,J22/-SUMIF($E$33:I33,"&lt;"&amp;0,$E$33:I33))</f>
        <v>8.9816691885114361E-2</v>
      </c>
      <c r="K35" s="32">
        <f>IF(K22&lt;0,0,K22/-SUMIF($E$33:J33,"&lt;"&amp;0,$E$33:J33))</f>
        <v>9.7132935451376523E-2</v>
      </c>
      <c r="L35" s="32">
        <f>IF(L22&lt;0,0,L22/-SUMIF($E$33:K33,"&lt;"&amp;0,$E$33:K33))</f>
        <v>0.10477543011553915</v>
      </c>
      <c r="M35" s="32">
        <f>IF(M22&lt;0,0,M22/-SUMIF($E$33:L33,"&lt;"&amp;0,$E$33:L33))</f>
        <v>0.11275823396217576</v>
      </c>
      <c r="N35" s="32">
        <f>IF(N22&lt;0,0,N22/-SUMIF($E$33:M33,"&lt;"&amp;0,$E$33:M33))</f>
        <v>0.12109599764046254</v>
      </c>
      <c r="O35" s="32">
        <f>IF(O22&lt;0,0,O22/-SUMIF($E$33:N33,"&lt;"&amp;0,$E$33:N33))</f>
        <v>0.12980398897399917</v>
      </c>
      <c r="P35" s="32"/>
      <c r="Q35" s="97"/>
      <c r="R35" s="97"/>
      <c r="S35" s="97"/>
      <c r="T35" s="97"/>
      <c r="U35" s="97"/>
      <c r="V35" s="97"/>
      <c r="W35" s="97"/>
      <c r="X35" s="97"/>
      <c r="Y35" s="97"/>
      <c r="Z35" s="97"/>
    </row>
    <row r="36" spans="1:26" x14ac:dyDescent="0.6">
      <c r="A36" s="3" t="s">
        <v>49</v>
      </c>
      <c r="B36" s="37">
        <f>SUMIF(E33:O33,"&gt;"&amp;0,E33:O33)/-SUMIF(E33:O33,"&lt;"&amp;0,E33:O33)</f>
        <v>3.7498246318363813</v>
      </c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 spans="1:26" x14ac:dyDescent="0.6">
      <c r="A37" s="4" t="s">
        <v>51</v>
      </c>
      <c r="B37" s="38">
        <f>AVERAGE(F35:O35)</f>
        <v>9.1599843217106666E-2</v>
      </c>
      <c r="D37" s="21" t="s">
        <v>55</v>
      </c>
      <c r="E37" s="32"/>
      <c r="F37" s="32">
        <f>IF(F16&lt;0,0,F16/-SUMIF($E$28:E28,"&lt;"&amp;0,$E$28:E28))</f>
        <v>6.5594059405940597E-2</v>
      </c>
      <c r="G37" s="32">
        <f>IF(G16&lt;0,0,G16/-SUMIF($E$28:F28,"&lt;"&amp;0,$E$28:F28))</f>
        <v>6.8725247524752481E-2</v>
      </c>
      <c r="H37" s="32">
        <f>IF(H16&lt;0,0,H16/-SUMIF($E$28:G28,"&lt;"&amp;0,$E$28:G28))</f>
        <v>7.1996905940594061E-2</v>
      </c>
      <c r="I37" s="32">
        <f>IF(I16&lt;0,0,I16/-SUMIF($E$28:H28,"&lt;"&amp;0,$E$28:H28))</f>
        <v>5.9326001237623757E-2</v>
      </c>
      <c r="J37" s="32">
        <f>IF(J16&lt;0,0,J16/-SUMIF($E$28:I28,"&lt;"&amp;0,$E$28:I28))</f>
        <v>7.8986192363861382E-2</v>
      </c>
      <c r="K37" s="32">
        <f>IF(K16&lt;0,0,K16/-SUMIF($E$28:J28,"&lt;"&amp;0,$E$28:J28))</f>
        <v>8.2716752202103963E-2</v>
      </c>
      <c r="L37" s="32">
        <f>IF(L16&lt;0,0,L16/-SUMIF($E$28:K28,"&lt;"&amp;0,$E$28:K28))</f>
        <v>8.6613667798186897E-2</v>
      </c>
      <c r="M37" s="32">
        <f>IF(M16&lt;0,0,M16/-SUMIF($E$28:L28,"&lt;"&amp;0,$E$28:L28))</f>
        <v>9.0684107383353085E-2</v>
      </c>
      <c r="N37" s="32">
        <f>IF(N16&lt;0,0,N16/-SUMIF($E$28:M28,"&lt;"&amp;0,$E$28:M28))</f>
        <v>9.4935541338123083E-2</v>
      </c>
      <c r="O37" s="32">
        <f>IF(O16&lt;0,0,O16/-SUMIF($E$28:N28,"&lt;"&amp;0,$E$28:N28))</f>
        <v>9.9375754740866989E-2</v>
      </c>
      <c r="P37" s="32"/>
      <c r="Q37" s="97"/>
      <c r="R37" s="97"/>
      <c r="S37" s="97"/>
      <c r="T37" s="97"/>
      <c r="U37" s="97"/>
      <c r="V37" s="97"/>
      <c r="W37" s="97"/>
      <c r="X37" s="97"/>
      <c r="Y37" s="97"/>
      <c r="Z37" s="97"/>
    </row>
    <row r="38" spans="1:26" x14ac:dyDescent="0.6">
      <c r="A38" s="4" t="s">
        <v>52</v>
      </c>
      <c r="B38" s="55">
        <f>AVERAGE(F37:O37)</f>
        <v>7.9895422993540632E-2</v>
      </c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 spans="1:26" x14ac:dyDescent="0.6">
      <c r="A39" s="4" t="s">
        <v>53</v>
      </c>
      <c r="B39" s="39">
        <f>F20/B23*-1</f>
        <v>6.7040915933332196E-2</v>
      </c>
      <c r="D39" s="112" t="s">
        <v>56</v>
      </c>
      <c r="E39" s="104"/>
      <c r="F39" s="105">
        <f>F9/F20*-1</f>
        <v>2.0136956382613964</v>
      </c>
      <c r="G39" s="105">
        <f t="shared" ref="G39:O39" si="18">G9/G20*-1</f>
        <v>2.109159727778974</v>
      </c>
      <c r="H39" s="105">
        <f t="shared" si="18"/>
        <v>2.2088898687968679</v>
      </c>
      <c r="I39" s="105">
        <f t="shared" si="18"/>
        <v>2.3130701280126797</v>
      </c>
      <c r="J39" s="105">
        <f t="shared" si="18"/>
        <v>2.4218923375310419</v>
      </c>
      <c r="K39" s="105">
        <f t="shared" si="18"/>
        <v>2.5355564175620748</v>
      </c>
      <c r="L39" s="105">
        <f t="shared" si="18"/>
        <v>2.6542707123902427</v>
      </c>
      <c r="M39" s="105">
        <f t="shared" si="18"/>
        <v>2.7782523401553072</v>
      </c>
      <c r="N39" s="105">
        <f t="shared" si="18"/>
        <v>2.9077275570090579</v>
      </c>
      <c r="O39" s="105">
        <f t="shared" si="18"/>
        <v>3.042932136234386</v>
      </c>
      <c r="P39" s="106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 spans="1:26" x14ac:dyDescent="0.6">
      <c r="A40" s="4" t="s">
        <v>78</v>
      </c>
      <c r="B40" s="40">
        <f>AVERAGE(F39:O39)</f>
        <v>2.498544686373203</v>
      </c>
      <c r="E40" s="53"/>
      <c r="F40" s="53"/>
      <c r="G40" s="53"/>
      <c r="H40" s="53"/>
      <c r="I40" s="53"/>
      <c r="J40" s="53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 spans="1:26" ht="14.75" x14ac:dyDescent="0.75">
      <c r="D41" s="54" t="s">
        <v>61</v>
      </c>
      <c r="E41" s="72"/>
      <c r="F41" s="72"/>
      <c r="G41" s="72"/>
      <c r="H41" s="72" t="s">
        <v>68</v>
      </c>
      <c r="I41" s="72"/>
      <c r="J41" s="72"/>
    </row>
    <row r="42" spans="1:26" ht="14.75" x14ac:dyDescent="0.75">
      <c r="D42" s="41" t="s">
        <v>58</v>
      </c>
      <c r="E42" s="42">
        <f>'A DCF Short term'!B35</f>
        <v>0.12174839627963885</v>
      </c>
      <c r="F42" s="75">
        <f>G42-0.5%</f>
        <v>3.5500000000000004E-2</v>
      </c>
      <c r="G42" s="75">
        <f>H42-0.5%</f>
        <v>4.0500000000000001E-2</v>
      </c>
      <c r="H42" s="84">
        <v>4.5499999999999999E-2</v>
      </c>
      <c r="I42" s="75">
        <f>H42+0.5%</f>
        <v>5.0499999999999996E-2</v>
      </c>
      <c r="J42" s="75">
        <f>I42+(I42*0.25)</f>
        <v>6.3125000000000001E-2</v>
      </c>
    </row>
    <row r="43" spans="1:26" ht="14.75" x14ac:dyDescent="0.75">
      <c r="D43" s="41"/>
      <c r="E43" s="41">
        <f>E44-(E44*0.25)</f>
        <v>11250000</v>
      </c>
      <c r="F43" s="43">
        <f t="dataTable" ref="F43:J47" dt2D="1" dtr="1" r1="B25" r2="B2"/>
        <v>0.21066234413437579</v>
      </c>
      <c r="G43" s="44">
        <v>0.21066234413437579</v>
      </c>
      <c r="H43" s="44">
        <v>0.21066234413437579</v>
      </c>
      <c r="I43" s="44">
        <v>0.21066234413437579</v>
      </c>
      <c r="J43" s="45">
        <v>0.21066234413437579</v>
      </c>
    </row>
    <row r="44" spans="1:26" ht="14.75" x14ac:dyDescent="0.75">
      <c r="D44" s="41"/>
      <c r="E44" s="41">
        <f>E45-(E45*0.25)</f>
        <v>15000000</v>
      </c>
      <c r="F44" s="46">
        <v>0.16420057102118579</v>
      </c>
      <c r="G44" s="47">
        <v>0.16420057102118579</v>
      </c>
      <c r="H44" s="47">
        <v>0.16420057102118579</v>
      </c>
      <c r="I44" s="47">
        <v>0.16420057102118579</v>
      </c>
      <c r="J44" s="48">
        <v>0.16420057102118579</v>
      </c>
    </row>
    <row r="45" spans="1:26" ht="14.75" x14ac:dyDescent="0.75">
      <c r="D45" s="41" t="s">
        <v>57</v>
      </c>
      <c r="E45" s="41">
        <v>20000000</v>
      </c>
      <c r="F45" s="46">
        <v>0.12174839627963885</v>
      </c>
      <c r="G45" s="47">
        <v>0.12174839627963885</v>
      </c>
      <c r="H45" s="52">
        <v>0.12174839627963885</v>
      </c>
      <c r="I45" s="47">
        <v>0.12174839627963885</v>
      </c>
      <c r="J45" s="48">
        <v>0.12174839627963885</v>
      </c>
    </row>
    <row r="46" spans="1:26" ht="14.75" x14ac:dyDescent="0.75">
      <c r="D46" s="41"/>
      <c r="E46" s="41">
        <f>E45*1.25</f>
        <v>25000000</v>
      </c>
      <c r="F46" s="46">
        <v>9.1067339059832442E-2</v>
      </c>
      <c r="G46" s="47">
        <v>9.1067339059832442E-2</v>
      </c>
      <c r="H46" s="47">
        <v>9.1067339059832442E-2</v>
      </c>
      <c r="I46" s="47">
        <v>9.1067339059832442E-2</v>
      </c>
      <c r="J46" s="48">
        <v>9.1067339059832442E-2</v>
      </c>
    </row>
    <row r="47" spans="1:26" ht="14.75" x14ac:dyDescent="0.75">
      <c r="D47" s="41"/>
      <c r="E47" s="41">
        <f>E46*1.25</f>
        <v>31250000</v>
      </c>
      <c r="F47" s="49">
        <v>6.2039550990905079E-2</v>
      </c>
      <c r="G47" s="50">
        <v>6.2039550990905079E-2</v>
      </c>
      <c r="H47" s="50">
        <v>6.2039550990905079E-2</v>
      </c>
      <c r="I47" s="50">
        <v>6.2039550990905079E-2</v>
      </c>
      <c r="J47" s="51">
        <v>6.2039550990905079E-2</v>
      </c>
    </row>
    <row r="51" spans="4:10" x14ac:dyDescent="0.6">
      <c r="D51" s="54" t="s">
        <v>62</v>
      </c>
      <c r="E51" s="57"/>
      <c r="F51" s="57"/>
      <c r="G51" s="57"/>
      <c r="H51" s="57" t="s">
        <v>68</v>
      </c>
      <c r="I51" s="57"/>
      <c r="J51" s="57"/>
    </row>
    <row r="52" spans="4:10" ht="14.75" x14ac:dyDescent="0.75">
      <c r="D52" s="41" t="s">
        <v>59</v>
      </c>
      <c r="E52" s="42">
        <f>IRR('A DCF Short term'!E33:O33)</f>
        <v>0.16585781538155708</v>
      </c>
      <c r="F52" s="84">
        <f>G52-(G52*0.25)</f>
        <v>2.5593750000000002E-2</v>
      </c>
      <c r="G52" s="84">
        <f>H52-(H52*0.25)</f>
        <v>3.4125000000000003E-2</v>
      </c>
      <c r="H52" s="84">
        <v>4.5499999999999999E-2</v>
      </c>
      <c r="I52" s="84">
        <f>H52+(H52*0.25)</f>
        <v>5.6874999999999995E-2</v>
      </c>
      <c r="J52" s="84">
        <f>I52+(I52*0.25)</f>
        <v>7.1093749999999997E-2</v>
      </c>
    </row>
    <row r="53" spans="4:10" ht="14.75" x14ac:dyDescent="0.75">
      <c r="D53" s="41"/>
      <c r="E53" s="41">
        <f>E54-(E54*0.25)</f>
        <v>11250000</v>
      </c>
      <c r="F53" s="43">
        <f t="dataTable" ref="F53:J57" dt2D="1" dtr="1" r1="B25" r2="B2" ca="1"/>
        <v>0.63620431334368099</v>
      </c>
      <c r="G53" s="44">
        <v>0.61262937369843296</v>
      </c>
      <c r="H53" s="44">
        <v>0.58060634035688841</v>
      </c>
      <c r="I53" s="44">
        <v>0.54830467573182906</v>
      </c>
      <c r="J53" s="45">
        <v>0.50817018693449056</v>
      </c>
    </row>
    <row r="54" spans="4:10" ht="14.75" x14ac:dyDescent="0.75">
      <c r="D54" s="41"/>
      <c r="E54" s="41">
        <f>E55-(E55*0.25)</f>
        <v>15000000</v>
      </c>
      <c r="F54" s="46">
        <v>0.28897723257956498</v>
      </c>
      <c r="G54" s="47">
        <v>0.28216696212008063</v>
      </c>
      <c r="H54" s="47">
        <v>0.27269740391785002</v>
      </c>
      <c r="I54" s="47">
        <v>0.26284027217070816</v>
      </c>
      <c r="J54" s="48">
        <v>0.25007522850027519</v>
      </c>
    </row>
    <row r="55" spans="4:10" ht="14.75" x14ac:dyDescent="0.75">
      <c r="D55" s="41" t="s">
        <v>66</v>
      </c>
      <c r="E55" s="41">
        <v>20000000</v>
      </c>
      <c r="F55" s="46">
        <v>0.17603853407540493</v>
      </c>
      <c r="G55" s="47">
        <v>0.17178474379543274</v>
      </c>
      <c r="H55" s="52">
        <v>0.16585781538155708</v>
      </c>
      <c r="I55" s="47">
        <v>0.15966739027770815</v>
      </c>
      <c r="J55" s="48">
        <v>0.1516094974333988</v>
      </c>
    </row>
    <row r="56" spans="4:10" ht="14.75" x14ac:dyDescent="0.75">
      <c r="D56" s="41"/>
      <c r="E56" s="41">
        <f>E55*1.25</f>
        <v>25000000</v>
      </c>
      <c r="F56" s="46">
        <v>0.11924322517948927</v>
      </c>
      <c r="G56" s="47">
        <v>0.1158768661837899</v>
      </c>
      <c r="H56" s="47">
        <v>0.11119133574853035</v>
      </c>
      <c r="I56" s="47">
        <v>0.10630093753214265</v>
      </c>
      <c r="J56" s="48">
        <v>9.9936283006577087E-2</v>
      </c>
    </row>
    <row r="57" spans="4:10" ht="14.75" x14ac:dyDescent="0.75">
      <c r="D57" s="41"/>
      <c r="E57" s="41">
        <f>E56*1.25</f>
        <v>31250000</v>
      </c>
      <c r="F57" s="49">
        <v>7.4432480159466019E-2</v>
      </c>
      <c r="G57" s="50">
        <v>7.1619381667005433E-2</v>
      </c>
      <c r="H57" s="50">
        <v>6.7710880870337276E-2</v>
      </c>
      <c r="I57" s="50">
        <v>6.3638297813165767E-2</v>
      </c>
      <c r="J57" s="51">
        <v>5.8345492256495213E-2</v>
      </c>
    </row>
    <row r="61" spans="4:10" x14ac:dyDescent="0.6">
      <c r="D61" s="56" t="s">
        <v>63</v>
      </c>
      <c r="E61" s="57"/>
      <c r="F61" s="57"/>
      <c r="G61" s="57"/>
      <c r="H61" s="57" t="s">
        <v>65</v>
      </c>
      <c r="I61" s="57"/>
      <c r="J61" s="57"/>
    </row>
    <row r="62" spans="4:10" x14ac:dyDescent="0.6">
      <c r="D62" s="59" t="s">
        <v>67</v>
      </c>
      <c r="E62" s="60">
        <f>B36</f>
        <v>3.7498246318363813</v>
      </c>
      <c r="F62" s="61">
        <f>G62-0.5%</f>
        <v>0.05</v>
      </c>
      <c r="G62" s="61">
        <f>H62-0.5%</f>
        <v>5.5E-2</v>
      </c>
      <c r="H62" s="62">
        <v>0.06</v>
      </c>
      <c r="I62" s="61">
        <f>H62+0.5%</f>
        <v>6.5000000000000002E-2</v>
      </c>
      <c r="J62" s="61">
        <f>I62+0.5%</f>
        <v>7.0000000000000007E-2</v>
      </c>
    </row>
    <row r="63" spans="4:10" x14ac:dyDescent="0.6">
      <c r="D63" s="59"/>
      <c r="E63" s="61">
        <f>E64-0.5%</f>
        <v>3.0000000000000002E-2</v>
      </c>
      <c r="F63" s="63">
        <f t="dataTable" ref="F63:J67" dt2D="1" dtr="1" r1="B29" r2="B10" ca="1"/>
        <v>3.6965801237648428</v>
      </c>
      <c r="G63" s="64">
        <v>3.3683110522878041</v>
      </c>
      <c r="H63" s="64">
        <v>3.0947534927236036</v>
      </c>
      <c r="I63" s="64">
        <v>2.8632817115538964</v>
      </c>
      <c r="J63" s="65">
        <v>2.6648773276941471</v>
      </c>
    </row>
    <row r="64" spans="4:10" x14ac:dyDescent="0.6">
      <c r="D64" s="59"/>
      <c r="E64" s="61">
        <f>E65-0.5%</f>
        <v>3.5000000000000003E-2</v>
      </c>
      <c r="F64" s="66">
        <v>4.0695006347824583</v>
      </c>
      <c r="G64" s="67">
        <v>3.7128783089539676</v>
      </c>
      <c r="H64" s="67">
        <v>3.4156930374302252</v>
      </c>
      <c r="I64" s="67">
        <v>3.1642285769101344</v>
      </c>
      <c r="J64" s="68">
        <v>2.9486876107500573</v>
      </c>
    </row>
    <row r="65" spans="4:10" x14ac:dyDescent="0.6">
      <c r="D65" s="59" t="s">
        <v>64</v>
      </c>
      <c r="E65" s="62">
        <v>0.04</v>
      </c>
      <c r="F65" s="66">
        <v>4.4579230565837387</v>
      </c>
      <c r="G65" s="67">
        <v>4.0716875521760878</v>
      </c>
      <c r="H65" s="67">
        <v>3.7498246318363813</v>
      </c>
      <c r="I65" s="67">
        <v>3.4774790838566272</v>
      </c>
      <c r="J65" s="68">
        <v>3.2440400427311245</v>
      </c>
    </row>
    <row r="66" spans="4:10" x14ac:dyDescent="0.6">
      <c r="D66" s="59"/>
      <c r="E66" s="61">
        <f>E65+0.5%</f>
        <v>4.4999999999999998E-2</v>
      </c>
      <c r="F66" s="66">
        <v>4.8624350712359172</v>
      </c>
      <c r="G66" s="67">
        <v>4.4452769413557069</v>
      </c>
      <c r="H66" s="67">
        <v>4.097645166455532</v>
      </c>
      <c r="I66" s="67">
        <v>3.8034952030784601</v>
      </c>
      <c r="J66" s="68">
        <v>3.5513666630409717</v>
      </c>
    </row>
    <row r="67" spans="4:10" x14ac:dyDescent="0.6">
      <c r="D67" s="59"/>
      <c r="E67" s="61">
        <f>E66+0.5%</f>
        <v>4.9999999999999996E-2</v>
      </c>
      <c r="F67" s="69">
        <v>5.2836440215011242</v>
      </c>
      <c r="G67" s="70">
        <v>4.8342026016560347</v>
      </c>
      <c r="H67" s="70">
        <v>4.4596680851184587</v>
      </c>
      <c r="I67" s="70">
        <v>4.1427542634328178</v>
      </c>
      <c r="J67" s="71">
        <v>3.8711138448451257</v>
      </c>
    </row>
    <row r="70" spans="4:10" x14ac:dyDescent="0.6">
      <c r="D70" s="56" t="s">
        <v>74</v>
      </c>
      <c r="E70" s="57"/>
      <c r="F70" s="57"/>
      <c r="G70" s="57"/>
      <c r="H70" s="57" t="s">
        <v>76</v>
      </c>
      <c r="I70" s="57"/>
      <c r="J70" s="57"/>
    </row>
    <row r="71" spans="4:10" x14ac:dyDescent="0.6">
      <c r="D71" s="101" t="s">
        <v>56</v>
      </c>
      <c r="E71" s="103">
        <f>B40</f>
        <v>2.498544686373203</v>
      </c>
      <c r="F71" s="61">
        <f>G71-0.25%</f>
        <v>2.5000000000000001E-2</v>
      </c>
      <c r="G71" s="61">
        <f>H71-0.25%</f>
        <v>2.75E-2</v>
      </c>
      <c r="H71" s="62">
        <v>0.03</v>
      </c>
      <c r="I71" s="61">
        <f>0.25%+H71</f>
        <v>3.2500000000000001E-2</v>
      </c>
      <c r="J71" s="61">
        <f>0.25%+I71</f>
        <v>3.5000000000000003E-2</v>
      </c>
    </row>
    <row r="72" spans="4:10" x14ac:dyDescent="0.6">
      <c r="D72" s="59"/>
      <c r="E72" s="61">
        <f>E73-0.25%</f>
        <v>3.4999999999999996E-2</v>
      </c>
      <c r="F72" s="63">
        <f t="dataTable" ref="F72:J76" dt2D="1" dtr="1" r1="B12" r2="B10" ca="1"/>
        <v>2.4411050970482266</v>
      </c>
      <c r="G72" s="64">
        <v>2.4218059792361237</v>
      </c>
      <c r="H72" s="64">
        <v>2.4022485957624347</v>
      </c>
      <c r="I72" s="64">
        <v>2.3824295795949464</v>
      </c>
      <c r="J72" s="65">
        <v>2.362345523823683</v>
      </c>
    </row>
    <row r="73" spans="4:10" x14ac:dyDescent="0.6">
      <c r="D73" s="59"/>
      <c r="E73" s="61">
        <f>E74-0.25%</f>
        <v>3.7499999999999999E-2</v>
      </c>
      <c r="F73" s="66">
        <v>2.4889335720897079</v>
      </c>
      <c r="G73" s="67">
        <v>2.4696344542776054</v>
      </c>
      <c r="H73" s="67">
        <v>2.4500770708039163</v>
      </c>
      <c r="I73" s="67">
        <v>2.4302580546364281</v>
      </c>
      <c r="J73" s="68">
        <v>2.4101739988651647</v>
      </c>
    </row>
    <row r="74" spans="4:10" x14ac:dyDescent="0.6">
      <c r="D74" s="59" t="s">
        <v>75</v>
      </c>
      <c r="E74" s="62">
        <v>0.04</v>
      </c>
      <c r="F74" s="66">
        <v>2.5374011876589955</v>
      </c>
      <c r="G74" s="67">
        <v>2.5181020698468921</v>
      </c>
      <c r="H74" s="67">
        <v>2.498544686373203</v>
      </c>
      <c r="I74" s="67">
        <v>2.4787256702057143</v>
      </c>
      <c r="J74" s="68">
        <v>2.458641614434451</v>
      </c>
    </row>
    <row r="75" spans="4:10" x14ac:dyDescent="0.6">
      <c r="D75" s="59"/>
      <c r="E75" s="61">
        <f>E74+0.25%</f>
        <v>4.2500000000000003E-2</v>
      </c>
      <c r="F75" s="66">
        <v>2.5865162369186345</v>
      </c>
      <c r="G75" s="67">
        <v>2.5672171191065316</v>
      </c>
      <c r="H75" s="67">
        <v>2.5476597356328421</v>
      </c>
      <c r="I75" s="67">
        <v>2.5278407194653547</v>
      </c>
      <c r="J75" s="68">
        <v>2.5077566636940909</v>
      </c>
    </row>
    <row r="76" spans="4:10" x14ac:dyDescent="0.6">
      <c r="D76" s="59"/>
      <c r="E76" s="61">
        <f>E75+0.25%</f>
        <v>4.5000000000000005E-2</v>
      </c>
      <c r="F76" s="69">
        <v>2.6362871106281278</v>
      </c>
      <c r="G76" s="70">
        <v>2.6169879928160249</v>
      </c>
      <c r="H76" s="70">
        <v>2.5974306093423358</v>
      </c>
      <c r="I76" s="70">
        <v>2.577611593174848</v>
      </c>
      <c r="J76" s="71">
        <v>2.5575275374035842</v>
      </c>
    </row>
  </sheetData>
  <dataValidations count="1">
    <dataValidation type="list" allowBlank="1" showInputMessage="1" showErrorMessage="1" sqref="B20 B18" xr:uid="{C853BFDB-94FC-42A4-B90E-A27203B54D64}">
      <formula1>$F$1:$O$1</formula1>
    </dataValidation>
  </dataValidation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2547-A5E4-447B-AF2E-52960542851B}">
  <dimension ref="A1:Z42"/>
  <sheetViews>
    <sheetView topLeftCell="A23" zoomScale="78" zoomScaleNormal="78" workbookViewId="0">
      <selection activeCell="D45" sqref="D45"/>
    </sheetView>
  </sheetViews>
  <sheetFormatPr defaultRowHeight="14.75" x14ac:dyDescent="0.75"/>
  <cols>
    <col min="1" max="1" width="33.26953125" bestFit="1" customWidth="1"/>
    <col min="2" max="2" width="13.6328125" bestFit="1" customWidth="1"/>
    <col min="4" max="4" width="26.6796875" bestFit="1" customWidth="1"/>
    <col min="5" max="5" width="13" bestFit="1" customWidth="1"/>
    <col min="6" max="24" width="11.81640625" bestFit="1" customWidth="1"/>
    <col min="25" max="25" width="12.36328125" bestFit="1" customWidth="1"/>
    <col min="26" max="26" width="11.81640625" bestFit="1" customWidth="1"/>
  </cols>
  <sheetData>
    <row r="1" spans="1:26" x14ac:dyDescent="0.75">
      <c r="A1" s="5" t="s">
        <v>24</v>
      </c>
      <c r="B1" s="6"/>
      <c r="C1" s="1"/>
      <c r="D1" s="17" t="s">
        <v>36</v>
      </c>
      <c r="E1" s="34">
        <v>0</v>
      </c>
      <c r="F1" s="35">
        <v>1</v>
      </c>
      <c r="G1" s="35">
        <f>F1+1</f>
        <v>2</v>
      </c>
      <c r="H1" s="35">
        <f t="shared" ref="H1:Z1" si="0">G1+1</f>
        <v>3</v>
      </c>
      <c r="I1" s="35">
        <f t="shared" si="0"/>
        <v>4</v>
      </c>
      <c r="J1" s="35">
        <f t="shared" si="0"/>
        <v>5</v>
      </c>
      <c r="K1" s="35">
        <f t="shared" si="0"/>
        <v>6</v>
      </c>
      <c r="L1" s="35">
        <f t="shared" si="0"/>
        <v>7</v>
      </c>
      <c r="M1" s="35">
        <f t="shared" si="0"/>
        <v>8</v>
      </c>
      <c r="N1" s="35">
        <f t="shared" si="0"/>
        <v>9</v>
      </c>
      <c r="O1" s="35">
        <f t="shared" si="0"/>
        <v>10</v>
      </c>
      <c r="P1" s="35">
        <f t="shared" si="0"/>
        <v>11</v>
      </c>
      <c r="Q1" s="35">
        <f t="shared" si="0"/>
        <v>12</v>
      </c>
      <c r="R1" s="35">
        <f t="shared" si="0"/>
        <v>13</v>
      </c>
      <c r="S1" s="35">
        <f t="shared" si="0"/>
        <v>14</v>
      </c>
      <c r="T1" s="35">
        <f t="shared" si="0"/>
        <v>15</v>
      </c>
      <c r="U1" s="35">
        <f t="shared" si="0"/>
        <v>16</v>
      </c>
      <c r="V1" s="35">
        <f t="shared" si="0"/>
        <v>17</v>
      </c>
      <c r="W1" s="35">
        <f t="shared" si="0"/>
        <v>18</v>
      </c>
      <c r="X1" s="35">
        <f t="shared" si="0"/>
        <v>19</v>
      </c>
      <c r="Y1" s="35">
        <f t="shared" si="0"/>
        <v>20</v>
      </c>
      <c r="Z1" s="35">
        <f t="shared" si="0"/>
        <v>21</v>
      </c>
    </row>
    <row r="2" spans="1:26" x14ac:dyDescent="0.75">
      <c r="A2" s="2" t="s">
        <v>0</v>
      </c>
      <c r="B2" s="73">
        <v>20000000</v>
      </c>
      <c r="C2" s="1"/>
      <c r="D2" s="17" t="s">
        <v>50</v>
      </c>
      <c r="E2" s="20">
        <f>B4</f>
        <v>45838</v>
      </c>
      <c r="F2" s="20">
        <f>EOMONTH(E2,12)</f>
        <v>46203</v>
      </c>
      <c r="G2" s="20">
        <f t="shared" ref="G2:Z2" si="1">EOMONTH(F2,12)</f>
        <v>46568</v>
      </c>
      <c r="H2" s="20">
        <f t="shared" si="1"/>
        <v>46934</v>
      </c>
      <c r="I2" s="20">
        <f t="shared" si="1"/>
        <v>47299</v>
      </c>
      <c r="J2" s="20">
        <f t="shared" si="1"/>
        <v>47664</v>
      </c>
      <c r="K2" s="20">
        <f t="shared" si="1"/>
        <v>48029</v>
      </c>
      <c r="L2" s="20">
        <f t="shared" si="1"/>
        <v>48395</v>
      </c>
      <c r="M2" s="20">
        <f t="shared" si="1"/>
        <v>48760</v>
      </c>
      <c r="N2" s="20">
        <f t="shared" si="1"/>
        <v>49125</v>
      </c>
      <c r="O2" s="20">
        <f t="shared" si="1"/>
        <v>49490</v>
      </c>
      <c r="P2" s="20">
        <f t="shared" si="1"/>
        <v>49856</v>
      </c>
      <c r="Q2" s="20">
        <f t="shared" si="1"/>
        <v>50221</v>
      </c>
      <c r="R2" s="20">
        <f t="shared" si="1"/>
        <v>50586</v>
      </c>
      <c r="S2" s="20">
        <f t="shared" si="1"/>
        <v>50951</v>
      </c>
      <c r="T2" s="20">
        <f t="shared" si="1"/>
        <v>51317</v>
      </c>
      <c r="U2" s="20">
        <f t="shared" si="1"/>
        <v>51682</v>
      </c>
      <c r="V2" s="20">
        <f t="shared" si="1"/>
        <v>52047</v>
      </c>
      <c r="W2" s="20">
        <f t="shared" si="1"/>
        <v>52412</v>
      </c>
      <c r="X2" s="20">
        <f t="shared" si="1"/>
        <v>52778</v>
      </c>
      <c r="Y2" s="20">
        <f t="shared" si="1"/>
        <v>53143</v>
      </c>
      <c r="Z2" s="20">
        <f t="shared" si="1"/>
        <v>53508</v>
      </c>
    </row>
    <row r="3" spans="1:26" x14ac:dyDescent="0.75">
      <c r="A3" s="3" t="s">
        <v>1</v>
      </c>
      <c r="B3" s="18">
        <v>200000</v>
      </c>
      <c r="C3" s="1"/>
      <c r="D3" s="2" t="s">
        <v>5</v>
      </c>
      <c r="E3" s="22">
        <v>0</v>
      </c>
      <c r="F3" s="22">
        <f>B7*B8</f>
        <v>2500000</v>
      </c>
      <c r="G3" s="22">
        <f t="shared" ref="G3:Z3" si="2">F3*(1+$B$10)</f>
        <v>2600000</v>
      </c>
      <c r="H3" s="22">
        <f t="shared" si="2"/>
        <v>2704000</v>
      </c>
      <c r="I3" s="22">
        <f t="shared" si="2"/>
        <v>2812160</v>
      </c>
      <c r="J3" s="22">
        <f t="shared" si="2"/>
        <v>2924646.3999999999</v>
      </c>
      <c r="K3" s="22">
        <f t="shared" si="2"/>
        <v>3041632.2560000001</v>
      </c>
      <c r="L3" s="22">
        <f t="shared" si="2"/>
        <v>3163297.5462400001</v>
      </c>
      <c r="M3" s="22">
        <f t="shared" si="2"/>
        <v>3289829.4480896001</v>
      </c>
      <c r="N3" s="22">
        <f t="shared" si="2"/>
        <v>3421422.626013184</v>
      </c>
      <c r="O3" s="22">
        <f t="shared" si="2"/>
        <v>3558279.5310537117</v>
      </c>
      <c r="P3" s="23">
        <f>O3*(1+$B$12)</f>
        <v>3647236.5193300541</v>
      </c>
      <c r="Q3" s="23">
        <f t="shared" ref="Q3:Y3" si="3">P3*(1+$B$12)</f>
        <v>3738417.4323133049</v>
      </c>
      <c r="R3" s="23">
        <f t="shared" si="3"/>
        <v>3831877.8681211374</v>
      </c>
      <c r="S3" s="23">
        <f t="shared" si="3"/>
        <v>3927674.8148241653</v>
      </c>
      <c r="T3" s="23">
        <f t="shared" si="3"/>
        <v>4025866.6851947689</v>
      </c>
      <c r="U3" s="23">
        <f t="shared" si="3"/>
        <v>4126513.3523246376</v>
      </c>
      <c r="V3" s="23">
        <f t="shared" si="3"/>
        <v>4229676.1861327533</v>
      </c>
      <c r="W3" s="23">
        <f t="shared" si="3"/>
        <v>4335418.0907860715</v>
      </c>
      <c r="X3" s="23">
        <f t="shared" si="3"/>
        <v>4443803.5430557225</v>
      </c>
      <c r="Y3" s="23">
        <f t="shared" si="3"/>
        <v>4554898.6316321148</v>
      </c>
      <c r="Z3" s="23">
        <f>Y3*(1+$B$12)</f>
        <v>4668771.0974229174</v>
      </c>
    </row>
    <row r="4" spans="1:26" x14ac:dyDescent="0.75">
      <c r="A4" s="4" t="s">
        <v>37</v>
      </c>
      <c r="B4" s="19">
        <v>45838</v>
      </c>
      <c r="C4" s="1"/>
      <c r="D4" s="3" t="s">
        <v>6</v>
      </c>
      <c r="E4" s="24">
        <v>0</v>
      </c>
      <c r="F4" s="24">
        <f t="shared" ref="F4:Z4" si="4">-$B$9*F3</f>
        <v>-150000</v>
      </c>
      <c r="G4" s="24">
        <f t="shared" si="4"/>
        <v>-156000</v>
      </c>
      <c r="H4" s="24">
        <f t="shared" si="4"/>
        <v>-162240</v>
      </c>
      <c r="I4" s="24">
        <f t="shared" si="4"/>
        <v>-168729.60000000001</v>
      </c>
      <c r="J4" s="24">
        <f t="shared" si="4"/>
        <v>-175478.78399999999</v>
      </c>
      <c r="K4" s="24">
        <f t="shared" si="4"/>
        <v>-182497.93536</v>
      </c>
      <c r="L4" s="24">
        <f t="shared" si="4"/>
        <v>-189797.8527744</v>
      </c>
      <c r="M4" s="24">
        <f t="shared" si="4"/>
        <v>-197389.76688537601</v>
      </c>
      <c r="N4" s="24">
        <f t="shared" si="4"/>
        <v>-205285.35756079102</v>
      </c>
      <c r="O4" s="24">
        <f t="shared" si="4"/>
        <v>-213496.7718632227</v>
      </c>
      <c r="P4" s="25">
        <f t="shared" si="4"/>
        <v>-218834.19115980325</v>
      </c>
      <c r="Q4" s="24">
        <f t="shared" si="4"/>
        <v>-224305.04593879828</v>
      </c>
      <c r="R4" s="25">
        <f t="shared" si="4"/>
        <v>-229912.67208726823</v>
      </c>
      <c r="S4" s="24">
        <f t="shared" si="4"/>
        <v>-235660.48888944992</v>
      </c>
      <c r="T4" s="25">
        <f t="shared" si="4"/>
        <v>-241552.00111168611</v>
      </c>
      <c r="U4" s="24">
        <f t="shared" si="4"/>
        <v>-247590.80113947825</v>
      </c>
      <c r="V4" s="25">
        <f t="shared" si="4"/>
        <v>-253780.57116796519</v>
      </c>
      <c r="W4" s="24">
        <f t="shared" si="4"/>
        <v>-260125.08544716428</v>
      </c>
      <c r="X4" s="25">
        <f t="shared" si="4"/>
        <v>-266628.21258334332</v>
      </c>
      <c r="Y4" s="24">
        <f t="shared" si="4"/>
        <v>-273293.91789792688</v>
      </c>
      <c r="Z4" s="24">
        <f t="shared" si="4"/>
        <v>-280126.26584537502</v>
      </c>
    </row>
    <row r="5" spans="1:26" x14ac:dyDescent="0.75">
      <c r="A5" s="1"/>
      <c r="B5" s="1"/>
      <c r="C5" s="1"/>
      <c r="D5" s="21" t="s">
        <v>7</v>
      </c>
      <c r="E5" s="26">
        <v>0</v>
      </c>
      <c r="F5" s="26">
        <f>SUM(F3:F4)</f>
        <v>2350000</v>
      </c>
      <c r="G5" s="26">
        <f t="shared" ref="G5:Z5" si="5">SUM(G3:G4)</f>
        <v>2444000</v>
      </c>
      <c r="H5" s="26">
        <f t="shared" si="5"/>
        <v>2541760</v>
      </c>
      <c r="I5" s="26">
        <f t="shared" si="5"/>
        <v>2643430.3999999999</v>
      </c>
      <c r="J5" s="26">
        <f t="shared" si="5"/>
        <v>2749167.6159999999</v>
      </c>
      <c r="K5" s="26">
        <f t="shared" si="5"/>
        <v>2859134.32064</v>
      </c>
      <c r="L5" s="26">
        <f t="shared" si="5"/>
        <v>2973499.6934656003</v>
      </c>
      <c r="M5" s="26">
        <f t="shared" si="5"/>
        <v>3092439.681204224</v>
      </c>
      <c r="N5" s="26">
        <f t="shared" si="5"/>
        <v>3216137.2684523929</v>
      </c>
      <c r="O5" s="26">
        <f t="shared" si="5"/>
        <v>3344782.7591904891</v>
      </c>
      <c r="P5" s="27">
        <f t="shared" si="5"/>
        <v>3428402.3281702506</v>
      </c>
      <c r="Q5" s="26">
        <f t="shared" si="5"/>
        <v>3514112.3863745066</v>
      </c>
      <c r="R5" s="27">
        <f t="shared" si="5"/>
        <v>3601965.1960338689</v>
      </c>
      <c r="S5" s="26">
        <f t="shared" si="5"/>
        <v>3692014.3259347156</v>
      </c>
      <c r="T5" s="27">
        <f t="shared" si="5"/>
        <v>3784314.6840830827</v>
      </c>
      <c r="U5" s="26">
        <f t="shared" si="5"/>
        <v>3878922.5511851595</v>
      </c>
      <c r="V5" s="27">
        <f t="shared" si="5"/>
        <v>3975895.6149647878</v>
      </c>
      <c r="W5" s="26">
        <f t="shared" si="5"/>
        <v>4075293.0053389072</v>
      </c>
      <c r="X5" s="27">
        <f t="shared" si="5"/>
        <v>4177175.330472379</v>
      </c>
      <c r="Y5" s="26">
        <f t="shared" si="5"/>
        <v>4281604.7137341881</v>
      </c>
      <c r="Z5" s="26">
        <f t="shared" si="5"/>
        <v>4388644.8315775422</v>
      </c>
    </row>
    <row r="6" spans="1:26" x14ac:dyDescent="0.75">
      <c r="A6" s="5" t="s">
        <v>23</v>
      </c>
      <c r="B6" s="6"/>
      <c r="C6" s="1"/>
      <c r="D6" s="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4"/>
      <c r="R6" s="25"/>
      <c r="S6" s="24"/>
      <c r="T6" s="25"/>
      <c r="U6" s="24"/>
      <c r="V6" s="25"/>
      <c r="W6" s="24"/>
      <c r="X6" s="25"/>
      <c r="Y6" s="24"/>
      <c r="Z6" s="24"/>
    </row>
    <row r="7" spans="1:26" x14ac:dyDescent="0.75">
      <c r="A7" s="2" t="s">
        <v>2</v>
      </c>
      <c r="B7" s="8">
        <v>50000</v>
      </c>
      <c r="C7" s="1"/>
      <c r="D7" s="21" t="s">
        <v>8</v>
      </c>
      <c r="E7" s="26">
        <v>0</v>
      </c>
      <c r="F7" s="26">
        <f>-B11*B7</f>
        <v>-1000000</v>
      </c>
      <c r="G7" s="26">
        <f>F7*(1+$B$13)</f>
        <v>-1030000</v>
      </c>
      <c r="H7" s="26">
        <f>G7*(1+$B$13)</f>
        <v>-1060900</v>
      </c>
      <c r="I7" s="26">
        <f t="shared" ref="I7:Z7" si="6">H7*(1+$B$13)</f>
        <v>-1092727</v>
      </c>
      <c r="J7" s="26">
        <f t="shared" si="6"/>
        <v>-1125508.81</v>
      </c>
      <c r="K7" s="26">
        <f t="shared" si="6"/>
        <v>-1159274.0743</v>
      </c>
      <c r="L7" s="26">
        <f t="shared" si="6"/>
        <v>-1194052.2965289999</v>
      </c>
      <c r="M7" s="26">
        <f t="shared" si="6"/>
        <v>-1229873.86542487</v>
      </c>
      <c r="N7" s="26">
        <f t="shared" si="6"/>
        <v>-1266770.0813876162</v>
      </c>
      <c r="O7" s="26">
        <f t="shared" si="6"/>
        <v>-1304773.1838292447</v>
      </c>
      <c r="P7" s="27">
        <f t="shared" si="6"/>
        <v>-1343916.379344122</v>
      </c>
      <c r="Q7" s="26">
        <f t="shared" si="6"/>
        <v>-1384233.8707244457</v>
      </c>
      <c r="R7" s="27">
        <f t="shared" si="6"/>
        <v>-1425760.8868461791</v>
      </c>
      <c r="S7" s="26">
        <f t="shared" si="6"/>
        <v>-1468533.7134515645</v>
      </c>
      <c r="T7" s="27">
        <f t="shared" si="6"/>
        <v>-1512589.7248551114</v>
      </c>
      <c r="U7" s="26">
        <f t="shared" si="6"/>
        <v>-1557967.4166007647</v>
      </c>
      <c r="V7" s="27">
        <f t="shared" si="6"/>
        <v>-1604706.4390987877</v>
      </c>
      <c r="W7" s="26">
        <f t="shared" si="6"/>
        <v>-1652847.6322717513</v>
      </c>
      <c r="X7" s="27">
        <f t="shared" si="6"/>
        <v>-1702433.0612399038</v>
      </c>
      <c r="Y7" s="26">
        <f t="shared" si="6"/>
        <v>-1753506.053077101</v>
      </c>
      <c r="Z7" s="26">
        <f t="shared" si="6"/>
        <v>-1806111.2346694141</v>
      </c>
    </row>
    <row r="8" spans="1:26" x14ac:dyDescent="0.75">
      <c r="A8" s="3" t="s">
        <v>3</v>
      </c>
      <c r="B8" s="9">
        <v>50</v>
      </c>
      <c r="C8" s="1"/>
      <c r="D8" s="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  <c r="Q8" s="24"/>
      <c r="R8" s="25"/>
      <c r="S8" s="24"/>
      <c r="T8" s="25"/>
      <c r="U8" s="24"/>
      <c r="V8" s="25"/>
      <c r="W8" s="24"/>
      <c r="X8" s="25"/>
      <c r="Y8" s="24"/>
      <c r="Z8" s="24"/>
    </row>
    <row r="9" spans="1:26" x14ac:dyDescent="0.75">
      <c r="A9" s="3" t="s">
        <v>4</v>
      </c>
      <c r="B9" s="10">
        <v>0.06</v>
      </c>
      <c r="C9" s="1"/>
      <c r="D9" s="21" t="s">
        <v>9</v>
      </c>
      <c r="E9" s="26">
        <v>0</v>
      </c>
      <c r="F9" s="26">
        <f>SUM(F5,F7)</f>
        <v>1350000</v>
      </c>
      <c r="G9" s="26">
        <f t="shared" ref="G9:Z9" si="7">SUM(G5,G7)</f>
        <v>1414000</v>
      </c>
      <c r="H9" s="26">
        <f t="shared" si="7"/>
        <v>1480860</v>
      </c>
      <c r="I9" s="26">
        <f t="shared" si="7"/>
        <v>1550703.4</v>
      </c>
      <c r="J9" s="26">
        <f t="shared" si="7"/>
        <v>1623658.8059999999</v>
      </c>
      <c r="K9" s="26">
        <f t="shared" si="7"/>
        <v>1699860.2463400001</v>
      </c>
      <c r="L9" s="26">
        <f t="shared" si="7"/>
        <v>1779447.3969366003</v>
      </c>
      <c r="M9" s="26">
        <f t="shared" si="7"/>
        <v>1862565.815779354</v>
      </c>
      <c r="N9" s="26">
        <f t="shared" si="7"/>
        <v>1949367.1870647767</v>
      </c>
      <c r="O9" s="26">
        <f t="shared" si="7"/>
        <v>2040009.5753612444</v>
      </c>
      <c r="P9" s="27">
        <f t="shared" si="7"/>
        <v>2084485.9488261286</v>
      </c>
      <c r="Q9" s="26">
        <f t="shared" si="7"/>
        <v>2129878.515650061</v>
      </c>
      <c r="R9" s="27">
        <f t="shared" si="7"/>
        <v>2176204.3091876898</v>
      </c>
      <c r="S9" s="26">
        <f t="shared" si="7"/>
        <v>2223480.6124831513</v>
      </c>
      <c r="T9" s="27">
        <f t="shared" si="7"/>
        <v>2271724.9592279713</v>
      </c>
      <c r="U9" s="26">
        <f t="shared" si="7"/>
        <v>2320955.1345843947</v>
      </c>
      <c r="V9" s="27">
        <f t="shared" si="7"/>
        <v>2371189.1758660004</v>
      </c>
      <c r="W9" s="26">
        <f t="shared" si="7"/>
        <v>2422445.3730671559</v>
      </c>
      <c r="X9" s="27">
        <f t="shared" si="7"/>
        <v>2474742.2692324752</v>
      </c>
      <c r="Y9" s="26">
        <f t="shared" si="7"/>
        <v>2528098.6606570873</v>
      </c>
      <c r="Z9" s="26">
        <f t="shared" si="7"/>
        <v>2582533.5969081279</v>
      </c>
    </row>
    <row r="10" spans="1:26" x14ac:dyDescent="0.75">
      <c r="A10" s="3" t="s">
        <v>20</v>
      </c>
      <c r="B10" s="10">
        <v>0.04</v>
      </c>
      <c r="C10" s="1"/>
      <c r="D10" s="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5"/>
      <c r="Q10" s="24"/>
      <c r="R10" s="25"/>
      <c r="S10" s="24"/>
      <c r="T10" s="25"/>
      <c r="U10" s="24"/>
      <c r="V10" s="25"/>
      <c r="W10" s="24"/>
      <c r="X10" s="25"/>
      <c r="Y10" s="24"/>
      <c r="Z10" s="24"/>
    </row>
    <row r="11" spans="1:26" x14ac:dyDescent="0.75">
      <c r="A11" s="3" t="s">
        <v>21</v>
      </c>
      <c r="B11" s="9">
        <v>20</v>
      </c>
      <c r="C11" s="1"/>
      <c r="D11" s="3" t="s">
        <v>11</v>
      </c>
      <c r="E11" s="24">
        <v>0</v>
      </c>
      <c r="F11" s="24">
        <f>IF(F$1=$B$19,-$B$18,0)</f>
        <v>0</v>
      </c>
      <c r="G11" s="24">
        <f t="shared" ref="G11:Y11" si="8">IF(G$1=$B$19,-$B$18,0)</f>
        <v>0</v>
      </c>
      <c r="H11" s="24">
        <f t="shared" si="8"/>
        <v>0</v>
      </c>
      <c r="I11" s="24">
        <f t="shared" si="8"/>
        <v>-125000</v>
      </c>
      <c r="J11" s="24">
        <f t="shared" si="8"/>
        <v>0</v>
      </c>
      <c r="K11" s="24">
        <f t="shared" si="8"/>
        <v>0</v>
      </c>
      <c r="L11" s="24">
        <f t="shared" si="8"/>
        <v>0</v>
      </c>
      <c r="M11" s="24">
        <f t="shared" si="8"/>
        <v>0</v>
      </c>
      <c r="N11" s="24">
        <f t="shared" si="8"/>
        <v>0</v>
      </c>
      <c r="O11" s="24">
        <f t="shared" si="8"/>
        <v>0</v>
      </c>
      <c r="P11" s="24">
        <f t="shared" si="8"/>
        <v>0</v>
      </c>
      <c r="Q11" s="24">
        <f t="shared" si="8"/>
        <v>0</v>
      </c>
      <c r="R11" s="24">
        <f t="shared" si="8"/>
        <v>0</v>
      </c>
      <c r="S11" s="24">
        <f t="shared" si="8"/>
        <v>0</v>
      </c>
      <c r="T11" s="24">
        <f t="shared" si="8"/>
        <v>0</v>
      </c>
      <c r="U11" s="24">
        <f t="shared" si="8"/>
        <v>0</v>
      </c>
      <c r="V11" s="24">
        <f t="shared" si="8"/>
        <v>0</v>
      </c>
      <c r="W11" s="24">
        <f t="shared" si="8"/>
        <v>0</v>
      </c>
      <c r="X11" s="24">
        <f t="shared" si="8"/>
        <v>0</v>
      </c>
      <c r="Y11" s="24">
        <f t="shared" si="8"/>
        <v>0</v>
      </c>
      <c r="Z11" s="24"/>
    </row>
    <row r="12" spans="1:26" x14ac:dyDescent="0.75">
      <c r="A12" s="3" t="s">
        <v>77</v>
      </c>
      <c r="B12" s="102">
        <v>2.5000000000000001E-2</v>
      </c>
      <c r="C12" s="1"/>
      <c r="D12" s="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75">
      <c r="A13" s="4" t="s">
        <v>22</v>
      </c>
      <c r="B13" s="11">
        <v>0.03</v>
      </c>
      <c r="C13" s="1"/>
      <c r="D13" s="3" t="s">
        <v>10</v>
      </c>
      <c r="E13" s="24">
        <v>0</v>
      </c>
      <c r="F13" s="24">
        <f>IF(F$1=$B$21,-$B$20,0)</f>
        <v>0</v>
      </c>
      <c r="G13" s="24">
        <f t="shared" ref="G13:Y13" si="9">IF(G$1=$B$21,-$B$20,0)</f>
        <v>0</v>
      </c>
      <c r="H13" s="24">
        <f t="shared" si="9"/>
        <v>0</v>
      </c>
      <c r="I13" s="24">
        <f t="shared" si="9"/>
        <v>-200000</v>
      </c>
      <c r="J13" s="24">
        <f t="shared" si="9"/>
        <v>0</v>
      </c>
      <c r="K13" s="24">
        <f t="shared" si="9"/>
        <v>0</v>
      </c>
      <c r="L13" s="24">
        <f t="shared" si="9"/>
        <v>0</v>
      </c>
      <c r="M13" s="24">
        <f t="shared" si="9"/>
        <v>0</v>
      </c>
      <c r="N13" s="24">
        <f t="shared" si="9"/>
        <v>0</v>
      </c>
      <c r="O13" s="24">
        <f t="shared" si="9"/>
        <v>0</v>
      </c>
      <c r="P13" s="24">
        <f t="shared" si="9"/>
        <v>0</v>
      </c>
      <c r="Q13" s="24">
        <f t="shared" si="9"/>
        <v>0</v>
      </c>
      <c r="R13" s="24">
        <f t="shared" si="9"/>
        <v>0</v>
      </c>
      <c r="S13" s="24">
        <f t="shared" si="9"/>
        <v>0</v>
      </c>
      <c r="T13" s="24">
        <f t="shared" si="9"/>
        <v>0</v>
      </c>
      <c r="U13" s="24">
        <f t="shared" si="9"/>
        <v>0</v>
      </c>
      <c r="V13" s="24">
        <f t="shared" si="9"/>
        <v>0</v>
      </c>
      <c r="W13" s="24">
        <f t="shared" si="9"/>
        <v>0</v>
      </c>
      <c r="X13" s="24">
        <f t="shared" si="9"/>
        <v>0</v>
      </c>
      <c r="Y13" s="24">
        <f t="shared" si="9"/>
        <v>0</v>
      </c>
      <c r="Z13" s="24"/>
    </row>
    <row r="14" spans="1:26" x14ac:dyDescent="0.75">
      <c r="A14" s="1"/>
      <c r="B14" s="1"/>
      <c r="C14" s="1"/>
      <c r="D14" s="3" t="s">
        <v>43</v>
      </c>
      <c r="E14" s="24">
        <v>0</v>
      </c>
      <c r="F14" s="24">
        <f>-B16*B7</f>
        <v>-25000</v>
      </c>
      <c r="G14" s="24">
        <f>F14*(1+$B$17)</f>
        <v>-25750</v>
      </c>
      <c r="H14" s="24">
        <f t="shared" ref="H14:Y14" si="10">G14*(1+$B$17)</f>
        <v>-26522.5</v>
      </c>
      <c r="I14" s="24">
        <f t="shared" si="10"/>
        <v>-27318.174999999999</v>
      </c>
      <c r="J14" s="24">
        <f t="shared" si="10"/>
        <v>-28137.720249999998</v>
      </c>
      <c r="K14" s="24">
        <f t="shared" si="10"/>
        <v>-28981.851857499998</v>
      </c>
      <c r="L14" s="24">
        <f t="shared" si="10"/>
        <v>-29851.307413225</v>
      </c>
      <c r="M14" s="24">
        <f t="shared" si="10"/>
        <v>-30746.84663562175</v>
      </c>
      <c r="N14" s="24">
        <f t="shared" si="10"/>
        <v>-31669.252034690402</v>
      </c>
      <c r="O14" s="24">
        <f t="shared" si="10"/>
        <v>-32619.329595731117</v>
      </c>
      <c r="P14" s="24">
        <f t="shared" si="10"/>
        <v>-33597.909483603049</v>
      </c>
      <c r="Q14" s="24">
        <f t="shared" si="10"/>
        <v>-34605.846768111143</v>
      </c>
      <c r="R14" s="24">
        <f t="shared" si="10"/>
        <v>-35644.02217115448</v>
      </c>
      <c r="S14" s="24">
        <f t="shared" si="10"/>
        <v>-36713.342836289114</v>
      </c>
      <c r="T14" s="24">
        <f t="shared" si="10"/>
        <v>-37814.743121377789</v>
      </c>
      <c r="U14" s="24">
        <f t="shared" si="10"/>
        <v>-38949.185415019121</v>
      </c>
      <c r="V14" s="24">
        <f t="shared" si="10"/>
        <v>-40117.660977469699</v>
      </c>
      <c r="W14" s="24">
        <f t="shared" si="10"/>
        <v>-41321.190806793791</v>
      </c>
      <c r="X14" s="24">
        <f t="shared" si="10"/>
        <v>-42560.826530997605</v>
      </c>
      <c r="Y14" s="24">
        <f t="shared" si="10"/>
        <v>-43837.651326927531</v>
      </c>
      <c r="Z14" s="24"/>
    </row>
    <row r="15" spans="1:26" x14ac:dyDescent="0.75">
      <c r="A15" s="5" t="s">
        <v>25</v>
      </c>
      <c r="B15" s="6"/>
      <c r="C15" s="1"/>
      <c r="D15" s="21" t="s">
        <v>12</v>
      </c>
      <c r="E15" s="26">
        <v>0</v>
      </c>
      <c r="F15" s="26">
        <f t="shared" ref="F15:Y15" si="11">SUM(F11:F14)</f>
        <v>-25000</v>
      </c>
      <c r="G15" s="26">
        <f t="shared" si="11"/>
        <v>-25750</v>
      </c>
      <c r="H15" s="26">
        <f t="shared" si="11"/>
        <v>-26522.5</v>
      </c>
      <c r="I15" s="26">
        <f t="shared" si="11"/>
        <v>-352318.17499999999</v>
      </c>
      <c r="J15" s="26">
        <f t="shared" si="11"/>
        <v>-28137.720249999998</v>
      </c>
      <c r="K15" s="26">
        <f t="shared" si="11"/>
        <v>-28981.851857499998</v>
      </c>
      <c r="L15" s="26">
        <f t="shared" si="11"/>
        <v>-29851.307413225</v>
      </c>
      <c r="M15" s="26">
        <f t="shared" si="11"/>
        <v>-30746.84663562175</v>
      </c>
      <c r="N15" s="26">
        <f t="shared" si="11"/>
        <v>-31669.252034690402</v>
      </c>
      <c r="O15" s="26">
        <f t="shared" si="11"/>
        <v>-32619.329595731117</v>
      </c>
      <c r="P15" s="26">
        <f t="shared" si="11"/>
        <v>-33597.909483603049</v>
      </c>
      <c r="Q15" s="26">
        <f t="shared" si="11"/>
        <v>-34605.846768111143</v>
      </c>
      <c r="R15" s="26">
        <f t="shared" si="11"/>
        <v>-35644.02217115448</v>
      </c>
      <c r="S15" s="26">
        <f t="shared" si="11"/>
        <v>-36713.342836289114</v>
      </c>
      <c r="T15" s="26">
        <f t="shared" si="11"/>
        <v>-37814.743121377789</v>
      </c>
      <c r="U15" s="26">
        <f t="shared" si="11"/>
        <v>-38949.185415019121</v>
      </c>
      <c r="V15" s="26">
        <f t="shared" si="11"/>
        <v>-40117.660977469699</v>
      </c>
      <c r="W15" s="26">
        <f t="shared" si="11"/>
        <v>-41321.190806793791</v>
      </c>
      <c r="X15" s="26">
        <f t="shared" si="11"/>
        <v>-42560.826530997605</v>
      </c>
      <c r="Y15" s="26">
        <f t="shared" si="11"/>
        <v>-43837.651326927531</v>
      </c>
      <c r="Z15" s="26"/>
    </row>
    <row r="16" spans="1:26" x14ac:dyDescent="0.75">
      <c r="A16" s="2" t="s">
        <v>26</v>
      </c>
      <c r="B16" s="12">
        <v>0.5</v>
      </c>
      <c r="C16" s="1"/>
      <c r="D16" s="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75">
      <c r="A17" s="3" t="s">
        <v>44</v>
      </c>
      <c r="B17" s="10">
        <v>0.03</v>
      </c>
      <c r="C17" s="1"/>
      <c r="D17" s="21" t="s">
        <v>13</v>
      </c>
      <c r="E17" s="26">
        <v>0</v>
      </c>
      <c r="F17" s="26">
        <f t="shared" ref="F17:Y17" si="12">SUM(F15,F9)</f>
        <v>1325000</v>
      </c>
      <c r="G17" s="26">
        <f t="shared" si="12"/>
        <v>1388250</v>
      </c>
      <c r="H17" s="26">
        <f t="shared" si="12"/>
        <v>1454337.5</v>
      </c>
      <c r="I17" s="26">
        <f t="shared" si="12"/>
        <v>1198385.2249999999</v>
      </c>
      <c r="J17" s="26">
        <f t="shared" si="12"/>
        <v>1595521.0857499999</v>
      </c>
      <c r="K17" s="26">
        <f t="shared" si="12"/>
        <v>1670878.3944825002</v>
      </c>
      <c r="L17" s="26">
        <f t="shared" si="12"/>
        <v>1749596.0895233753</v>
      </c>
      <c r="M17" s="26">
        <f t="shared" si="12"/>
        <v>1831818.9691437322</v>
      </c>
      <c r="N17" s="26">
        <f t="shared" si="12"/>
        <v>1917697.9350300862</v>
      </c>
      <c r="O17" s="26">
        <f t="shared" si="12"/>
        <v>2007390.2457655133</v>
      </c>
      <c r="P17" s="26">
        <f t="shared" si="12"/>
        <v>2050888.0393425256</v>
      </c>
      <c r="Q17" s="26">
        <f t="shared" si="12"/>
        <v>2095272.6688819497</v>
      </c>
      <c r="R17" s="26">
        <f t="shared" si="12"/>
        <v>2140560.2870165352</v>
      </c>
      <c r="S17" s="26">
        <f t="shared" si="12"/>
        <v>2186767.2696468621</v>
      </c>
      <c r="T17" s="26">
        <f t="shared" si="12"/>
        <v>2233910.2161065936</v>
      </c>
      <c r="U17" s="26">
        <f t="shared" si="12"/>
        <v>2282005.9491693755</v>
      </c>
      <c r="V17" s="26">
        <f t="shared" si="12"/>
        <v>2331071.5148885306</v>
      </c>
      <c r="W17" s="26">
        <f t="shared" si="12"/>
        <v>2381124.182260362</v>
      </c>
      <c r="X17" s="26">
        <f t="shared" si="12"/>
        <v>2432181.4427014776</v>
      </c>
      <c r="Y17" s="26">
        <f t="shared" si="12"/>
        <v>2484261.00933016</v>
      </c>
      <c r="Z17" s="26"/>
    </row>
    <row r="18" spans="1:26" x14ac:dyDescent="0.75">
      <c r="A18" s="3" t="s">
        <v>11</v>
      </c>
      <c r="B18" s="13">
        <v>125000</v>
      </c>
      <c r="C18" s="1"/>
      <c r="D18" s="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75">
      <c r="A19" s="3" t="s">
        <v>28</v>
      </c>
      <c r="B19" s="14">
        <v>4</v>
      </c>
      <c r="C19" s="1"/>
      <c r="D19" s="3" t="s">
        <v>14</v>
      </c>
      <c r="E19" s="24">
        <v>0</v>
      </c>
      <c r="F19" s="24">
        <f t="shared" ref="F19:Y19" si="13">CUMPRINC($B$26/12,$B$27*12,$B$24,F$1*12-11,F$1*12,0)</f>
        <v>-219958.60131169501</v>
      </c>
      <c r="G19" s="24">
        <f t="shared" si="13"/>
        <v>-230178.08911366909</v>
      </c>
      <c r="H19" s="24">
        <f t="shared" si="13"/>
        <v>-240872.3841307823</v>
      </c>
      <c r="I19" s="24">
        <f t="shared" si="13"/>
        <v>-252063.5463621183</v>
      </c>
      <c r="J19" s="24">
        <f t="shared" si="13"/>
        <v>-263774.66073549842</v>
      </c>
      <c r="K19" s="24">
        <f t="shared" si="13"/>
        <v>-276029.88472665485</v>
      </c>
      <c r="L19" s="24">
        <f t="shared" si="13"/>
        <v>-288854.4981908357</v>
      </c>
      <c r="M19" s="24">
        <f t="shared" si="13"/>
        <v>-302274.95550963585</v>
      </c>
      <c r="N19" s="24">
        <f t="shared" si="13"/>
        <v>-316318.94016061816</v>
      </c>
      <c r="O19" s="24">
        <f t="shared" si="13"/>
        <v>-331015.42182229221</v>
      </c>
      <c r="P19" s="24">
        <f t="shared" si="13"/>
        <v>-346394.71613224538</v>
      </c>
      <c r="Q19" s="24">
        <f t="shared" si="13"/>
        <v>-362488.54722169385</v>
      </c>
      <c r="R19" s="24">
        <f t="shared" si="13"/>
        <v>-379330.11315544869</v>
      </c>
      <c r="S19" s="24">
        <f t="shared" si="13"/>
        <v>-396954.15441228607</v>
      </c>
      <c r="T19" s="24">
        <f t="shared" si="13"/>
        <v>-415397.02554698079</v>
      </c>
      <c r="U19" s="24">
        <f t="shared" si="13"/>
        <v>-434696.77018182713</v>
      </c>
      <c r="V19" s="24">
        <f t="shared" si="13"/>
        <v>-454893.19948233705</v>
      </c>
      <c r="W19" s="24">
        <f t="shared" si="13"/>
        <v>-476027.97427899565</v>
      </c>
      <c r="X19" s="24">
        <f t="shared" si="13"/>
        <v>-498144.69100447139</v>
      </c>
      <c r="Y19" s="24">
        <f t="shared" si="13"/>
        <v>-521288.97162355215</v>
      </c>
      <c r="Z19" s="24"/>
    </row>
    <row r="20" spans="1:26" x14ac:dyDescent="0.75">
      <c r="A20" s="3" t="s">
        <v>27</v>
      </c>
      <c r="B20" s="13">
        <v>200000</v>
      </c>
      <c r="C20" s="1"/>
      <c r="D20" s="3" t="s">
        <v>15</v>
      </c>
      <c r="E20" s="24">
        <v>0</v>
      </c>
      <c r="F20" s="24">
        <f t="shared" ref="F20:Y20" si="14">CUMIPMT($B$26/12,$B$27*12,$B$24,F$1*12-11,F$1*12,0)</f>
        <v>-450450.55802162696</v>
      </c>
      <c r="G20" s="24">
        <f t="shared" si="14"/>
        <v>-440231.07021965284</v>
      </c>
      <c r="H20" s="24">
        <f t="shared" si="14"/>
        <v>-429536.77520253963</v>
      </c>
      <c r="I20" s="24">
        <f t="shared" si="14"/>
        <v>-418345.61297120363</v>
      </c>
      <c r="J20" s="24">
        <f t="shared" si="14"/>
        <v>-406634.49859782355</v>
      </c>
      <c r="K20" s="24">
        <f t="shared" si="14"/>
        <v>-394379.27460666711</v>
      </c>
      <c r="L20" s="24">
        <f t="shared" si="14"/>
        <v>-381554.66114248626</v>
      </c>
      <c r="M20" s="24">
        <f t="shared" si="14"/>
        <v>-368134.20382368611</v>
      </c>
      <c r="N20" s="24">
        <f t="shared" si="14"/>
        <v>-354090.2191727038</v>
      </c>
      <c r="O20" s="24">
        <f t="shared" si="14"/>
        <v>-339393.73751102976</v>
      </c>
      <c r="P20" s="24">
        <f t="shared" si="14"/>
        <v>-324014.44320107659</v>
      </c>
      <c r="Q20" s="24">
        <f t="shared" si="14"/>
        <v>-307920.61211162811</v>
      </c>
      <c r="R20" s="24">
        <f t="shared" si="14"/>
        <v>-291079.04617787327</v>
      </c>
      <c r="S20" s="24">
        <f t="shared" si="14"/>
        <v>-273455.0049210359</v>
      </c>
      <c r="T20" s="24">
        <f t="shared" si="14"/>
        <v>-255012.13378634118</v>
      </c>
      <c r="U20" s="24">
        <f t="shared" si="14"/>
        <v>-235712.38915149483</v>
      </c>
      <c r="V20" s="24">
        <f t="shared" si="14"/>
        <v>-215515.95985098492</v>
      </c>
      <c r="W20" s="24">
        <f t="shared" si="14"/>
        <v>-194381.18505432631</v>
      </c>
      <c r="X20" s="24">
        <f t="shared" si="14"/>
        <v>-172264.46832885058</v>
      </c>
      <c r="Y20" s="24">
        <f t="shared" si="14"/>
        <v>-149120.18770976982</v>
      </c>
      <c r="Z20" s="24"/>
    </row>
    <row r="21" spans="1:26" x14ac:dyDescent="0.75">
      <c r="A21" s="4" t="s">
        <v>29</v>
      </c>
      <c r="B21" s="15">
        <v>4</v>
      </c>
      <c r="C21" s="1"/>
      <c r="D21" s="21" t="s">
        <v>16</v>
      </c>
      <c r="E21" s="26">
        <v>0</v>
      </c>
      <c r="F21" s="26">
        <f>SUM(F19:F20)</f>
        <v>-670409.15933332196</v>
      </c>
      <c r="G21" s="26">
        <f t="shared" ref="G21:Y21" si="15">SUM(G19:G20)</f>
        <v>-670409.15933332196</v>
      </c>
      <c r="H21" s="26">
        <f t="shared" si="15"/>
        <v>-670409.15933332196</v>
      </c>
      <c r="I21" s="26">
        <f t="shared" si="15"/>
        <v>-670409.15933332196</v>
      </c>
      <c r="J21" s="26">
        <f t="shared" si="15"/>
        <v>-670409.15933332196</v>
      </c>
      <c r="K21" s="26">
        <f t="shared" si="15"/>
        <v>-670409.15933332196</v>
      </c>
      <c r="L21" s="26">
        <f t="shared" si="15"/>
        <v>-670409.15933332196</v>
      </c>
      <c r="M21" s="26">
        <f t="shared" si="15"/>
        <v>-670409.15933332196</v>
      </c>
      <c r="N21" s="26">
        <f t="shared" si="15"/>
        <v>-670409.15933332196</v>
      </c>
      <c r="O21" s="26">
        <f t="shared" si="15"/>
        <v>-670409.15933332196</v>
      </c>
      <c r="P21" s="26">
        <f t="shared" si="15"/>
        <v>-670409.15933332196</v>
      </c>
      <c r="Q21" s="26">
        <f t="shared" si="15"/>
        <v>-670409.15933332196</v>
      </c>
      <c r="R21" s="26">
        <f t="shared" si="15"/>
        <v>-670409.15933332196</v>
      </c>
      <c r="S21" s="26">
        <f t="shared" si="15"/>
        <v>-670409.15933332196</v>
      </c>
      <c r="T21" s="26">
        <f t="shared" si="15"/>
        <v>-670409.15933332196</v>
      </c>
      <c r="U21" s="26">
        <f t="shared" si="15"/>
        <v>-670409.15933332196</v>
      </c>
      <c r="V21" s="26">
        <f t="shared" si="15"/>
        <v>-670409.15933332196</v>
      </c>
      <c r="W21" s="26">
        <f t="shared" si="15"/>
        <v>-670409.15933332196</v>
      </c>
      <c r="X21" s="26">
        <f t="shared" si="15"/>
        <v>-670409.15933332196</v>
      </c>
      <c r="Y21" s="26">
        <f t="shared" si="15"/>
        <v>-670409.15933332196</v>
      </c>
      <c r="Z21" s="26"/>
    </row>
    <row r="22" spans="1:26" x14ac:dyDescent="0.75">
      <c r="A22" s="1"/>
      <c r="B22" s="1"/>
      <c r="C22" s="1"/>
      <c r="D22" s="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75">
      <c r="A23" s="5" t="s">
        <v>30</v>
      </c>
      <c r="B23" s="6"/>
      <c r="C23" s="1"/>
      <c r="D23" s="21" t="s">
        <v>17</v>
      </c>
      <c r="E23" s="26">
        <v>0</v>
      </c>
      <c r="F23" s="26">
        <f>SUM(F17,F21)</f>
        <v>654590.84066667804</v>
      </c>
      <c r="G23" s="26">
        <f t="shared" ref="G23:Y23" si="16">SUM(G17,G21)</f>
        <v>717840.84066667804</v>
      </c>
      <c r="H23" s="26">
        <f t="shared" si="16"/>
        <v>783928.34066667804</v>
      </c>
      <c r="I23" s="26">
        <f t="shared" si="16"/>
        <v>527976.0656666779</v>
      </c>
      <c r="J23" s="26">
        <f t="shared" si="16"/>
        <v>925111.92641667789</v>
      </c>
      <c r="K23" s="26">
        <f t="shared" si="16"/>
        <v>1000469.2351491782</v>
      </c>
      <c r="L23" s="26">
        <f t="shared" si="16"/>
        <v>1079186.9301900533</v>
      </c>
      <c r="M23" s="26">
        <f t="shared" si="16"/>
        <v>1161409.8098104103</v>
      </c>
      <c r="N23" s="26">
        <f t="shared" si="16"/>
        <v>1247288.7756967642</v>
      </c>
      <c r="O23" s="26">
        <f t="shared" si="16"/>
        <v>1336981.0864321913</v>
      </c>
      <c r="P23" s="26">
        <f t="shared" si="16"/>
        <v>1380478.8800092037</v>
      </c>
      <c r="Q23" s="26">
        <f t="shared" si="16"/>
        <v>1424863.5095486278</v>
      </c>
      <c r="R23" s="26">
        <f t="shared" si="16"/>
        <v>1470151.1276832132</v>
      </c>
      <c r="S23" s="26">
        <f t="shared" si="16"/>
        <v>1516358.1103135401</v>
      </c>
      <c r="T23" s="26">
        <f t="shared" si="16"/>
        <v>1563501.0567732716</v>
      </c>
      <c r="U23" s="26">
        <f t="shared" si="16"/>
        <v>1611596.7898360535</v>
      </c>
      <c r="V23" s="26">
        <f t="shared" si="16"/>
        <v>1660662.3555552086</v>
      </c>
      <c r="W23" s="26">
        <f t="shared" si="16"/>
        <v>1710715.02292704</v>
      </c>
      <c r="X23" s="26">
        <f t="shared" si="16"/>
        <v>1761772.2833681556</v>
      </c>
      <c r="Y23" s="26">
        <f t="shared" si="16"/>
        <v>1813851.849996838</v>
      </c>
      <c r="Z23" s="26"/>
    </row>
    <row r="24" spans="1:26" x14ac:dyDescent="0.75">
      <c r="A24" s="2" t="s">
        <v>34</v>
      </c>
      <c r="B24" s="7">
        <v>10000000</v>
      </c>
      <c r="C24" s="1"/>
      <c r="D24" s="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75">
      <c r="A25" s="3" t="s">
        <v>45</v>
      </c>
      <c r="B25" s="10">
        <v>0.01</v>
      </c>
      <c r="C25" s="1"/>
      <c r="D25" s="3" t="s">
        <v>0</v>
      </c>
      <c r="E25" s="24">
        <f>-B2</f>
        <v>-20000000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4"/>
    </row>
    <row r="26" spans="1:26" x14ac:dyDescent="0.75">
      <c r="A26" s="3" t="s">
        <v>33</v>
      </c>
      <c r="B26" s="10">
        <v>4.5499999999999999E-2</v>
      </c>
      <c r="C26" s="1"/>
      <c r="D26" s="3" t="s">
        <v>1</v>
      </c>
      <c r="E26" s="24">
        <f>-B3</f>
        <v>-200000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/>
    </row>
    <row r="27" spans="1:26" x14ac:dyDescent="0.75">
      <c r="A27" s="4" t="s">
        <v>35</v>
      </c>
      <c r="B27" s="16">
        <v>25</v>
      </c>
      <c r="C27" s="1"/>
      <c r="D27" s="3" t="s">
        <v>18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f>Z9/B30</f>
        <v>43042226.615135469</v>
      </c>
      <c r="Z27" s="24"/>
    </row>
    <row r="28" spans="1:26" x14ac:dyDescent="0.75">
      <c r="A28" s="1"/>
      <c r="B28" s="1"/>
      <c r="C28" s="1"/>
      <c r="D28" s="3" t="s">
        <v>19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f>Y27*-B31</f>
        <v>-1076055.6653783869</v>
      </c>
      <c r="Z28" s="24"/>
    </row>
    <row r="29" spans="1:26" x14ac:dyDescent="0.75">
      <c r="A29" s="5" t="s">
        <v>31</v>
      </c>
      <c r="B29" s="6"/>
      <c r="C29" s="1"/>
      <c r="D29" s="21" t="s">
        <v>40</v>
      </c>
      <c r="E29" s="26">
        <f>SUM(E25:E28,E17)</f>
        <v>-20200000</v>
      </c>
      <c r="F29" s="26">
        <f>SUM(F25:F28,F17)</f>
        <v>1325000</v>
      </c>
      <c r="G29" s="26">
        <f t="shared" ref="G29:X29" si="17">SUM(G25:G28,G17)</f>
        <v>1388250</v>
      </c>
      <c r="H29" s="26">
        <f t="shared" si="17"/>
        <v>1454337.5</v>
      </c>
      <c r="I29" s="26">
        <f t="shared" si="17"/>
        <v>1198385.2249999999</v>
      </c>
      <c r="J29" s="26">
        <f t="shared" si="17"/>
        <v>1595521.0857499999</v>
      </c>
      <c r="K29" s="26">
        <f t="shared" si="17"/>
        <v>1670878.3944825002</v>
      </c>
      <c r="L29" s="26">
        <f t="shared" si="17"/>
        <v>1749596.0895233753</v>
      </c>
      <c r="M29" s="26">
        <f t="shared" si="17"/>
        <v>1831818.9691437322</v>
      </c>
      <c r="N29" s="26">
        <f t="shared" si="17"/>
        <v>1917697.9350300862</v>
      </c>
      <c r="O29" s="26">
        <f t="shared" si="17"/>
        <v>2007390.2457655133</v>
      </c>
      <c r="P29" s="26">
        <f t="shared" si="17"/>
        <v>2050888.0393425256</v>
      </c>
      <c r="Q29" s="26">
        <f t="shared" si="17"/>
        <v>2095272.6688819497</v>
      </c>
      <c r="R29" s="26">
        <f t="shared" si="17"/>
        <v>2140560.2870165352</v>
      </c>
      <c r="S29" s="26">
        <f t="shared" si="17"/>
        <v>2186767.2696468621</v>
      </c>
      <c r="T29" s="26">
        <f t="shared" si="17"/>
        <v>2233910.2161065936</v>
      </c>
      <c r="U29" s="26">
        <f t="shared" si="17"/>
        <v>2282005.9491693755</v>
      </c>
      <c r="V29" s="26">
        <f t="shared" si="17"/>
        <v>2331071.5148885306</v>
      </c>
      <c r="W29" s="26">
        <f t="shared" si="17"/>
        <v>2381124.182260362</v>
      </c>
      <c r="X29" s="26">
        <f t="shared" si="17"/>
        <v>2432181.4427014776</v>
      </c>
      <c r="Y29" s="26">
        <f>SUM(Y25:Y28,Y17)</f>
        <v>44450431.959087245</v>
      </c>
      <c r="Z29" s="26"/>
    </row>
    <row r="30" spans="1:26" x14ac:dyDescent="0.75">
      <c r="A30" s="3" t="s">
        <v>32</v>
      </c>
      <c r="B30" s="28">
        <v>0.06</v>
      </c>
      <c r="C30" s="1"/>
      <c r="D30" s="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75">
      <c r="A31" s="4" t="s">
        <v>19</v>
      </c>
      <c r="B31" s="11">
        <v>2.5000000000000001E-2</v>
      </c>
      <c r="C31" s="1"/>
      <c r="D31" s="3" t="s">
        <v>38</v>
      </c>
      <c r="E31" s="24">
        <f>B24</f>
        <v>10000000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24">
        <v>0</v>
      </c>
      <c r="Z31" s="24"/>
    </row>
    <row r="32" spans="1:26" x14ac:dyDescent="0.75">
      <c r="A32" s="1"/>
      <c r="B32" s="1"/>
      <c r="C32" s="1"/>
      <c r="D32" s="3" t="s">
        <v>41</v>
      </c>
      <c r="E32" s="24">
        <f>B24*-B25</f>
        <v>-100000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/>
    </row>
    <row r="33" spans="1:26" x14ac:dyDescent="0.75">
      <c r="A33" s="30" t="s">
        <v>46</v>
      </c>
      <c r="B33" s="31"/>
      <c r="C33" s="1"/>
      <c r="D33" s="3" t="s">
        <v>39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f>-(B24+SUM(F19:Y19))</f>
        <v>-2993042.8548963619</v>
      </c>
      <c r="Z33" s="24"/>
    </row>
    <row r="34" spans="1:26" x14ac:dyDescent="0.75">
      <c r="A34" s="3" t="s">
        <v>47</v>
      </c>
      <c r="B34" s="36">
        <f>F9/B2</f>
        <v>6.7500000000000004E-2</v>
      </c>
      <c r="C34" s="1"/>
      <c r="D34" s="21" t="s">
        <v>42</v>
      </c>
      <c r="E34" s="26">
        <f>SUM(E21,E29:E33)</f>
        <v>-10300000</v>
      </c>
      <c r="F34" s="26">
        <f t="shared" ref="F34:X34" si="18">SUM(F21,F29:F33)</f>
        <v>654590.84066667804</v>
      </c>
      <c r="G34" s="26">
        <f t="shared" si="18"/>
        <v>717840.84066667804</v>
      </c>
      <c r="H34" s="26">
        <f t="shared" si="18"/>
        <v>783928.34066667804</v>
      </c>
      <c r="I34" s="26">
        <f t="shared" si="18"/>
        <v>527976.0656666779</v>
      </c>
      <c r="J34" s="26">
        <f t="shared" si="18"/>
        <v>925111.92641667789</v>
      </c>
      <c r="K34" s="26">
        <f t="shared" si="18"/>
        <v>1000469.2351491782</v>
      </c>
      <c r="L34" s="26">
        <f t="shared" si="18"/>
        <v>1079186.9301900533</v>
      </c>
      <c r="M34" s="26">
        <f t="shared" si="18"/>
        <v>1161409.8098104103</v>
      </c>
      <c r="N34" s="26">
        <f t="shared" si="18"/>
        <v>1247288.7756967642</v>
      </c>
      <c r="O34" s="26">
        <f t="shared" si="18"/>
        <v>1336981.0864321913</v>
      </c>
      <c r="P34" s="26">
        <f t="shared" si="18"/>
        <v>1380478.8800092037</v>
      </c>
      <c r="Q34" s="26">
        <f t="shared" si="18"/>
        <v>1424863.5095486278</v>
      </c>
      <c r="R34" s="26">
        <f t="shared" si="18"/>
        <v>1470151.1276832132</v>
      </c>
      <c r="S34" s="26">
        <f t="shared" si="18"/>
        <v>1516358.1103135401</v>
      </c>
      <c r="T34" s="26">
        <f t="shared" si="18"/>
        <v>1563501.0567732716</v>
      </c>
      <c r="U34" s="26">
        <f t="shared" si="18"/>
        <v>1611596.7898360535</v>
      </c>
      <c r="V34" s="26">
        <f t="shared" si="18"/>
        <v>1660662.3555552086</v>
      </c>
      <c r="W34" s="26">
        <f t="shared" si="18"/>
        <v>1710715.02292704</v>
      </c>
      <c r="X34" s="26">
        <f t="shared" si="18"/>
        <v>1761772.2833681556</v>
      </c>
      <c r="Y34" s="26">
        <f>SUM(Y21,Y29:Y33)</f>
        <v>40786979.944857568</v>
      </c>
      <c r="Z34" s="26"/>
    </row>
    <row r="35" spans="1:26" x14ac:dyDescent="0.75">
      <c r="A35" s="3" t="s">
        <v>48</v>
      </c>
      <c r="B35" s="36">
        <f>IRR(E34:Y34)</f>
        <v>0.13220487024053051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9"/>
      <c r="P35" s="29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75">
      <c r="A36" s="3" t="s">
        <v>60</v>
      </c>
      <c r="B36" s="36">
        <f>IRR(E29:Y29)</f>
        <v>0.10379431803506356</v>
      </c>
      <c r="C36" s="1"/>
      <c r="D36" s="21" t="s">
        <v>54</v>
      </c>
      <c r="E36" s="32"/>
      <c r="F36" s="32">
        <f>IF(F23&lt;0,0,F23/-SUMIF($E$34:E34,"&lt;"&amp;0,$E$34:E34))</f>
        <v>6.3552508802590099E-2</v>
      </c>
      <c r="G36" s="32">
        <f>IF(G23&lt;0,0,G23/-SUMIF($E$34:F34,"&lt;"&amp;0,$E$34:F34))</f>
        <v>6.9693285501619226E-2</v>
      </c>
      <c r="H36" s="32">
        <f>IF(H23&lt;0,0,H23/-SUMIF($E$34:G34,"&lt;"&amp;0,$E$34:G34))</f>
        <v>7.6109547637541561E-2</v>
      </c>
      <c r="I36" s="32">
        <f>IF(I23&lt;0,0,I23/-SUMIF($E$34:H34,"&lt;"&amp;0,$E$34:H34))</f>
        <v>5.125981220064834E-2</v>
      </c>
      <c r="J36" s="32">
        <f>IF(J23&lt;0,0,J23/-SUMIF($E$34:I34,"&lt;"&amp;0,$E$34:I34))</f>
        <v>8.9816691885114361E-2</v>
      </c>
      <c r="K36" s="32">
        <f>IF(K23&lt;0,0,K23/-SUMIF($E$34:J34,"&lt;"&amp;0,$E$34:J34))</f>
        <v>9.7132935451376523E-2</v>
      </c>
      <c r="L36" s="32">
        <f>IF(L23&lt;0,0,L23/-SUMIF($E$34:K34,"&lt;"&amp;0,$E$34:K34))</f>
        <v>0.10477543011553915</v>
      </c>
      <c r="M36" s="32">
        <f>IF(M23&lt;0,0,M23/-SUMIF($E$34:L34,"&lt;"&amp;0,$E$34:L34))</f>
        <v>0.11275823396217576</v>
      </c>
      <c r="N36" s="32">
        <f>IF(N23&lt;0,0,N23/-SUMIF($E$34:M34,"&lt;"&amp;0,$E$34:M34))</f>
        <v>0.12109599764046254</v>
      </c>
      <c r="O36" s="32">
        <f>IF(O23&lt;0,0,O23/-SUMIF($E$34:N34,"&lt;"&amp;0,$E$34:N34))</f>
        <v>0.12980398897399917</v>
      </c>
      <c r="P36" s="32">
        <f>IF(P23&lt;0,0,P23/-SUMIF($E$34:O34,"&lt;"&amp;0,$E$34:O34))</f>
        <v>0.1340270757290489</v>
      </c>
      <c r="Q36" s="32">
        <f>IF(Q23&lt;0,0,Q23/-SUMIF($E$34:P34,"&lt;"&amp;0,$E$34:P34))</f>
        <v>0.13833626306297356</v>
      </c>
      <c r="R36" s="32">
        <f>IF(R23&lt;0,0,R23/-SUMIF($E$34:Q34,"&lt;"&amp;0,$E$34:Q34))</f>
        <v>0.14273311919254497</v>
      </c>
      <c r="S36" s="32">
        <f>IF(S23&lt;0,0,S23/-SUMIF($E$34:R34,"&lt;"&amp;0,$E$34:R34))</f>
        <v>0.1472192340110233</v>
      </c>
      <c r="T36" s="32">
        <f>IF(T23&lt;0,0,T23/-SUMIF($E$34:S34,"&lt;"&amp;0,$E$34:S34))</f>
        <v>0.15179621910420113</v>
      </c>
      <c r="U36" s="32">
        <f>IF(U23&lt;0,0,U23/-SUMIF($E$34:T34,"&lt;"&amp;0,$E$34:T34))</f>
        <v>0.15646570775107316</v>
      </c>
      <c r="V36" s="32">
        <f>IF(V23&lt;0,0,V23/-SUMIF($E$34:U34,"&lt;"&amp;0,$E$34:U34))</f>
        <v>0.16122935490827267</v>
      </c>
      <c r="W36" s="32">
        <f>IF(W23&lt;0,0,W23/-SUMIF($E$34:V34,"&lt;"&amp;0,$E$34:V34))</f>
        <v>0.16608883717738251</v>
      </c>
      <c r="X36" s="32">
        <f>IF(X23&lt;0,0,X23/-SUMIF($E$34:W34,"&lt;"&amp;0,$E$34:W34))</f>
        <v>0.17104585275418988</v>
      </c>
      <c r="Y36" s="32">
        <f>IF(Y23&lt;0,0,Y23/-SUMIF($E$34:X34,"&lt;"&amp;0,$E$34:X34))</f>
        <v>0.17610212135891631</v>
      </c>
      <c r="Z36" s="32"/>
    </row>
    <row r="37" spans="1:26" x14ac:dyDescent="0.75">
      <c r="A37" s="3" t="s">
        <v>49</v>
      </c>
      <c r="B37" s="37">
        <f ca="1">SUMIF(E34:Y34,"&gt;"&amp;0,E34:Y34)/-SUMIF(E34:Y34,"&lt;"&amp;0,E34:O34)</f>
        <v>6.244841061381929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75">
      <c r="A38" s="109" t="s">
        <v>70</v>
      </c>
      <c r="B38" s="110">
        <f>AVERAGE(F36:Y36)</f>
        <v>0.12305211086103465</v>
      </c>
      <c r="C38" s="1"/>
      <c r="D38" s="21" t="s">
        <v>55</v>
      </c>
      <c r="E38" s="32"/>
      <c r="F38" s="32">
        <f>IF(F17&lt;0,0,F17/-SUMIF($E$29:E29,"&lt;"&amp;0,$E$29:E29))</f>
        <v>6.5594059405940597E-2</v>
      </c>
      <c r="G38" s="32">
        <f>IF(G17&lt;0,0,G17/-SUMIF($E$29:F29,"&lt;"&amp;0,$E$29:F29))</f>
        <v>6.8725247524752481E-2</v>
      </c>
      <c r="H38" s="32">
        <f>IF(H17&lt;0,0,H17/-SUMIF($E$29:G29,"&lt;"&amp;0,$E$29:G29))</f>
        <v>7.1996905940594061E-2</v>
      </c>
      <c r="I38" s="32">
        <f>IF(I17&lt;0,0,I17/-SUMIF($E$29:H29,"&lt;"&amp;0,$E$29:H29))</f>
        <v>5.9326001237623757E-2</v>
      </c>
      <c r="J38" s="32">
        <f>IF(J17&lt;0,0,J17/-SUMIF($E$29:I29,"&lt;"&amp;0,$E$29:I29))</f>
        <v>7.8986192363861382E-2</v>
      </c>
      <c r="K38" s="32">
        <f>IF(K17&lt;0,0,K17/-SUMIF($E$29:J29,"&lt;"&amp;0,$E$29:J29))</f>
        <v>8.2716752202103963E-2</v>
      </c>
      <c r="L38" s="32">
        <f>IF(L17&lt;0,0,L17/-SUMIF($E$29:K29,"&lt;"&amp;0,$E$29:K29))</f>
        <v>8.6613667798186897E-2</v>
      </c>
      <c r="M38" s="32">
        <f>IF(M17&lt;0,0,M17/-SUMIF($E$29:L29,"&lt;"&amp;0,$E$29:L29))</f>
        <v>9.0684107383353085E-2</v>
      </c>
      <c r="N38" s="32">
        <f>IF(N17&lt;0,0,N17/-SUMIF($E$29:M29,"&lt;"&amp;0,$E$29:M29))</f>
        <v>9.4935541338123083E-2</v>
      </c>
      <c r="O38" s="32">
        <f>IF(O17&lt;0,0,O17/-SUMIF($E$29:N29,"&lt;"&amp;0,$E$29:N29))</f>
        <v>9.9375754740866989E-2</v>
      </c>
      <c r="P38" s="32">
        <f>IF(P17&lt;0,0,P17/-SUMIF($E$29:O29,"&lt;"&amp;0,$E$29:O29))</f>
        <v>0.10152911085854087</v>
      </c>
      <c r="Q38" s="32">
        <f>IF(Q17&lt;0,0,Q17/-SUMIF($E$29:P29,"&lt;"&amp;0,$E$29:P29))</f>
        <v>0.10372636974663117</v>
      </c>
      <c r="R38" s="32">
        <f>IF(R17&lt;0,0,R17/-SUMIF($E$29:Q29,"&lt;"&amp;0,$E$29:Q29))</f>
        <v>0.10596833104042254</v>
      </c>
      <c r="S38" s="32">
        <f>IF(S17&lt;0,0,S17/-SUMIF($E$29:R29,"&lt;"&amp;0,$E$29:R29))</f>
        <v>0.10825580542806248</v>
      </c>
      <c r="T38" s="32">
        <f>IF(T17&lt;0,0,T17/-SUMIF($E$29:S29,"&lt;"&amp;0,$E$29:S29))</f>
        <v>0.11058961465874226</v>
      </c>
      <c r="U38" s="32">
        <f>IF(U17&lt;0,0,U17/-SUMIF($E$29:T29,"&lt;"&amp;0,$E$29:T29))</f>
        <v>0.11297059154303839</v>
      </c>
      <c r="V38" s="32">
        <f>IF(V17&lt;0,0,V17/-SUMIF($E$29:U29,"&lt;"&amp;0,$E$29:U29))</f>
        <v>0.11539957994497677</v>
      </c>
      <c r="W38" s="32">
        <f>IF(W17&lt;0,0,W17/-SUMIF($E$29:V29,"&lt;"&amp;0,$E$29:V29))</f>
        <v>0.11787743476536446</v>
      </c>
      <c r="X38" s="32">
        <f>IF(X17&lt;0,0,X17/-SUMIF($E$29:W29,"&lt;"&amp;0,$E$29:W29))</f>
        <v>0.12040502191591473</v>
      </c>
      <c r="Y38" s="32">
        <f>IF(Y17&lt;0,0,Y17/-SUMIF($E$29:X29,"&lt;"&amp;0,$E$29:X29))</f>
        <v>0.12298321828367129</v>
      </c>
      <c r="Z38" s="32"/>
    </row>
    <row r="39" spans="1:26" x14ac:dyDescent="0.75">
      <c r="A39" s="108" t="s">
        <v>71</v>
      </c>
      <c r="B39" s="111">
        <f>AVERAGE(F38:Y38)</f>
        <v>9.5932965406038545E-2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75">
      <c r="A40" s="108" t="s">
        <v>53</v>
      </c>
      <c r="B40" s="111">
        <f>F21/B24*-1</f>
        <v>6.7040915933332196E-2</v>
      </c>
      <c r="C40" s="1"/>
      <c r="D40" s="113" t="s">
        <v>56</v>
      </c>
      <c r="E40" s="107"/>
      <c r="F40" s="105">
        <f>F9/F21*-1</f>
        <v>2.0136956382613964</v>
      </c>
      <c r="G40" s="105">
        <f t="shared" ref="G40:Y40" si="19">G9/G21*-1</f>
        <v>2.109159727778974</v>
      </c>
      <c r="H40" s="105">
        <f t="shared" si="19"/>
        <v>2.2088898687968679</v>
      </c>
      <c r="I40" s="105">
        <f t="shared" si="19"/>
        <v>2.3130701280126797</v>
      </c>
      <c r="J40" s="105">
        <f t="shared" si="19"/>
        <v>2.4218923375310419</v>
      </c>
      <c r="K40" s="105">
        <f t="shared" si="19"/>
        <v>2.5355564175620748</v>
      </c>
      <c r="L40" s="105">
        <f t="shared" si="19"/>
        <v>2.6542707123902427</v>
      </c>
      <c r="M40" s="105">
        <f t="shared" si="19"/>
        <v>2.7782523401553072</v>
      </c>
      <c r="N40" s="105">
        <f t="shared" si="19"/>
        <v>2.9077275570090579</v>
      </c>
      <c r="O40" s="105">
        <f t="shared" si="19"/>
        <v>3.042932136234386</v>
      </c>
      <c r="P40" s="105">
        <f t="shared" si="19"/>
        <v>3.1092742690135879</v>
      </c>
      <c r="Q40" s="105">
        <f t="shared" si="19"/>
        <v>3.1769830199934703</v>
      </c>
      <c r="R40" s="105">
        <f t="shared" si="19"/>
        <v>3.2460837965754861</v>
      </c>
      <c r="S40" s="105">
        <f t="shared" si="19"/>
        <v>3.3166023786045185</v>
      </c>
      <c r="T40" s="105">
        <f t="shared" si="19"/>
        <v>3.3885649197977146</v>
      </c>
      <c r="U40" s="105">
        <f t="shared" si="19"/>
        <v>3.4619979489725838</v>
      </c>
      <c r="V40" s="105">
        <f t="shared" si="19"/>
        <v>3.5369283710622224</v>
      </c>
      <c r="W40" s="105">
        <f t="shared" si="19"/>
        <v>3.6133834679050616</v>
      </c>
      <c r="X40" s="105">
        <f t="shared" si="19"/>
        <v>3.6913908987959596</v>
      </c>
      <c r="Y40" s="105">
        <f t="shared" si="19"/>
        <v>3.7709787007849296</v>
      </c>
      <c r="Z40" s="1"/>
    </row>
    <row r="41" spans="1:26" x14ac:dyDescent="0.75">
      <c r="A41" s="4" t="s">
        <v>79</v>
      </c>
      <c r="B41" s="40">
        <f>AVERAGE(F40:Y40)</f>
        <v>2.9648817317618783</v>
      </c>
      <c r="C41" s="1"/>
      <c r="D41" s="1"/>
      <c r="E41" s="58"/>
      <c r="F41" s="58"/>
      <c r="G41" s="58"/>
      <c r="H41" s="58"/>
      <c r="I41" s="58"/>
      <c r="J41" s="5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75">
      <c r="E42" s="86"/>
      <c r="F42" s="86"/>
      <c r="G42" s="86"/>
      <c r="H42" s="86"/>
      <c r="I42" s="86"/>
      <c r="J42" s="86"/>
    </row>
  </sheetData>
  <dataValidations count="1">
    <dataValidation type="list" allowBlank="1" showInputMessage="1" showErrorMessage="1" sqref="B21 B19" xr:uid="{32D5ED5B-946E-4429-BB1E-5BB50DE6AFBC}">
      <formula1>$F$1:$O$1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5003-4D1A-4C1F-AD79-3938EC1A06C8}">
  <dimension ref="A1:P77"/>
  <sheetViews>
    <sheetView topLeftCell="A13" zoomScale="62" zoomScaleNormal="62" workbookViewId="0">
      <selection activeCell="O71" sqref="O71"/>
    </sheetView>
  </sheetViews>
  <sheetFormatPr defaultRowHeight="14.75" x14ac:dyDescent="0.75"/>
  <cols>
    <col min="1" max="1" width="30.04296875" bestFit="1" customWidth="1"/>
    <col min="2" max="2" width="14.1796875" bestFit="1" customWidth="1"/>
    <col min="3" max="3" width="8.86328125" customWidth="1"/>
    <col min="4" max="4" width="27.76953125" bestFit="1" customWidth="1"/>
    <col min="5" max="5" width="13.58984375" bestFit="1" customWidth="1"/>
    <col min="6" max="14" width="12.36328125" bestFit="1" customWidth="1"/>
    <col min="15" max="15" width="12.953125" bestFit="1" customWidth="1"/>
    <col min="16" max="16" width="12.36328125" bestFit="1" customWidth="1"/>
  </cols>
  <sheetData>
    <row r="1" spans="1:16" x14ac:dyDescent="0.75">
      <c r="A1" s="5" t="s">
        <v>24</v>
      </c>
      <c r="B1" s="6"/>
      <c r="C1" s="1"/>
      <c r="D1" s="17" t="s">
        <v>36</v>
      </c>
      <c r="E1" s="34">
        <v>0</v>
      </c>
      <c r="F1" s="35">
        <v>1</v>
      </c>
      <c r="G1" s="35">
        <f>F1+1</f>
        <v>2</v>
      </c>
      <c r="H1" s="35">
        <f t="shared" ref="H1:P1" si="0">G1+1</f>
        <v>3</v>
      </c>
      <c r="I1" s="35">
        <f t="shared" si="0"/>
        <v>4</v>
      </c>
      <c r="J1" s="35">
        <f t="shared" si="0"/>
        <v>5</v>
      </c>
      <c r="K1" s="35">
        <f t="shared" si="0"/>
        <v>6</v>
      </c>
      <c r="L1" s="35">
        <f t="shared" si="0"/>
        <v>7</v>
      </c>
      <c r="M1" s="35">
        <f t="shared" si="0"/>
        <v>8</v>
      </c>
      <c r="N1" s="35">
        <f t="shared" si="0"/>
        <v>9</v>
      </c>
      <c r="O1" s="35">
        <f t="shared" si="0"/>
        <v>10</v>
      </c>
      <c r="P1" s="35">
        <f t="shared" si="0"/>
        <v>11</v>
      </c>
    </row>
    <row r="2" spans="1:16" x14ac:dyDescent="0.75">
      <c r="A2" s="2" t="s">
        <v>0</v>
      </c>
      <c r="B2" s="73">
        <v>24000000</v>
      </c>
      <c r="C2" s="1"/>
      <c r="D2" s="17" t="s">
        <v>50</v>
      </c>
      <c r="E2" s="20">
        <f>B4</f>
        <v>53143</v>
      </c>
      <c r="F2" s="20">
        <f>EOMONTH(E2,12)</f>
        <v>53508</v>
      </c>
      <c r="G2" s="20">
        <f t="shared" ref="G2:P2" si="1">EOMONTH(F2,12)</f>
        <v>53873</v>
      </c>
      <c r="H2" s="20">
        <f t="shared" si="1"/>
        <v>54239</v>
      </c>
      <c r="I2" s="20">
        <f t="shared" si="1"/>
        <v>54604</v>
      </c>
      <c r="J2" s="20">
        <f t="shared" si="1"/>
        <v>54969</v>
      </c>
      <c r="K2" s="20">
        <f t="shared" si="1"/>
        <v>55334</v>
      </c>
      <c r="L2" s="20">
        <f t="shared" si="1"/>
        <v>55700</v>
      </c>
      <c r="M2" s="20">
        <f t="shared" si="1"/>
        <v>56065</v>
      </c>
      <c r="N2" s="20">
        <f t="shared" si="1"/>
        <v>56430</v>
      </c>
      <c r="O2" s="20">
        <f t="shared" si="1"/>
        <v>56795</v>
      </c>
      <c r="P2" s="20">
        <f t="shared" si="1"/>
        <v>57161</v>
      </c>
    </row>
    <row r="3" spans="1:16" x14ac:dyDescent="0.75">
      <c r="A3" s="3" t="s">
        <v>1</v>
      </c>
      <c r="B3" s="18">
        <v>200000</v>
      </c>
      <c r="C3" s="1"/>
      <c r="D3" s="2" t="s">
        <v>5</v>
      </c>
      <c r="E3" s="22">
        <v>0</v>
      </c>
      <c r="F3" s="22">
        <f>B7*B8</f>
        <v>3360000</v>
      </c>
      <c r="G3" s="22">
        <f t="shared" ref="G3:P3" si="2">F3*(1+$B$10)</f>
        <v>3460800</v>
      </c>
      <c r="H3" s="22">
        <f t="shared" si="2"/>
        <v>3564624</v>
      </c>
      <c r="I3" s="22">
        <f t="shared" si="2"/>
        <v>3671562.72</v>
      </c>
      <c r="J3" s="22">
        <f t="shared" si="2"/>
        <v>3781709.6016000002</v>
      </c>
      <c r="K3" s="22">
        <f t="shared" si="2"/>
        <v>3895160.8896480002</v>
      </c>
      <c r="L3" s="22">
        <f t="shared" si="2"/>
        <v>4012015.7163374405</v>
      </c>
      <c r="M3" s="22">
        <f t="shared" si="2"/>
        <v>4132376.1878275638</v>
      </c>
      <c r="N3" s="22">
        <f t="shared" si="2"/>
        <v>4256347.4734623907</v>
      </c>
      <c r="O3" s="22">
        <f t="shared" si="2"/>
        <v>4384037.8976662625</v>
      </c>
      <c r="P3" s="23">
        <f t="shared" si="2"/>
        <v>4515559.0345962504</v>
      </c>
    </row>
    <row r="4" spans="1:16" x14ac:dyDescent="0.75">
      <c r="A4" s="4" t="s">
        <v>37</v>
      </c>
      <c r="B4" s="19">
        <v>53143</v>
      </c>
      <c r="C4" s="1"/>
      <c r="D4" s="3" t="s">
        <v>6</v>
      </c>
      <c r="E4" s="24">
        <v>0</v>
      </c>
      <c r="F4" s="24">
        <f t="shared" ref="F4:P4" si="3">-$B$9*F3</f>
        <v>-235200.00000000003</v>
      </c>
      <c r="G4" s="24">
        <f t="shared" si="3"/>
        <v>-242256.00000000003</v>
      </c>
      <c r="H4" s="24">
        <f t="shared" si="3"/>
        <v>-249523.68000000002</v>
      </c>
      <c r="I4" s="24">
        <f t="shared" si="3"/>
        <v>-257009.39040000003</v>
      </c>
      <c r="J4" s="24">
        <f t="shared" si="3"/>
        <v>-264719.67211200006</v>
      </c>
      <c r="K4" s="24">
        <f t="shared" si="3"/>
        <v>-272661.26227536006</v>
      </c>
      <c r="L4" s="24">
        <f t="shared" si="3"/>
        <v>-280841.10014362086</v>
      </c>
      <c r="M4" s="24">
        <f t="shared" si="3"/>
        <v>-289266.33314792952</v>
      </c>
      <c r="N4" s="24">
        <f t="shared" si="3"/>
        <v>-297944.32314236736</v>
      </c>
      <c r="O4" s="24">
        <f t="shared" si="3"/>
        <v>-306882.65283663839</v>
      </c>
      <c r="P4" s="25">
        <f t="shared" si="3"/>
        <v>-316089.13242173754</v>
      </c>
    </row>
    <row r="5" spans="1:16" x14ac:dyDescent="0.75">
      <c r="A5" s="1"/>
      <c r="B5" s="1"/>
      <c r="C5" s="1"/>
      <c r="D5" s="21" t="s">
        <v>7</v>
      </c>
      <c r="E5" s="26">
        <v>0</v>
      </c>
      <c r="F5" s="26">
        <f>SUM(F3:F4)</f>
        <v>3124800</v>
      </c>
      <c r="G5" s="26">
        <f t="shared" ref="G5:P5" si="4">SUM(G3:G4)</f>
        <v>3218544</v>
      </c>
      <c r="H5" s="26">
        <f t="shared" si="4"/>
        <v>3315100.32</v>
      </c>
      <c r="I5" s="26">
        <f t="shared" si="4"/>
        <v>3414553.3296000003</v>
      </c>
      <c r="J5" s="26">
        <f t="shared" si="4"/>
        <v>3516989.929488</v>
      </c>
      <c r="K5" s="26">
        <f t="shared" si="4"/>
        <v>3622499.6273726402</v>
      </c>
      <c r="L5" s="26">
        <f t="shared" si="4"/>
        <v>3731174.6161938198</v>
      </c>
      <c r="M5" s="26">
        <f t="shared" si="4"/>
        <v>3843109.8546796343</v>
      </c>
      <c r="N5" s="26">
        <f t="shared" si="4"/>
        <v>3958403.1503200233</v>
      </c>
      <c r="O5" s="26">
        <f t="shared" si="4"/>
        <v>4077155.244829624</v>
      </c>
      <c r="P5" s="27">
        <f t="shared" si="4"/>
        <v>4199469.9021745129</v>
      </c>
    </row>
    <row r="6" spans="1:16" x14ac:dyDescent="0.75">
      <c r="A6" s="5" t="s">
        <v>23</v>
      </c>
      <c r="B6" s="6"/>
      <c r="C6" s="1"/>
      <c r="D6" s="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</row>
    <row r="7" spans="1:16" x14ac:dyDescent="0.75">
      <c r="A7" s="2" t="s">
        <v>2</v>
      </c>
      <c r="B7" s="8">
        <v>70000</v>
      </c>
      <c r="C7" s="1"/>
      <c r="D7" s="21" t="s">
        <v>8</v>
      </c>
      <c r="E7" s="26">
        <v>0</v>
      </c>
      <c r="F7" s="26">
        <f>-B11*B7</f>
        <v>-1470000</v>
      </c>
      <c r="G7" s="26">
        <f>F7*(1+$B$12)</f>
        <v>-1514100</v>
      </c>
      <c r="H7" s="26">
        <f>G7*(1+$B$12)</f>
        <v>-1559523</v>
      </c>
      <c r="I7" s="26">
        <f t="shared" ref="I7:P7" si="5">H7*(1+$B$12)</f>
        <v>-1606308.69</v>
      </c>
      <c r="J7" s="26">
        <f t="shared" si="5"/>
        <v>-1654497.9506999999</v>
      </c>
      <c r="K7" s="26">
        <f t="shared" si="5"/>
        <v>-1704132.889221</v>
      </c>
      <c r="L7" s="26">
        <f t="shared" si="5"/>
        <v>-1755256.8758976301</v>
      </c>
      <c r="M7" s="26">
        <f t="shared" si="5"/>
        <v>-1807914.5821745591</v>
      </c>
      <c r="N7" s="26">
        <f t="shared" si="5"/>
        <v>-1862152.0196397959</v>
      </c>
      <c r="O7" s="26">
        <f t="shared" si="5"/>
        <v>-1918016.5802289897</v>
      </c>
      <c r="P7" s="27">
        <f t="shared" si="5"/>
        <v>-1975557.0776358594</v>
      </c>
    </row>
    <row r="8" spans="1:16" x14ac:dyDescent="0.75">
      <c r="A8" s="3" t="s">
        <v>3</v>
      </c>
      <c r="B8" s="9">
        <v>48</v>
      </c>
      <c r="C8" s="1"/>
      <c r="D8" s="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5"/>
    </row>
    <row r="9" spans="1:16" x14ac:dyDescent="0.75">
      <c r="A9" s="3" t="s">
        <v>4</v>
      </c>
      <c r="B9" s="10">
        <v>7.0000000000000007E-2</v>
      </c>
      <c r="C9" s="1"/>
      <c r="D9" s="21" t="s">
        <v>9</v>
      </c>
      <c r="E9" s="26">
        <v>0</v>
      </c>
      <c r="F9" s="26">
        <f>SUM(F5,F7)</f>
        <v>1654800</v>
      </c>
      <c r="G9" s="26">
        <f t="shared" ref="G9:P9" si="6">SUM(G5,G7)</f>
        <v>1704444</v>
      </c>
      <c r="H9" s="26">
        <f t="shared" si="6"/>
        <v>1755577.3199999998</v>
      </c>
      <c r="I9" s="26">
        <f t="shared" si="6"/>
        <v>1808244.6396000003</v>
      </c>
      <c r="J9" s="26">
        <f t="shared" si="6"/>
        <v>1862491.9787880001</v>
      </c>
      <c r="K9" s="26">
        <f t="shared" si="6"/>
        <v>1918366.7381516402</v>
      </c>
      <c r="L9" s="26">
        <f t="shared" si="6"/>
        <v>1975917.7402961897</v>
      </c>
      <c r="M9" s="26">
        <f t="shared" si="6"/>
        <v>2035195.2725050752</v>
      </c>
      <c r="N9" s="26">
        <f t="shared" si="6"/>
        <v>2096251.1306802274</v>
      </c>
      <c r="O9" s="26">
        <f t="shared" si="6"/>
        <v>2159138.664600634</v>
      </c>
      <c r="P9" s="27">
        <f t="shared" si="6"/>
        <v>2223912.8245386537</v>
      </c>
    </row>
    <row r="10" spans="1:16" x14ac:dyDescent="0.75">
      <c r="A10" s="3" t="s">
        <v>20</v>
      </c>
      <c r="B10" s="10">
        <v>0.03</v>
      </c>
      <c r="C10" s="1"/>
      <c r="D10" s="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5"/>
    </row>
    <row r="11" spans="1:16" x14ac:dyDescent="0.75">
      <c r="A11" s="3" t="s">
        <v>21</v>
      </c>
      <c r="B11" s="9">
        <v>21</v>
      </c>
      <c r="C11" s="1"/>
      <c r="D11" s="3" t="s">
        <v>11</v>
      </c>
      <c r="E11" s="24">
        <v>0</v>
      </c>
      <c r="F11" s="24">
        <f>IF(F$1=$B$18,-$B$17,0)</f>
        <v>0</v>
      </c>
      <c r="G11" s="24">
        <f t="shared" ref="G11:O11" si="7">IF(G$1=$B$18,-$B$17,0)</f>
        <v>0</v>
      </c>
      <c r="H11" s="24">
        <f t="shared" si="7"/>
        <v>0</v>
      </c>
      <c r="I11" s="24">
        <f t="shared" si="7"/>
        <v>-125000</v>
      </c>
      <c r="J11" s="24">
        <f t="shared" si="7"/>
        <v>0</v>
      </c>
      <c r="K11" s="24">
        <f t="shared" si="7"/>
        <v>0</v>
      </c>
      <c r="L11" s="24">
        <f t="shared" si="7"/>
        <v>0</v>
      </c>
      <c r="M11" s="24">
        <f t="shared" si="7"/>
        <v>0</v>
      </c>
      <c r="N11" s="24">
        <f t="shared" si="7"/>
        <v>0</v>
      </c>
      <c r="O11" s="24">
        <f t="shared" si="7"/>
        <v>0</v>
      </c>
      <c r="P11" s="25"/>
    </row>
    <row r="12" spans="1:16" x14ac:dyDescent="0.75">
      <c r="A12" s="4" t="s">
        <v>22</v>
      </c>
      <c r="B12" s="11">
        <v>0.03</v>
      </c>
      <c r="C12" s="1"/>
      <c r="D12" s="3" t="s">
        <v>10</v>
      </c>
      <c r="E12" s="24">
        <v>0</v>
      </c>
      <c r="F12" s="24">
        <f>IF(F$1=$B$20,-$B$19,0)</f>
        <v>0</v>
      </c>
      <c r="G12" s="24">
        <f t="shared" ref="G12:O12" si="8">IF(G$1=$B$20,-$B$19,0)</f>
        <v>0</v>
      </c>
      <c r="H12" s="24">
        <f t="shared" si="8"/>
        <v>0</v>
      </c>
      <c r="I12" s="24">
        <f t="shared" si="8"/>
        <v>-200000</v>
      </c>
      <c r="J12" s="24">
        <f t="shared" si="8"/>
        <v>0</v>
      </c>
      <c r="K12" s="24">
        <f t="shared" si="8"/>
        <v>0</v>
      </c>
      <c r="L12" s="24">
        <f t="shared" si="8"/>
        <v>0</v>
      </c>
      <c r="M12" s="24">
        <f t="shared" si="8"/>
        <v>0</v>
      </c>
      <c r="N12" s="24">
        <f t="shared" si="8"/>
        <v>0</v>
      </c>
      <c r="O12" s="24">
        <f t="shared" si="8"/>
        <v>0</v>
      </c>
      <c r="P12" s="25"/>
    </row>
    <row r="13" spans="1:16" x14ac:dyDescent="0.75">
      <c r="A13" s="1"/>
      <c r="B13" s="1"/>
      <c r="C13" s="1"/>
      <c r="D13" s="3" t="s">
        <v>43</v>
      </c>
      <c r="E13" s="24">
        <v>0</v>
      </c>
      <c r="F13" s="24">
        <f>-B15*B7</f>
        <v>-35000</v>
      </c>
      <c r="G13" s="24">
        <f>F13*(1+$B$16)</f>
        <v>-36050</v>
      </c>
      <c r="H13" s="24">
        <f t="shared" ref="H13:O13" si="9">G13*(1+$B$16)</f>
        <v>-37131.5</v>
      </c>
      <c r="I13" s="24">
        <f t="shared" si="9"/>
        <v>-38245.445</v>
      </c>
      <c r="J13" s="24">
        <f t="shared" si="9"/>
        <v>-39392.808349999999</v>
      </c>
      <c r="K13" s="24">
        <f t="shared" si="9"/>
        <v>-40574.5926005</v>
      </c>
      <c r="L13" s="24">
        <f t="shared" si="9"/>
        <v>-41791.830378514998</v>
      </c>
      <c r="M13" s="24">
        <f t="shared" si="9"/>
        <v>-43045.585289870447</v>
      </c>
      <c r="N13" s="24">
        <f t="shared" si="9"/>
        <v>-44336.952848566565</v>
      </c>
      <c r="O13" s="24">
        <f t="shared" si="9"/>
        <v>-45667.061434023562</v>
      </c>
      <c r="P13" s="25"/>
    </row>
    <row r="14" spans="1:16" x14ac:dyDescent="0.75">
      <c r="A14" s="5" t="s">
        <v>25</v>
      </c>
      <c r="B14" s="6"/>
      <c r="C14" s="1"/>
      <c r="D14" s="21" t="s">
        <v>12</v>
      </c>
      <c r="E14" s="26">
        <v>0</v>
      </c>
      <c r="F14" s="26">
        <f t="shared" ref="F14:O14" si="10">SUM(F11:F13)</f>
        <v>-35000</v>
      </c>
      <c r="G14" s="26">
        <f t="shared" si="10"/>
        <v>-36050</v>
      </c>
      <c r="H14" s="26">
        <f t="shared" si="10"/>
        <v>-37131.5</v>
      </c>
      <c r="I14" s="26">
        <f t="shared" si="10"/>
        <v>-363245.44500000001</v>
      </c>
      <c r="J14" s="26">
        <f t="shared" si="10"/>
        <v>-39392.808349999999</v>
      </c>
      <c r="K14" s="26">
        <f t="shared" si="10"/>
        <v>-40574.5926005</v>
      </c>
      <c r="L14" s="26">
        <f t="shared" si="10"/>
        <v>-41791.830378514998</v>
      </c>
      <c r="M14" s="26">
        <f t="shared" si="10"/>
        <v>-43045.585289870447</v>
      </c>
      <c r="N14" s="26">
        <f t="shared" si="10"/>
        <v>-44336.952848566565</v>
      </c>
      <c r="O14" s="26">
        <f t="shared" si="10"/>
        <v>-45667.061434023562</v>
      </c>
      <c r="P14" s="27"/>
    </row>
    <row r="15" spans="1:16" x14ac:dyDescent="0.75">
      <c r="A15" s="2" t="s">
        <v>26</v>
      </c>
      <c r="B15" s="12">
        <v>0.5</v>
      </c>
      <c r="C15" s="1"/>
      <c r="D15" s="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5"/>
    </row>
    <row r="16" spans="1:16" x14ac:dyDescent="0.75">
      <c r="A16" s="3" t="s">
        <v>44</v>
      </c>
      <c r="B16" s="10">
        <v>0.03</v>
      </c>
      <c r="C16" s="1"/>
      <c r="D16" s="21" t="s">
        <v>13</v>
      </c>
      <c r="E16" s="26">
        <v>0</v>
      </c>
      <c r="F16" s="26">
        <f t="shared" ref="F16:O16" si="11">SUM(F14,F9)</f>
        <v>1619800</v>
      </c>
      <c r="G16" s="26">
        <f t="shared" si="11"/>
        <v>1668394</v>
      </c>
      <c r="H16" s="26">
        <f t="shared" si="11"/>
        <v>1718445.8199999998</v>
      </c>
      <c r="I16" s="26">
        <f t="shared" si="11"/>
        <v>1444999.1946000003</v>
      </c>
      <c r="J16" s="26">
        <f t="shared" si="11"/>
        <v>1823099.170438</v>
      </c>
      <c r="K16" s="26">
        <f t="shared" si="11"/>
        <v>1877792.1455511402</v>
      </c>
      <c r="L16" s="26">
        <f t="shared" si="11"/>
        <v>1934125.9099176747</v>
      </c>
      <c r="M16" s="26">
        <f t="shared" si="11"/>
        <v>1992149.6872152048</v>
      </c>
      <c r="N16" s="26">
        <f t="shared" si="11"/>
        <v>2051914.177831661</v>
      </c>
      <c r="O16" s="26">
        <f t="shared" si="11"/>
        <v>2113471.6031666105</v>
      </c>
      <c r="P16" s="27"/>
    </row>
    <row r="17" spans="1:16" x14ac:dyDescent="0.75">
      <c r="A17" s="3" t="s">
        <v>11</v>
      </c>
      <c r="B17" s="13">
        <v>125000</v>
      </c>
      <c r="C17" s="1"/>
      <c r="D17" s="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5"/>
    </row>
    <row r="18" spans="1:16" x14ac:dyDescent="0.75">
      <c r="A18" s="3" t="s">
        <v>28</v>
      </c>
      <c r="B18" s="14">
        <v>4</v>
      </c>
      <c r="C18" s="1"/>
      <c r="D18" s="3" t="s">
        <v>14</v>
      </c>
      <c r="E18" s="24">
        <v>0</v>
      </c>
      <c r="F18" s="24">
        <f>CUMPRINC($B$25/12,$B$26*12,$B$23,F$1*12-11,F$1*12,0)</f>
        <v>-230027.14086317646</v>
      </c>
      <c r="G18" s="24">
        <f t="shared" ref="G18:O18" si="12">CUMPRINC($B$25/12,$B$26*12,$B$23,G$1*12-11,G$1*12,0)</f>
        <v>-243002.47970987036</v>
      </c>
      <c r="H18" s="24">
        <f t="shared" si="12"/>
        <v>-256709.72965868359</v>
      </c>
      <c r="I18" s="24">
        <f t="shared" si="12"/>
        <v>-271190.17624887917</v>
      </c>
      <c r="J18" s="24">
        <f t="shared" si="12"/>
        <v>-286487.43384865468</v>
      </c>
      <c r="K18" s="24">
        <f t="shared" si="12"/>
        <v>-302647.57701939985</v>
      </c>
      <c r="L18" s="24">
        <f t="shared" si="12"/>
        <v>-319719.27928993071</v>
      </c>
      <c r="M18" s="24">
        <f t="shared" si="12"/>
        <v>-337753.95975868113</v>
      </c>
      <c r="N18" s="24">
        <f t="shared" si="12"/>
        <v>-356805.93796541053</v>
      </c>
      <c r="O18" s="24">
        <f t="shared" si="12"/>
        <v>-376932.5974988935</v>
      </c>
      <c r="P18" s="25"/>
    </row>
    <row r="19" spans="1:16" x14ac:dyDescent="0.75">
      <c r="A19" s="3" t="s">
        <v>27</v>
      </c>
      <c r="B19" s="13">
        <v>200000</v>
      </c>
      <c r="C19" s="1"/>
      <c r="D19" s="3" t="s">
        <v>15</v>
      </c>
      <c r="E19" s="24">
        <v>0</v>
      </c>
      <c r="F19" s="24">
        <f t="shared" ref="F19:O19" si="13">CUMIPMT($B$25/12,$B$26*12,$B$23,F$1*12-11,F$1*12,0)</f>
        <v>-654258.8480221408</v>
      </c>
      <c r="G19" s="24">
        <f t="shared" si="13"/>
        <v>-641283.50917544682</v>
      </c>
      <c r="H19" s="24">
        <f t="shared" si="13"/>
        <v>-627576.2592266337</v>
      </c>
      <c r="I19" s="24">
        <f t="shared" si="13"/>
        <v>-613095.81263643806</v>
      </c>
      <c r="J19" s="24">
        <f t="shared" si="13"/>
        <v>-597798.55503666261</v>
      </c>
      <c r="K19" s="24">
        <f t="shared" si="13"/>
        <v>-581638.41186591738</v>
      </c>
      <c r="L19" s="24">
        <f t="shared" si="13"/>
        <v>-564566.70959538652</v>
      </c>
      <c r="M19" s="24">
        <f t="shared" si="13"/>
        <v>-546532.0291266361</v>
      </c>
      <c r="N19" s="24">
        <f t="shared" si="13"/>
        <v>-527480.0509199067</v>
      </c>
      <c r="O19" s="24">
        <f t="shared" si="13"/>
        <v>-507353.39138642373</v>
      </c>
      <c r="P19" s="25"/>
    </row>
    <row r="20" spans="1:16" x14ac:dyDescent="0.75">
      <c r="A20" s="4" t="s">
        <v>29</v>
      </c>
      <c r="B20" s="15">
        <v>4</v>
      </c>
      <c r="C20" s="1"/>
      <c r="D20" s="21" t="s">
        <v>16</v>
      </c>
      <c r="E20" s="26">
        <v>0</v>
      </c>
      <c r="F20" s="26">
        <f>SUM(F18:F19)</f>
        <v>-884285.98888531723</v>
      </c>
      <c r="G20" s="26">
        <f t="shared" ref="G20:O20" si="14">SUM(G18:G19)</f>
        <v>-884285.98888531723</v>
      </c>
      <c r="H20" s="26">
        <f t="shared" si="14"/>
        <v>-884285.98888531723</v>
      </c>
      <c r="I20" s="26">
        <f t="shared" si="14"/>
        <v>-884285.98888531723</v>
      </c>
      <c r="J20" s="26">
        <f t="shared" si="14"/>
        <v>-884285.98888531723</v>
      </c>
      <c r="K20" s="26">
        <f t="shared" si="14"/>
        <v>-884285.98888531723</v>
      </c>
      <c r="L20" s="26">
        <f t="shared" si="14"/>
        <v>-884285.98888531723</v>
      </c>
      <c r="M20" s="26">
        <f t="shared" si="14"/>
        <v>-884285.98888531723</v>
      </c>
      <c r="N20" s="26">
        <f t="shared" si="14"/>
        <v>-884285.98888531723</v>
      </c>
      <c r="O20" s="26">
        <f t="shared" si="14"/>
        <v>-884285.98888531723</v>
      </c>
      <c r="P20" s="27"/>
    </row>
    <row r="21" spans="1:16" x14ac:dyDescent="0.75">
      <c r="A21" s="1"/>
      <c r="B21" s="1"/>
      <c r="C21" s="1"/>
      <c r="D21" s="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5"/>
    </row>
    <row r="22" spans="1:16" x14ac:dyDescent="0.75">
      <c r="A22" s="5" t="s">
        <v>30</v>
      </c>
      <c r="B22" s="6"/>
      <c r="C22" s="1"/>
      <c r="D22" s="21" t="s">
        <v>17</v>
      </c>
      <c r="E22" s="26">
        <v>0</v>
      </c>
      <c r="F22" s="26">
        <f>SUM(F16,F20)</f>
        <v>735514.01111468277</v>
      </c>
      <c r="G22" s="26">
        <f t="shared" ref="G22:O22" si="15">SUM(G16,G20)</f>
        <v>784108.01111468277</v>
      </c>
      <c r="H22" s="26">
        <f t="shared" si="15"/>
        <v>834159.8311146826</v>
      </c>
      <c r="I22" s="26">
        <f t="shared" si="15"/>
        <v>560713.20571468305</v>
      </c>
      <c r="J22" s="26">
        <f t="shared" si="15"/>
        <v>938813.18155268277</v>
      </c>
      <c r="K22" s="26">
        <f t="shared" si="15"/>
        <v>993506.15666582296</v>
      </c>
      <c r="L22" s="26">
        <f t="shared" si="15"/>
        <v>1049839.9210323575</v>
      </c>
      <c r="M22" s="26">
        <f t="shared" si="15"/>
        <v>1107863.6983298876</v>
      </c>
      <c r="N22" s="26">
        <f t="shared" si="15"/>
        <v>1167628.1889463437</v>
      </c>
      <c r="O22" s="26">
        <f t="shared" si="15"/>
        <v>1229185.6142812932</v>
      </c>
      <c r="P22" s="27"/>
    </row>
    <row r="23" spans="1:16" x14ac:dyDescent="0.75">
      <c r="A23" s="2" t="s">
        <v>34</v>
      </c>
      <c r="B23" s="7">
        <v>12000000</v>
      </c>
      <c r="C23" s="1"/>
      <c r="D23" s="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5"/>
    </row>
    <row r="24" spans="1:16" x14ac:dyDescent="0.75">
      <c r="A24" s="3" t="s">
        <v>45</v>
      </c>
      <c r="B24" s="10">
        <v>0.01</v>
      </c>
      <c r="C24" s="1"/>
      <c r="D24" s="3" t="s">
        <v>0</v>
      </c>
      <c r="E24" s="24">
        <f>-B2</f>
        <v>-24000000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5"/>
    </row>
    <row r="25" spans="1:16" x14ac:dyDescent="0.75">
      <c r="A25" s="3" t="s">
        <v>33</v>
      </c>
      <c r="B25" s="10">
        <v>5.5E-2</v>
      </c>
      <c r="C25" s="1"/>
      <c r="D25" s="3" t="s">
        <v>1</v>
      </c>
      <c r="E25" s="24">
        <f>-B3</f>
        <v>-200000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5"/>
    </row>
    <row r="26" spans="1:16" x14ac:dyDescent="0.75">
      <c r="A26" s="4" t="s">
        <v>35</v>
      </c>
      <c r="B26" s="16">
        <v>25</v>
      </c>
      <c r="C26" s="1"/>
      <c r="D26" s="3" t="s">
        <v>18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f>P9/B29</f>
        <v>40805739.899791814</v>
      </c>
      <c r="P26" s="25"/>
    </row>
    <row r="27" spans="1:16" x14ac:dyDescent="0.75">
      <c r="A27" s="1"/>
      <c r="B27" s="1"/>
      <c r="C27" s="1"/>
      <c r="D27" s="3" t="s">
        <v>19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f>O26*-B30</f>
        <v>-1020143.4974947954</v>
      </c>
      <c r="P27" s="25"/>
    </row>
    <row r="28" spans="1:16" x14ac:dyDescent="0.75">
      <c r="A28" s="5" t="s">
        <v>31</v>
      </c>
      <c r="B28" s="6"/>
      <c r="C28" s="1"/>
      <c r="D28" s="21" t="s">
        <v>40</v>
      </c>
      <c r="E28" s="26">
        <f>SUM(E24:E27,E16)</f>
        <v>-24200000</v>
      </c>
      <c r="F28" s="26">
        <f>SUM(F24:F27,F16)</f>
        <v>1619800</v>
      </c>
      <c r="G28" s="26">
        <f t="shared" ref="G28:O28" si="16">SUM(G24:G27,G16)</f>
        <v>1668394</v>
      </c>
      <c r="H28" s="26">
        <f t="shared" si="16"/>
        <v>1718445.8199999998</v>
      </c>
      <c r="I28" s="26">
        <f t="shared" si="16"/>
        <v>1444999.1946000003</v>
      </c>
      <c r="J28" s="26">
        <f t="shared" si="16"/>
        <v>1823099.170438</v>
      </c>
      <c r="K28" s="26">
        <f t="shared" si="16"/>
        <v>1877792.1455511402</v>
      </c>
      <c r="L28" s="26">
        <f t="shared" si="16"/>
        <v>1934125.9099176747</v>
      </c>
      <c r="M28" s="26">
        <f t="shared" si="16"/>
        <v>1992149.6872152048</v>
      </c>
      <c r="N28" s="26">
        <f t="shared" si="16"/>
        <v>2051914.177831661</v>
      </c>
      <c r="O28" s="26">
        <f t="shared" si="16"/>
        <v>41899068.00546363</v>
      </c>
      <c r="P28" s="27"/>
    </row>
    <row r="29" spans="1:16" x14ac:dyDescent="0.75">
      <c r="A29" s="3" t="s">
        <v>32</v>
      </c>
      <c r="B29" s="28">
        <v>5.45E-2</v>
      </c>
      <c r="C29" s="1"/>
      <c r="D29" s="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5"/>
    </row>
    <row r="30" spans="1:16" x14ac:dyDescent="0.75">
      <c r="A30" s="4" t="s">
        <v>19</v>
      </c>
      <c r="B30" s="11">
        <v>2.5000000000000001E-2</v>
      </c>
      <c r="C30" s="1"/>
      <c r="D30" s="3" t="s">
        <v>38</v>
      </c>
      <c r="E30" s="24">
        <f>B23</f>
        <v>12000000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5"/>
    </row>
    <row r="31" spans="1:16" x14ac:dyDescent="0.75">
      <c r="A31" s="1"/>
      <c r="B31" s="1"/>
      <c r="C31" s="1"/>
      <c r="D31" s="3" t="s">
        <v>41</v>
      </c>
      <c r="E31" s="24">
        <f>B23*-B24</f>
        <v>-120000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5"/>
    </row>
    <row r="32" spans="1:16" x14ac:dyDescent="0.75">
      <c r="A32" s="30" t="s">
        <v>46</v>
      </c>
      <c r="B32" s="31"/>
      <c r="C32" s="1"/>
      <c r="D32" s="3" t="s">
        <v>39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f>-(B23+SUM(F18:O18))</f>
        <v>-9018723.6881384198</v>
      </c>
      <c r="P32" s="25"/>
    </row>
    <row r="33" spans="1:16" x14ac:dyDescent="0.75">
      <c r="A33" s="3" t="s">
        <v>47</v>
      </c>
      <c r="B33" s="36">
        <f>F9/B2</f>
        <v>6.8949999999999997E-2</v>
      </c>
      <c r="C33" s="1"/>
      <c r="D33" s="21" t="s">
        <v>42</v>
      </c>
      <c r="E33" s="26">
        <f>SUM(E20,E28:E32)</f>
        <v>-12320000</v>
      </c>
      <c r="F33" s="26">
        <f t="shared" ref="F33:O33" si="17">SUM(F20,F28:F32)</f>
        <v>735514.01111468277</v>
      </c>
      <c r="G33" s="26">
        <f t="shared" si="17"/>
        <v>784108.01111468277</v>
      </c>
      <c r="H33" s="26">
        <f t="shared" si="17"/>
        <v>834159.8311146826</v>
      </c>
      <c r="I33" s="26">
        <f t="shared" si="17"/>
        <v>560713.20571468305</v>
      </c>
      <c r="J33" s="26">
        <f t="shared" si="17"/>
        <v>938813.18155268277</v>
      </c>
      <c r="K33" s="26">
        <f t="shared" si="17"/>
        <v>993506.15666582296</v>
      </c>
      <c r="L33" s="26">
        <f t="shared" si="17"/>
        <v>1049839.9210323575</v>
      </c>
      <c r="M33" s="26">
        <f t="shared" si="17"/>
        <v>1107863.6983298876</v>
      </c>
      <c r="N33" s="26">
        <f t="shared" si="17"/>
        <v>1167628.1889463437</v>
      </c>
      <c r="O33" s="26">
        <f t="shared" si="17"/>
        <v>31996058.328439891</v>
      </c>
      <c r="P33" s="27"/>
    </row>
    <row r="34" spans="1:16" x14ac:dyDescent="0.75">
      <c r="A34" s="3" t="s">
        <v>48</v>
      </c>
      <c r="B34" s="36">
        <f>IRR(E33:O33)</f>
        <v>0.1462326954264761</v>
      </c>
    </row>
    <row r="35" spans="1:16" x14ac:dyDescent="0.75">
      <c r="A35" s="3" t="s">
        <v>60</v>
      </c>
      <c r="B35" s="36">
        <f>IRR(E28:O28)</f>
        <v>0.11153009659387414</v>
      </c>
      <c r="D35" s="21" t="s">
        <v>54</v>
      </c>
      <c r="E35" s="32"/>
      <c r="F35" s="32">
        <f>IF(F22&lt;0,0,F22/-SUMIF($E$33:E33,"&lt;"&amp;0,$E$33:E33))</f>
        <v>5.9700812590477499E-2</v>
      </c>
      <c r="G35" s="32">
        <f>IF(G22&lt;0,0,G22/-SUMIF($E$33:F33,"&lt;"&amp;0,$E$33:F33))</f>
        <v>6.364513077229568E-2</v>
      </c>
      <c r="H35" s="32">
        <f>IF(H22&lt;0,0,H22/-SUMIF($E$33:G33,"&lt;"&amp;0,$E$33:G33))</f>
        <v>6.7707778499568397E-2</v>
      </c>
      <c r="I35" s="32">
        <f>IF(I22&lt;0,0,I22/-SUMIF($E$33:H33,"&lt;"&amp;0,$E$33:H33))</f>
        <v>4.5512435528789211E-2</v>
      </c>
      <c r="J35" s="32">
        <f>IF(J22&lt;0,0,J22/-SUMIF($E$33:I33,"&lt;"&amp;0,$E$33:I33))</f>
        <v>7.6202368632522957E-2</v>
      </c>
      <c r="K35" s="32">
        <f>IF(K22&lt;0,0,K22/-SUMIF($E$33:J33,"&lt;"&amp;0,$E$33:J33))</f>
        <v>8.0641733495602511E-2</v>
      </c>
      <c r="L35" s="32">
        <f>IF(L22&lt;0,0,L22/-SUMIF($E$33:K33,"&lt;"&amp;0,$E$33:K33))</f>
        <v>8.5214279304574467E-2</v>
      </c>
      <c r="M35" s="32">
        <f>IF(M22&lt;0,0,M22/-SUMIF($E$33:L33,"&lt;"&amp;0,$E$33:L33))</f>
        <v>8.9924001487815555E-2</v>
      </c>
      <c r="N35" s="32">
        <f>IF(N22&lt;0,0,N22/-SUMIF($E$33:M33,"&lt;"&amp;0,$E$33:M33))</f>
        <v>9.4775015336553872E-2</v>
      </c>
      <c r="O35" s="32">
        <f>IF(O22&lt;0,0,O22/-SUMIF($E$33:N33,"&lt;"&amp;0,$E$33:N33))</f>
        <v>9.9771559600754317E-2</v>
      </c>
      <c r="P35" s="33"/>
    </row>
    <row r="36" spans="1:16" x14ac:dyDescent="0.75">
      <c r="A36" s="3" t="s">
        <v>49</v>
      </c>
      <c r="B36" s="37">
        <f>SUMIF(E33:O33,"&gt;"&amp;0,E33:O33)/-SUMIF(E33:O33,"&lt;"&amp;0,E33:O33)</f>
        <v>3.2604062121774122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4" t="s">
        <v>51</v>
      </c>
      <c r="B37" s="38">
        <f>AVERAGE(F35:O35)</f>
        <v>7.6309511524895443E-2</v>
      </c>
      <c r="D37" s="21" t="s">
        <v>55</v>
      </c>
      <c r="E37" s="32"/>
      <c r="F37" s="32">
        <f>IF(F16&lt;0,0,F16/-SUMIF($E$28:E28,"&lt;"&amp;0,$E$28:E28))</f>
        <v>6.693388429752066E-2</v>
      </c>
      <c r="G37" s="32">
        <f>IF(G16&lt;0,0,G16/-SUMIF($E$28:F28,"&lt;"&amp;0,$E$28:F28))</f>
        <v>6.8941900826446287E-2</v>
      </c>
      <c r="H37" s="32">
        <f>IF(H16&lt;0,0,H16/-SUMIF($E$28:G28,"&lt;"&amp;0,$E$28:G28))</f>
        <v>7.1010157851239666E-2</v>
      </c>
      <c r="I37" s="32">
        <f>IF(I16&lt;0,0,I16/-SUMIF($E$28:H28,"&lt;"&amp;0,$E$28:H28))</f>
        <v>5.9710710520661167E-2</v>
      </c>
      <c r="J37" s="32">
        <f>IF(J16&lt;0,0,J16/-SUMIF($E$28:I28,"&lt;"&amp;0,$E$28:I28))</f>
        <v>7.5334676464380163E-2</v>
      </c>
      <c r="K37" s="32">
        <f>IF(K16&lt;0,0,K16/-SUMIF($E$28:J28,"&lt;"&amp;0,$E$28:J28))</f>
        <v>7.7594716758311574E-2</v>
      </c>
      <c r="L37" s="32">
        <f>IF(L16&lt;0,0,L16/-SUMIF($E$28:K28,"&lt;"&amp;0,$E$28:K28))</f>
        <v>7.9922558261060941E-2</v>
      </c>
      <c r="M37" s="32">
        <f>IF(M16&lt;0,0,M16/-SUMIF($E$28:L28,"&lt;"&amp;0,$E$28:L28))</f>
        <v>8.2320235008892767E-2</v>
      </c>
      <c r="N37" s="32">
        <f>IF(N16&lt;0,0,N16/-SUMIF($E$28:M28,"&lt;"&amp;0,$E$28:M28))</f>
        <v>8.4789842059159543E-2</v>
      </c>
      <c r="O37" s="32">
        <f>IF(O16&lt;0,0,O16/-SUMIF($E$28:N28,"&lt;"&amp;0,$E$28:N28))</f>
        <v>8.7333537320934324E-2</v>
      </c>
      <c r="P37" s="1"/>
    </row>
    <row r="38" spans="1:16" x14ac:dyDescent="0.75">
      <c r="A38" s="4" t="s">
        <v>52</v>
      </c>
      <c r="B38" s="55">
        <f>AVERAGE(F37:O37)</f>
        <v>7.5389221936860706E-2</v>
      </c>
    </row>
    <row r="39" spans="1:16" x14ac:dyDescent="0.75">
      <c r="A39" s="4" t="s">
        <v>53</v>
      </c>
      <c r="B39" s="39">
        <f>F20/B23*-1</f>
        <v>7.3690499073776436E-2</v>
      </c>
      <c r="D39" s="113" t="s">
        <v>56</v>
      </c>
      <c r="E39" s="131"/>
      <c r="F39" s="132">
        <f>F9/F20*-1</f>
        <v>1.871340291262503</v>
      </c>
      <c r="G39" s="132">
        <f t="shared" ref="G39:O39" si="18">G9/G20*-1</f>
        <v>1.9274805000003781</v>
      </c>
      <c r="H39" s="132">
        <f t="shared" si="18"/>
        <v>1.9853049150003892</v>
      </c>
      <c r="I39" s="132">
        <f t="shared" si="18"/>
        <v>2.0448640624504013</v>
      </c>
      <c r="J39" s="132">
        <f t="shared" si="18"/>
        <v>2.1062099843239133</v>
      </c>
      <c r="K39" s="132">
        <f t="shared" si="18"/>
        <v>2.1693962838536307</v>
      </c>
      <c r="L39" s="132">
        <f t="shared" si="18"/>
        <v>2.23447817236924</v>
      </c>
      <c r="M39" s="132">
        <f t="shared" si="18"/>
        <v>2.301512517540317</v>
      </c>
      <c r="N39" s="132">
        <f t="shared" si="18"/>
        <v>2.3705578930665263</v>
      </c>
      <c r="O39" s="132">
        <f t="shared" si="18"/>
        <v>2.4416746298585221</v>
      </c>
    </row>
    <row r="40" spans="1:16" x14ac:dyDescent="0.75">
      <c r="A40" s="4" t="s">
        <v>56</v>
      </c>
      <c r="B40" s="40">
        <f>AVERAGE(F39:O39)</f>
        <v>2.1452819249725819</v>
      </c>
    </row>
    <row r="41" spans="1:16" x14ac:dyDescent="0.75">
      <c r="D41" s="54" t="s">
        <v>61</v>
      </c>
      <c r="E41" s="100"/>
      <c r="F41" s="100"/>
      <c r="G41" s="100"/>
      <c r="H41" s="100" t="s">
        <v>68</v>
      </c>
      <c r="I41" s="100"/>
      <c r="J41" s="100"/>
    </row>
    <row r="42" spans="1:16" x14ac:dyDescent="0.75">
      <c r="D42" s="41" t="s">
        <v>58</v>
      </c>
      <c r="E42" s="42">
        <f>B35</f>
        <v>0.11153009659387414</v>
      </c>
      <c r="F42" s="75">
        <f>G42-0.5%</f>
        <v>4.5000000000000005E-2</v>
      </c>
      <c r="G42" s="75">
        <f>H42-0.5%</f>
        <v>0.05</v>
      </c>
      <c r="H42" s="98">
        <v>5.5E-2</v>
      </c>
      <c r="I42" s="75">
        <f>H42+0.5%</f>
        <v>0.06</v>
      </c>
      <c r="J42" s="75">
        <f>I42+(I42*0.25)</f>
        <v>7.4999999999999997E-2</v>
      </c>
    </row>
    <row r="43" spans="1:16" x14ac:dyDescent="0.75">
      <c r="D43" s="41"/>
      <c r="E43" s="41">
        <f>E44-(E44*0.25)</f>
        <v>13500000</v>
      </c>
      <c r="F43" s="43">
        <f t="dataTable" ref="F43:J47" dt2D="1" dtr="1" r1="B25" r2="B2" ca="1"/>
        <v>0.20036446748138181</v>
      </c>
      <c r="G43" s="44">
        <v>0.20036446748138181</v>
      </c>
      <c r="H43" s="44">
        <v>0.20036446748138181</v>
      </c>
      <c r="I43" s="44">
        <v>0.20036446748138181</v>
      </c>
      <c r="J43" s="45">
        <v>0.20036446748138181</v>
      </c>
    </row>
    <row r="44" spans="1:16" x14ac:dyDescent="0.75">
      <c r="D44" s="41"/>
      <c r="E44" s="41">
        <f>E45-(E45*0.25)</f>
        <v>18000000</v>
      </c>
      <c r="F44" s="46">
        <v>0.15388949766078075</v>
      </c>
      <c r="G44" s="47">
        <v>0.15388949766078075</v>
      </c>
      <c r="H44" s="47">
        <v>0.15388949766078075</v>
      </c>
      <c r="I44" s="47">
        <v>0.15388949766078075</v>
      </c>
      <c r="J44" s="48">
        <v>0.15388949766078075</v>
      </c>
    </row>
    <row r="45" spans="1:16" x14ac:dyDescent="0.75">
      <c r="D45" s="41" t="s">
        <v>57</v>
      </c>
      <c r="E45" s="41">
        <v>24000000</v>
      </c>
      <c r="F45" s="46">
        <v>0.11153009659387414</v>
      </c>
      <c r="G45" s="47">
        <v>0.11153009659387414</v>
      </c>
      <c r="H45" s="52">
        <v>0.11153009659387414</v>
      </c>
      <c r="I45" s="47">
        <v>0.11153009659387414</v>
      </c>
      <c r="J45" s="48">
        <v>0.11153009659387414</v>
      </c>
    </row>
    <row r="46" spans="1:16" x14ac:dyDescent="0.75">
      <c r="D46" s="41"/>
      <c r="E46" s="41">
        <f>E45*1.25</f>
        <v>30000000</v>
      </c>
      <c r="F46" s="46">
        <v>8.0967641316130878E-2</v>
      </c>
      <c r="G46" s="47">
        <v>8.0967641316130878E-2</v>
      </c>
      <c r="H46" s="47">
        <v>8.0967641316130878E-2</v>
      </c>
      <c r="I46" s="47">
        <v>8.0967641316130878E-2</v>
      </c>
      <c r="J46" s="48">
        <v>8.0967641316130878E-2</v>
      </c>
    </row>
    <row r="47" spans="1:16" x14ac:dyDescent="0.75">
      <c r="D47" s="41"/>
      <c r="E47" s="41">
        <f>E46*1.25</f>
        <v>37500000</v>
      </c>
      <c r="F47" s="49">
        <v>5.2085413216012677E-2</v>
      </c>
      <c r="G47" s="50">
        <v>5.2085413216012677E-2</v>
      </c>
      <c r="H47" s="50">
        <v>5.2085413216012677E-2</v>
      </c>
      <c r="I47" s="50">
        <v>5.2085413216012677E-2</v>
      </c>
      <c r="J47" s="51">
        <v>5.2085413216012677E-2</v>
      </c>
    </row>
    <row r="48" spans="1:16" x14ac:dyDescent="0.75">
      <c r="D48" s="1"/>
      <c r="E48" s="1"/>
      <c r="F48" s="1"/>
      <c r="G48" s="1"/>
      <c r="H48" s="1"/>
      <c r="I48" s="1"/>
      <c r="J48" s="1"/>
    </row>
    <row r="49" spans="4:10" x14ac:dyDescent="0.75">
      <c r="D49" s="1"/>
      <c r="E49" s="1"/>
      <c r="F49" s="1"/>
      <c r="G49" s="1"/>
      <c r="H49" s="1"/>
      <c r="I49" s="1"/>
      <c r="J49" s="1"/>
    </row>
    <row r="50" spans="4:10" x14ac:dyDescent="0.75">
      <c r="D50" s="1"/>
      <c r="E50" s="1"/>
      <c r="F50" s="1"/>
      <c r="G50" s="1"/>
      <c r="H50" s="1"/>
      <c r="I50" s="1"/>
      <c r="J50" s="1"/>
    </row>
    <row r="51" spans="4:10" x14ac:dyDescent="0.75">
      <c r="D51" s="54" t="s">
        <v>62</v>
      </c>
      <c r="E51" s="57"/>
      <c r="F51" s="57"/>
      <c r="G51" s="57"/>
      <c r="H51" s="57" t="s">
        <v>68</v>
      </c>
      <c r="I51" s="57"/>
      <c r="J51" s="57"/>
    </row>
    <row r="52" spans="4:10" x14ac:dyDescent="0.75">
      <c r="D52" s="41" t="s">
        <v>59</v>
      </c>
      <c r="E52" s="42">
        <f>B34</f>
        <v>0.1462326954264761</v>
      </c>
      <c r="F52" s="84">
        <f>G52-0.5%</f>
        <v>4.5000000000000005E-2</v>
      </c>
      <c r="G52" s="84">
        <f>H52-0.5%</f>
        <v>0.05</v>
      </c>
      <c r="H52" s="84">
        <v>5.5E-2</v>
      </c>
      <c r="I52" s="84">
        <f>H52+0.5%</f>
        <v>0.06</v>
      </c>
      <c r="J52" s="84">
        <f>I52+(I52*0.25)</f>
        <v>7.4999999999999997E-2</v>
      </c>
    </row>
    <row r="53" spans="4:10" x14ac:dyDescent="0.75">
      <c r="D53" s="41"/>
      <c r="E53" s="41">
        <f>E54-(E54*0.25)</f>
        <v>13500000</v>
      </c>
      <c r="F53" s="43">
        <f t="dataTable" ref="F53:J57" dt2D="1" dtr="1" r1="B25" r2="B2" ca="1"/>
        <v>0.57717798036787693</v>
      </c>
      <c r="G53" s="44">
        <v>0.56196386555809985</v>
      </c>
      <c r="H53" s="44">
        <v>0.54672834955836302</v>
      </c>
      <c r="I53" s="44">
        <v>0.53151156493993712</v>
      </c>
      <c r="J53" s="45">
        <v>0.48635071960818865</v>
      </c>
    </row>
    <row r="54" spans="4:10" x14ac:dyDescent="0.75">
      <c r="D54" s="41"/>
      <c r="E54" s="41">
        <f>E55-(E55*0.25)</f>
        <v>18000000</v>
      </c>
      <c r="F54" s="46">
        <v>0.25892313767872133</v>
      </c>
      <c r="G54" s="47">
        <v>0.2544082458973087</v>
      </c>
      <c r="H54" s="47">
        <v>0.24981882407132905</v>
      </c>
      <c r="I54" s="47">
        <v>0.24516086624199529</v>
      </c>
      <c r="J54" s="48">
        <v>0.23083679336011387</v>
      </c>
    </row>
    <row r="55" spans="4:10" x14ac:dyDescent="0.75">
      <c r="D55" s="41" t="s">
        <v>66</v>
      </c>
      <c r="E55" s="41">
        <v>24000000</v>
      </c>
      <c r="F55" s="46">
        <v>0.15197933574264266</v>
      </c>
      <c r="G55" s="47">
        <v>0.14913194718141698</v>
      </c>
      <c r="H55" s="52">
        <v>0.1462326954264761</v>
      </c>
      <c r="I55" s="47">
        <v>0.14328456403618106</v>
      </c>
      <c r="J55" s="48">
        <v>0.13417755218016114</v>
      </c>
    </row>
    <row r="56" spans="4:10" x14ac:dyDescent="0.75">
      <c r="D56" s="41"/>
      <c r="E56" s="41">
        <f>E55*1.25</f>
        <v>30000000</v>
      </c>
      <c r="F56" s="46">
        <v>9.7606048177709681E-2</v>
      </c>
      <c r="G56" s="47">
        <v>9.5345478115663296E-2</v>
      </c>
      <c r="H56" s="47">
        <v>9.304428599124126E-2</v>
      </c>
      <c r="I56" s="47">
        <v>9.0704620461170116E-2</v>
      </c>
      <c r="J56" s="48">
        <v>8.347680833522686E-2</v>
      </c>
    </row>
    <row r="57" spans="4:10" x14ac:dyDescent="0.75">
      <c r="D57" s="41"/>
      <c r="E57" s="41">
        <f>E56*1.25</f>
        <v>37500000</v>
      </c>
      <c r="F57" s="49">
        <v>5.4470412598117912E-2</v>
      </c>
      <c r="G57" s="50">
        <v>5.2578492788181164E-2</v>
      </c>
      <c r="H57" s="50">
        <v>5.0653892865851535E-2</v>
      </c>
      <c r="I57" s="50">
        <v>4.8698308327947748E-2</v>
      </c>
      <c r="J57" s="51">
        <v>4.2662925866500778E-2</v>
      </c>
    </row>
    <row r="58" spans="4:10" x14ac:dyDescent="0.75">
      <c r="D58" s="1"/>
      <c r="E58" s="1"/>
      <c r="F58" s="1"/>
      <c r="G58" s="1"/>
      <c r="H58" s="1"/>
      <c r="I58" s="1"/>
      <c r="J58" s="1"/>
    </row>
    <row r="59" spans="4:10" x14ac:dyDescent="0.75">
      <c r="D59" s="1"/>
      <c r="E59" s="1"/>
      <c r="F59" s="1"/>
      <c r="G59" s="1"/>
      <c r="H59" s="1"/>
      <c r="I59" s="1"/>
      <c r="J59" s="1"/>
    </row>
    <row r="60" spans="4:10" x14ac:dyDescent="0.75">
      <c r="D60" s="1"/>
      <c r="E60" s="1"/>
      <c r="F60" s="1"/>
      <c r="G60" s="1"/>
      <c r="H60" s="1"/>
      <c r="I60" s="1"/>
      <c r="J60" s="1"/>
    </row>
    <row r="61" spans="4:10" x14ac:dyDescent="0.75">
      <c r="D61" s="56" t="s">
        <v>63</v>
      </c>
      <c r="E61" s="57"/>
      <c r="F61" s="57"/>
      <c r="G61" s="57"/>
      <c r="H61" s="57" t="s">
        <v>65</v>
      </c>
      <c r="I61" s="57"/>
      <c r="J61" s="57"/>
    </row>
    <row r="62" spans="4:10" x14ac:dyDescent="0.75">
      <c r="D62" s="59" t="s">
        <v>67</v>
      </c>
      <c r="E62" s="60">
        <f>B36</f>
        <v>3.2604062121774122</v>
      </c>
      <c r="F62" s="61">
        <f>G62-0.5%</f>
        <v>1.9999999999999997E-2</v>
      </c>
      <c r="G62" s="61">
        <f>H62-0.5%</f>
        <v>2.4999999999999998E-2</v>
      </c>
      <c r="H62" s="62">
        <v>0.03</v>
      </c>
      <c r="I62" s="61">
        <f>H62+0.5%</f>
        <v>3.4999999999999996E-2</v>
      </c>
      <c r="J62" s="61">
        <f>I62+0.5%</f>
        <v>3.9999999999999994E-2</v>
      </c>
    </row>
    <row r="63" spans="4:10" x14ac:dyDescent="0.75">
      <c r="D63" s="59"/>
      <c r="E63" s="61">
        <f>E64-0.5%</f>
        <v>3.0000000000000002E-2</v>
      </c>
      <c r="F63" s="63">
        <f t="dataTable" ref="F63:J67" dt2D="1" dtr="1" r1="B29" r2="B10"/>
        <v>8.8310355785704608</v>
      </c>
      <c r="G63" s="64">
        <v>7.0710396338259898</v>
      </c>
      <c r="H63" s="64">
        <v>5.8977090039963436</v>
      </c>
      <c r="I63" s="64">
        <v>5.0596156969751673</v>
      </c>
      <c r="J63" s="65">
        <v>4.4310457167092849</v>
      </c>
    </row>
    <row r="64" spans="4:10" x14ac:dyDescent="0.75">
      <c r="D64" s="59"/>
      <c r="E64" s="61">
        <f>E65-0.5%</f>
        <v>3.5000000000000003E-2</v>
      </c>
      <c r="F64" s="66">
        <v>9.7233993078902916</v>
      </c>
      <c r="G64" s="67">
        <v>7.7985008652651366</v>
      </c>
      <c r="H64" s="67">
        <v>6.5152352368483637</v>
      </c>
      <c r="I64" s="67">
        <v>5.5986169308363847</v>
      </c>
      <c r="J64" s="68">
        <v>4.9111532013273997</v>
      </c>
    </row>
    <row r="65" spans="4:10" x14ac:dyDescent="0.75">
      <c r="D65" s="59" t="s">
        <v>64</v>
      </c>
      <c r="E65" s="62">
        <v>0.04</v>
      </c>
      <c r="F65" s="66">
        <v>10.654227837749099</v>
      </c>
      <c r="G65" s="67">
        <v>8.5570991792425595</v>
      </c>
      <c r="H65" s="67">
        <v>7.1590134069048643</v>
      </c>
      <c r="I65" s="67">
        <v>6.1603807123779406</v>
      </c>
      <c r="J65" s="68">
        <v>5.4114061914827474</v>
      </c>
    </row>
    <row r="66" spans="4:10" x14ac:dyDescent="0.75">
      <c r="D66" s="59"/>
      <c r="E66" s="61">
        <f>E65+0.5%</f>
        <v>4.4999999999999998E-2</v>
      </c>
      <c r="F66" s="66">
        <v>11.625009014601314</v>
      </c>
      <c r="G66" s="67">
        <v>9.3480343984404222</v>
      </c>
      <c r="H66" s="67">
        <v>7.8300513209998268</v>
      </c>
      <c r="I66" s="67">
        <v>6.7457776942565468</v>
      </c>
      <c r="J66" s="68">
        <v>5.9325724741990875</v>
      </c>
    </row>
    <row r="67" spans="4:10" x14ac:dyDescent="0.75">
      <c r="D67" s="59"/>
      <c r="E67" s="61">
        <f>E66+0.5%</f>
        <v>4.9999999999999996E-2</v>
      </c>
      <c r="F67" s="69">
        <v>12.637281103497939</v>
      </c>
      <c r="G67" s="70">
        <v>10.172546906407574</v>
      </c>
      <c r="H67" s="70">
        <v>8.5293907750139937</v>
      </c>
      <c r="I67" s="70">
        <v>7.3557078240185803</v>
      </c>
      <c r="J67" s="71">
        <v>6.4754456107720202</v>
      </c>
    </row>
    <row r="71" spans="4:10" x14ac:dyDescent="0.75">
      <c r="D71" s="114" t="s">
        <v>74</v>
      </c>
      <c r="E71" s="115"/>
      <c r="F71" s="115"/>
      <c r="G71" s="115"/>
      <c r="H71" s="115" t="s">
        <v>76</v>
      </c>
      <c r="I71" s="115"/>
      <c r="J71" s="115"/>
    </row>
    <row r="72" spans="4:10" x14ac:dyDescent="0.75">
      <c r="D72" s="116" t="s">
        <v>56</v>
      </c>
      <c r="E72" s="117">
        <f>B40</f>
        <v>2.1452819249725819</v>
      </c>
      <c r="F72" s="129">
        <v>2.5000000000000001E-2</v>
      </c>
      <c r="G72" s="88">
        <v>2.75E-2</v>
      </c>
      <c r="H72" s="118">
        <v>0.03</v>
      </c>
      <c r="I72" s="88">
        <v>3.2500000000000001E-2</v>
      </c>
      <c r="J72" s="129">
        <v>3.5000000000000003E-2</v>
      </c>
    </row>
    <row r="73" spans="4:10" x14ac:dyDescent="0.75">
      <c r="D73" s="116"/>
      <c r="E73" s="88">
        <v>3.4999999999999996E-2</v>
      </c>
      <c r="F73" s="119">
        <f t="dataTable" ref="F73:J77" dt2D="1" dtr="1" r1="B12" r2="B10" ca="1"/>
        <v>2.2831172723835027</v>
      </c>
      <c r="G73" s="120">
        <v>2.2616091753413263</v>
      </c>
      <c r="H73" s="120">
        <v>2.2398132515204279</v>
      </c>
      <c r="I73" s="120">
        <v>2.2177257484977013</v>
      </c>
      <c r="J73" s="121">
        <v>2.1953428694078658</v>
      </c>
    </row>
    <row r="74" spans="4:10" x14ac:dyDescent="0.75">
      <c r="D74" s="116"/>
      <c r="E74" s="88">
        <v>3.7499999999999999E-2</v>
      </c>
      <c r="F74" s="122">
        <v>2.3313329298345513</v>
      </c>
      <c r="G74" s="123">
        <v>2.3098248327923754</v>
      </c>
      <c r="H74" s="123">
        <v>2.2880289089714765</v>
      </c>
      <c r="I74" s="123">
        <v>2.2659414059487504</v>
      </c>
      <c r="J74" s="124">
        <v>2.2435585268589149</v>
      </c>
    </row>
    <row r="75" spans="4:10" x14ac:dyDescent="0.75">
      <c r="D75" s="116" t="s">
        <v>75</v>
      </c>
      <c r="E75" s="118">
        <v>0.04</v>
      </c>
      <c r="F75" s="122">
        <v>2.3801929018016894</v>
      </c>
      <c r="G75" s="123">
        <v>2.3586848047595135</v>
      </c>
      <c r="H75" s="123">
        <v>2.3368888809386146</v>
      </c>
      <c r="I75" s="123">
        <v>2.314801377915888</v>
      </c>
      <c r="J75" s="124">
        <v>2.292418498826053</v>
      </c>
    </row>
    <row r="76" spans="4:10" x14ac:dyDescent="0.75">
      <c r="D76" s="116"/>
      <c r="E76" s="88">
        <v>4.2500000000000003E-2</v>
      </c>
      <c r="F76" s="122">
        <v>2.4297055485825085</v>
      </c>
      <c r="G76" s="123">
        <v>2.4081974515403322</v>
      </c>
      <c r="H76" s="123">
        <v>2.3864015277194337</v>
      </c>
      <c r="I76" s="123">
        <v>2.3643140246967072</v>
      </c>
      <c r="J76" s="124">
        <v>2.3419311456068721</v>
      </c>
    </row>
    <row r="77" spans="4:10" x14ac:dyDescent="0.75">
      <c r="D77" s="116"/>
      <c r="E77" s="88">
        <v>4.5000000000000005E-2</v>
      </c>
      <c r="F77" s="125">
        <v>2.4798793288616183</v>
      </c>
      <c r="G77" s="126">
        <v>2.4583712318194419</v>
      </c>
      <c r="H77" s="126">
        <v>2.4365753079985435</v>
      </c>
      <c r="I77" s="126">
        <v>2.4144878049758165</v>
      </c>
      <c r="J77" s="127">
        <v>2.3921049258859819</v>
      </c>
    </row>
  </sheetData>
  <dataValidations count="1">
    <dataValidation type="list" allowBlank="1" showInputMessage="1" showErrorMessage="1" sqref="B20 B18" xr:uid="{3B37AD17-6B58-4C24-AE3E-A30B628B6EBC}">
      <formula1>$F$1:$O$1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</vt:lpstr>
      <vt:lpstr>A DCF Short term</vt:lpstr>
      <vt:lpstr>A DCF Long-term</vt:lpstr>
      <vt:lpstr>B 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Kivel</dc:creator>
  <cp:lastModifiedBy>Sebastian Deanda</cp:lastModifiedBy>
  <cp:lastPrinted>2024-12-10T04:04:04Z</cp:lastPrinted>
  <dcterms:created xsi:type="dcterms:W3CDTF">2019-03-19T19:41:34Z</dcterms:created>
  <dcterms:modified xsi:type="dcterms:W3CDTF">2024-12-12T05:05:45Z</dcterms:modified>
</cp:coreProperties>
</file>