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4175" tabRatio="840"/>
  </bookViews>
  <sheets>
    <sheet name="Regression formulas" sheetId="6" r:id="rId1"/>
    <sheet name="RegressIt  model" sheetId="16" r:id="rId2"/>
    <sheet name="Model Summaries" sheetId="14" r:id="rId3"/>
  </sheets>
  <definedNames>
    <definedName name="___autoF" localSheetId="1" hidden="1">1</definedName>
    <definedName name="___rsumm___Y" localSheetId="2" hidden="1">'Model Summaries'!$A$3</definedName>
    <definedName name="__nSelect_" hidden="1">0</definedName>
    <definedName name="ActiveRegModel" hidden="1">"RegressIt  model"</definedName>
    <definedName name="AVGSQERR">'Regression formulas'!$B$65</definedName>
    <definedName name="AVGY">'Regression formulas'!$H$15</definedName>
    <definedName name="BETAHAT">'Regression formulas'!$B$44:$B$45</definedName>
    <definedName name="COVMAT">'Regression formulas'!$B$81:$C$82</definedName>
    <definedName name="DF">'Regression formulas'!$B$18</definedName>
    <definedName name="FirstForecastRow" localSheetId="1" hidden="1">52</definedName>
    <definedName name="MSE">'Regression formulas'!$B$71</definedName>
    <definedName name="N">'Regression formulas'!$B$16</definedName>
    <definedName name="nRegMod" hidden="1">2</definedName>
    <definedName name="OKtoForecast" hidden="1">1</definedName>
    <definedName name="P">'Regression formulas'!$B$17</definedName>
    <definedName name="PREDICTION">'Regression formulas'!$B$110</definedName>
    <definedName name="_xlnm.Print_Area" localSheetId="1">'RegressIt  model'!$A$1:$J$179</definedName>
    <definedName name="SSE">'Regression formulas'!$F$62</definedName>
    <definedName name="STDERR">'Regression formulas'!$B$86:$B$87</definedName>
    <definedName name="STDEVMEAN">'Regression formulas'!$B$120</definedName>
    <definedName name="STDEVPRED">'Regression formulas'!$G$120</definedName>
    <definedName name="TSTATS">'Regression formulas'!$B$91:$B$92</definedName>
    <definedName name="TVALUE">'Regression formulas'!$B$124</definedName>
    <definedName name="VARMEAN">'Regression formulas'!$B$115</definedName>
    <definedName name="VARPRED">'Regression formulas'!$G$115</definedName>
    <definedName name="VARPY">'Regression formulas'!$B$20</definedName>
    <definedName name="VARY">'Regression formulas'!$B$22</definedName>
    <definedName name="W">'Regression formulas'!$B$105:$C$105</definedName>
    <definedName name="X">'Regression formulas'!$B$9:$C$14</definedName>
    <definedName name="X1_">'Regression formulas'!$C$9:$C$14</definedName>
    <definedName name="XT">'Regression formulas'!$B$27:$G$28</definedName>
    <definedName name="XTX">'Regression formulas'!$B$31:$C$32</definedName>
    <definedName name="XTXINV">'Regression formulas'!$B$35:$C$36</definedName>
    <definedName name="XTY">'Regression formulas'!$B$39:$B$40</definedName>
    <definedName name="Y">'Regression formulas'!$H$9:$H$14</definedName>
    <definedName name="YDEV">'Regression formulas'!$I$9:$I$14</definedName>
    <definedName name="YHAT">'Regression formulas'!$B$48:$B$53</definedName>
    <definedName name="YSQDEV">'Regression formulas'!$J$9:$J$14</definedName>
  </definedNames>
  <calcPr calcId="152511"/>
</workbook>
</file>

<file path=xl/calcChain.xml><?xml version="1.0" encoding="utf-8"?>
<calcChain xmlns="http://schemas.openxmlformats.org/spreadsheetml/2006/main">
  <c r="D177" i="16" l="1"/>
  <c r="E177" i="16"/>
  <c r="D175" i="16"/>
  <c r="E175" i="16" s="1"/>
  <c r="D176" i="16"/>
  <c r="E176" i="16" s="1"/>
  <c r="D174" i="16"/>
  <c r="E174" i="16" s="1"/>
  <c r="D178" i="16"/>
  <c r="E178" i="16" s="1"/>
  <c r="D173" i="16"/>
  <c r="E173" i="16" s="1"/>
  <c r="AA3" i="16"/>
  <c r="AA2" i="16"/>
  <c r="H51" i="16"/>
  <c r="G51" i="16"/>
  <c r="E51" i="16"/>
  <c r="D51" i="16"/>
  <c r="E30" i="16"/>
  <c r="E29" i="16"/>
  <c r="E28" i="16"/>
  <c r="E27" i="16"/>
  <c r="E26" i="16"/>
  <c r="G25" i="16"/>
  <c r="F25" i="16"/>
  <c r="B10" i="16"/>
  <c r="D20" i="16"/>
  <c r="D10" i="16" s="1"/>
  <c r="C10" i="16" s="1"/>
  <c r="C19" i="16"/>
  <c r="D19" i="16" s="1"/>
  <c r="B21" i="16"/>
  <c r="I15" i="16"/>
  <c r="D15" i="16"/>
  <c r="E15" i="16" s="1"/>
  <c r="F15" i="16"/>
  <c r="G15" i="16"/>
  <c r="D14" i="16"/>
  <c r="E14" i="16" s="1"/>
  <c r="G14" i="16"/>
  <c r="F14" i="16"/>
  <c r="G13" i="16"/>
  <c r="F13" i="16"/>
  <c r="H10" i="16"/>
  <c r="H9" i="16"/>
  <c r="F52" i="16" l="1"/>
  <c r="C26" i="16"/>
  <c r="D26" i="16" s="1"/>
  <c r="F26" i="16" s="1"/>
  <c r="C28" i="16"/>
  <c r="D28" i="16" s="1"/>
  <c r="F28" i="16" s="1"/>
  <c r="C27" i="16"/>
  <c r="D27" i="16" s="1"/>
  <c r="G27" i="16" s="1"/>
  <c r="E19" i="16"/>
  <c r="F19" i="16" s="1"/>
  <c r="C29" i="16"/>
  <c r="D29" i="16" s="1"/>
  <c r="F29" i="16" s="1"/>
  <c r="C30" i="16"/>
  <c r="D30" i="16" s="1"/>
  <c r="F30" i="16" s="1"/>
  <c r="G29" i="16"/>
  <c r="G26" i="16" l="1"/>
  <c r="G28" i="16"/>
  <c r="F27" i="16"/>
  <c r="C52" i="16"/>
  <c r="H52" i="16"/>
  <c r="G52" i="16"/>
  <c r="G30" i="16"/>
  <c r="H15" i="6"/>
  <c r="I9" i="6" s="1" a="1"/>
  <c r="B22" i="6"/>
  <c r="B20" i="6"/>
  <c r="B27" i="6" a="1"/>
  <c r="G28" i="6" s="1"/>
  <c r="B16" i="6"/>
  <c r="B17" i="6"/>
  <c r="CG52" i="16" l="1"/>
  <c r="E52" i="16"/>
  <c r="D52" i="16"/>
  <c r="B18" i="6"/>
  <c r="B124" i="6" s="1"/>
  <c r="I11" i="6"/>
  <c r="J11" i="6" s="1"/>
  <c r="I12" i="6"/>
  <c r="J12" i="6" s="1"/>
  <c r="I10" i="6"/>
  <c r="J10" i="6" s="1"/>
  <c r="D27" i="6"/>
  <c r="C27" i="6"/>
  <c r="I14" i="6"/>
  <c r="J14" i="6" s="1"/>
  <c r="I9" i="6"/>
  <c r="F27" i="6"/>
  <c r="F28" i="6"/>
  <c r="I13" i="6"/>
  <c r="J13" i="6" s="1"/>
  <c r="C28" i="6"/>
  <c r="E27" i="6"/>
  <c r="G27" i="6"/>
  <c r="E28" i="6"/>
  <c r="D28" i="6"/>
  <c r="B28" i="6"/>
  <c r="B27" i="6"/>
  <c r="I15" i="6" l="1"/>
  <c r="J9" i="6"/>
  <c r="J15" i="6" s="1"/>
  <c r="B31" i="6" a="1"/>
  <c r="B39" i="6" a="1"/>
  <c r="B39" i="6" l="1"/>
  <c r="B40" i="6"/>
  <c r="C31" i="6"/>
  <c r="B31" i="6"/>
  <c r="B32" i="6"/>
  <c r="C32" i="6"/>
  <c r="B35" i="6" l="1" a="1"/>
  <c r="C35" i="6" l="1"/>
  <c r="C36" i="6"/>
  <c r="B35" i="6"/>
  <c r="B36" i="6"/>
  <c r="B44" i="6" l="1" a="1"/>
  <c r="B45" i="6" l="1"/>
  <c r="B44" i="6"/>
  <c r="B48" i="6" l="1" a="1"/>
  <c r="B110" i="6"/>
  <c r="B52" i="6" l="1"/>
  <c r="B49" i="6"/>
  <c r="B51" i="6"/>
  <c r="B50" i="6"/>
  <c r="B53" i="6"/>
  <c r="B48" i="6"/>
  <c r="B56" i="6" l="1" a="1"/>
  <c r="B59" i="6" s="1"/>
  <c r="F59" i="6" s="1"/>
  <c r="B57" i="6" l="1"/>
  <c r="F57" i="6" s="1"/>
  <c r="B58" i="6"/>
  <c r="F58" i="6" s="1"/>
  <c r="B60" i="6"/>
  <c r="F60" i="6" s="1"/>
  <c r="B56" i="6"/>
  <c r="F56" i="6" s="1"/>
  <c r="B61" i="6"/>
  <c r="F61" i="6" s="1"/>
  <c r="F62" i="6" l="1"/>
  <c r="B65" i="6" l="1"/>
  <c r="B68" i="6" s="1"/>
  <c r="B71" i="6"/>
  <c r="B81" i="6" l="1" a="1"/>
  <c r="B77" i="6"/>
  <c r="B74" i="6"/>
  <c r="C82" i="6" l="1"/>
  <c r="B81" i="6"/>
  <c r="B82" i="6"/>
  <c r="C81" i="6"/>
  <c r="B115" i="6" l="1" a="1"/>
  <c r="B115" i="6" s="1"/>
  <c r="B86" i="6"/>
  <c r="B87" i="6"/>
  <c r="C100" i="6" s="1"/>
  <c r="B100" i="6" l="1"/>
  <c r="G115" i="6"/>
  <c r="G120" i="6" s="1"/>
  <c r="B120" i="6"/>
  <c r="B91" i="6" a="1"/>
  <c r="B92" i="6" s="1"/>
  <c r="B99" i="6"/>
  <c r="C99" i="6"/>
  <c r="B129" i="6" l="1"/>
  <c r="B128" i="6"/>
  <c r="B91" i="6"/>
  <c r="B134" i="6"/>
  <c r="B133" i="6"/>
  <c r="H91" i="6" l="1" a="1"/>
  <c r="H92" i="6" s="1"/>
  <c r="H91" i="6" l="1"/>
</calcChain>
</file>

<file path=xl/comments1.xml><?xml version="1.0" encoding="utf-8"?>
<comments xmlns="http://schemas.openxmlformats.org/spreadsheetml/2006/main">
  <authors>
    <author>Bob Nau</author>
  </authors>
  <commentList>
    <comment ref="B5" authorId="0">
      <text>
        <r>
          <rPr>
            <sz val="8"/>
            <color indexed="81"/>
            <rFont val="Tahoma"/>
            <family val="2"/>
          </rPr>
          <t>00h:00m:01s</t>
        </r>
      </text>
    </comment>
  </commentList>
</comments>
</file>

<file path=xl/sharedStrings.xml><?xml version="1.0" encoding="utf-8"?>
<sst xmlns="http://schemas.openxmlformats.org/spreadsheetml/2006/main" count="172" uniqueCount="155">
  <si>
    <t>Y</t>
  </si>
  <si>
    <t>Lower 95% limit for mean</t>
  </si>
  <si>
    <t>Upper 95% limit for mean</t>
  </si>
  <si>
    <t>The "X" matrix (constant &amp; independent variable(s)):</t>
  </si>
  <si>
    <t>X0</t>
  </si>
  <si>
    <t>X1</t>
  </si>
  <si>
    <t>X2...</t>
  </si>
  <si>
    <t>(The blue cells are "live."</t>
  </si>
  <si>
    <t>You can change their contents</t>
  </si>
  <si>
    <t>and see what happens....)</t>
  </si>
  <si>
    <t>Number of "DEGREES OF FREEDOM" (named DF)</t>
  </si>
  <si>
    <t>Here is "X-transpose" (the X matrix transposed, named XT)</t>
  </si>
  <si>
    <t>Now here is "X-transpose-X" (i.e., X-transpose times X, named XTX)</t>
  </si>
  <si>
    <t>And here is "X-transpose-X inverse" (the matrix inverse of the previous thing, named XTXINV)</t>
  </si>
  <si>
    <t>Here is "X-transpose-Y" (X-transpose times the Y vector, named XTY)</t>
  </si>
  <si>
    <t>The vector of COEFFICIENT ESTIMATES  ("beta hat") is equal to "X-transpose-X-inverse times X-transpose-Y"</t>
  </si>
  <si>
    <t xml:space="preserve"> (the previous two things matrix-multiplied together):</t>
  </si>
  <si>
    <t>The vector of predictions (named YHAT) is now equal to "X beta-hat" (X  times beta-hat):</t>
  </si>
  <si>
    <t>ERRORS (actual minus predicted):</t>
  </si>
  <si>
    <t>SQUARED ERRORS:</t>
  </si>
  <si>
    <t>= Sum of Squared Errors (SSE)</t>
  </si>
  <si>
    <t>The MEAN SQUARED ERROR (MSE) is equal to  the Sum of Squared  Errors divided by  the # Degrees of Freedom:</t>
  </si>
  <si>
    <t>The COVARIANCE MATRIX OF THE COEFFICIENT ESTIMATES ("COVMAT") is equal to X-transpose-X-inverse</t>
  </si>
  <si>
    <t>times the MSE:</t>
  </si>
  <si>
    <t>The STANDARD ERRORS OF THE COEFFICIENT ESTIMATES are the square roots of the diagonal elements</t>
  </si>
  <si>
    <t xml:space="preserve"> of the covariance matrix:</t>
  </si>
  <si>
    <t>The T-STATISTICS OF THE COEFFICIENT ESTIMATES</t>
  </si>
  <si>
    <t>..and their exact SIGNIFICANCE LEVELS (p-values)</t>
  </si>
  <si>
    <t>are the coefficients divided by their standard errors:</t>
  </si>
  <si>
    <t>can be calculated using the TDIST function:</t>
  </si>
  <si>
    <t>The CORRELATION MATRIX OF THE COEFFICIENT ESTIMATES is the covariance matrix normalized by dividing</t>
  </si>
  <si>
    <t>each element by the product of the standard errors of the row variable and the column variable:</t>
  </si>
  <si>
    <t>Now suppose that we want to make a PREDICTION for some new values of the independent variable(s).</t>
  </si>
  <si>
    <t>First we form the vector of values of the independent variables (the constant is, of course, equal to 1):</t>
  </si>
  <si>
    <t>(Here we have assumed X1 = 30.... you can type a different value in the blue cell)</t>
  </si>
  <si>
    <t>Let's call the preceding vector "W"</t>
  </si>
  <si>
    <t>The PREDICTION is then given by W times beta-hat (i.e., the independent variables times the coefficients):</t>
  </si>
  <si>
    <t xml:space="preserve">The VARIANCE OF THE MEAN is equal </t>
  </si>
  <si>
    <t>The VARIANCE OF THE PREDICTION is equal to the</t>
  </si>
  <si>
    <t>to the covariance matrix of the coefficients</t>
  </si>
  <si>
    <t>variance of the mean plus the MSE:</t>
  </si>
  <si>
    <t>pre- and post-multiplied by W:</t>
  </si>
  <si>
    <t>is the square root of the</t>
  </si>
  <si>
    <t>variance of the mean:</t>
  </si>
  <si>
    <t>variance of the prediction:</t>
  </si>
  <si>
    <t>The critical t-value for a 95% confidence interval can be computed using the TINV function with</t>
  </si>
  <si>
    <t>the appropriate number of degrees of freedom:</t>
  </si>
  <si>
    <t>The lower and upper 95% CONFIDENCE LIMITS FOR THE PREDICTION can be computed by subtracting and adding</t>
  </si>
  <si>
    <t>the t-value times the standard error of the prediction:</t>
  </si>
  <si>
    <t>Lower 95% limit for prediction</t>
  </si>
  <si>
    <t>Upper 95% limit for prediction</t>
  </si>
  <si>
    <t>The lower and upper 95% CONFIDENCE LIMITS FOR THE MEAN can be computed by subtracting and adding</t>
  </si>
  <si>
    <t>the t-value times the standard error of the mean:</t>
  </si>
  <si>
    <t>ADJUSTED R-SQUARED is equal to 1 minus the MSE divided by the sample variance of Y</t>
  </si>
  <si>
    <t>The SIMPLE AVERAGE OF THE SQUARED ERRORS is the sum of squared errors divided by N:</t>
  </si>
  <si>
    <t xml:space="preserve">   (This is a BIASED estimate of the average size of a squared error)</t>
  </si>
  <si>
    <t xml:space="preserve">   (This is a BIASED estimate of the fraction of variance "explained" by the model)</t>
  </si>
  <si>
    <t xml:space="preserve">   (This is an UNBIASED estimate of the average size of a squared error)</t>
  </si>
  <si>
    <t xml:space="preserve">   (This is an UNBIASED estimate of the fraction of variance "explained" by the model)</t>
  </si>
  <si>
    <t>R-SQUARED is equal to 1 minus the average squared error divided by the population variance of Y:</t>
  </si>
  <si>
    <t>Number of data points (named N)</t>
  </si>
  <si>
    <t>Number of coefficients to estimate (named P)</t>
  </si>
  <si>
    <t>Y-AVG(Y)</t>
  </si>
  <si>
    <t>(Y-AVG(Y))^2</t>
  </si>
  <si>
    <t>The "Y" vector (dependent variable) and its deviations-from-mean and squared-deviations-from-mean:</t>
  </si>
  <si>
    <t xml:space="preserve"> Average values</t>
  </si>
  <si>
    <t xml:space="preserve"> = POPULATION VARIANCE of Y (named VARPY) is the average squared deviation of Y from its mean</t>
  </si>
  <si>
    <t xml:space="preserve"> = SAMPLE VARIANCE of Y (named VARY) is the average squared deviation of Y from its mean ADJUSTED for the estimation of the mean from the finite sample</t>
  </si>
  <si>
    <t xml:space="preserve">   (i.e., it is the sum of squared deviations from the mean divided by N-1 rather than N)</t>
  </si>
  <si>
    <t>The STANDARD ERROR OF THE REGRESSION is the square root of the MSE:</t>
  </si>
  <si>
    <t>The STANDARD ERROR OF THE MEAN</t>
  </si>
  <si>
    <t>The STANDARD ERROR OF THE PREDICTION</t>
  </si>
  <si>
    <t>Model:</t>
  </si>
  <si>
    <t>Dependent Variable:</t>
  </si>
  <si>
    <t>Independent Variables:</t>
  </si>
  <si>
    <t>X1_</t>
  </si>
  <si>
    <t>Equation:</t>
  </si>
  <si>
    <t>Predicted Y = 27.206 + 1.28*X1_</t>
  </si>
  <si>
    <t>R-Squared</t>
  </si>
  <si>
    <t>Adj.R-Sqr.</t>
  </si>
  <si>
    <t>Std.Err.Reg.</t>
  </si>
  <si>
    <t>Std. Dev.</t>
  </si>
  <si>
    <t># Cases</t>
  </si>
  <si>
    <t># Missing</t>
  </si>
  <si>
    <t>Conf. level</t>
  </si>
  <si>
    <t>Variable</t>
  </si>
  <si>
    <t>Coefficient</t>
  </si>
  <si>
    <t>Std.Err.</t>
  </si>
  <si>
    <t>t-Stat.</t>
  </si>
  <si>
    <t>P-value</t>
  </si>
  <si>
    <t>Std. Coeff.</t>
  </si>
  <si>
    <t>Constant</t>
  </si>
  <si>
    <t>Source</t>
  </si>
  <si>
    <t>Regression</t>
  </si>
  <si>
    <t>Residual</t>
  </si>
  <si>
    <t>Total</t>
  </si>
  <si>
    <t>df</t>
  </si>
  <si>
    <t>Sum Sqrs.</t>
  </si>
  <si>
    <t>Mean Sqr.</t>
  </si>
  <si>
    <t>F</t>
  </si>
  <si>
    <t>Line Fit Plot</t>
  </si>
  <si>
    <t>StdErrMean</t>
  </si>
  <si>
    <t>StdErrFcst</t>
  </si>
  <si>
    <t>Predicted</t>
  </si>
  <si>
    <t>#Res.&gt;0</t>
  </si>
  <si>
    <t>#Res.&lt;=0</t>
  </si>
  <si>
    <t>A-D* Stat.</t>
  </si>
  <si>
    <t>See the residual histogram and residual table for more details of the error distribution.</t>
  </si>
  <si>
    <t>MinStdRes</t>
  </si>
  <si>
    <t>MaxStdRes</t>
  </si>
  <si>
    <t>Actual and predicted -vs- Observation #</t>
  </si>
  <si>
    <t>Residual -vs- Observation #</t>
  </si>
  <si>
    <t>Residual -vs- Predicted</t>
  </si>
  <si>
    <t>Histogram of Residuals</t>
  </si>
  <si>
    <t xml:space="preserve">      Constant</t>
  </si>
  <si>
    <t xml:space="preserve">           X1_</t>
  </si>
  <si>
    <t>Obs#</t>
  </si>
  <si>
    <t>Actual</t>
  </si>
  <si>
    <t>Std.Res.</t>
  </si>
  <si>
    <t>Summary of Regression Model Results</t>
  </si>
  <si>
    <t>Dependent Variable: Y</t>
  </si>
  <si>
    <t>Model</t>
  </si>
  <si>
    <t>Run Time</t>
  </si>
  <si>
    <t>Regression Statistics</t>
  </si>
  <si>
    <t>R-squared</t>
  </si>
  <si>
    <t>Adjusted R-squared</t>
  </si>
  <si>
    <t>Standard Error of Regression</t>
  </si>
  <si>
    <t>Coefficient estimates and P-values</t>
  </si>
  <si>
    <t>BETAHAT</t>
  </si>
  <si>
    <t>STDERR</t>
  </si>
  <si>
    <t>TSTATS</t>
  </si>
  <si>
    <t>XTY</t>
  </si>
  <si>
    <t>YDEV</t>
  </si>
  <si>
    <t>YHAT</t>
  </si>
  <si>
    <t>YSQDEV</t>
  </si>
  <si>
    <t>27.206  (0.048)</t>
  </si>
  <si>
    <t>1.28  (0.050)</t>
  </si>
  <si>
    <t>Source:</t>
  </si>
  <si>
    <t>http://people.duke.edu/~rnau/regintro.htm</t>
  </si>
  <si>
    <t>It is well-defined even if the data is fitted without error!</t>
  </si>
  <si>
    <t>The MSE is canceled out by this calculation, so the resulting matrix depends only on X, not on Y.</t>
  </si>
  <si>
    <t>Voila!  Compare these results with those produced by  RegressIt on the following sheet.</t>
  </si>
  <si>
    <t>RegressIt  model</t>
  </si>
  <si>
    <t>May 12, 2015  2:54 PM  RegressIt 2.2.1  RegressIt  model</t>
  </si>
  <si>
    <t>Regression Statistics:    RegressIt  model for Y    (1 variable, n=6)</t>
  </si>
  <si>
    <t>Coefficient Estimates:    RegressIt  model for Y    (1 variable, n=6)</t>
  </si>
  <si>
    <t>Analysis of Variance:    RegressIt  model for Y    (1 variable, n=6)</t>
  </si>
  <si>
    <t>Residual Distribution Statistics:    RegressIt  model for Y    (1 variable, n=6)</t>
  </si>
  <si>
    <t>Forecasts:  RegressIt  model for Y    (1 variable, n=6)</t>
  </si>
  <si>
    <t>Forecast</t>
  </si>
  <si>
    <t>StErrFcst</t>
  </si>
  <si>
    <t>StErrMean</t>
  </si>
  <si>
    <t xml:space="preserve">         X1_</t>
  </si>
  <si>
    <t>Correlation Matrix of Coefficient Estimates : RegressIt  model for Y    (1 variable, n=6)</t>
  </si>
  <si>
    <t>Residuals sorted from largest to smallest by absolute value: RegressIt  model for Y    (1 variable, n=6)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</si>
</sst>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"/>
    <numFmt numFmtId="165" formatCode="#,##0.000"/>
    <numFmt numFmtId="166" formatCode="0.000"/>
    <numFmt numFmtId="167" formatCode="0.0%"/>
    <numFmt numFmtId="168" formatCode="0.000000"/>
    <numFmt numFmtId="169" formatCode="[$-409]m/d/yy\ h:mm\ AM/PM;@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u/>
      <sz val="8"/>
      <name val="Arial"/>
      <family val="2"/>
    </font>
    <font>
      <b/>
      <sz val="7"/>
      <name val="Arial"/>
      <family val="2"/>
    </font>
    <font>
      <sz val="8"/>
      <color rgb="FF777777"/>
      <name val="Arial"/>
      <family val="2"/>
    </font>
    <font>
      <sz val="8"/>
      <color rgb="FFF8F8F8"/>
      <name val="Arial"/>
      <family val="2"/>
    </font>
    <font>
      <sz val="8"/>
      <color theme="0"/>
      <name val="Arial"/>
      <family val="2"/>
    </font>
    <font>
      <sz val="8"/>
      <color rgb="FFB2B2B2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18"/>
      </bottom>
      <diagonal/>
    </border>
    <border>
      <left style="medium">
        <color indexed="18"/>
      </left>
      <right/>
      <top/>
      <bottom style="medium">
        <color indexed="18"/>
      </bottom>
      <diagonal/>
    </border>
  </borders>
  <cellStyleXfs count="3">
    <xf numFmtId="0" fontId="0" fillId="0" borderId="0"/>
    <xf numFmtId="0" fontId="1" fillId="0" borderId="0"/>
    <xf numFmtId="0" fontId="15" fillId="0" borderId="0" applyNumberFormat="0" applyFill="0" applyBorder="0" applyAlignment="0" applyProtection="0"/>
  </cellStyleXfs>
  <cellXfs count="7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quotePrefix="1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2" borderId="12" xfId="0" applyFont="1" applyFill="1" applyBorder="1"/>
    <xf numFmtId="0" fontId="2" fillId="2" borderId="6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0" borderId="14" xfId="0" applyFont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0" fillId="0" borderId="0" xfId="0" applyFill="1"/>
    <xf numFmtId="0" fontId="0" fillId="0" borderId="0" xfId="0" applyBorder="1"/>
    <xf numFmtId="0" fontId="2" fillId="0" borderId="0" xfId="0" applyFont="1" applyFill="1" applyBorder="1"/>
    <xf numFmtId="0" fontId="4" fillId="0" borderId="0" xfId="0" applyFont="1"/>
    <xf numFmtId="0" fontId="5" fillId="0" borderId="0" xfId="0" quotePrefix="1" applyFont="1"/>
    <xf numFmtId="0" fontId="2" fillId="0" borderId="0" xfId="0" applyFont="1" applyBorder="1"/>
    <xf numFmtId="0" fontId="5" fillId="0" borderId="0" xfId="0" applyFont="1"/>
    <xf numFmtId="0" fontId="2" fillId="0" borderId="14" xfId="0" applyFont="1" applyFill="1" applyBorder="1"/>
    <xf numFmtId="0" fontId="2" fillId="0" borderId="14" xfId="0" applyFont="1" applyFill="1" applyBorder="1" applyAlignment="1">
      <alignment horizontal="center"/>
    </xf>
    <xf numFmtId="0" fontId="5" fillId="0" borderId="8" xfId="0" applyFont="1" applyBorder="1"/>
    <xf numFmtId="0" fontId="5" fillId="0" borderId="10" xfId="0" applyFont="1" applyBorder="1"/>
    <xf numFmtId="0" fontId="5" fillId="0" borderId="9" xfId="0" applyFont="1" applyBorder="1"/>
    <xf numFmtId="0" fontId="5" fillId="0" borderId="0" xfId="0" applyFont="1" applyAlignment="1">
      <alignment horizontal="center"/>
    </xf>
    <xf numFmtId="164" fontId="5" fillId="0" borderId="0" xfId="0" applyNumberFormat="1" applyFont="1"/>
    <xf numFmtId="165" fontId="3" fillId="0" borderId="0" xfId="0" applyNumberFormat="1" applyFont="1" applyAlignment="1"/>
    <xf numFmtId="165" fontId="6" fillId="0" borderId="0" xfId="0" applyNumberFormat="1" applyFont="1" applyAlignment="1"/>
    <xf numFmtId="165" fontId="8" fillId="0" borderId="0" xfId="0" applyNumberFormat="1" applyFont="1" applyAlignment="1"/>
    <xf numFmtId="165" fontId="3" fillId="0" borderId="15" xfId="0" applyNumberFormat="1" applyFont="1" applyBorder="1" applyAlignment="1"/>
    <xf numFmtId="165" fontId="9" fillId="0" borderId="15" xfId="0" applyNumberFormat="1" applyFont="1" applyBorder="1" applyAlignment="1">
      <alignment horizontal="right"/>
    </xf>
    <xf numFmtId="166" fontId="3" fillId="0" borderId="0" xfId="0" applyNumberFormat="1" applyFont="1" applyAlignment="1"/>
    <xf numFmtId="1" fontId="3" fillId="0" borderId="0" xfId="0" applyNumberFormat="1" applyFont="1" applyAlignment="1"/>
    <xf numFmtId="167" fontId="3" fillId="0" borderId="0" xfId="0" applyNumberFormat="1" applyFont="1" applyAlignment="1"/>
    <xf numFmtId="165" fontId="9" fillId="0" borderId="15" xfId="0" applyNumberFormat="1" applyFont="1" applyBorder="1" applyAlignment="1">
      <alignment horizontal="left"/>
    </xf>
    <xf numFmtId="168" fontId="3" fillId="0" borderId="0" xfId="0" applyNumberFormat="1" applyFont="1" applyAlignment="1"/>
    <xf numFmtId="165" fontId="10" fillId="0" borderId="0" xfId="0" applyNumberFormat="1" applyFont="1" applyAlignment="1"/>
    <xf numFmtId="165" fontId="11" fillId="0" borderId="0" xfId="0" applyNumberFormat="1" applyFont="1" applyAlignment="1"/>
    <xf numFmtId="165" fontId="3" fillId="0" borderId="0" xfId="0" applyNumberFormat="1" applyFont="1" applyAlignment="1">
      <alignment horizontal="right"/>
    </xf>
    <xf numFmtId="165" fontId="3" fillId="0" borderId="15" xfId="0" applyNumberFormat="1" applyFont="1" applyBorder="1" applyAlignment="1">
      <alignment horizontal="right"/>
    </xf>
    <xf numFmtId="165" fontId="13" fillId="0" borderId="0" xfId="0" applyNumberFormat="1" applyFont="1" applyAlignment="1"/>
    <xf numFmtId="165" fontId="3" fillId="0" borderId="16" xfId="0" applyNumberFormat="1" applyFont="1" applyBorder="1" applyAlignment="1"/>
    <xf numFmtId="165" fontId="8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left"/>
    </xf>
    <xf numFmtId="165" fontId="7" fillId="0" borderId="0" xfId="0" applyNumberFormat="1" applyFont="1" applyAlignment="1">
      <alignment horizontal="left"/>
    </xf>
    <xf numFmtId="169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65" fontId="12" fillId="0" borderId="0" xfId="0" applyNumberFormat="1" applyFont="1" applyAlignment="1"/>
    <xf numFmtId="0" fontId="14" fillId="0" borderId="0" xfId="1" applyFont="1"/>
    <xf numFmtId="0" fontId="15" fillId="0" borderId="0" xfId="2"/>
    <xf numFmtId="0" fontId="3" fillId="0" borderId="0" xfId="0" applyNumberFormat="1" applyFont="1" applyAlignment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n-US"/>
              <a:t>RegressIt  model for Y    (1 variable, n=6)
Predicted Y = 27.206 + 1.28*X1_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Actual</c:v>
          </c:tx>
          <c:spPr>
            <a:ln w="25400">
              <a:noFill/>
            </a:ln>
          </c:spPr>
          <c:marker>
            <c:symbol val="diamond"/>
            <c:size val="8"/>
            <c:spPr>
              <a:solidFill>
                <a:srgbClr val="9999FF"/>
              </a:solidFill>
              <a:ln w="9525" cap="rnd" cmpd="sng" algn="ctr">
                <a:solidFill>
                  <a:srgbClr val="0000FF"/>
                </a:solidFill>
                <a:prstDash val="solid"/>
                <a:round/>
                <a:headEnd type="none" w="med" len="med"/>
                <a:tailEnd type="none" w="med" len="med"/>
              </a:ln>
            </c:spPr>
          </c:marker>
          <c:xVal>
            <c:numLit>
              <c:formatCode>General</c:formatCode>
              <c:ptCount val="6"/>
              <c:pt idx="0">
                <c:v>18</c:v>
              </c:pt>
              <c:pt idx="1">
                <c:v>25</c:v>
              </c:pt>
              <c:pt idx="2">
                <c:v>15</c:v>
              </c:pt>
              <c:pt idx="3">
                <c:v>22</c:v>
              </c:pt>
              <c:pt idx="4">
                <c:v>24</c:v>
              </c:pt>
              <c:pt idx="5">
                <c:v>20</c:v>
              </c:pt>
            </c:numLit>
          </c:xVal>
          <c:yVal>
            <c:numLit>
              <c:formatCode>General</c:formatCode>
              <c:ptCount val="6"/>
              <c:pt idx="0">
                <c:v>45</c:v>
              </c:pt>
              <c:pt idx="1">
                <c:v>58</c:v>
              </c:pt>
              <c:pt idx="2">
                <c:v>50</c:v>
              </c:pt>
              <c:pt idx="3">
                <c:v>54</c:v>
              </c:pt>
              <c:pt idx="4">
                <c:v>62</c:v>
              </c:pt>
              <c:pt idx="5">
                <c:v>53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083776"/>
        <c:axId val="141085696"/>
      </c:scatterChart>
      <c:scatterChart>
        <c:scatterStyle val="lineMarker"/>
        <c:varyColors val="0"/>
        <c:ser>
          <c:idx val="1"/>
          <c:order val="1"/>
          <c:tx>
            <c:strRef>
              <c:f>'RegressIt  model'!$G$25</c:f>
              <c:strCache>
                <c:ptCount val="1"/>
                <c:pt idx="0">
                  <c:v>Upper 95%</c:v>
                </c:pt>
              </c:strCache>
            </c:strRef>
          </c:tx>
          <c:spPr>
            <a:ln w="15875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'RegressIt  model'!$B$26:$B$30</c:f>
              <c:numCache>
                <c:formatCode>#,##0.000</c:formatCode>
                <c:ptCount val="5"/>
                <c:pt idx="0">
                  <c:v>15</c:v>
                </c:pt>
                <c:pt idx="1">
                  <c:v>17.5</c:v>
                </c:pt>
                <c:pt idx="2">
                  <c:v>20</c:v>
                </c:pt>
                <c:pt idx="3">
                  <c:v>22.5</c:v>
                </c:pt>
                <c:pt idx="4">
                  <c:v>25</c:v>
                </c:pt>
              </c:numCache>
            </c:numRef>
          </c:xVal>
          <c:yVal>
            <c:numRef>
              <c:f>'RegressIt  model'!$G$26:$G$30</c:f>
              <c:numCache>
                <c:formatCode>#,##0.000</c:formatCode>
                <c:ptCount val="5"/>
                <c:pt idx="0">
                  <c:v>60.12893218187515</c:v>
                </c:pt>
                <c:pt idx="1">
                  <c:v>61.946856725311399</c:v>
                </c:pt>
                <c:pt idx="2">
                  <c:v>64.496791118624415</c:v>
                </c:pt>
                <c:pt idx="3">
                  <c:v>67.899631407043387</c:v>
                </c:pt>
                <c:pt idx="4">
                  <c:v>72.115392881874001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'RegressIt  model'!$E$25</c:f>
              <c:strCache>
                <c:ptCount val="1"/>
                <c:pt idx="0">
                  <c:v>Predicted</c:v>
                </c:pt>
              </c:strCache>
            </c:strRef>
          </c:tx>
          <c:spPr>
            <a:ln w="1905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'RegressIt  model'!$B$26:$B$30</c:f>
              <c:numCache>
                <c:formatCode>#,##0.000</c:formatCode>
                <c:ptCount val="5"/>
                <c:pt idx="0">
                  <c:v>15</c:v>
                </c:pt>
                <c:pt idx="1">
                  <c:v>17.5</c:v>
                </c:pt>
                <c:pt idx="2">
                  <c:v>20</c:v>
                </c:pt>
                <c:pt idx="3">
                  <c:v>22.5</c:v>
                </c:pt>
                <c:pt idx="4">
                  <c:v>25</c:v>
                </c:pt>
              </c:numCache>
            </c:numRef>
          </c:xVal>
          <c:yVal>
            <c:numRef>
              <c:f>'RegressIt  model'!$E$26:$E$30</c:f>
              <c:numCache>
                <c:formatCode>#,##0.000</c:formatCode>
                <c:ptCount val="5"/>
                <c:pt idx="0">
                  <c:v>46.411214953271255</c:v>
                </c:pt>
                <c:pt idx="1">
                  <c:v>49.612149532710525</c:v>
                </c:pt>
                <c:pt idx="2">
                  <c:v>52.813084112149802</c:v>
                </c:pt>
                <c:pt idx="3">
                  <c:v>56.014018691589072</c:v>
                </c:pt>
                <c:pt idx="4">
                  <c:v>59.214953271028349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'RegressIt  model'!$F$25</c:f>
              <c:strCache>
                <c:ptCount val="1"/>
                <c:pt idx="0">
                  <c:v>Lower 95%</c:v>
                </c:pt>
              </c:strCache>
            </c:strRef>
          </c:tx>
          <c:spPr>
            <a:ln w="15875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'RegressIt  model'!$B$26:$B$30</c:f>
              <c:numCache>
                <c:formatCode>#,##0.000</c:formatCode>
                <c:ptCount val="5"/>
                <c:pt idx="0">
                  <c:v>15</c:v>
                </c:pt>
                <c:pt idx="1">
                  <c:v>17.5</c:v>
                </c:pt>
                <c:pt idx="2">
                  <c:v>20</c:v>
                </c:pt>
                <c:pt idx="3">
                  <c:v>22.5</c:v>
                </c:pt>
                <c:pt idx="4">
                  <c:v>25</c:v>
                </c:pt>
              </c:numCache>
            </c:numRef>
          </c:xVal>
          <c:yVal>
            <c:numRef>
              <c:f>'RegressIt  model'!$F$26:$F$30</c:f>
              <c:numCache>
                <c:formatCode>#,##0.000</c:formatCode>
                <c:ptCount val="5"/>
                <c:pt idx="0">
                  <c:v>32.69349772466736</c:v>
                </c:pt>
                <c:pt idx="1">
                  <c:v>37.277442340109651</c:v>
                </c:pt>
                <c:pt idx="2">
                  <c:v>41.129377105675182</c:v>
                </c:pt>
                <c:pt idx="3">
                  <c:v>44.128405976134758</c:v>
                </c:pt>
                <c:pt idx="4">
                  <c:v>46.314513660182698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089408"/>
        <c:axId val="141087872"/>
      </c:scatterChart>
      <c:valAx>
        <c:axId val="141083776"/>
        <c:scaling>
          <c:orientation val="minMax"/>
          <c:min val="1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X1_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1085696"/>
        <c:crossesAt val="30"/>
        <c:crossBetween val="midCat"/>
      </c:valAx>
      <c:valAx>
        <c:axId val="141085696"/>
        <c:scaling>
          <c:orientation val="minMax"/>
          <c:min val="3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2.736318407960199E-2"/>
              <c:y val="0.4797653348886944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1083776"/>
        <c:crossesAt val="15"/>
        <c:crossBetween val="midCat"/>
      </c:valAx>
      <c:valAx>
        <c:axId val="141087872"/>
        <c:scaling>
          <c:orientation val="minMax"/>
          <c:min val="30"/>
        </c:scaling>
        <c:delete val="1"/>
        <c:axPos val="r"/>
        <c:numFmt formatCode="#,##0.000" sourceLinked="1"/>
        <c:majorTickMark val="out"/>
        <c:minorTickMark val="none"/>
        <c:tickLblPos val="nextTo"/>
        <c:crossAx val="141089408"/>
        <c:crosses val="max"/>
        <c:crossBetween val="midCat"/>
      </c:valAx>
      <c:valAx>
        <c:axId val="141089408"/>
        <c:scaling>
          <c:orientation val="minMax"/>
        </c:scaling>
        <c:delete val="1"/>
        <c:axPos val="b"/>
        <c:numFmt formatCode="#,##0.000" sourceLinked="1"/>
        <c:majorTickMark val="out"/>
        <c:minorTickMark val="none"/>
        <c:tickLblPos val="nextTo"/>
        <c:crossAx val="141087872"/>
        <c:crosses val="autoZero"/>
        <c:crossBetween val="midCat"/>
      </c:valAx>
      <c:spPr>
        <a:ln w="6350">
          <a:solidFill>
            <a:srgbClr val="808080"/>
          </a:solidFill>
          <a:prstDash val="solid"/>
        </a:ln>
      </c:spPr>
    </c:plotArea>
    <c:legend>
      <c:legendPos val="r"/>
      <c:overlay val="0"/>
    </c:legend>
    <c:plotVisOnly val="1"/>
    <c:dispBlanksAs val="gap"/>
    <c:showDLblsOverMax val="0"/>
  </c:chart>
  <c:spPr>
    <a:solidFill>
      <a:srgbClr val="F3F3F3"/>
    </a:solidFill>
    <a:ln w="6350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'RegressIt  model'!$AA$2</c:f>
          <c:strCache>
            <c:ptCount val="1"/>
            <c:pt idx="0">
              <c:v>Forecasts and 95.0% confidence limits for means and forecasts
RegressIt  model for Y    (1 variable, n=6)</c:v>
            </c:pt>
          </c:strCache>
        </c:strRef>
      </c:tx>
      <c:overlay val="0"/>
      <c:txPr>
        <a:bodyPr/>
        <a:lstStyle/>
        <a:p>
          <a:pPr>
            <a:defRPr sz="10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Forecast</c:v>
          </c:tx>
          <c:spPr>
            <a:ln w="25400">
              <a:noFill/>
            </a:ln>
          </c:spPr>
          <c:marker>
            <c:symbol val="circle"/>
            <c:size val="7"/>
            <c:spPr>
              <a:solidFill>
                <a:srgbClr val="FF9999"/>
              </a:solidFill>
              <a:ln w="12700">
                <a:solidFill>
                  <a:srgbClr val="FF000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'RegressIt  model'!$CG$52</c:f>
                <c:numCache>
                  <c:formatCode>General</c:formatCode>
                  <c:ptCount val="1"/>
                  <c:pt idx="0">
                    <c:v>16.670715766988877</c:v>
                  </c:pt>
                </c:numCache>
              </c:numRef>
            </c:plus>
            <c:minus>
              <c:numRef>
                <c:f>'RegressIt  model'!$CG$52</c:f>
                <c:numCache>
                  <c:formatCode>General</c:formatCode>
                  <c:ptCount val="1"/>
                  <c:pt idx="0">
                    <c:v>16.670715766988877</c:v>
                  </c:pt>
                </c:numCache>
              </c:numRef>
            </c:minus>
          </c:errBars>
          <c:cat>
            <c:numRef>
              <c:f>'RegressIt  model'!$A$52</c:f>
              <c:numCache>
                <c:formatCode>0</c:formatCode>
                <c:ptCount val="1"/>
                <c:pt idx="0">
                  <c:v>7</c:v>
                </c:pt>
              </c:numCache>
            </c:numRef>
          </c:cat>
          <c:val>
            <c:numRef>
              <c:f>'RegressIt  model'!$B$52</c:f>
              <c:numCache>
                <c:formatCode>#,##0.000</c:formatCode>
                <c:ptCount val="1"/>
                <c:pt idx="0">
                  <c:v>65.616822429906989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'RegressIt  model'!$H$51</c:f>
              <c:strCache>
                <c:ptCount val="1"/>
                <c:pt idx="0">
                  <c:v>Upper95%M</c:v>
                </c:pt>
              </c:strCache>
            </c:strRef>
          </c:tx>
          <c:spPr>
            <a:ln w="25400">
              <a:noFill/>
            </a:ln>
          </c:spPr>
          <c:marker>
            <c:symbol val="dash"/>
            <c:size val="7"/>
            <c:spPr>
              <a:noFill/>
              <a:ln w="12700">
                <a:solidFill>
                  <a:srgbClr val="000000"/>
                </a:solidFill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ED7D31"/>
                    </a:solidFill>
                  </a14:hiddenFill>
                </a:ext>
              </a:extLst>
            </c:spPr>
          </c:marker>
          <c:cat>
            <c:numRef>
              <c:f>'RegressIt  model'!$A$52</c:f>
              <c:numCache>
                <c:formatCode>0</c:formatCode>
                <c:ptCount val="1"/>
                <c:pt idx="0">
                  <c:v>7</c:v>
                </c:pt>
              </c:numCache>
            </c:numRef>
          </c:cat>
          <c:val>
            <c:numRef>
              <c:f>'RegressIt  model'!$H$52</c:f>
              <c:numCache>
                <c:formatCode>0.000</c:formatCode>
                <c:ptCount val="1"/>
                <c:pt idx="0">
                  <c:v>78.326133850894067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'RegressIt  model'!$G$51</c:f>
              <c:strCache>
                <c:ptCount val="1"/>
                <c:pt idx="0">
                  <c:v>Lower95%M</c:v>
                </c:pt>
              </c:strCache>
            </c:strRef>
          </c:tx>
          <c:spPr>
            <a:ln w="25400">
              <a:noFill/>
            </a:ln>
          </c:spPr>
          <c:marker>
            <c:symbol val="dash"/>
            <c:size val="7"/>
            <c:spPr>
              <a:noFill/>
              <a:ln w="12700">
                <a:solidFill>
                  <a:srgbClr val="000000"/>
                </a:solidFill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A5A5A5"/>
                    </a:solidFill>
                  </a14:hiddenFill>
                </a:ext>
              </a:extLst>
            </c:spPr>
          </c:marker>
          <c:cat>
            <c:numRef>
              <c:f>'RegressIt  model'!$A$52</c:f>
              <c:numCache>
                <c:formatCode>0</c:formatCode>
                <c:ptCount val="1"/>
                <c:pt idx="0">
                  <c:v>7</c:v>
                </c:pt>
              </c:numCache>
            </c:numRef>
          </c:cat>
          <c:val>
            <c:numRef>
              <c:f>'RegressIt  model'!$G$52</c:f>
              <c:numCache>
                <c:formatCode>0.000</c:formatCode>
                <c:ptCount val="1"/>
                <c:pt idx="0">
                  <c:v>52.907511008919911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473280"/>
        <c:axId val="139475584"/>
      </c:lineChart>
      <c:catAx>
        <c:axId val="139473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Observation #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39475584"/>
        <c:crossesAt val="45"/>
        <c:auto val="1"/>
        <c:lblAlgn val="ctr"/>
        <c:lblOffset val="100"/>
        <c:noMultiLvlLbl val="0"/>
      </c:catAx>
      <c:valAx>
        <c:axId val="139475584"/>
        <c:scaling>
          <c:orientation val="minMax"/>
          <c:min val="45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2.736318407960199E-2"/>
              <c:y val="0.47976533488869449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39473280"/>
        <c:crosses val="autoZero"/>
        <c:crossBetween val="between"/>
      </c:valAx>
      <c:spPr>
        <a:ln w="635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3F3F3"/>
    </a:solidFill>
    <a:ln w="6350">
      <a:solidFill>
        <a:srgbClr val="808080"/>
      </a:solidFill>
      <a:prstDash val="solid"/>
    </a:ln>
  </c:spPr>
  <c:txPr>
    <a:bodyPr/>
    <a:lstStyle/>
    <a:p>
      <a:pPr>
        <a:defRPr sz="1000"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'RegressIt  model'!$AA$3</c:f>
          <c:strCache>
            <c:ptCount val="1"/>
            <c:pt idx="0">
              <c:v>Actual and predicted -vs- Observation # with 95.0% confidence limits
RegressIt  model for Y    (1 variable, n=6)</c:v>
            </c:pt>
          </c:strCache>
        </c:strRef>
      </c:tx>
      <c:overlay val="0"/>
      <c:txPr>
        <a:bodyPr/>
        <a:lstStyle/>
        <a:p>
          <a:pPr>
            <a:defRPr sz="1000"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Actual</c:v>
          </c:tx>
          <c:spPr>
            <a:ln w="25400">
              <a:noFill/>
            </a:ln>
          </c:spPr>
          <c:marker>
            <c:symbol val="diamond"/>
            <c:size val="8"/>
            <c:spPr>
              <a:solidFill>
                <a:srgbClr val="9999FF"/>
              </a:solidFill>
              <a:ln w="9525" cap="rnd" cmpd="sng" algn="ctr">
                <a:solidFill>
                  <a:srgbClr val="0000FF"/>
                </a:solidFill>
                <a:prstDash val="solid"/>
                <a:round/>
                <a:headEnd type="none" w="med" len="med"/>
                <a:tailEnd type="none" w="med" len="med"/>
              </a:ln>
            </c:spPr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numLit>
          </c:xVal>
          <c:yVal>
            <c:numLit>
              <c:formatCode>General</c:formatCode>
              <c:ptCount val="6"/>
              <c:pt idx="0">
                <c:v>45</c:v>
              </c:pt>
              <c:pt idx="1">
                <c:v>58</c:v>
              </c:pt>
              <c:pt idx="2">
                <c:v>50</c:v>
              </c:pt>
              <c:pt idx="3">
                <c:v>54</c:v>
              </c:pt>
              <c:pt idx="4">
                <c:v>62</c:v>
              </c:pt>
              <c:pt idx="5">
                <c:v>53</c:v>
              </c:pt>
            </c:numLit>
          </c:yVal>
          <c:smooth val="0"/>
        </c:ser>
        <c:ser>
          <c:idx val="1"/>
          <c:order val="1"/>
          <c:tx>
            <c:v>Predicted</c:v>
          </c:tx>
          <c:spPr>
            <a:ln w="25400">
              <a:noFill/>
            </a:ln>
          </c:spPr>
          <c:marker>
            <c:symbol val="circle"/>
            <c:size val="8"/>
            <c:spPr>
              <a:noFill/>
              <a:ln w="9525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numLit>
          </c:xVal>
          <c:yVal>
            <c:numLit>
              <c:formatCode>General</c:formatCode>
              <c:ptCount val="6"/>
              <c:pt idx="0">
                <c:v>50.252336448598427</c:v>
              </c:pt>
              <c:pt idx="1">
                <c:v>59.214953271028428</c:v>
              </c:pt>
              <c:pt idx="2">
                <c:v>46.411214953271291</c:v>
              </c:pt>
              <c:pt idx="3">
                <c:v>55.373831775701284</c:v>
              </c:pt>
              <c:pt idx="4">
                <c:v>57.934579439252715</c:v>
              </c:pt>
              <c:pt idx="5">
                <c:v>52.813084112149859</c:v>
              </c:pt>
            </c:numLit>
          </c:yVal>
          <c:smooth val="0"/>
        </c:ser>
        <c:ser>
          <c:idx val="2"/>
          <c:order val="2"/>
          <c:tx>
            <c:v>Forecast</c:v>
          </c:tx>
          <c:spPr>
            <a:ln w="25400">
              <a:noFill/>
            </a:ln>
          </c:spPr>
          <c:marker>
            <c:symbol val="circle"/>
            <c:size val="7"/>
            <c:spPr>
              <a:solidFill>
                <a:srgbClr val="FF9999"/>
              </a:solidFill>
              <a:ln w="12700">
                <a:solidFill>
                  <a:srgbClr val="FF000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'RegressIt  model'!$CG$52</c:f>
                <c:numCache>
                  <c:formatCode>General</c:formatCode>
                  <c:ptCount val="1"/>
                  <c:pt idx="0">
                    <c:v>16.670715766988877</c:v>
                  </c:pt>
                </c:numCache>
              </c:numRef>
            </c:plus>
            <c:minus>
              <c:numRef>
                <c:f>'RegressIt  model'!$CG$52</c:f>
                <c:numCache>
                  <c:formatCode>General</c:formatCode>
                  <c:ptCount val="1"/>
                  <c:pt idx="0">
                    <c:v>16.670715766988877</c:v>
                  </c:pt>
                </c:numCache>
              </c:numRef>
            </c:minus>
          </c:errBars>
          <c:xVal>
            <c:numRef>
              <c:f>'RegressIt  model'!$A$52:$A$52</c:f>
              <c:numCache>
                <c:formatCode>0</c:formatCode>
                <c:ptCount val="1"/>
                <c:pt idx="0">
                  <c:v>7</c:v>
                </c:pt>
              </c:numCache>
            </c:numRef>
          </c:xVal>
          <c:yVal>
            <c:numRef>
              <c:f>'RegressIt  model'!$B$52:$B$52</c:f>
              <c:numCache>
                <c:formatCode>#,##0.000</c:formatCode>
                <c:ptCount val="1"/>
                <c:pt idx="0">
                  <c:v>65.616822429906989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47584"/>
        <c:axId val="122149504"/>
      </c:scatterChart>
      <c:valAx>
        <c:axId val="122147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Observation #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22149504"/>
        <c:crossesAt val="45"/>
        <c:crossBetween val="midCat"/>
      </c:valAx>
      <c:valAx>
        <c:axId val="122149504"/>
        <c:scaling>
          <c:orientation val="minMax"/>
          <c:min val="45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2.736318407960199E-2"/>
              <c:y val="0.4797653348886944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22147584"/>
        <c:crossesAt val="0"/>
        <c:crossBetween val="midCat"/>
      </c:valAx>
      <c:spPr>
        <a:ln w="6350">
          <a:solidFill>
            <a:srgbClr val="808080"/>
          </a:solidFill>
          <a:prstDash val="solid"/>
        </a:ln>
      </c:spPr>
    </c:plotArea>
    <c:legend>
      <c:legendPos val="r"/>
      <c:overlay val="0"/>
    </c:legend>
    <c:plotVisOnly val="1"/>
    <c:dispBlanksAs val="gap"/>
    <c:showDLblsOverMax val="0"/>
  </c:chart>
  <c:spPr>
    <a:solidFill>
      <a:srgbClr val="F3F3F3"/>
    </a:solidFill>
    <a:ln w="6350">
      <a:solidFill>
        <a:srgbClr val="808080"/>
      </a:solidFill>
      <a:prstDash val="solid"/>
    </a:ln>
  </c:spPr>
  <c:txPr>
    <a:bodyPr/>
    <a:lstStyle/>
    <a:p>
      <a:pPr>
        <a:defRPr sz="1000">
          <a:latin typeface="+mn-lt"/>
          <a:ea typeface="+mn-lt"/>
          <a:cs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Residual -vs- Observation #
</a:t>
            </a:r>
            <a:r>
              <a:rPr lang="en-US" sz="1000"/>
              <a:t>RegressIt  model for Y    (1 variable, n=6)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Actual</c:v>
          </c:tx>
          <c:spPr>
            <a:solidFill>
              <a:srgbClr val="9999FF"/>
            </a:solidFill>
            <a:ln w="9525" cap="flat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invertIfNegative val="0"/>
          <c:cat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numLit>
          </c:cat>
          <c:val>
            <c:numLit>
              <c:formatCode>General</c:formatCode>
              <c:ptCount val="6"/>
              <c:pt idx="0">
                <c:v>-5.2523364485984274</c:v>
              </c:pt>
              <c:pt idx="1">
                <c:v>-1.2149532710284277</c:v>
              </c:pt>
              <c:pt idx="2">
                <c:v>3.5887850467287095</c:v>
              </c:pt>
              <c:pt idx="3">
                <c:v>-1.3738317757012837</c:v>
              </c:pt>
              <c:pt idx="4">
                <c:v>4.0654205607472846</c:v>
              </c:pt>
              <c:pt idx="5">
                <c:v>0.1869158878501409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139525120"/>
        <c:axId val="139605120"/>
      </c:barChart>
      <c:catAx>
        <c:axId val="139525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Observation 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en-US"/>
          </a:p>
        </c:txPr>
        <c:crossAx val="139605120"/>
        <c:crossesAt val="0"/>
        <c:auto val="1"/>
        <c:lblAlgn val="ctr"/>
        <c:lblOffset val="100"/>
        <c:noMultiLvlLbl val="0"/>
      </c:catAx>
      <c:valAx>
        <c:axId val="139605120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525120"/>
        <c:crosses val="autoZero"/>
        <c:crossBetween val="between"/>
      </c:valAx>
      <c:spPr>
        <a:ln w="635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3F3F3"/>
    </a:solidFill>
    <a:ln w="6350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Residual -vs- Predicted
</a:t>
            </a:r>
            <a:r>
              <a:rPr lang="en-US" sz="1000"/>
              <a:t>RegressIt  model for Y    (1 variable, n=6)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Actual</c:v>
          </c:tx>
          <c:spPr>
            <a:ln w="25400">
              <a:noFill/>
            </a:ln>
            <a:effectLst/>
          </c:spPr>
          <c:marker>
            <c:symbol val="diamond"/>
            <c:size val="8"/>
            <c:spPr>
              <a:solidFill>
                <a:srgbClr val="9999FF"/>
              </a:solidFill>
              <a:ln w="9525" cap="rnd" cmpd="sng" algn="ctr">
                <a:solidFill>
                  <a:srgbClr val="0000FF"/>
                </a:solidFill>
                <a:prstDash val="solid"/>
                <a:round/>
                <a:headEnd type="none" w="med" len="med"/>
                <a:tailEnd type="none" w="med" len="med"/>
              </a:ln>
            </c:spPr>
          </c:marker>
          <c:xVal>
            <c:numLit>
              <c:formatCode>General</c:formatCode>
              <c:ptCount val="6"/>
              <c:pt idx="0">
                <c:v>50.252336448598427</c:v>
              </c:pt>
              <c:pt idx="1">
                <c:v>59.214953271028428</c:v>
              </c:pt>
              <c:pt idx="2">
                <c:v>46.411214953271291</c:v>
              </c:pt>
              <c:pt idx="3">
                <c:v>55.373831775701284</c:v>
              </c:pt>
              <c:pt idx="4">
                <c:v>57.934579439252715</c:v>
              </c:pt>
              <c:pt idx="5">
                <c:v>52.813084112149859</c:v>
              </c:pt>
            </c:numLit>
          </c:xVal>
          <c:yVal>
            <c:numLit>
              <c:formatCode>General</c:formatCode>
              <c:ptCount val="6"/>
              <c:pt idx="0">
                <c:v>-5.2523364485984274</c:v>
              </c:pt>
              <c:pt idx="1">
                <c:v>-1.2149532710284277</c:v>
              </c:pt>
              <c:pt idx="2">
                <c:v>3.5887850467287095</c:v>
              </c:pt>
              <c:pt idx="3">
                <c:v>-1.3738317757012837</c:v>
              </c:pt>
              <c:pt idx="4">
                <c:v>4.0654205607472846</c:v>
              </c:pt>
              <c:pt idx="5">
                <c:v>0.1869158878501409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633792"/>
        <c:axId val="139636096"/>
      </c:scatterChart>
      <c:valAx>
        <c:axId val="139633792"/>
        <c:scaling>
          <c:orientation val="minMax"/>
          <c:min val="4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Predicted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636096"/>
        <c:crossesAt val="-6"/>
        <c:crossBetween val="midCat"/>
      </c:valAx>
      <c:valAx>
        <c:axId val="139636096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633792"/>
        <c:crossesAt val="0"/>
        <c:crossBetween val="midCat"/>
      </c:valAx>
      <c:spPr>
        <a:ln w="635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3F3F3"/>
    </a:solidFill>
    <a:ln w="6350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Histogram of Residuals
</a:t>
            </a:r>
            <a:r>
              <a:rPr lang="en-US" sz="1000"/>
              <a:t>RegressIt  model for Y    (1 variable, n=6)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Actual</c:v>
          </c:tx>
          <c:spPr>
            <a:solidFill>
              <a:srgbClr val="9999FF"/>
            </a:solidFill>
            <a:ln w="9525" cap="flat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cat>
            <c:strLit>
              <c:ptCount val="5"/>
              <c:pt idx="0">
                <c:v>-5.3</c:v>
              </c:pt>
              <c:pt idx="1">
                <c:v>-2.7</c:v>
              </c:pt>
              <c:pt idx="2">
                <c:v>0.0</c:v>
              </c:pt>
              <c:pt idx="3">
                <c:v>2.7</c:v>
              </c:pt>
              <c:pt idx="4">
                <c:v>5.3</c:v>
              </c:pt>
            </c:strLit>
          </c:cat>
          <c:val>
            <c:numLit>
              <c:formatCode>General</c:formatCode>
              <c:ptCount val="5"/>
              <c:pt idx="0">
                <c:v>1</c:v>
              </c:pt>
              <c:pt idx="1">
                <c:v>1</c:v>
              </c:pt>
              <c:pt idx="2">
                <c:v>2</c:v>
              </c:pt>
              <c:pt idx="3">
                <c:v>1</c:v>
              </c:pt>
              <c:pt idx="4">
                <c:v>1</c:v>
              </c:pt>
            </c:numLit>
          </c:val>
        </c:ser>
        <c:ser>
          <c:idx val="1"/>
          <c:order val="1"/>
          <c:tx>
            <c:v>Theoretical</c:v>
          </c:tx>
          <c:spPr>
            <a:solidFill>
              <a:srgbClr val="FFD2D2"/>
            </a:solidFill>
            <a:ln w="9525">
              <a:solidFill>
                <a:srgbClr val="FF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-5.3</c:v>
              </c:pt>
              <c:pt idx="1">
                <c:v>-2.7</c:v>
              </c:pt>
              <c:pt idx="2">
                <c:v>0.0</c:v>
              </c:pt>
              <c:pt idx="3">
                <c:v>2.7</c:v>
              </c:pt>
              <c:pt idx="4">
                <c:v>5.3</c:v>
              </c:pt>
            </c:strLit>
          </c:cat>
          <c:val>
            <c:numLit>
              <c:formatCode>General</c:formatCode>
              <c:ptCount val="5"/>
              <c:pt idx="0">
                <c:v>0.58832953826330803</c:v>
              </c:pt>
              <c:pt idx="1">
                <c:v>1.3366936208606779</c:v>
              </c:pt>
              <c:pt idx="2">
                <c:v>1.7818913056709307</c:v>
              </c:pt>
              <c:pt idx="3">
                <c:v>1.3366936208606783</c:v>
              </c:pt>
              <c:pt idx="4">
                <c:v>0.58832953826330758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39653504"/>
        <c:axId val="139655424"/>
      </c:barChart>
      <c:catAx>
        <c:axId val="139653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 Range
</a:t>
                </a:r>
                <a:r>
                  <a:rPr lang="en-US" sz="750"/>
                  <a:t>Adjusted Anderson-Darling statistic is 0.321 (P=0.531)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655424"/>
        <c:crosses val="autoZero"/>
        <c:auto val="1"/>
        <c:lblAlgn val="ctr"/>
        <c:lblOffset val="100"/>
        <c:noMultiLvlLbl val="0"/>
      </c:catAx>
      <c:valAx>
        <c:axId val="139655424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653504"/>
        <c:crosses val="autoZero"/>
        <c:crossBetween val="between"/>
      </c:valAx>
      <c:spPr>
        <a:ln w="6350">
          <a:solidFill>
            <a:srgbClr val="808080"/>
          </a:solidFill>
          <a:prstDash val="solid"/>
        </a:ln>
      </c:spPr>
    </c:plotArea>
    <c:legend>
      <c:legendPos val="r"/>
      <c:overlay val="0"/>
    </c:legend>
    <c:plotVisOnly val="1"/>
    <c:dispBlanksAs val="gap"/>
    <c:showDLblsOverMax val="0"/>
  </c:chart>
  <c:spPr>
    <a:solidFill>
      <a:srgbClr val="F3F3F3"/>
    </a:solidFill>
    <a:ln w="6350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9524</xdr:rowOff>
    </xdr:from>
    <xdr:to>
      <xdr:col>13</xdr:col>
      <xdr:colOff>238124</xdr:colOff>
      <xdr:row>4</xdr:row>
      <xdr:rowOff>104775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9524" y="9524"/>
          <a:ext cx="8220075" cy="74295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This worksheet shows the calculation of regression coefficients, predictions, and confidence intervals using matrix algebra.  </a:t>
          </a:r>
          <a:b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The example is a simple (1 independent variable) regression model, but the same general formulas (as described in the comments above them) are valid for any number of data points and independent variables.  The X matrix and Y vector just need to be expanded to include more rows and/or columns.  The following worksheet shows the results of fitting the same model with RegressIt.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23</xdr:row>
      <xdr:rowOff>127000</xdr:rowOff>
    </xdr:from>
    <xdr:to>
      <xdr:col>8</xdr:col>
      <xdr:colOff>422275</xdr:colOff>
      <xdr:row>41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127000</xdr:colOff>
      <xdr:row>54</xdr:row>
      <xdr:rowOff>127000</xdr:rowOff>
    </xdr:from>
    <xdr:to>
      <xdr:col>8</xdr:col>
      <xdr:colOff>422275</xdr:colOff>
      <xdr:row>72</xdr:row>
      <xdr:rowOff>127000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78</xdr:row>
      <xdr:rowOff>127000</xdr:rowOff>
    </xdr:from>
    <xdr:to>
      <xdr:col>8</xdr:col>
      <xdr:colOff>422275</xdr:colOff>
      <xdr:row>96</xdr:row>
      <xdr:rowOff>127000</xdr:rowOff>
    </xdr:to>
    <xdr:graphicFrame macro="">
      <xdr:nvGraphicFramePr>
        <xdr:cNvPr id="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127000</xdr:colOff>
      <xdr:row>100</xdr:row>
      <xdr:rowOff>127000</xdr:rowOff>
    </xdr:from>
    <xdr:to>
      <xdr:col>8</xdr:col>
      <xdr:colOff>422275</xdr:colOff>
      <xdr:row>118</xdr:row>
      <xdr:rowOff>127000</xdr:rowOff>
    </xdr:to>
    <xdr:graphicFrame macro="">
      <xdr:nvGraphicFramePr>
        <xdr:cNvPr id="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127000</xdr:colOff>
      <xdr:row>122</xdr:row>
      <xdr:rowOff>127000</xdr:rowOff>
    </xdr:from>
    <xdr:to>
      <xdr:col>8</xdr:col>
      <xdr:colOff>422275</xdr:colOff>
      <xdr:row>140</xdr:row>
      <xdr:rowOff>127000</xdr:rowOff>
    </xdr:to>
    <xdr:graphicFrame macro="">
      <xdr:nvGraphicFramePr>
        <xdr:cNvPr id="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127000</xdr:colOff>
      <xdr:row>144</xdr:row>
      <xdr:rowOff>127000</xdr:rowOff>
    </xdr:from>
    <xdr:to>
      <xdr:col>8</xdr:col>
      <xdr:colOff>422275</xdr:colOff>
      <xdr:row>162</xdr:row>
      <xdr:rowOff>127000</xdr:rowOff>
    </xdr:to>
    <xdr:graphicFrame macro="">
      <xdr:nvGraphicFramePr>
        <xdr:cNvPr id="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4</xdr:col>
      <xdr:colOff>0</xdr:colOff>
      <xdr:row>0</xdr:row>
      <xdr:rowOff>0</xdr:rowOff>
    </xdr:from>
    <xdr:to>
      <xdr:col>8</xdr:col>
      <xdr:colOff>485775</xdr:colOff>
      <xdr:row>0</xdr:row>
      <xdr:rowOff>152400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0"/>
          <a:ext cx="2876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eople.duke.edu/~rnau/regintro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6"/>
  <sheetViews>
    <sheetView tabSelected="1" topLeftCell="A88" workbookViewId="0">
      <selection activeCell="C20" sqref="C20"/>
    </sheetView>
  </sheetViews>
  <sheetFormatPr defaultRowHeight="12.75" x14ac:dyDescent="0.2"/>
  <cols>
    <col min="1" max="1" width="2.5703125" customWidth="1"/>
    <col min="9" max="9" width="12.5703125" bestFit="1" customWidth="1"/>
    <col min="10" max="10" width="12.140625" bestFit="1" customWidth="1"/>
    <col min="11" max="11" width="10.28515625" customWidth="1"/>
  </cols>
  <sheetData>
    <row r="1" spans="1:16" ht="15" x14ac:dyDescent="0.25">
      <c r="B1" s="1"/>
      <c r="O1" s="69" t="s">
        <v>137</v>
      </c>
      <c r="P1" s="70" t="s">
        <v>138</v>
      </c>
    </row>
    <row r="2" spans="1:16" x14ac:dyDescent="0.2">
      <c r="B2" s="1"/>
    </row>
    <row r="3" spans="1:16" x14ac:dyDescent="0.2">
      <c r="B3" s="1"/>
    </row>
    <row r="4" spans="1:16" x14ac:dyDescent="0.2">
      <c r="B4" s="1"/>
    </row>
    <row r="5" spans="1:16" x14ac:dyDescent="0.2">
      <c r="B5" s="1"/>
      <c r="C5" s="1"/>
      <c r="D5" s="1"/>
      <c r="E5" s="1"/>
      <c r="F5" s="1"/>
      <c r="G5" s="1"/>
      <c r="H5" s="1"/>
    </row>
    <row r="6" spans="1:16" x14ac:dyDescent="0.2">
      <c r="B6" s="1"/>
      <c r="C6" s="1"/>
      <c r="D6" s="1"/>
      <c r="E6" s="1"/>
      <c r="F6" s="1"/>
      <c r="G6" s="1"/>
      <c r="H6" s="1"/>
    </row>
    <row r="7" spans="1:16" x14ac:dyDescent="0.2">
      <c r="B7" s="1" t="s">
        <v>3</v>
      </c>
      <c r="C7" s="1"/>
      <c r="D7" s="1"/>
      <c r="E7" s="1"/>
      <c r="F7" s="1"/>
      <c r="G7" s="1"/>
      <c r="H7" s="1" t="s">
        <v>64</v>
      </c>
    </row>
    <row r="8" spans="1:16" ht="13.5" thickBot="1" x14ac:dyDescent="0.25">
      <c r="B8" s="2" t="s">
        <v>4</v>
      </c>
      <c r="C8" s="2" t="s">
        <v>5</v>
      </c>
      <c r="D8" s="2" t="s">
        <v>6</v>
      </c>
      <c r="E8" s="1"/>
      <c r="F8" s="1"/>
      <c r="G8" s="1"/>
      <c r="H8" s="2" t="s">
        <v>0</v>
      </c>
      <c r="I8" s="44" t="s">
        <v>62</v>
      </c>
      <c r="J8" s="44" t="s">
        <v>63</v>
      </c>
    </row>
    <row r="9" spans="1:16" x14ac:dyDescent="0.2">
      <c r="B9" s="5">
        <v>1</v>
      </c>
      <c r="C9" s="18">
        <v>18</v>
      </c>
      <c r="D9" s="1"/>
      <c r="E9" s="1"/>
      <c r="F9" s="1"/>
      <c r="G9" s="1"/>
      <c r="H9" s="21">
        <v>45</v>
      </c>
      <c r="I9" s="41">
        <f t="array" ref="I9:I14">Y-AVGY</f>
        <v>-8.6666666666666643</v>
      </c>
      <c r="J9" s="41">
        <f t="shared" ref="J9:J14" si="0">YDEV^2</f>
        <v>75.111111111111072</v>
      </c>
      <c r="L9" s="1" t="s">
        <v>7</v>
      </c>
    </row>
    <row r="10" spans="1:16" x14ac:dyDescent="0.2">
      <c r="B10" s="6">
        <v>1</v>
      </c>
      <c r="C10" s="19">
        <v>25</v>
      </c>
      <c r="D10" s="1"/>
      <c r="E10" s="1"/>
      <c r="F10" s="1"/>
      <c r="G10" s="1"/>
      <c r="H10" s="22">
        <v>58</v>
      </c>
      <c r="I10" s="42">
        <v>4.3333333333333357</v>
      </c>
      <c r="J10" s="42">
        <f t="shared" si="0"/>
        <v>18.7777777777778</v>
      </c>
      <c r="L10" s="1" t="s">
        <v>8</v>
      </c>
    </row>
    <row r="11" spans="1:16" x14ac:dyDescent="0.2">
      <c r="A11" s="1"/>
      <c r="B11" s="6">
        <v>1</v>
      </c>
      <c r="C11" s="19">
        <v>15</v>
      </c>
      <c r="D11" s="1"/>
      <c r="E11" s="1"/>
      <c r="F11" s="1"/>
      <c r="G11" s="1"/>
      <c r="H11" s="22">
        <v>50</v>
      </c>
      <c r="I11" s="42">
        <v>-3.6666666666666643</v>
      </c>
      <c r="J11" s="42">
        <f t="shared" si="0"/>
        <v>13.444444444444427</v>
      </c>
      <c r="L11" s="1" t="s">
        <v>9</v>
      </c>
    </row>
    <row r="12" spans="1:16" x14ac:dyDescent="0.2">
      <c r="B12" s="6">
        <v>1</v>
      </c>
      <c r="C12" s="19">
        <v>22</v>
      </c>
      <c r="D12" s="1"/>
      <c r="E12" s="1"/>
      <c r="F12" s="1"/>
      <c r="G12" s="1"/>
      <c r="H12" s="22">
        <v>54</v>
      </c>
      <c r="I12" s="42">
        <v>0.3333333333333357</v>
      </c>
      <c r="J12" s="42">
        <f t="shared" si="0"/>
        <v>0.11111111111111269</v>
      </c>
    </row>
    <row r="13" spans="1:16" x14ac:dyDescent="0.2">
      <c r="B13" s="6">
        <v>1</v>
      </c>
      <c r="C13" s="19">
        <v>24</v>
      </c>
      <c r="D13" s="1"/>
      <c r="E13" s="1"/>
      <c r="F13" s="1"/>
      <c r="G13" s="1"/>
      <c r="H13" s="22">
        <v>62</v>
      </c>
      <c r="I13" s="42">
        <v>8.3333333333333357</v>
      </c>
      <c r="J13" s="42">
        <f t="shared" si="0"/>
        <v>69.444444444444485</v>
      </c>
    </row>
    <row r="14" spans="1:16" ht="13.5" thickBot="1" x14ac:dyDescent="0.25">
      <c r="B14" s="7">
        <v>1</v>
      </c>
      <c r="C14" s="20">
        <v>20</v>
      </c>
      <c r="D14" s="1"/>
      <c r="E14" s="1"/>
      <c r="F14" s="1"/>
      <c r="G14" s="1"/>
      <c r="H14" s="23">
        <v>53</v>
      </c>
      <c r="I14" s="43">
        <v>-0.6666666666666643</v>
      </c>
      <c r="J14" s="43">
        <f t="shared" si="0"/>
        <v>0.44444444444444131</v>
      </c>
    </row>
    <row r="15" spans="1:16" x14ac:dyDescent="0.2">
      <c r="B15" s="25"/>
      <c r="C15" s="25"/>
      <c r="D15" s="26"/>
      <c r="E15" s="26"/>
      <c r="F15" s="26"/>
      <c r="G15" s="26"/>
      <c r="H15" s="38">
        <f>AVERAGE(Y)</f>
        <v>53.666666666666664</v>
      </c>
      <c r="I15" s="45">
        <f>AVERAGE(YDEV)</f>
        <v>2.3684757858670005E-15</v>
      </c>
      <c r="J15" s="45">
        <f>AVERAGE(YSQDEV)</f>
        <v>29.555555555555557</v>
      </c>
      <c r="K15" s="38" t="s">
        <v>65</v>
      </c>
    </row>
    <row r="16" spans="1:16" x14ac:dyDescent="0.2">
      <c r="B16" s="25">
        <f>COUNT(C9:C14)</f>
        <v>6</v>
      </c>
      <c r="C16" s="27" t="s">
        <v>60</v>
      </c>
      <c r="D16" s="26"/>
      <c r="E16" s="26"/>
      <c r="F16" s="26"/>
      <c r="G16" s="26"/>
    </row>
    <row r="17" spans="2:8" ht="13.5" thickBot="1" x14ac:dyDescent="0.25">
      <c r="B17" s="28">
        <f>COUNT(B9:C9)</f>
        <v>2</v>
      </c>
      <c r="C17" s="30" t="s">
        <v>61</v>
      </c>
      <c r="D17" s="31"/>
      <c r="E17" s="31"/>
      <c r="F17" s="31"/>
      <c r="G17" s="31"/>
    </row>
    <row r="18" spans="2:8" x14ac:dyDescent="0.2">
      <c r="B18" s="29">
        <f>N-P</f>
        <v>4</v>
      </c>
      <c r="C18" s="26" t="s">
        <v>10</v>
      </c>
      <c r="D18" s="26"/>
      <c r="E18" s="26"/>
      <c r="F18" s="26"/>
      <c r="G18" s="26"/>
      <c r="H18" s="26"/>
    </row>
    <row r="19" spans="2:8" ht="13.5" thickBot="1" x14ac:dyDescent="0.25">
      <c r="B19" s="29"/>
      <c r="C19" s="26"/>
      <c r="D19" s="26"/>
      <c r="E19" s="26"/>
      <c r="F19" s="26"/>
      <c r="G19" s="26"/>
      <c r="H19" s="26"/>
    </row>
    <row r="20" spans="2:8" ht="13.5" thickBot="1" x14ac:dyDescent="0.25">
      <c r="B20" s="40">
        <f>VARP(Y)</f>
        <v>29.555555555555557</v>
      </c>
      <c r="C20" s="36" t="s">
        <v>66</v>
      </c>
      <c r="D20" s="26"/>
      <c r="E20" s="26"/>
      <c r="F20" s="26"/>
      <c r="G20" s="26"/>
      <c r="H20" s="26"/>
    </row>
    <row r="21" spans="2:8" ht="13.5" thickBot="1" x14ac:dyDescent="0.25">
      <c r="B21" s="25"/>
      <c r="C21" s="36"/>
      <c r="D21" s="26"/>
      <c r="E21" s="26"/>
      <c r="F21" s="26"/>
      <c r="G21" s="26"/>
      <c r="H21" s="26"/>
    </row>
    <row r="22" spans="2:8" ht="13.5" thickBot="1" x14ac:dyDescent="0.25">
      <c r="B22" s="40">
        <f>VAR(Y)</f>
        <v>35.466666666666427</v>
      </c>
      <c r="C22" s="36" t="s">
        <v>67</v>
      </c>
      <c r="D22" s="26"/>
      <c r="E22" s="26"/>
      <c r="F22" s="26"/>
      <c r="G22" s="26"/>
      <c r="H22" s="26"/>
    </row>
    <row r="23" spans="2:8" x14ac:dyDescent="0.2">
      <c r="B23" s="29"/>
      <c r="C23" s="26" t="s">
        <v>68</v>
      </c>
      <c r="D23" s="26"/>
      <c r="E23" s="26"/>
      <c r="F23" s="26"/>
      <c r="G23" s="26"/>
      <c r="H23" s="26"/>
    </row>
    <row r="24" spans="2:8" x14ac:dyDescent="0.2">
      <c r="B24" s="26"/>
      <c r="C24" s="26"/>
      <c r="D24" s="26"/>
      <c r="E24" s="26"/>
      <c r="F24" s="26"/>
      <c r="G24" s="26"/>
      <c r="H24" s="26"/>
    </row>
    <row r="25" spans="2:8" x14ac:dyDescent="0.2">
      <c r="B25" s="1" t="s">
        <v>11</v>
      </c>
      <c r="C25" s="1"/>
      <c r="D25" s="1"/>
      <c r="E25" s="1"/>
      <c r="F25" s="1"/>
      <c r="G25" s="1"/>
      <c r="H25" s="1"/>
    </row>
    <row r="26" spans="2:8" ht="13.5" thickBot="1" x14ac:dyDescent="0.25">
      <c r="B26" s="1"/>
      <c r="C26" s="1"/>
      <c r="D26" s="1"/>
      <c r="E26" s="1"/>
      <c r="F26" s="1"/>
      <c r="G26" s="1"/>
      <c r="H26" s="1"/>
    </row>
    <row r="27" spans="2:8" x14ac:dyDescent="0.2">
      <c r="B27" s="8">
        <f t="array" ref="B27:G28">TRANSPOSE(X)</f>
        <v>1</v>
      </c>
      <c r="C27" s="9">
        <v>1</v>
      </c>
      <c r="D27" s="9">
        <v>1</v>
      </c>
      <c r="E27" s="9">
        <v>1</v>
      </c>
      <c r="F27" s="9">
        <v>1</v>
      </c>
      <c r="G27" s="10">
        <v>1</v>
      </c>
      <c r="H27" s="1"/>
    </row>
    <row r="28" spans="2:8" ht="13.5" thickBot="1" x14ac:dyDescent="0.25">
      <c r="B28" s="11">
        <v>18</v>
      </c>
      <c r="C28" s="3">
        <v>25</v>
      </c>
      <c r="D28" s="3">
        <v>15</v>
      </c>
      <c r="E28" s="3">
        <v>22</v>
      </c>
      <c r="F28" s="3">
        <v>24</v>
      </c>
      <c r="G28" s="12">
        <v>20</v>
      </c>
      <c r="H28" s="1"/>
    </row>
    <row r="29" spans="2:8" x14ac:dyDescent="0.2">
      <c r="B29" s="1"/>
      <c r="C29" s="1"/>
      <c r="D29" s="1"/>
      <c r="E29" s="1"/>
      <c r="F29" s="1"/>
      <c r="G29" s="1"/>
      <c r="H29" s="1"/>
    </row>
    <row r="30" spans="2:8" ht="13.5" thickBot="1" x14ac:dyDescent="0.25">
      <c r="B30" s="1" t="s">
        <v>12</v>
      </c>
      <c r="C30" s="1"/>
      <c r="D30" s="1"/>
      <c r="E30" s="1"/>
      <c r="F30" s="1"/>
      <c r="G30" s="1"/>
      <c r="H30" s="1"/>
    </row>
    <row r="31" spans="2:8" x14ac:dyDescent="0.2">
      <c r="B31" s="8">
        <f t="array" ref="B31:C32">MMULT(XT,X)</f>
        <v>6</v>
      </c>
      <c r="C31" s="10">
        <v>124</v>
      </c>
      <c r="D31" s="1"/>
      <c r="E31" s="1"/>
      <c r="F31" s="1"/>
      <c r="G31" s="1"/>
      <c r="H31" s="1"/>
    </row>
    <row r="32" spans="2:8" ht="13.5" thickBot="1" x14ac:dyDescent="0.25">
      <c r="B32" s="11">
        <v>124</v>
      </c>
      <c r="C32" s="12">
        <v>2634</v>
      </c>
      <c r="D32" s="1"/>
      <c r="E32" s="1"/>
      <c r="F32" s="1"/>
      <c r="G32" s="1"/>
      <c r="H32" s="1"/>
    </row>
    <row r="33" spans="2:8" x14ac:dyDescent="0.2">
      <c r="B33" s="1"/>
      <c r="C33" s="1"/>
      <c r="D33" s="1"/>
      <c r="E33" s="1"/>
      <c r="F33" s="1"/>
      <c r="G33" s="1"/>
      <c r="H33" s="1"/>
    </row>
    <row r="34" spans="2:8" ht="13.5" thickBot="1" x14ac:dyDescent="0.25">
      <c r="B34" s="1" t="s">
        <v>13</v>
      </c>
      <c r="C34" s="1"/>
      <c r="D34" s="1"/>
      <c r="E34" s="1"/>
      <c r="F34" s="1"/>
      <c r="G34" s="1"/>
      <c r="H34" s="1"/>
    </row>
    <row r="35" spans="2:8" x14ac:dyDescent="0.2">
      <c r="B35" s="8">
        <f t="array" ref="B35:C36">MINVERSE(XTX)</f>
        <v>6.1542056074766327</v>
      </c>
      <c r="C35" s="10">
        <v>-0.28971962616822422</v>
      </c>
      <c r="D35" s="1"/>
      <c r="E35" s="1"/>
      <c r="F35" s="1"/>
      <c r="G35" s="1"/>
      <c r="H35" s="1"/>
    </row>
    <row r="36" spans="2:8" ht="13.5" thickBot="1" x14ac:dyDescent="0.25">
      <c r="B36" s="11">
        <v>-0.28971962616822416</v>
      </c>
      <c r="C36" s="12">
        <v>1.4018691588785041E-2</v>
      </c>
      <c r="D36" s="1"/>
      <c r="E36" s="1"/>
      <c r="F36" s="1"/>
      <c r="G36" s="1"/>
      <c r="H36" s="1"/>
    </row>
    <row r="37" spans="2:8" x14ac:dyDescent="0.2">
      <c r="B37" s="1"/>
      <c r="C37" s="1"/>
      <c r="D37" s="1"/>
      <c r="E37" s="1"/>
      <c r="F37" s="1"/>
      <c r="G37" s="1"/>
      <c r="H37" s="1"/>
    </row>
    <row r="38" spans="2:8" ht="13.5" thickBot="1" x14ac:dyDescent="0.25">
      <c r="B38" s="1" t="s">
        <v>14</v>
      </c>
      <c r="C38" s="1"/>
      <c r="D38" s="1"/>
      <c r="E38" s="1"/>
      <c r="F38" s="1"/>
      <c r="G38" s="1"/>
      <c r="H38" s="1"/>
    </row>
    <row r="39" spans="2:8" x14ac:dyDescent="0.2">
      <c r="B39" s="13">
        <f t="array" ref="B39:B40">MMULT(XT,Y)</f>
        <v>322</v>
      </c>
      <c r="C39" s="1"/>
      <c r="D39" s="1"/>
      <c r="E39" s="1"/>
      <c r="F39" s="1"/>
      <c r="G39" s="1"/>
      <c r="H39" s="1"/>
    </row>
    <row r="40" spans="2:8" ht="13.5" thickBot="1" x14ac:dyDescent="0.25">
      <c r="B40" s="14">
        <v>6746</v>
      </c>
      <c r="C40" s="1"/>
      <c r="D40" s="1"/>
      <c r="E40" s="1"/>
      <c r="F40" s="1"/>
      <c r="G40" s="1"/>
      <c r="H40" s="1"/>
    </row>
    <row r="41" spans="2:8" x14ac:dyDescent="0.2">
      <c r="B41" s="1"/>
      <c r="C41" s="1"/>
      <c r="D41" s="1"/>
      <c r="E41" s="1"/>
      <c r="F41" s="1"/>
      <c r="G41" s="1"/>
      <c r="H41" s="1"/>
    </row>
    <row r="42" spans="2:8" x14ac:dyDescent="0.2">
      <c r="B42" s="1" t="s">
        <v>15</v>
      </c>
      <c r="C42" s="1"/>
      <c r="D42" s="1"/>
      <c r="E42" s="1"/>
      <c r="F42" s="1"/>
      <c r="G42" s="1"/>
      <c r="H42" s="1"/>
    </row>
    <row r="43" spans="2:8" ht="13.5" thickBot="1" x14ac:dyDescent="0.25">
      <c r="B43" s="1" t="s">
        <v>16</v>
      </c>
      <c r="C43" s="1"/>
      <c r="D43" s="1"/>
      <c r="E43" s="1"/>
      <c r="F43" s="1"/>
      <c r="G43" s="1"/>
      <c r="H43" s="1"/>
    </row>
    <row r="44" spans="2:8" x14ac:dyDescent="0.2">
      <c r="B44" s="13">
        <f t="array" ref="B44:B45">MMULT(XTXINV,XTY)</f>
        <v>27.205607476635123</v>
      </c>
      <c r="C44" s="1"/>
      <c r="D44" s="1"/>
      <c r="E44" s="1"/>
      <c r="F44" s="1"/>
      <c r="G44" s="1"/>
      <c r="H44" s="1"/>
    </row>
    <row r="45" spans="2:8" ht="13.5" thickBot="1" x14ac:dyDescent="0.25">
      <c r="B45" s="14">
        <v>1.2803738317757052</v>
      </c>
      <c r="C45" s="1"/>
      <c r="D45" s="1"/>
      <c r="E45" s="1"/>
      <c r="F45" s="1"/>
      <c r="G45" s="1"/>
      <c r="H45" s="1"/>
    </row>
    <row r="46" spans="2:8" x14ac:dyDescent="0.2">
      <c r="C46" s="1"/>
      <c r="D46" s="1"/>
      <c r="E46" s="1"/>
      <c r="F46" s="1"/>
      <c r="G46" s="1"/>
      <c r="H46" s="1"/>
    </row>
    <row r="47" spans="2:8" ht="13.5" thickBot="1" x14ac:dyDescent="0.25">
      <c r="B47" s="1" t="s">
        <v>17</v>
      </c>
      <c r="C47" s="1"/>
      <c r="D47" s="1"/>
      <c r="E47" s="1"/>
      <c r="F47" s="1"/>
      <c r="G47" s="1"/>
      <c r="H47" s="1"/>
    </row>
    <row r="48" spans="2:8" x14ac:dyDescent="0.2">
      <c r="B48" s="13">
        <f t="array" ref="B48:B53">MMULT(X,BETAHAT)</f>
        <v>50.252336448597816</v>
      </c>
      <c r="C48" s="1"/>
      <c r="D48" s="1"/>
      <c r="E48" s="1"/>
      <c r="F48" s="1"/>
      <c r="G48" s="1"/>
      <c r="H48" s="1"/>
    </row>
    <row r="49" spans="2:8" x14ac:dyDescent="0.2">
      <c r="B49" s="15">
        <v>59.214953271027753</v>
      </c>
      <c r="C49" s="1"/>
      <c r="D49" s="1"/>
      <c r="E49" s="1"/>
      <c r="F49" s="1"/>
      <c r="G49" s="1"/>
      <c r="H49" s="1"/>
    </row>
    <row r="50" spans="2:8" x14ac:dyDescent="0.2">
      <c r="B50" s="15">
        <v>46.411214953270701</v>
      </c>
      <c r="C50" s="1"/>
      <c r="D50" s="1"/>
      <c r="E50" s="1"/>
      <c r="F50" s="1"/>
      <c r="G50" s="1"/>
      <c r="H50" s="1"/>
    </row>
    <row r="51" spans="2:8" x14ac:dyDescent="0.2">
      <c r="B51" s="15">
        <v>55.373831775700637</v>
      </c>
      <c r="C51" s="1"/>
      <c r="D51" s="1"/>
      <c r="E51" s="1"/>
      <c r="F51" s="1"/>
      <c r="G51" s="1"/>
      <c r="H51" s="1"/>
    </row>
    <row r="52" spans="2:8" x14ac:dyDescent="0.2">
      <c r="B52" s="15">
        <v>57.934579439252047</v>
      </c>
      <c r="C52" s="1"/>
      <c r="D52" s="1"/>
      <c r="E52" s="1"/>
      <c r="F52" s="1"/>
      <c r="G52" s="1"/>
      <c r="H52" s="1"/>
    </row>
    <row r="53" spans="2:8" ht="13.5" thickBot="1" x14ac:dyDescent="0.25">
      <c r="B53" s="14">
        <v>52.813084112149227</v>
      </c>
      <c r="C53" s="1"/>
      <c r="D53" s="1"/>
      <c r="E53" s="1"/>
      <c r="F53" s="1"/>
      <c r="G53" s="1"/>
      <c r="H53" s="1"/>
    </row>
    <row r="54" spans="2:8" x14ac:dyDescent="0.2">
      <c r="B54" s="1"/>
      <c r="C54" s="1"/>
      <c r="D54" s="1"/>
      <c r="E54" s="1"/>
      <c r="F54" s="1"/>
      <c r="G54" s="1"/>
      <c r="H54" s="1"/>
    </row>
    <row r="55" spans="2:8" ht="13.5" thickBot="1" x14ac:dyDescent="0.25">
      <c r="B55" s="1" t="s">
        <v>18</v>
      </c>
      <c r="C55" s="1"/>
      <c r="D55" s="1"/>
      <c r="E55" s="1"/>
      <c r="F55" s="1" t="s">
        <v>19</v>
      </c>
      <c r="G55" s="1"/>
      <c r="H55" s="1"/>
    </row>
    <row r="56" spans="2:8" x14ac:dyDescent="0.2">
      <c r="B56" s="13">
        <f t="array" ref="B56:B61">Y-YHAT</f>
        <v>-5.2523364485978163</v>
      </c>
      <c r="F56" s="13">
        <f t="shared" ref="F56:F61" si="1">B56^2</f>
        <v>27.587038169269121</v>
      </c>
    </row>
    <row r="57" spans="2:8" x14ac:dyDescent="0.2">
      <c r="B57" s="15">
        <v>-1.2149532710277526</v>
      </c>
      <c r="F57" s="15">
        <f t="shared" si="1"/>
        <v>1.4761114507810358</v>
      </c>
    </row>
    <row r="58" spans="2:8" x14ac:dyDescent="0.2">
      <c r="B58" s="15">
        <v>3.5887850467292992</v>
      </c>
      <c r="F58" s="15">
        <f t="shared" si="1"/>
        <v>12.879378111627819</v>
      </c>
    </row>
    <row r="59" spans="2:8" x14ac:dyDescent="0.2">
      <c r="B59" s="15">
        <v>-1.3738317757006371</v>
      </c>
      <c r="F59" s="15">
        <f t="shared" si="1"/>
        <v>1.8874137479247657</v>
      </c>
    </row>
    <row r="60" spans="2:8" x14ac:dyDescent="0.2">
      <c r="B60" s="15">
        <v>4.0654205607479525</v>
      </c>
      <c r="F60" s="15">
        <f t="shared" si="1"/>
        <v>16.527644335752196</v>
      </c>
    </row>
    <row r="61" spans="2:8" ht="13.5" thickBot="1" x14ac:dyDescent="0.25">
      <c r="B61" s="14">
        <v>0.18691588785077329</v>
      </c>
      <c r="F61" s="14">
        <f t="shared" si="1"/>
        <v>3.4937549131042855E-2</v>
      </c>
    </row>
    <row r="62" spans="2:8" x14ac:dyDescent="0.2">
      <c r="F62" s="1">
        <f>SUM(F56:F61)</f>
        <v>60.392523364485982</v>
      </c>
      <c r="G62" s="4" t="s">
        <v>20</v>
      </c>
    </row>
    <row r="63" spans="2:8" x14ac:dyDescent="0.2">
      <c r="F63" s="1"/>
      <c r="G63" s="4"/>
    </row>
    <row r="64" spans="2:8" ht="13.5" thickBot="1" x14ac:dyDescent="0.25">
      <c r="B64" s="38" t="s">
        <v>54</v>
      </c>
    </row>
    <row r="65" spans="2:7" ht="13.5" thickBot="1" x14ac:dyDescent="0.25">
      <c r="B65" s="39">
        <f>SSE/N</f>
        <v>10.065420560747663</v>
      </c>
      <c r="C65" s="36" t="s">
        <v>55</v>
      </c>
      <c r="F65" s="34"/>
      <c r="G65" s="36"/>
    </row>
    <row r="66" spans="2:7" x14ac:dyDescent="0.2">
      <c r="F66" s="34"/>
      <c r="G66" s="36"/>
    </row>
    <row r="67" spans="2:7" ht="13.5" thickBot="1" x14ac:dyDescent="0.25">
      <c r="B67" s="37" t="s">
        <v>59</v>
      </c>
      <c r="F67" s="34"/>
      <c r="G67" s="36"/>
    </row>
    <row r="68" spans="2:7" ht="13.5" thickBot="1" x14ac:dyDescent="0.25">
      <c r="B68" s="24">
        <f>1-AVGSQERR/VARPY</f>
        <v>0.65944065771906413</v>
      </c>
      <c r="C68" s="36" t="s">
        <v>56</v>
      </c>
      <c r="F68" s="34"/>
      <c r="G68" s="36"/>
    </row>
    <row r="69" spans="2:7" x14ac:dyDescent="0.2">
      <c r="B69" s="37"/>
      <c r="F69" s="34"/>
      <c r="G69" s="36"/>
    </row>
    <row r="70" spans="2:7" ht="13.5" thickBot="1" x14ac:dyDescent="0.25">
      <c r="B70" s="1" t="s">
        <v>21</v>
      </c>
    </row>
    <row r="71" spans="2:7" ht="13.5" thickBot="1" x14ac:dyDescent="0.25">
      <c r="B71" s="24">
        <f>SSE/DF</f>
        <v>15.098130841121495</v>
      </c>
      <c r="C71" s="36" t="s">
        <v>57</v>
      </c>
    </row>
    <row r="72" spans="2:7" x14ac:dyDescent="0.2">
      <c r="B72" s="37"/>
    </row>
    <row r="73" spans="2:7" ht="13.5" thickBot="1" x14ac:dyDescent="0.25">
      <c r="B73" s="37" t="s">
        <v>53</v>
      </c>
    </row>
    <row r="74" spans="2:7" ht="13.5" thickBot="1" x14ac:dyDescent="0.25">
      <c r="B74" s="24">
        <f>1-MSE/VARY</f>
        <v>0.57430082214882716</v>
      </c>
      <c r="C74" s="36" t="s">
        <v>58</v>
      </c>
    </row>
    <row r="75" spans="2:7" x14ac:dyDescent="0.2">
      <c r="B75" s="37"/>
      <c r="C75" s="36"/>
    </row>
    <row r="76" spans="2:7" ht="13.5" thickBot="1" x14ac:dyDescent="0.25">
      <c r="B76" s="35" t="s">
        <v>69</v>
      </c>
      <c r="C76" s="36"/>
    </row>
    <row r="77" spans="2:7" ht="13.5" thickBot="1" x14ac:dyDescent="0.25">
      <c r="B77" s="24">
        <f>SQRT(MSE)</f>
        <v>3.8856313310865578</v>
      </c>
      <c r="C77" s="36"/>
    </row>
    <row r="79" spans="2:7" x14ac:dyDescent="0.2">
      <c r="B79" s="1" t="s">
        <v>22</v>
      </c>
    </row>
    <row r="80" spans="2:7" ht="13.5" thickBot="1" x14ac:dyDescent="0.25">
      <c r="B80" s="1" t="s">
        <v>23</v>
      </c>
    </row>
    <row r="81" spans="2:8" x14ac:dyDescent="0.2">
      <c r="B81" s="8">
        <f t="array" ref="B81:C82">XTXINV*MSE</f>
        <v>92.917001484845798</v>
      </c>
      <c r="C81" s="10">
        <v>-4.3742248231286567</v>
      </c>
    </row>
    <row r="82" spans="2:8" ht="13.5" thickBot="1" x14ac:dyDescent="0.25">
      <c r="B82" s="11">
        <v>-4.3742248231286558</v>
      </c>
      <c r="C82" s="12">
        <v>0.21165603982880593</v>
      </c>
    </row>
    <row r="84" spans="2:8" x14ac:dyDescent="0.2">
      <c r="B84" s="1" t="s">
        <v>24</v>
      </c>
    </row>
    <row r="85" spans="2:8" ht="13.5" thickBot="1" x14ac:dyDescent="0.25">
      <c r="B85" s="1" t="s">
        <v>25</v>
      </c>
    </row>
    <row r="86" spans="2:8" x14ac:dyDescent="0.2">
      <c r="B86" s="13">
        <f>SQRT(B81)</f>
        <v>9.6393465278952277</v>
      </c>
      <c r="C86" s="1"/>
    </row>
    <row r="87" spans="2:8" ht="13.5" thickBot="1" x14ac:dyDescent="0.25">
      <c r="B87" s="14">
        <f>SQRT(C82)</f>
        <v>0.46006090882491413</v>
      </c>
    </row>
    <row r="89" spans="2:8" x14ac:dyDescent="0.2">
      <c r="B89" s="1" t="s">
        <v>26</v>
      </c>
      <c r="H89" s="1" t="s">
        <v>27</v>
      </c>
    </row>
    <row r="90" spans="2:8" ht="13.5" thickBot="1" x14ac:dyDescent="0.25">
      <c r="B90" s="1" t="s">
        <v>28</v>
      </c>
      <c r="H90" s="1" t="s">
        <v>29</v>
      </c>
    </row>
    <row r="91" spans="2:8" x14ac:dyDescent="0.2">
      <c r="B91" s="13">
        <f t="array" ref="B91:B92">BETAHAT/STDERR</f>
        <v>2.8223497721453454</v>
      </c>
      <c r="H91" s="13">
        <f t="array" ref="H91:H92">TDIST(TSTATS,DF,2)</f>
        <v>4.7714102209414189E-2</v>
      </c>
    </row>
    <row r="92" spans="2:8" ht="13.5" thickBot="1" x14ac:dyDescent="0.25">
      <c r="B92" s="14">
        <v>2.7830528680344333</v>
      </c>
      <c r="H92" s="14">
        <v>4.9663256530028309E-2</v>
      </c>
    </row>
    <row r="95" spans="2:8" x14ac:dyDescent="0.2">
      <c r="B95" s="1" t="s">
        <v>30</v>
      </c>
    </row>
    <row r="96" spans="2:8" x14ac:dyDescent="0.2">
      <c r="B96" s="1" t="s">
        <v>31</v>
      </c>
    </row>
    <row r="97" spans="2:7" x14ac:dyDescent="0.2">
      <c r="B97" s="1" t="s">
        <v>140</v>
      </c>
    </row>
    <row r="98" spans="2:7" ht="13.5" thickBot="1" x14ac:dyDescent="0.25">
      <c r="B98" s="1" t="s">
        <v>139</v>
      </c>
    </row>
    <row r="99" spans="2:7" x14ac:dyDescent="0.2">
      <c r="B99" s="8">
        <f>B81/(B86*B86)</f>
        <v>1.0000000000000002</v>
      </c>
      <c r="C99" s="10">
        <f>C81/(B86*B87)</f>
        <v>-0.98636618380025221</v>
      </c>
    </row>
    <row r="100" spans="2:7" ht="13.5" thickBot="1" x14ac:dyDescent="0.25">
      <c r="B100" s="11">
        <f>B82/(B86*B87)</f>
        <v>-0.98636618380025198</v>
      </c>
      <c r="C100" s="12">
        <f>C82/(B87*B87)</f>
        <v>0.99999999999999989</v>
      </c>
    </row>
    <row r="102" spans="2:7" x14ac:dyDescent="0.2">
      <c r="B102" s="1" t="s">
        <v>32</v>
      </c>
    </row>
    <row r="103" spans="2:7" x14ac:dyDescent="0.2">
      <c r="B103" s="1" t="s">
        <v>33</v>
      </c>
    </row>
    <row r="104" spans="2:7" ht="13.5" thickBot="1" x14ac:dyDescent="0.25"/>
    <row r="105" spans="2:7" ht="13.5" thickBot="1" x14ac:dyDescent="0.25">
      <c r="B105" s="16">
        <v>1</v>
      </c>
      <c r="C105" s="17">
        <v>30</v>
      </c>
      <c r="E105" s="1" t="s">
        <v>34</v>
      </c>
    </row>
    <row r="107" spans="2:7" x14ac:dyDescent="0.2">
      <c r="B107" s="1" t="s">
        <v>35</v>
      </c>
    </row>
    <row r="108" spans="2:7" x14ac:dyDescent="0.2">
      <c r="B108" s="1"/>
    </row>
    <row r="109" spans="2:7" ht="13.5" thickBot="1" x14ac:dyDescent="0.25">
      <c r="B109" s="1" t="s">
        <v>36</v>
      </c>
    </row>
    <row r="110" spans="2:7" ht="13.5" thickBot="1" x14ac:dyDescent="0.25">
      <c r="B110" s="24">
        <f>MMULT(W,BETAHAT)</f>
        <v>65.616822429906279</v>
      </c>
    </row>
    <row r="112" spans="2:7" x14ac:dyDescent="0.2">
      <c r="B112" s="1" t="s">
        <v>37</v>
      </c>
      <c r="G112" s="1" t="s">
        <v>38</v>
      </c>
    </row>
    <row r="113" spans="2:10" x14ac:dyDescent="0.2">
      <c r="B113" s="1" t="s">
        <v>39</v>
      </c>
      <c r="G113" s="1" t="s">
        <v>40</v>
      </c>
    </row>
    <row r="114" spans="2:10" ht="13.5" thickBot="1" x14ac:dyDescent="0.25">
      <c r="B114" s="1" t="s">
        <v>41</v>
      </c>
    </row>
    <row r="115" spans="2:10" ht="13.5" thickBot="1" x14ac:dyDescent="0.25">
      <c r="B115" s="24">
        <f t="array" ref="B115">MMULT(MMULT(W, COVMAT),TRANSPOSE(W))</f>
        <v>20.953947943051752</v>
      </c>
      <c r="G115" s="24">
        <f>VARMEAN+MSE</f>
        <v>36.052078784173247</v>
      </c>
    </row>
    <row r="117" spans="2:10" x14ac:dyDescent="0.2">
      <c r="B117" s="35" t="s">
        <v>70</v>
      </c>
      <c r="G117" s="35" t="s">
        <v>71</v>
      </c>
    </row>
    <row r="118" spans="2:10" x14ac:dyDescent="0.2">
      <c r="B118" s="1" t="s">
        <v>42</v>
      </c>
      <c r="G118" s="1" t="s">
        <v>42</v>
      </c>
    </row>
    <row r="119" spans="2:10" ht="13.5" thickBot="1" x14ac:dyDescent="0.25">
      <c r="B119" s="1" t="s">
        <v>43</v>
      </c>
      <c r="G119" s="1" t="s">
        <v>44</v>
      </c>
    </row>
    <row r="120" spans="2:10" ht="13.5" thickBot="1" x14ac:dyDescent="0.25">
      <c r="B120" s="24">
        <f>SQRT(VARMEAN)</f>
        <v>4.5775482458464323</v>
      </c>
      <c r="G120" s="24">
        <f>SQRT(VARPRED)</f>
        <v>6.0043383302553206</v>
      </c>
    </row>
    <row r="121" spans="2:10" x14ac:dyDescent="0.2">
      <c r="B121" s="1"/>
    </row>
    <row r="122" spans="2:10" x14ac:dyDescent="0.2">
      <c r="B122" s="1" t="s">
        <v>45</v>
      </c>
      <c r="D122" s="33"/>
      <c r="E122" s="33"/>
      <c r="F122" s="33"/>
      <c r="G122" s="33"/>
      <c r="H122" s="33"/>
    </row>
    <row r="123" spans="2:10" ht="13.5" thickBot="1" x14ac:dyDescent="0.25">
      <c r="B123" s="1" t="s">
        <v>46</v>
      </c>
      <c r="D123" s="33"/>
      <c r="E123" s="33"/>
      <c r="F123" s="33"/>
      <c r="G123" s="33"/>
      <c r="H123" s="33"/>
    </row>
    <row r="124" spans="2:10" ht="13.5" thickBot="1" x14ac:dyDescent="0.25">
      <c r="B124" s="24">
        <f>TINV(0.05,DF)</f>
        <v>2.7764451051977934</v>
      </c>
      <c r="D124" s="25"/>
      <c r="E124" s="34"/>
      <c r="F124" s="34"/>
      <c r="G124" s="25"/>
      <c r="H124" s="34"/>
      <c r="I124" s="29"/>
      <c r="J124" s="1"/>
    </row>
    <row r="125" spans="2:10" x14ac:dyDescent="0.2">
      <c r="B125" s="1"/>
      <c r="C125" s="1"/>
      <c r="D125" s="26"/>
      <c r="E125" s="34"/>
      <c r="F125" s="34"/>
      <c r="G125" s="34"/>
      <c r="H125" s="34"/>
      <c r="I125" s="32"/>
    </row>
    <row r="126" spans="2:10" x14ac:dyDescent="0.2">
      <c r="B126" s="1" t="s">
        <v>47</v>
      </c>
      <c r="E126" s="33"/>
      <c r="F126" s="33"/>
      <c r="G126" s="33"/>
      <c r="H126" s="33"/>
    </row>
    <row r="127" spans="2:10" ht="13.5" thickBot="1" x14ac:dyDescent="0.25">
      <c r="B127" s="1" t="s">
        <v>48</v>
      </c>
      <c r="E127" s="33"/>
      <c r="F127" s="33"/>
      <c r="G127" s="33"/>
      <c r="H127" s="33"/>
    </row>
    <row r="128" spans="2:10" x14ac:dyDescent="0.2">
      <c r="B128" s="13">
        <f>PREDICTION-TVALUE*STDEVPRED</f>
        <v>48.946106662917401</v>
      </c>
      <c r="C128" s="1" t="s">
        <v>49</v>
      </c>
      <c r="E128" s="33"/>
      <c r="F128" s="33"/>
      <c r="G128" s="33"/>
      <c r="H128" s="33"/>
      <c r="J128" s="1"/>
    </row>
    <row r="129" spans="2:3" ht="13.5" thickBot="1" x14ac:dyDescent="0.25">
      <c r="B129" s="14">
        <f>PREDICTION+TVALUE*STDEVPRED</f>
        <v>82.287538196895156</v>
      </c>
      <c r="C129" s="1" t="s">
        <v>50</v>
      </c>
    </row>
    <row r="131" spans="2:3" x14ac:dyDescent="0.2">
      <c r="B131" s="1" t="s">
        <v>51</v>
      </c>
    </row>
    <row r="132" spans="2:3" ht="13.5" thickBot="1" x14ac:dyDescent="0.25">
      <c r="B132" s="1" t="s">
        <v>52</v>
      </c>
    </row>
    <row r="133" spans="2:3" x14ac:dyDescent="0.2">
      <c r="B133" s="13">
        <f>PREDICTION-TVALUE*STDEVMEAN</f>
        <v>52.907511008919208</v>
      </c>
      <c r="C133" s="1" t="s">
        <v>1</v>
      </c>
    </row>
    <row r="134" spans="2:3" ht="13.5" thickBot="1" x14ac:dyDescent="0.25">
      <c r="B134" s="14">
        <f>PREDICTION+TVALUE*STDEVMEAN</f>
        <v>78.326133850893356</v>
      </c>
      <c r="C134" s="1" t="s">
        <v>2</v>
      </c>
    </row>
    <row r="136" spans="2:3" x14ac:dyDescent="0.2">
      <c r="B136" s="1" t="s">
        <v>141</v>
      </c>
    </row>
  </sheetData>
  <phoneticPr fontId="3" type="noConversion"/>
  <hyperlinks>
    <hyperlink ref="P1" r:id="rId1"/>
  </hyperlinks>
  <pageMargins left="0.75" right="0.75" top="1" bottom="1" header="0.5" footer="0.5"/>
  <pageSetup scale="83" fitToHeight="2" orientation="portrait" horizontalDpi="4294967292" verticalDpi="300" r:id="rId2"/>
  <headerFooter alignWithMargins="0">
    <oddHeader>&amp;A</oddHeader>
    <oddFooter>Page &amp;P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179"/>
  <sheetViews>
    <sheetView showGridLines="0" showRowColHeaders="0" workbookViewId="0"/>
  </sheetViews>
  <sheetFormatPr defaultRowHeight="11.25" outlineLevelRow="1" x14ac:dyDescent="0.2"/>
  <cols>
    <col min="1" max="1" width="8.85546875" style="46" customWidth="1"/>
    <col min="2" max="7" width="9.140625" style="46"/>
    <col min="8" max="8" width="8.42578125" style="46" customWidth="1"/>
    <col min="9" max="77" width="9.140625" style="46"/>
    <col min="78" max="78" width="43" style="46" bestFit="1" customWidth="1"/>
    <col min="79" max="16384" width="9.140625" style="46"/>
  </cols>
  <sheetData>
    <row r="1" spans="1:78" ht="12.75" x14ac:dyDescent="0.2">
      <c r="A1" s="47" t="s">
        <v>72</v>
      </c>
      <c r="B1" s="46" t="s">
        <v>142</v>
      </c>
      <c r="E1"/>
      <c r="Z1" s="68" t="s">
        <v>143</v>
      </c>
      <c r="BZ1"/>
    </row>
    <row r="2" spans="1:78" x14ac:dyDescent="0.2">
      <c r="A2" s="47" t="s">
        <v>73</v>
      </c>
      <c r="C2" s="46" t="s">
        <v>0</v>
      </c>
      <c r="AA2" s="68" t="str">
        <f>"Forecasts and " &amp; TEXT($I$10, "0.0%") &amp; " confidence limits for means and forecasts
RegressIt  model for Y    (1 variable, n=6)"</f>
        <v>Forecasts and 95.0% confidence limits for means and forecasts
RegressIt  model for Y    (1 variable, n=6)</v>
      </c>
    </row>
    <row r="3" spans="1:78" ht="11.25" hidden="1" customHeight="1" outlineLevel="1" x14ac:dyDescent="0.2">
      <c r="A3" s="47" t="s">
        <v>74</v>
      </c>
      <c r="AA3" s="68" t="str">
        <f>IF($A$52 &lt;&gt; "","Actual and predicted -vs- Observation # with " &amp; TEXT($I$10, "0.0%") &amp; " confidence limits
RegressIt  model for Y    (1 variable, n=6)","Actual and predicted -vs- Observation #
RegressIt  model for Y    (1 variable, n=6)")</f>
        <v>Actual and predicted -vs- Observation # with 95.0% confidence limits
RegressIt  model for Y    (1 variable, n=6)</v>
      </c>
    </row>
    <row r="4" spans="1:78" hidden="1" outlineLevel="1" x14ac:dyDescent="0.2">
      <c r="A4" s="46" t="s">
        <v>75</v>
      </c>
    </row>
    <row r="5" spans="1:78" hidden="1" outlineLevel="1" x14ac:dyDescent="0.2">
      <c r="A5" s="47" t="s">
        <v>76</v>
      </c>
    </row>
    <row r="6" spans="1:78" hidden="1" outlineLevel="1" x14ac:dyDescent="0.2">
      <c r="A6" s="46" t="s">
        <v>77</v>
      </c>
    </row>
    <row r="7" spans="1:78" collapsed="1" x14ac:dyDescent="0.2"/>
    <row r="8" spans="1:78" x14ac:dyDescent="0.2">
      <c r="A8" s="48" t="s">
        <v>144</v>
      </c>
    </row>
    <row r="9" spans="1:78" ht="12" outlineLevel="1" thickBot="1" x14ac:dyDescent="0.25">
      <c r="A9" s="49"/>
      <c r="B9" s="50" t="s">
        <v>78</v>
      </c>
      <c r="C9" s="50" t="s">
        <v>79</v>
      </c>
      <c r="D9" s="50" t="s">
        <v>80</v>
      </c>
      <c r="E9" s="50" t="s">
        <v>81</v>
      </c>
      <c r="F9" s="50" t="s">
        <v>82</v>
      </c>
      <c r="G9" s="50" t="s">
        <v>83</v>
      </c>
      <c r="H9" s="50" t="str">
        <f>"t("&amp;TEXT((1-I10)/2,"0.00%") &amp; ",4)"</f>
        <v>t(2.50%,4)</v>
      </c>
      <c r="I9" s="50" t="s">
        <v>84</v>
      </c>
    </row>
    <row r="10" spans="1:78" outlineLevel="1" x14ac:dyDescent="0.2">
      <c r="B10" s="51">
        <f xml:space="preserve"> 1 - C20 / C21</f>
        <v>0.65944065771906446</v>
      </c>
      <c r="C10" s="51">
        <f>1-D10^2/E10^2</f>
        <v>0.57430082214882749</v>
      </c>
      <c r="D10" s="51">
        <f xml:space="preserve"> SQRT(D20)</f>
        <v>3.885631331086556</v>
      </c>
      <c r="E10" s="51">
        <v>5.9553897157672582</v>
      </c>
      <c r="F10" s="52">
        <v>6</v>
      </c>
      <c r="G10" s="52">
        <v>0</v>
      </c>
      <c r="H10" s="46">
        <f>TINV(1 - $I$10, F10 - 1 - 1)</f>
        <v>2.776445105197793</v>
      </c>
      <c r="I10" s="53">
        <v>0.95</v>
      </c>
    </row>
    <row r="12" spans="1:78" x14ac:dyDescent="0.2">
      <c r="A12" s="48" t="s">
        <v>145</v>
      </c>
    </row>
    <row r="13" spans="1:78" ht="12" outlineLevel="1" thickBot="1" x14ac:dyDescent="0.25">
      <c r="A13" s="54" t="s">
        <v>85</v>
      </c>
      <c r="B13" s="50" t="s">
        <v>86</v>
      </c>
      <c r="C13" s="50" t="s">
        <v>87</v>
      </c>
      <c r="D13" s="50" t="s">
        <v>88</v>
      </c>
      <c r="E13" s="50" t="s">
        <v>89</v>
      </c>
      <c r="F13" s="50" t="str">
        <f>IF($I$10&gt;99%,("Lower"&amp;TEXT($I$10,"0.0%")),("Lower"&amp;TEXT($I$10,"0%")))</f>
        <v>Lower95%</v>
      </c>
      <c r="G13" s="50" t="str">
        <f>IF($I$10&gt;99%,("Upper"&amp;TEXT($I$10,"0.0%")),("Upper"&amp;TEXT($I$10,"0%")))</f>
        <v>Upper95%</v>
      </c>
      <c r="H13" s="50" t="s">
        <v>81</v>
      </c>
      <c r="I13" s="50" t="s">
        <v>90</v>
      </c>
    </row>
    <row r="14" spans="1:78" outlineLevel="1" x14ac:dyDescent="0.2">
      <c r="A14" s="46" t="s">
        <v>91</v>
      </c>
      <c r="B14" s="51">
        <v>27.205607476635585</v>
      </c>
      <c r="C14" s="51">
        <v>9.6393465278952224</v>
      </c>
      <c r="D14" s="51">
        <f>(B14 - 0) / C14</f>
        <v>2.8223497721453947</v>
      </c>
      <c r="E14" s="51">
        <f>TDIST(ABS(D14),$F$10 - 2,2)</f>
        <v>4.7714102209411802E-2</v>
      </c>
      <c r="F14" s="51">
        <f>B14 - TINV(1 - $I$10, $F$10 - 2) * C14</f>
        <v>0.4424909919555553</v>
      </c>
      <c r="G14" s="51">
        <f>B14 + TINV(1 - $I$10, $F$10 - 2) * C14</f>
        <v>53.968723961315618</v>
      </c>
    </row>
    <row r="15" spans="1:78" outlineLevel="1" x14ac:dyDescent="0.2">
      <c r="A15" s="46" t="s">
        <v>75</v>
      </c>
      <c r="B15" s="51">
        <v>1.2803738317757136</v>
      </c>
      <c r="C15" s="51">
        <v>0.46006090882491385</v>
      </c>
      <c r="D15" s="51">
        <f>(B15 - 0) / C15</f>
        <v>2.7830528680344533</v>
      </c>
      <c r="E15" s="51">
        <f>TDIST(ABS(D15),$F$10 - 2,2)</f>
        <v>4.9663256530027296E-2</v>
      </c>
      <c r="F15" s="55">
        <f>B15 - TINV(1 - $I$10, $F$10 - 2) * C15</f>
        <v>3.0399733759334246E-3</v>
      </c>
      <c r="G15" s="51">
        <f>B15 + TINV(1 - $I$10, $F$10 - 2) * C15</f>
        <v>2.5577076901754938</v>
      </c>
      <c r="H15" s="51">
        <v>3.7771241264574158</v>
      </c>
      <c r="I15" s="46">
        <f>B15*H15/$E$10</f>
        <v>0.81205951611878979</v>
      </c>
    </row>
    <row r="17" spans="1:7" x14ac:dyDescent="0.2">
      <c r="A17" s="48" t="s">
        <v>146</v>
      </c>
    </row>
    <row r="18" spans="1:7" ht="12" hidden="1" outlineLevel="1" thickBot="1" x14ac:dyDescent="0.25">
      <c r="A18" s="54" t="s">
        <v>92</v>
      </c>
      <c r="B18" s="50" t="s">
        <v>96</v>
      </c>
      <c r="C18" s="50" t="s">
        <v>97</v>
      </c>
      <c r="D18" s="50" t="s">
        <v>98</v>
      </c>
      <c r="E18" s="50" t="s">
        <v>99</v>
      </c>
      <c r="F18" s="50" t="s">
        <v>89</v>
      </c>
    </row>
    <row r="19" spans="1:7" hidden="1" outlineLevel="1" x14ac:dyDescent="0.2">
      <c r="A19" s="46" t="s">
        <v>93</v>
      </c>
      <c r="B19" s="52">
        <v>1</v>
      </c>
      <c r="C19" s="51">
        <f>C21 - C20</f>
        <v>116.94080996884745</v>
      </c>
      <c r="D19" s="51">
        <f>C19/B19</f>
        <v>116.94080996884745</v>
      </c>
      <c r="E19" s="51">
        <f>D19/D20</f>
        <v>7.7453832662746454</v>
      </c>
      <c r="F19" s="51">
        <f>FDIST(E19,1,4)</f>
        <v>4.9663256530028663E-2</v>
      </c>
    </row>
    <row r="20" spans="1:7" hidden="1" outlineLevel="1" x14ac:dyDescent="0.2">
      <c r="A20" s="46" t="s">
        <v>94</v>
      </c>
      <c r="B20" s="52">
        <v>4</v>
      </c>
      <c r="C20" s="51">
        <v>60.392523364485918</v>
      </c>
      <c r="D20" s="51">
        <f>C20/B20</f>
        <v>15.098130841121479</v>
      </c>
    </row>
    <row r="21" spans="1:7" hidden="1" outlineLevel="1" x14ac:dyDescent="0.2">
      <c r="A21" s="46" t="s">
        <v>95</v>
      </c>
      <c r="B21" s="52">
        <f>B19 + B20</f>
        <v>5</v>
      </c>
      <c r="C21" s="51">
        <v>177.33333333333337</v>
      </c>
    </row>
    <row r="22" spans="1:7" collapsed="1" x14ac:dyDescent="0.2"/>
    <row r="23" spans="1:7" x14ac:dyDescent="0.2">
      <c r="A23" s="48" t="s">
        <v>100</v>
      </c>
    </row>
    <row r="24" spans="1:7" outlineLevel="1" x14ac:dyDescent="0.2"/>
    <row r="25" spans="1:7" outlineLevel="1" x14ac:dyDescent="0.2">
      <c r="B25" s="56" t="s">
        <v>75</v>
      </c>
      <c r="C25" s="56" t="s">
        <v>101</v>
      </c>
      <c r="D25" s="56" t="s">
        <v>102</v>
      </c>
      <c r="E25" s="56" t="s">
        <v>103</v>
      </c>
      <c r="F25" s="56" t="str">
        <f>IF($I$10&gt;99%,("Lower "&amp;TEXT($I$10,"0.0%")),("Lower "&amp;TEXT($I$10,"0%")))</f>
        <v>Lower 95%</v>
      </c>
      <c r="G25" s="56" t="str">
        <f>IF($I$10&gt;99%,("Upper "&amp;TEXT($I$10,"0.0%")),("Upper "&amp;TEXT($I$10,"0%")))</f>
        <v>Upper 95%</v>
      </c>
    </row>
    <row r="26" spans="1:7" outlineLevel="1" x14ac:dyDescent="0.2">
      <c r="B26" s="56">
        <v>15</v>
      </c>
      <c r="C26" s="56">
        <f>$D$10/SQRT($F$10)*SQRT(1+(B26- 20.6666666666667)^2/11.8888888888889)</f>
        <v>3.0516988305643022</v>
      </c>
      <c r="D26" s="56">
        <f>SQRT($D$10^2 + C26^2)</f>
        <v>4.9407485863570324</v>
      </c>
      <c r="E26" s="56">
        <f>27.2056074766356 + 1.28037383177571 * B26</f>
        <v>46.411214953271255</v>
      </c>
      <c r="F26" s="56">
        <f>E26 - $H$10*D26</f>
        <v>32.69349772466736</v>
      </c>
      <c r="G26" s="56">
        <f>E26 + $H$10*D26</f>
        <v>60.12893218187515</v>
      </c>
    </row>
    <row r="27" spans="1:7" outlineLevel="1" x14ac:dyDescent="0.2">
      <c r="B27" s="56">
        <v>17.5</v>
      </c>
      <c r="C27" s="56">
        <f>$D$10/SQRT($F$10)*SQRT(1+(B27- 20.6666666666667)^2/11.8888888888889)</f>
        <v>2.1537861715859132</v>
      </c>
      <c r="D27" s="56">
        <f>SQRT($D$10^2 + C27^2)</f>
        <v>4.4426259930401732</v>
      </c>
      <c r="E27" s="56">
        <f>27.2056074766356 + 1.28037383177571 * B27</f>
        <v>49.612149532710525</v>
      </c>
      <c r="F27" s="56">
        <f>E27 - $H$10*D27</f>
        <v>37.277442340109651</v>
      </c>
      <c r="G27" s="56">
        <f>E27 + $H$10*D27</f>
        <v>61.946856725311399</v>
      </c>
    </row>
    <row r="28" spans="1:7" outlineLevel="1" x14ac:dyDescent="0.2">
      <c r="B28" s="56">
        <v>20</v>
      </c>
      <c r="C28" s="56">
        <f>$D$10/SQRT($F$10)*SQRT(1+(B28- 20.6666666666667)^2/11.8888888888889)</f>
        <v>1.6156808135340188</v>
      </c>
      <c r="D28" s="56">
        <f>SQRT($D$10^2 + C28^2)</f>
        <v>4.2081534349811234</v>
      </c>
      <c r="E28" s="56">
        <f>27.2056074766356 + 1.28037383177571 * B28</f>
        <v>52.813084112149802</v>
      </c>
      <c r="F28" s="56">
        <f>E28 - $H$10*D28</f>
        <v>41.129377105675182</v>
      </c>
      <c r="G28" s="56">
        <f>E28 + $H$10*D28</f>
        <v>64.496791118624415</v>
      </c>
    </row>
    <row r="29" spans="1:7" outlineLevel="1" x14ac:dyDescent="0.2">
      <c r="B29" s="56">
        <v>22.5</v>
      </c>
      <c r="C29" s="56">
        <f>$D$10/SQRT($F$10)*SQRT(1+(B29- 20.6666666666667)^2/11.8888888888889)</f>
        <v>1.7965952820235453</v>
      </c>
      <c r="D29" s="56">
        <f>SQRT($D$10^2 + C29^2)</f>
        <v>4.2808743789687105</v>
      </c>
      <c r="E29" s="56">
        <f>27.2056074766356 + 1.28037383177571 * B29</f>
        <v>56.014018691589072</v>
      </c>
      <c r="F29" s="56">
        <f>E29 - $H$10*D29</f>
        <v>44.128405976134758</v>
      </c>
      <c r="G29" s="56">
        <f>E29 + $H$10*D29</f>
        <v>67.899631407043387</v>
      </c>
    </row>
    <row r="30" spans="1:7" outlineLevel="1" x14ac:dyDescent="0.2">
      <c r="B30" s="56">
        <v>25</v>
      </c>
      <c r="C30" s="56">
        <f>$D$10/SQRT($F$10)*SQRT(1+(B30- 20.6666666666667)^2/11.8888888888889)</f>
        <v>2.5477019490938591</v>
      </c>
      <c r="D30" s="56">
        <f>SQRT($D$10^2 + C30^2)</f>
        <v>4.6463874206245572</v>
      </c>
      <c r="E30" s="56">
        <f>27.2056074766356 + 1.28037383177571 * B30</f>
        <v>59.214953271028349</v>
      </c>
      <c r="F30" s="56">
        <f>E30 - $H$10*D30</f>
        <v>46.314513660182698</v>
      </c>
      <c r="G30" s="56">
        <f>E30 + $H$10*D30</f>
        <v>72.115392881874001</v>
      </c>
    </row>
    <row r="31" spans="1:7" outlineLevel="1" x14ac:dyDescent="0.2"/>
    <row r="32" spans="1:7" outlineLevel="1" x14ac:dyDescent="0.2"/>
    <row r="33" spans="1:6" outlineLevel="1" x14ac:dyDescent="0.2"/>
    <row r="34" spans="1:6" outlineLevel="1" x14ac:dyDescent="0.2"/>
    <row r="35" spans="1:6" outlineLevel="1" x14ac:dyDescent="0.2"/>
    <row r="36" spans="1:6" outlineLevel="1" x14ac:dyDescent="0.2"/>
    <row r="37" spans="1:6" outlineLevel="1" x14ac:dyDescent="0.2"/>
    <row r="38" spans="1:6" outlineLevel="1" x14ac:dyDescent="0.2"/>
    <row r="39" spans="1:6" outlineLevel="1" x14ac:dyDescent="0.2"/>
    <row r="40" spans="1:6" outlineLevel="1" x14ac:dyDescent="0.2"/>
    <row r="41" spans="1:6" outlineLevel="1" x14ac:dyDescent="0.2"/>
    <row r="42" spans="1:6" outlineLevel="1" x14ac:dyDescent="0.2"/>
    <row r="43" spans="1:6" outlineLevel="1" x14ac:dyDescent="0.2"/>
    <row r="45" spans="1:6" x14ac:dyDescent="0.2">
      <c r="A45" s="48" t="s">
        <v>147</v>
      </c>
    </row>
    <row r="46" spans="1:6" ht="12" outlineLevel="1" thickBot="1" x14ac:dyDescent="0.25">
      <c r="A46" s="50" t="s">
        <v>104</v>
      </c>
      <c r="B46" s="50" t="s">
        <v>105</v>
      </c>
      <c r="C46" s="50" t="s">
        <v>106</v>
      </c>
      <c r="D46" s="50" t="s">
        <v>89</v>
      </c>
      <c r="E46" s="50" t="s">
        <v>108</v>
      </c>
      <c r="F46" s="50" t="s">
        <v>109</v>
      </c>
    </row>
    <row r="47" spans="1:6" outlineLevel="1" x14ac:dyDescent="0.2">
      <c r="A47" s="52">
        <v>3</v>
      </c>
      <c r="B47" s="52">
        <v>3</v>
      </c>
      <c r="C47" s="46">
        <v>0.32082947962313457</v>
      </c>
      <c r="D47" s="46">
        <v>0.53106594746460334</v>
      </c>
      <c r="E47" s="51">
        <v>-1.3517330907278056</v>
      </c>
      <c r="F47" s="51">
        <v>1.0462702748514368</v>
      </c>
    </row>
    <row r="48" spans="1:6" outlineLevel="1" x14ac:dyDescent="0.2">
      <c r="A48" s="46" t="s">
        <v>107</v>
      </c>
    </row>
    <row r="50" spans="1:85" x14ac:dyDescent="0.2">
      <c r="A50" s="48" t="s">
        <v>148</v>
      </c>
    </row>
    <row r="51" spans="1:85" ht="12" outlineLevel="1" thickBot="1" x14ac:dyDescent="0.25">
      <c r="A51" s="50" t="s">
        <v>116</v>
      </c>
      <c r="B51" s="50" t="s">
        <v>149</v>
      </c>
      <c r="C51" s="50" t="s">
        <v>150</v>
      </c>
      <c r="D51" s="50" t="str">
        <f>IF($I$10&gt;99%,("Low"&amp;TEXT($I$10,"0.0%")&amp;"F"),("Lower"&amp;TEXT($I$10,"0%")&amp;"F"))</f>
        <v>Lower95%F</v>
      </c>
      <c r="E51" s="50" t="str">
        <f>IF($I$10&gt;99%,("Up"&amp;TEXT($I$10,"0.0%")&amp;"F"),("Upper"&amp;TEXT($I$10,"0%")&amp;"F"))</f>
        <v>Upper95%F</v>
      </c>
      <c r="F51" s="50" t="s">
        <v>151</v>
      </c>
      <c r="G51" s="50" t="str">
        <f>IF($I$10&gt;99%,("Low"&amp;TEXT($I$10,"0.0%")&amp;"M"),("Lower"&amp;TEXT($I$10,"0%")&amp;"M"))</f>
        <v>Lower95%M</v>
      </c>
      <c r="H51" s="50" t="str">
        <f>IF($I$10&gt;99%,("Up"&amp;TEXT($I$10,"0.0%")&amp;"M"),("Upper"&amp;TEXT($I$10,"0%")&amp;"M"))</f>
        <v>Upper95%M</v>
      </c>
      <c r="I51" s="54" t="s">
        <v>152</v>
      </c>
    </row>
    <row r="52" spans="1:85" outlineLevel="1" x14ac:dyDescent="0.2">
      <c r="A52" s="52">
        <v>7</v>
      </c>
      <c r="B52" s="46">
        <v>65.616822429906989</v>
      </c>
      <c r="C52" s="51">
        <f>SQRT($D$10^2 + F52^2)</f>
        <v>6.0043383302553215</v>
      </c>
      <c r="D52" s="51">
        <f xml:space="preserve"> B52 - $H$10 * C52</f>
        <v>48.946106662918112</v>
      </c>
      <c r="E52" s="51">
        <f xml:space="preserve"> B52 + $H$10 * C52</f>
        <v>82.287538196895866</v>
      </c>
      <c r="F52" s="51">
        <f>$D$10/SQRT($F$10)*SQRT(1+(I52- 20.6666666666667)^2/11.8888888888888)</f>
        <v>4.5775482458464358</v>
      </c>
      <c r="G52" s="51">
        <f xml:space="preserve"> B52 - $H$10 * F52</f>
        <v>52.907511008919911</v>
      </c>
      <c r="H52" s="51">
        <f xml:space="preserve"> B52 + $H$10 * F52</f>
        <v>78.326133850894067</v>
      </c>
      <c r="I52" s="71">
        <v>30</v>
      </c>
      <c r="J52" s="71"/>
      <c r="CG52" s="46">
        <f xml:space="preserve"> $C$52 * $H$10</f>
        <v>16.670715766988877</v>
      </c>
    </row>
    <row r="53" spans="1:85" outlineLevel="1" x14ac:dyDescent="0.2">
      <c r="I53" s="71"/>
      <c r="J53" s="71"/>
    </row>
    <row r="54" spans="1:85" outlineLevel="1" x14ac:dyDescent="0.2">
      <c r="I54" s="71"/>
      <c r="J54" s="71"/>
    </row>
    <row r="55" spans="1:85" outlineLevel="1" x14ac:dyDescent="0.2">
      <c r="I55" s="71"/>
      <c r="J55" s="71"/>
    </row>
    <row r="56" spans="1:85" outlineLevel="1" x14ac:dyDescent="0.2">
      <c r="I56" s="71"/>
      <c r="J56" s="71"/>
    </row>
    <row r="57" spans="1:85" outlineLevel="1" x14ac:dyDescent="0.2"/>
    <row r="58" spans="1:85" outlineLevel="1" x14ac:dyDescent="0.2"/>
    <row r="59" spans="1:85" outlineLevel="1" x14ac:dyDescent="0.2"/>
    <row r="60" spans="1:85" outlineLevel="1" x14ac:dyDescent="0.2"/>
    <row r="61" spans="1:85" outlineLevel="1" x14ac:dyDescent="0.2"/>
    <row r="62" spans="1:85" outlineLevel="1" x14ac:dyDescent="0.2"/>
    <row r="63" spans="1:85" outlineLevel="1" x14ac:dyDescent="0.2"/>
    <row r="64" spans="1:85" outlineLevel="1" x14ac:dyDescent="0.2"/>
    <row r="65" spans="1:1" outlineLevel="1" x14ac:dyDescent="0.2"/>
    <row r="66" spans="1:1" outlineLevel="1" x14ac:dyDescent="0.2"/>
    <row r="67" spans="1:1" outlineLevel="1" x14ac:dyDescent="0.2"/>
    <row r="68" spans="1:1" outlineLevel="1" x14ac:dyDescent="0.2"/>
    <row r="69" spans="1:1" outlineLevel="1" x14ac:dyDescent="0.2"/>
    <row r="70" spans="1:1" outlineLevel="1" x14ac:dyDescent="0.2"/>
    <row r="71" spans="1:1" outlineLevel="1" x14ac:dyDescent="0.2"/>
    <row r="72" spans="1:1" outlineLevel="1" x14ac:dyDescent="0.2"/>
    <row r="73" spans="1:1" outlineLevel="1" x14ac:dyDescent="0.2"/>
    <row r="74" spans="1:1" outlineLevel="1" x14ac:dyDescent="0.2"/>
    <row r="75" spans="1:1" outlineLevel="1" x14ac:dyDescent="0.2"/>
    <row r="76" spans="1:1" outlineLevel="1" x14ac:dyDescent="0.2"/>
    <row r="78" spans="1:1" x14ac:dyDescent="0.2">
      <c r="A78" s="48" t="s">
        <v>110</v>
      </c>
    </row>
    <row r="79" spans="1:1" outlineLevel="1" x14ac:dyDescent="0.2"/>
    <row r="80" spans="1:1" outlineLevel="1" x14ac:dyDescent="0.2"/>
    <row r="81" spans="3:3" outlineLevel="1" x14ac:dyDescent="0.2">
      <c r="C81" s="57" t="b">
        <v>0</v>
      </c>
    </row>
    <row r="82" spans="3:3" outlineLevel="1" x14ac:dyDescent="0.2"/>
    <row r="83" spans="3:3" outlineLevel="1" x14ac:dyDescent="0.2"/>
    <row r="84" spans="3:3" outlineLevel="1" x14ac:dyDescent="0.2"/>
    <row r="85" spans="3:3" outlineLevel="1" x14ac:dyDescent="0.2"/>
    <row r="86" spans="3:3" outlineLevel="1" x14ac:dyDescent="0.2"/>
    <row r="87" spans="3:3" outlineLevel="1" x14ac:dyDescent="0.2"/>
    <row r="88" spans="3:3" outlineLevel="1" x14ac:dyDescent="0.2"/>
    <row r="89" spans="3:3" outlineLevel="1" x14ac:dyDescent="0.2"/>
    <row r="90" spans="3:3" outlineLevel="1" x14ac:dyDescent="0.2"/>
    <row r="91" spans="3:3" outlineLevel="1" x14ac:dyDescent="0.2"/>
    <row r="92" spans="3:3" outlineLevel="1" x14ac:dyDescent="0.2"/>
    <row r="93" spans="3:3" outlineLevel="1" x14ac:dyDescent="0.2"/>
    <row r="94" spans="3:3" outlineLevel="1" x14ac:dyDescent="0.2"/>
    <row r="95" spans="3:3" outlineLevel="1" x14ac:dyDescent="0.2"/>
    <row r="96" spans="3:3" outlineLevel="1" x14ac:dyDescent="0.2"/>
    <row r="97" spans="1:1" outlineLevel="1" x14ac:dyDescent="0.2"/>
    <row r="98" spans="1:1" outlineLevel="1" x14ac:dyDescent="0.2"/>
    <row r="100" spans="1:1" x14ac:dyDescent="0.2">
      <c r="A100" s="48" t="s">
        <v>111</v>
      </c>
    </row>
    <row r="101" spans="1:1" outlineLevel="1" x14ac:dyDescent="0.2"/>
    <row r="102" spans="1:1" outlineLevel="1" x14ac:dyDescent="0.2"/>
    <row r="103" spans="1:1" outlineLevel="1" x14ac:dyDescent="0.2"/>
    <row r="104" spans="1:1" outlineLevel="1" x14ac:dyDescent="0.2"/>
    <row r="105" spans="1:1" outlineLevel="1" x14ac:dyDescent="0.2"/>
    <row r="106" spans="1:1" outlineLevel="1" x14ac:dyDescent="0.2"/>
    <row r="107" spans="1:1" outlineLevel="1" x14ac:dyDescent="0.2"/>
    <row r="108" spans="1:1" outlineLevel="1" x14ac:dyDescent="0.2"/>
    <row r="109" spans="1:1" outlineLevel="1" x14ac:dyDescent="0.2"/>
    <row r="110" spans="1:1" outlineLevel="1" x14ac:dyDescent="0.2"/>
    <row r="111" spans="1:1" outlineLevel="1" x14ac:dyDescent="0.2"/>
    <row r="112" spans="1:1" outlineLevel="1" x14ac:dyDescent="0.2"/>
    <row r="113" spans="1:1" outlineLevel="1" x14ac:dyDescent="0.2"/>
    <row r="114" spans="1:1" outlineLevel="1" x14ac:dyDescent="0.2"/>
    <row r="115" spans="1:1" outlineLevel="1" x14ac:dyDescent="0.2"/>
    <row r="116" spans="1:1" outlineLevel="1" x14ac:dyDescent="0.2"/>
    <row r="117" spans="1:1" outlineLevel="1" x14ac:dyDescent="0.2"/>
    <row r="118" spans="1:1" outlineLevel="1" x14ac:dyDescent="0.2"/>
    <row r="119" spans="1:1" outlineLevel="1" x14ac:dyDescent="0.2"/>
    <row r="120" spans="1:1" outlineLevel="1" x14ac:dyDescent="0.2"/>
    <row r="122" spans="1:1" x14ac:dyDescent="0.2">
      <c r="A122" s="48" t="s">
        <v>112</v>
      </c>
    </row>
    <row r="123" spans="1:1" outlineLevel="1" x14ac:dyDescent="0.2"/>
    <row r="124" spans="1:1" outlineLevel="1" x14ac:dyDescent="0.2"/>
    <row r="125" spans="1:1" outlineLevel="1" x14ac:dyDescent="0.2"/>
    <row r="126" spans="1:1" outlineLevel="1" x14ac:dyDescent="0.2"/>
    <row r="127" spans="1:1" outlineLevel="1" x14ac:dyDescent="0.2"/>
    <row r="128" spans="1:1" outlineLevel="1" x14ac:dyDescent="0.2"/>
    <row r="129" spans="1:1" outlineLevel="1" x14ac:dyDescent="0.2"/>
    <row r="130" spans="1:1" outlineLevel="1" x14ac:dyDescent="0.2"/>
    <row r="131" spans="1:1" outlineLevel="1" x14ac:dyDescent="0.2"/>
    <row r="132" spans="1:1" outlineLevel="1" x14ac:dyDescent="0.2"/>
    <row r="133" spans="1:1" outlineLevel="1" x14ac:dyDescent="0.2"/>
    <row r="134" spans="1:1" outlineLevel="1" x14ac:dyDescent="0.2"/>
    <row r="135" spans="1:1" outlineLevel="1" x14ac:dyDescent="0.2"/>
    <row r="136" spans="1:1" outlineLevel="1" x14ac:dyDescent="0.2"/>
    <row r="137" spans="1:1" outlineLevel="1" x14ac:dyDescent="0.2"/>
    <row r="138" spans="1:1" outlineLevel="1" x14ac:dyDescent="0.2"/>
    <row r="139" spans="1:1" outlineLevel="1" x14ac:dyDescent="0.2"/>
    <row r="140" spans="1:1" outlineLevel="1" x14ac:dyDescent="0.2"/>
    <row r="141" spans="1:1" outlineLevel="1" x14ac:dyDescent="0.2"/>
    <row r="142" spans="1:1" outlineLevel="1" x14ac:dyDescent="0.2"/>
    <row r="144" spans="1:1" x14ac:dyDescent="0.2">
      <c r="A144" s="48" t="s">
        <v>113</v>
      </c>
    </row>
    <row r="145" outlineLevel="1" x14ac:dyDescent="0.2"/>
    <row r="146" outlineLevel="1" x14ac:dyDescent="0.2"/>
    <row r="147" outlineLevel="1" x14ac:dyDescent="0.2"/>
    <row r="148" outlineLevel="1" x14ac:dyDescent="0.2"/>
    <row r="149" outlineLevel="1" x14ac:dyDescent="0.2"/>
    <row r="150" outlineLevel="1" x14ac:dyDescent="0.2"/>
    <row r="151" outlineLevel="1" x14ac:dyDescent="0.2"/>
    <row r="152" outlineLevel="1" x14ac:dyDescent="0.2"/>
    <row r="153" outlineLevel="1" x14ac:dyDescent="0.2"/>
    <row r="154" outlineLevel="1" x14ac:dyDescent="0.2"/>
    <row r="155" outlineLevel="1" x14ac:dyDescent="0.2"/>
    <row r="156" outlineLevel="1" x14ac:dyDescent="0.2"/>
    <row r="157" outlineLevel="1" x14ac:dyDescent="0.2"/>
    <row r="158" outlineLevel="1" x14ac:dyDescent="0.2"/>
    <row r="159" outlineLevel="1" x14ac:dyDescent="0.2"/>
    <row r="160" outlineLevel="1" x14ac:dyDescent="0.2"/>
    <row r="161" spans="1:6" outlineLevel="1" x14ac:dyDescent="0.2"/>
    <row r="162" spans="1:6" outlineLevel="1" x14ac:dyDescent="0.2"/>
    <row r="163" spans="1:6" outlineLevel="1" x14ac:dyDescent="0.2"/>
    <row r="164" spans="1:6" outlineLevel="1" x14ac:dyDescent="0.2"/>
    <row r="166" spans="1:6" x14ac:dyDescent="0.2">
      <c r="A166" s="48" t="s">
        <v>153</v>
      </c>
    </row>
    <row r="167" spans="1:6" ht="12" hidden="1" outlineLevel="1" thickBot="1" x14ac:dyDescent="0.25">
      <c r="A167" s="59" t="s">
        <v>85</v>
      </c>
      <c r="B167" s="49" t="s">
        <v>114</v>
      </c>
    </row>
    <row r="168" spans="1:6" ht="12" hidden="1" outlineLevel="1" thickBot="1" x14ac:dyDescent="0.25">
      <c r="A168" s="58" t="s">
        <v>91</v>
      </c>
      <c r="B168" s="60">
        <v>1</v>
      </c>
      <c r="C168" s="61" t="s">
        <v>115</v>
      </c>
    </row>
    <row r="169" spans="1:6" hidden="1" outlineLevel="1" x14ac:dyDescent="0.2">
      <c r="A169" s="58" t="s">
        <v>75</v>
      </c>
      <c r="B169" s="60">
        <v>-0.98636618380025187</v>
      </c>
      <c r="C169" s="60">
        <v>1</v>
      </c>
    </row>
    <row r="170" spans="1:6" collapsed="1" x14ac:dyDescent="0.2"/>
    <row r="171" spans="1:6" x14ac:dyDescent="0.2">
      <c r="A171" s="48" t="s">
        <v>154</v>
      </c>
    </row>
    <row r="172" spans="1:6" ht="12" hidden="1" outlineLevel="1" thickBot="1" x14ac:dyDescent="0.25">
      <c r="A172" s="50" t="s">
        <v>116</v>
      </c>
      <c r="B172" s="50" t="s">
        <v>117</v>
      </c>
      <c r="C172" s="50" t="s">
        <v>103</v>
      </c>
      <c r="D172" s="50" t="s">
        <v>94</v>
      </c>
      <c r="E172" s="50" t="s">
        <v>118</v>
      </c>
    </row>
    <row r="173" spans="1:6" ht="12.75" hidden="1" outlineLevel="1" x14ac:dyDescent="0.2">
      <c r="A173" s="52">
        <v>1</v>
      </c>
      <c r="B173" s="51">
        <v>45</v>
      </c>
      <c r="C173" s="51">
        <v>50.252336448598427</v>
      </c>
      <c r="D173" s="51">
        <f t="shared" ref="D173:D178" si="0">B173 - C173</f>
        <v>-5.2523364485984274</v>
      </c>
      <c r="E173" s="46">
        <f t="shared" ref="E173:E178" si="1">D173 /3.88563133108656</f>
        <v>-1.3517330907278042</v>
      </c>
      <c r="F173"/>
    </row>
    <row r="174" spans="1:6" ht="12.75" hidden="1" outlineLevel="1" x14ac:dyDescent="0.2">
      <c r="A174" s="52">
        <v>5</v>
      </c>
      <c r="B174" s="51">
        <v>62</v>
      </c>
      <c r="C174" s="51">
        <v>57.934579439252715</v>
      </c>
      <c r="D174" s="51">
        <f t="shared" si="0"/>
        <v>4.0654205607472846</v>
      </c>
      <c r="E174" s="46">
        <f t="shared" si="1"/>
        <v>1.0462702748514356</v>
      </c>
      <c r="F174"/>
    </row>
    <row r="175" spans="1:6" ht="12.75" hidden="1" outlineLevel="1" x14ac:dyDescent="0.2">
      <c r="A175" s="52">
        <v>3</v>
      </c>
      <c r="B175" s="51">
        <v>50</v>
      </c>
      <c r="C175" s="51">
        <v>46.411214953271291</v>
      </c>
      <c r="D175" s="51">
        <f t="shared" si="0"/>
        <v>3.5887850467287095</v>
      </c>
      <c r="E175" s="46">
        <f t="shared" si="1"/>
        <v>0.92360410469645826</v>
      </c>
      <c r="F175"/>
    </row>
    <row r="176" spans="1:6" ht="12.75" hidden="1" outlineLevel="1" x14ac:dyDescent="0.2">
      <c r="A176" s="52">
        <v>4</v>
      </c>
      <c r="B176" s="51">
        <v>54</v>
      </c>
      <c r="C176" s="51">
        <v>55.373831775701284</v>
      </c>
      <c r="D176" s="51">
        <f t="shared" si="0"/>
        <v>-1.3738317757012837</v>
      </c>
      <c r="E176" s="46">
        <f t="shared" si="1"/>
        <v>-0.35356719632922862</v>
      </c>
      <c r="F176"/>
    </row>
    <row r="177" spans="1:6" ht="12.75" hidden="1" outlineLevel="1" x14ac:dyDescent="0.2">
      <c r="A177" s="52">
        <v>2</v>
      </c>
      <c r="B177" s="51">
        <v>58</v>
      </c>
      <c r="C177" s="51">
        <v>59.214953271028428</v>
      </c>
      <c r="D177" s="51">
        <f t="shared" si="0"/>
        <v>-1.2149532710284277</v>
      </c>
      <c r="E177" s="46">
        <f t="shared" si="1"/>
        <v>-0.31267847294423678</v>
      </c>
      <c r="F177"/>
    </row>
    <row r="178" spans="1:6" ht="12.75" hidden="1" outlineLevel="1" x14ac:dyDescent="0.2">
      <c r="A178" s="52">
        <v>6</v>
      </c>
      <c r="B178" s="51">
        <v>53</v>
      </c>
      <c r="C178" s="51">
        <v>52.813084112149859</v>
      </c>
      <c r="D178" s="51">
        <f t="shared" si="0"/>
        <v>0.1869158878501409</v>
      </c>
      <c r="E178" s="46">
        <f t="shared" si="1"/>
        <v>4.810438045286005E-2</v>
      </c>
      <c r="F178"/>
    </row>
    <row r="179" spans="1:6" collapsed="1" x14ac:dyDescent="0.2"/>
  </sheetData>
  <sortState ref="A173:F178">
    <sortCondition descending="1" ref="F173"/>
    <sortCondition ref="A1"/>
  </sortState>
  <dataValidations count="1">
    <dataValidation type="decimal" allowBlank="1" showInputMessage="1" showErrorMessage="1" error="Please enter a confidence level between 0 and 1." prompt="Confidence level can be adjusted between 0 and 100% to dynamically change confidence limits on this sheet." sqref="I10">
      <formula1>0</formula1>
      <formula2>1</formula2>
    </dataValidation>
  </dataValidations>
  <pageMargins left="0.7" right="0.7" top="0.75" bottom="0.75" header="0.3" footer="0.3"/>
  <pageSetup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0"/>
  <sheetViews>
    <sheetView showGridLines="0" showRowColHeaders="0" workbookViewId="0">
      <pane xSplit="1" topLeftCell="B1" activePane="topRight" state="frozenSplit"/>
      <selection pane="topRight" activeCell="A2" sqref="A2"/>
    </sheetView>
  </sheetViews>
  <sheetFormatPr defaultRowHeight="11.25" x14ac:dyDescent="0.2"/>
  <cols>
    <col min="1" max="1" width="32.5703125" style="58" bestFit="1" customWidth="1"/>
    <col min="2" max="2" width="16" style="58" customWidth="1"/>
    <col min="3" max="16384" width="9.140625" style="58"/>
  </cols>
  <sheetData>
    <row r="1" spans="1:2" x14ac:dyDescent="0.2">
      <c r="A1" s="62" t="s">
        <v>119</v>
      </c>
    </row>
    <row r="3" spans="1:2" x14ac:dyDescent="0.2">
      <c r="A3" s="64" t="s">
        <v>120</v>
      </c>
    </row>
    <row r="4" spans="1:2" x14ac:dyDescent="0.2">
      <c r="A4" s="63" t="s">
        <v>121</v>
      </c>
      <c r="B4" s="58" t="s">
        <v>142</v>
      </c>
    </row>
    <row r="5" spans="1:2" x14ac:dyDescent="0.2">
      <c r="A5" s="63" t="s">
        <v>122</v>
      </c>
      <c r="B5" s="66">
        <v>42136.620833333334</v>
      </c>
    </row>
    <row r="6" spans="1:2" x14ac:dyDescent="0.2">
      <c r="A6" s="65" t="s">
        <v>123</v>
      </c>
    </row>
    <row r="7" spans="1:2" x14ac:dyDescent="0.2">
      <c r="A7" s="63" t="s">
        <v>124</v>
      </c>
      <c r="B7" s="58">
        <v>0.65944065771906446</v>
      </c>
    </row>
    <row r="8" spans="1:2" x14ac:dyDescent="0.2">
      <c r="A8" s="63" t="s">
        <v>125</v>
      </c>
      <c r="B8" s="58">
        <v>0.57430082214882749</v>
      </c>
    </row>
    <row r="9" spans="1:2" x14ac:dyDescent="0.2">
      <c r="A9" s="63" t="s">
        <v>126</v>
      </c>
      <c r="B9" s="58">
        <v>3.885631331086556</v>
      </c>
    </row>
    <row r="10" spans="1:2" x14ac:dyDescent="0.2">
      <c r="A10" s="63" t="s">
        <v>82</v>
      </c>
      <c r="B10" s="67">
        <v>6</v>
      </c>
    </row>
    <row r="11" spans="1:2" x14ac:dyDescent="0.2">
      <c r="A11" s="65" t="s">
        <v>127</v>
      </c>
    </row>
    <row r="12" spans="1:2" x14ac:dyDescent="0.2">
      <c r="A12" s="63" t="s">
        <v>91</v>
      </c>
      <c r="B12" s="58" t="s">
        <v>135</v>
      </c>
    </row>
    <row r="13" spans="1:2" x14ac:dyDescent="0.2">
      <c r="A13" s="63" t="s">
        <v>128</v>
      </c>
    </row>
    <row r="14" spans="1:2" x14ac:dyDescent="0.2">
      <c r="A14" s="63" t="s">
        <v>129</v>
      </c>
    </row>
    <row r="15" spans="1:2" x14ac:dyDescent="0.2">
      <c r="A15" s="63" t="s">
        <v>130</v>
      </c>
    </row>
    <row r="16" spans="1:2" x14ac:dyDescent="0.2">
      <c r="A16" s="63" t="s">
        <v>75</v>
      </c>
      <c r="B16" s="58" t="s">
        <v>136</v>
      </c>
    </row>
    <row r="17" spans="1:1" x14ac:dyDescent="0.2">
      <c r="A17" s="63" t="s">
        <v>131</v>
      </c>
    </row>
    <row r="18" spans="1:1" x14ac:dyDescent="0.2">
      <c r="A18" s="63" t="s">
        <v>132</v>
      </c>
    </row>
    <row r="19" spans="1:1" x14ac:dyDescent="0.2">
      <c r="A19" s="63" t="s">
        <v>133</v>
      </c>
    </row>
    <row r="20" spans="1:1" x14ac:dyDescent="0.2">
      <c r="A20" s="63" t="s">
        <v>134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31</vt:i4>
      </vt:variant>
    </vt:vector>
  </HeadingPairs>
  <TitlesOfParts>
    <vt:vector size="34" baseType="lpstr">
      <vt:lpstr>Regression formulas</vt:lpstr>
      <vt:lpstr>RegressIt  model</vt:lpstr>
      <vt:lpstr>Model Summaries</vt:lpstr>
      <vt:lpstr>AVGSQERR</vt:lpstr>
      <vt:lpstr>AVGY</vt:lpstr>
      <vt:lpstr>BETAHAT</vt:lpstr>
      <vt:lpstr>COVMAT</vt:lpstr>
      <vt:lpstr>DF</vt:lpstr>
      <vt:lpstr>MSE</vt:lpstr>
      <vt:lpstr>N</vt:lpstr>
      <vt:lpstr>P</vt:lpstr>
      <vt:lpstr>PREDICTION</vt:lpstr>
      <vt:lpstr>'RegressIt  model'!Print_Area</vt:lpstr>
      <vt:lpstr>SSE</vt:lpstr>
      <vt:lpstr>STDERR</vt:lpstr>
      <vt:lpstr>STDEVMEAN</vt:lpstr>
      <vt:lpstr>STDEVPRED</vt:lpstr>
      <vt:lpstr>TSTATS</vt:lpstr>
      <vt:lpstr>TVALUE</vt:lpstr>
      <vt:lpstr>VARMEAN</vt:lpstr>
      <vt:lpstr>VARPRED</vt:lpstr>
      <vt:lpstr>VARPY</vt:lpstr>
      <vt:lpstr>VARY</vt:lpstr>
      <vt:lpstr>W</vt:lpstr>
      <vt:lpstr>X</vt:lpstr>
      <vt:lpstr>X1_</vt:lpstr>
      <vt:lpstr>XT</vt:lpstr>
      <vt:lpstr>XTX</vt:lpstr>
      <vt:lpstr>XTXINV</vt:lpstr>
      <vt:lpstr>XTY</vt:lpstr>
      <vt:lpstr>Y</vt:lpstr>
      <vt:lpstr>YDEV</vt:lpstr>
      <vt:lpstr>YHAT</vt:lpstr>
      <vt:lpstr>YSQDEV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Fuqua School of Business</dc:creator>
  <cp:lastModifiedBy>Stephen Devine</cp:lastModifiedBy>
  <cp:lastPrinted>1998-09-14T17:55:41Z</cp:lastPrinted>
  <dcterms:created xsi:type="dcterms:W3CDTF">2006-05-23T13:01:54Z</dcterms:created>
  <dcterms:modified xsi:type="dcterms:W3CDTF">2018-11-28T20:56:43Z</dcterms:modified>
</cp:coreProperties>
</file>