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7055" windowHeight="9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5" i="1"/>
  <c r="P3"/>
  <c r="AB72"/>
  <c r="P71"/>
  <c r="P72"/>
  <c r="N71"/>
  <c r="N30"/>
  <c r="P43"/>
  <c r="N17"/>
  <c r="N64"/>
  <c r="P20"/>
  <c r="S5"/>
  <c r="P52"/>
  <c r="Q52" s="1"/>
  <c r="R52" s="1"/>
  <c r="Q51"/>
  <c r="R51" s="1"/>
  <c r="P24"/>
  <c r="P36"/>
  <c r="Q36" s="1"/>
  <c r="M36"/>
  <c r="E68"/>
  <c r="P68" s="1"/>
  <c r="Q68" s="1"/>
  <c r="R68" s="1"/>
  <c r="P69"/>
  <c r="Q69" s="1"/>
  <c r="R69" s="1"/>
  <c r="P70"/>
  <c r="Q70" s="1"/>
  <c r="P7"/>
  <c r="Q7" s="1"/>
  <c r="P9"/>
  <c r="Q9" s="1"/>
  <c r="P10"/>
  <c r="Q10" s="1"/>
  <c r="R10" s="1"/>
  <c r="P11"/>
  <c r="P12"/>
  <c r="Q12" s="1"/>
  <c r="R12" s="1"/>
  <c r="P13"/>
  <c r="Q13" s="1"/>
  <c r="P14"/>
  <c r="Q14" s="1"/>
  <c r="R14" s="1"/>
  <c r="P15"/>
  <c r="S15" s="1"/>
  <c r="P16"/>
  <c r="Q16" s="1"/>
  <c r="R16" s="1"/>
  <c r="P18"/>
  <c r="Q18" s="1"/>
  <c r="P19"/>
  <c r="Q19" s="1"/>
  <c r="P21"/>
  <c r="P22"/>
  <c r="Q22" s="1"/>
  <c r="P25"/>
  <c r="Q25" s="1"/>
  <c r="P26"/>
  <c r="Q26" s="1"/>
  <c r="P27"/>
  <c r="Q27" s="1"/>
  <c r="P28"/>
  <c r="Q28" s="1"/>
  <c r="P29"/>
  <c r="Q29" s="1"/>
  <c r="P30"/>
  <c r="Q30" s="1"/>
  <c r="P31"/>
  <c r="Q31" s="1"/>
  <c r="P34"/>
  <c r="Q34" s="1"/>
  <c r="P35"/>
  <c r="Q35" s="1"/>
  <c r="P38"/>
  <c r="Q38" s="1"/>
  <c r="R38" s="1"/>
  <c r="P39"/>
  <c r="Q39" s="1"/>
  <c r="P41"/>
  <c r="Q41" s="1"/>
  <c r="R41" s="1"/>
  <c r="P42"/>
  <c r="Q42" s="1"/>
  <c r="R42" s="1"/>
  <c r="S43"/>
  <c r="P44"/>
  <c r="Q44" s="1"/>
  <c r="R44" s="1"/>
  <c r="P45"/>
  <c r="Q45" s="1"/>
  <c r="R45" s="1"/>
  <c r="P46"/>
  <c r="Q46" s="1"/>
  <c r="R46" s="1"/>
  <c r="P47"/>
  <c r="S47" s="1"/>
  <c r="P49"/>
  <c r="Q49" s="1"/>
  <c r="R49" s="1"/>
  <c r="P50"/>
  <c r="Q50" s="1"/>
  <c r="R50" s="1"/>
  <c r="P51"/>
  <c r="P53"/>
  <c r="S53" s="1"/>
  <c r="P54"/>
  <c r="Q54" s="1"/>
  <c r="R54" s="1"/>
  <c r="P55"/>
  <c r="Q55" s="1"/>
  <c r="P56"/>
  <c r="S56" s="1"/>
  <c r="P58"/>
  <c r="S58" s="1"/>
  <c r="P59"/>
  <c r="Q59" s="1"/>
  <c r="R59" s="1"/>
  <c r="P60"/>
  <c r="Q60" s="1"/>
  <c r="P61"/>
  <c r="P62"/>
  <c r="Q62" s="1"/>
  <c r="R62" s="1"/>
  <c r="P63"/>
  <c r="Q63" s="1"/>
  <c r="R63" s="1"/>
  <c r="P64"/>
  <c r="Q64" s="1"/>
  <c r="P65"/>
  <c r="P66"/>
  <c r="Q66" s="1"/>
  <c r="R66" s="1"/>
  <c r="P67"/>
  <c r="Q67" s="1"/>
  <c r="R67" s="1"/>
  <c r="S3"/>
  <c r="L33"/>
  <c r="P33" s="1"/>
  <c r="Q33" s="1"/>
  <c r="L35"/>
  <c r="K33"/>
  <c r="K40"/>
  <c r="P40" s="1"/>
  <c r="Q40" s="1"/>
  <c r="R40" s="1"/>
  <c r="K5"/>
  <c r="Q5" s="1"/>
  <c r="K27"/>
  <c r="K49"/>
  <c r="K17"/>
  <c r="P17" s="1"/>
  <c r="S17" s="1"/>
  <c r="S12"/>
  <c r="S16"/>
  <c r="S41"/>
  <c r="S42"/>
  <c r="S44"/>
  <c r="S45"/>
  <c r="S46"/>
  <c r="S50"/>
  <c r="S54"/>
  <c r="S59"/>
  <c r="S61"/>
  <c r="S63"/>
  <c r="S64"/>
  <c r="S65"/>
  <c r="S67"/>
  <c r="K8"/>
  <c r="K48"/>
  <c r="K4"/>
  <c r="K3"/>
  <c r="J32"/>
  <c r="J47"/>
  <c r="J37"/>
  <c r="P37" s="1"/>
  <c r="Q37" s="1"/>
  <c r="J6"/>
  <c r="P6" s="1"/>
  <c r="Q6" s="1"/>
  <c r="J57"/>
  <c r="J23"/>
  <c r="I4"/>
  <c r="I32"/>
  <c r="P32" s="1"/>
  <c r="Q32" s="1"/>
  <c r="I27"/>
  <c r="I33"/>
  <c r="H23"/>
  <c r="P23" s="1"/>
  <c r="Q23" s="1"/>
  <c r="H8"/>
  <c r="P8" s="1"/>
  <c r="Q8" s="1"/>
  <c r="H6"/>
  <c r="G48"/>
  <c r="P48" s="1"/>
  <c r="G6"/>
  <c r="G43"/>
  <c r="G4"/>
  <c r="S19" l="1"/>
  <c r="S62"/>
  <c r="Q48"/>
  <c r="S48"/>
  <c r="Q56"/>
  <c r="R56" s="1"/>
  <c r="Q47"/>
  <c r="Q43"/>
  <c r="R43" s="1"/>
  <c r="P57"/>
  <c r="Q65"/>
  <c r="R65" s="1"/>
  <c r="Q61"/>
  <c r="R61" s="1"/>
  <c r="Q53"/>
  <c r="Q15"/>
  <c r="Q11"/>
  <c r="R11" s="1"/>
  <c r="P4"/>
  <c r="Q3"/>
  <c r="R3" s="1"/>
  <c r="Q58"/>
  <c r="R47"/>
  <c r="R64"/>
  <c r="R60"/>
  <c r="R39"/>
  <c r="R53"/>
  <c r="S66"/>
  <c r="S10"/>
  <c r="S11"/>
  <c r="S38"/>
  <c r="S39"/>
  <c r="S14"/>
  <c r="S40"/>
  <c r="S49"/>
  <c r="R58"/>
  <c r="R48"/>
  <c r="R15"/>
  <c r="Q4" l="1"/>
  <c r="R4" s="1"/>
  <c r="S4"/>
  <c r="S57"/>
  <c r="Q57"/>
  <c r="R57" s="1"/>
  <c r="R8"/>
  <c r="S8"/>
  <c r="R30"/>
  <c r="S30"/>
  <c r="R26"/>
  <c r="S26"/>
  <c r="R18"/>
  <c r="S18"/>
  <c r="R35"/>
  <c r="S35"/>
  <c r="R31"/>
  <c r="S31"/>
  <c r="R22"/>
  <c r="S22"/>
  <c r="R36"/>
  <c r="S36"/>
  <c r="R6"/>
  <c r="S6"/>
  <c r="R23"/>
  <c r="S23"/>
  <c r="R7"/>
  <c r="S7"/>
  <c r="R9"/>
  <c r="S9"/>
  <c r="R29"/>
  <c r="S29"/>
  <c r="R25"/>
  <c r="S25"/>
  <c r="R13"/>
  <c r="S13"/>
  <c r="R34"/>
  <c r="S34"/>
  <c r="R19"/>
  <c r="R33"/>
  <c r="S33"/>
  <c r="R28"/>
  <c r="S28"/>
  <c r="R32"/>
  <c r="S32"/>
  <c r="R37"/>
  <c r="S37"/>
  <c r="R5"/>
  <c r="R27"/>
  <c r="S27"/>
  <c r="S20"/>
</calcChain>
</file>

<file path=xl/sharedStrings.xml><?xml version="1.0" encoding="utf-8"?>
<sst xmlns="http://schemas.openxmlformats.org/spreadsheetml/2006/main" count="233" uniqueCount="177">
  <si>
    <t>合同号</t>
    <phoneticPr fontId="1" type="noConversion"/>
  </si>
  <si>
    <t>对方单位</t>
    <phoneticPr fontId="1" type="noConversion"/>
  </si>
  <si>
    <t>金额</t>
    <phoneticPr fontId="1" type="noConversion"/>
  </si>
  <si>
    <t>合同有效期</t>
    <phoneticPr fontId="1" type="noConversion"/>
  </si>
  <si>
    <t>2015年支付金额</t>
    <phoneticPr fontId="1" type="noConversion"/>
  </si>
  <si>
    <t>未付合同金额</t>
    <phoneticPr fontId="1" type="noConversion"/>
  </si>
  <si>
    <t>7月前累计申请支付</t>
    <phoneticPr fontId="1" type="noConversion"/>
  </si>
  <si>
    <t>7月申请支付</t>
    <phoneticPr fontId="1" type="noConversion"/>
  </si>
  <si>
    <t>8月申请支付</t>
  </si>
  <si>
    <t>9月申请支付</t>
  </si>
  <si>
    <t>10月申请支付</t>
  </si>
  <si>
    <t>11月申请支付</t>
  </si>
  <si>
    <t>12月申请支付</t>
  </si>
  <si>
    <t>累计申请支付</t>
    <phoneticPr fontId="1" type="noConversion"/>
  </si>
  <si>
    <t>PC14-PMD-867</t>
    <phoneticPr fontId="1" type="noConversion"/>
  </si>
  <si>
    <t>亚大</t>
    <phoneticPr fontId="1" type="noConversion"/>
  </si>
  <si>
    <t>2014.7-2015.12</t>
    <phoneticPr fontId="1" type="noConversion"/>
  </si>
  <si>
    <t>PC14-PMD-866</t>
    <phoneticPr fontId="1" type="noConversion"/>
  </si>
  <si>
    <t>南塑</t>
    <phoneticPr fontId="1" type="noConversion"/>
  </si>
  <si>
    <t>2014.7-2015.12</t>
    <phoneticPr fontId="1" type="noConversion"/>
  </si>
  <si>
    <t>PC15-PMD-801</t>
  </si>
  <si>
    <t>德建</t>
    <phoneticPr fontId="1" type="noConversion"/>
  </si>
  <si>
    <t>2015.3-2016.3</t>
    <phoneticPr fontId="1" type="noConversion"/>
  </si>
  <si>
    <t>PC15-PMD-444</t>
  </si>
  <si>
    <t>万通</t>
    <phoneticPr fontId="1" type="noConversion"/>
  </si>
  <si>
    <t>单次合同</t>
    <phoneticPr fontId="1" type="noConversion"/>
  </si>
  <si>
    <t>PC15-PMD-417</t>
  </si>
  <si>
    <t>PC15-PMD-279</t>
  </si>
  <si>
    <t>华气厚普</t>
    <phoneticPr fontId="1" type="noConversion"/>
  </si>
  <si>
    <t>PC15-PMD-164</t>
  </si>
  <si>
    <t>禅美顺</t>
    <phoneticPr fontId="1" type="noConversion"/>
  </si>
  <si>
    <t>PC15-PMD-153</t>
  </si>
  <si>
    <t>衡冠</t>
    <phoneticPr fontId="1" type="noConversion"/>
  </si>
  <si>
    <t>PC15-PMD-150</t>
  </si>
  <si>
    <t>先锋</t>
    <phoneticPr fontId="1" type="noConversion"/>
  </si>
  <si>
    <t>PC15-PMD-148</t>
  </si>
  <si>
    <t>丹东</t>
    <phoneticPr fontId="1" type="noConversion"/>
  </si>
  <si>
    <t>PC15-PMD-341</t>
  </si>
  <si>
    <t>金昇</t>
    <phoneticPr fontId="1" type="noConversion"/>
  </si>
  <si>
    <t>PC15-PMD-510</t>
  </si>
  <si>
    <t>职安健</t>
    <phoneticPr fontId="1" type="noConversion"/>
  </si>
  <si>
    <t>PC15-PMD-416</t>
  </si>
  <si>
    <t>君安</t>
    <phoneticPr fontId="1" type="noConversion"/>
  </si>
  <si>
    <t>PC15-PMD-389</t>
    <phoneticPr fontId="1" type="noConversion"/>
  </si>
  <si>
    <t>卓通</t>
    <phoneticPr fontId="1" type="noConversion"/>
  </si>
  <si>
    <t>PC15-PMD-156</t>
  </si>
  <si>
    <t>仕隆</t>
    <phoneticPr fontId="1" type="noConversion"/>
  </si>
  <si>
    <t>PC15-PMD-390</t>
  </si>
  <si>
    <t>番禺电缆</t>
    <phoneticPr fontId="1" type="noConversion"/>
  </si>
  <si>
    <t>PC15-PMD-158</t>
  </si>
  <si>
    <t>德豪</t>
    <phoneticPr fontId="1" type="noConversion"/>
  </si>
  <si>
    <t>PC15-PMD-794</t>
  </si>
  <si>
    <t>通用</t>
    <phoneticPr fontId="1" type="noConversion"/>
  </si>
  <si>
    <t>PC15-PMD-165</t>
  </si>
  <si>
    <t>安邦</t>
    <phoneticPr fontId="1" type="noConversion"/>
  </si>
  <si>
    <t>PC15-PMD-160</t>
  </si>
  <si>
    <t>美都</t>
    <phoneticPr fontId="1" type="noConversion"/>
  </si>
  <si>
    <t>PC15-PMD-830</t>
  </si>
  <si>
    <t>PC15-PMD-155</t>
  </si>
  <si>
    <t>庆成</t>
    <phoneticPr fontId="1" type="noConversion"/>
  </si>
  <si>
    <t>PC15-PMD-151</t>
  </si>
  <si>
    <t>蓝焰</t>
    <phoneticPr fontId="1" type="noConversion"/>
  </si>
  <si>
    <t>PC15-PMD-159</t>
  </si>
  <si>
    <t>忻杰</t>
    <phoneticPr fontId="1" type="noConversion"/>
  </si>
  <si>
    <t>PC15-PMD-243</t>
  </si>
  <si>
    <t>多美时</t>
    <phoneticPr fontId="1" type="noConversion"/>
  </si>
  <si>
    <t>单次合同</t>
    <phoneticPr fontId="1" type="noConversion"/>
  </si>
  <si>
    <t>仕隆</t>
    <phoneticPr fontId="1" type="noConversion"/>
  </si>
  <si>
    <t>冠然</t>
    <phoneticPr fontId="1" type="noConversion"/>
  </si>
  <si>
    <t>埃德尔</t>
    <phoneticPr fontId="1" type="noConversion"/>
  </si>
  <si>
    <t>本生</t>
    <phoneticPr fontId="1" type="noConversion"/>
  </si>
  <si>
    <t>南方金属软管</t>
    <phoneticPr fontId="1" type="noConversion"/>
  </si>
  <si>
    <t>长园长通</t>
    <phoneticPr fontId="1" type="noConversion"/>
  </si>
  <si>
    <t>炜司键</t>
    <phoneticPr fontId="1" type="noConversion"/>
  </si>
  <si>
    <t>奥沙</t>
    <phoneticPr fontId="1" type="noConversion"/>
  </si>
  <si>
    <t>杰阳</t>
    <phoneticPr fontId="1" type="noConversion"/>
  </si>
  <si>
    <t>PC15-PMD-956</t>
    <phoneticPr fontId="1" type="noConversion"/>
  </si>
  <si>
    <t>PC15-PMD-157</t>
    <phoneticPr fontId="1" type="noConversion"/>
  </si>
  <si>
    <t>PC15-PMD-692</t>
    <phoneticPr fontId="1" type="noConversion"/>
  </si>
  <si>
    <t>PC15-PMD-862</t>
    <phoneticPr fontId="1" type="noConversion"/>
  </si>
  <si>
    <t>PC15-PMD-858</t>
    <phoneticPr fontId="1" type="noConversion"/>
  </si>
  <si>
    <t>PC15-PMD-792</t>
    <phoneticPr fontId="1" type="noConversion"/>
  </si>
  <si>
    <t>PC15-PMD-861</t>
    <phoneticPr fontId="1" type="noConversion"/>
  </si>
  <si>
    <t>PC15-PMD-406</t>
    <phoneticPr fontId="1" type="noConversion"/>
  </si>
  <si>
    <t>PC15-PMD-1061</t>
    <phoneticPr fontId="1" type="noConversion"/>
  </si>
  <si>
    <t>PC15-PMD-369</t>
    <phoneticPr fontId="1" type="noConversion"/>
  </si>
  <si>
    <t>PC15-PMD-161</t>
    <phoneticPr fontId="1" type="noConversion"/>
  </si>
  <si>
    <t>PC15-PMD-156</t>
    <phoneticPr fontId="1" type="noConversion"/>
  </si>
  <si>
    <t>PC15-PMD-1102</t>
    <phoneticPr fontId="1" type="noConversion"/>
  </si>
  <si>
    <t>2015.8-2015.12</t>
    <phoneticPr fontId="1" type="noConversion"/>
  </si>
  <si>
    <t>圣亚</t>
    <phoneticPr fontId="1" type="noConversion"/>
  </si>
  <si>
    <t>PC15-PMD-829</t>
    <phoneticPr fontId="1" type="noConversion"/>
  </si>
  <si>
    <t>PC15-PMD-859</t>
    <phoneticPr fontId="1" type="noConversion"/>
  </si>
  <si>
    <t>PC15-PMD-1283</t>
    <phoneticPr fontId="1" type="noConversion"/>
  </si>
  <si>
    <t>PC15-PMD-980</t>
    <phoneticPr fontId="1" type="noConversion"/>
  </si>
  <si>
    <t>尚道文化</t>
    <phoneticPr fontId="1" type="noConversion"/>
  </si>
  <si>
    <t>PC15-PMD-946</t>
    <phoneticPr fontId="1" type="noConversion"/>
  </si>
  <si>
    <t>伦盛五金</t>
    <phoneticPr fontId="1" type="noConversion"/>
  </si>
  <si>
    <t>2015.8-2016.3</t>
    <phoneticPr fontId="1" type="noConversion"/>
  </si>
  <si>
    <t>PC15-PMD-929</t>
    <phoneticPr fontId="1" type="noConversion"/>
  </si>
  <si>
    <t>PC15-PMD-1007</t>
    <phoneticPr fontId="1" type="noConversion"/>
  </si>
  <si>
    <t>深圳索富通</t>
    <phoneticPr fontId="1" type="noConversion"/>
  </si>
  <si>
    <t>PC15-PMD-1370</t>
    <phoneticPr fontId="1" type="noConversion"/>
  </si>
  <si>
    <t>2015.11-2015.12</t>
    <phoneticPr fontId="1" type="noConversion"/>
  </si>
  <si>
    <t>2015.8-2015.12</t>
    <phoneticPr fontId="1" type="noConversion"/>
  </si>
  <si>
    <t>通用机电</t>
    <phoneticPr fontId="1" type="noConversion"/>
  </si>
  <si>
    <t>上海浩睿</t>
    <phoneticPr fontId="1" type="noConversion"/>
  </si>
  <si>
    <t>P15-PM1359</t>
    <phoneticPr fontId="1" type="noConversion"/>
  </si>
  <si>
    <t>张家港富瑞</t>
    <phoneticPr fontId="1" type="noConversion"/>
  </si>
  <si>
    <t>PC15-PMD-1025</t>
    <phoneticPr fontId="1" type="noConversion"/>
  </si>
  <si>
    <t>PC15-PMD-794</t>
    <phoneticPr fontId="1" type="noConversion"/>
  </si>
  <si>
    <t>特奥</t>
    <phoneticPr fontId="1" type="noConversion"/>
  </si>
  <si>
    <t>PC15-PMD-1330</t>
    <phoneticPr fontId="1" type="noConversion"/>
  </si>
  <si>
    <t>单价合同</t>
    <phoneticPr fontId="1" type="noConversion"/>
  </si>
  <si>
    <t>2015.12-2016.12</t>
    <phoneticPr fontId="1" type="noConversion"/>
  </si>
  <si>
    <t>PC15-PMD-1684</t>
    <phoneticPr fontId="1" type="noConversion"/>
  </si>
  <si>
    <t>PC15-PMD-1665</t>
    <phoneticPr fontId="1" type="noConversion"/>
  </si>
  <si>
    <t>PC15-PMD-893</t>
    <phoneticPr fontId="1" type="noConversion"/>
  </si>
  <si>
    <t>辉信</t>
    <phoneticPr fontId="1" type="noConversion"/>
  </si>
  <si>
    <t>PC15-PMD-1510</t>
    <phoneticPr fontId="1" type="noConversion"/>
  </si>
  <si>
    <t>特安</t>
    <phoneticPr fontId="1" type="noConversion"/>
  </si>
  <si>
    <t>PC15-PMD-860</t>
    <phoneticPr fontId="1" type="noConversion"/>
  </si>
  <si>
    <t>顺冠</t>
    <phoneticPr fontId="1" type="noConversion"/>
  </si>
  <si>
    <t>PC15-PMD-1446</t>
    <phoneticPr fontId="1" type="noConversion"/>
  </si>
  <si>
    <t>吉莫柯</t>
    <phoneticPr fontId="1" type="noConversion"/>
  </si>
  <si>
    <t>PC15-PMD-1360</t>
    <phoneticPr fontId="1" type="noConversion"/>
  </si>
  <si>
    <t>杰超</t>
    <phoneticPr fontId="1" type="noConversion"/>
  </si>
  <si>
    <t>PC15-PMD-1445</t>
    <phoneticPr fontId="1" type="noConversion"/>
  </si>
  <si>
    <t>天钜</t>
    <phoneticPr fontId="1" type="noConversion"/>
  </si>
  <si>
    <t>PC11-FD-002</t>
    <phoneticPr fontId="1" type="noConversion"/>
  </si>
  <si>
    <t>中核维</t>
    <phoneticPr fontId="1" type="noConversion"/>
  </si>
  <si>
    <t>PC15-PMD-1534</t>
    <phoneticPr fontId="1" type="noConversion"/>
  </si>
  <si>
    <t>PC15-PMD-1757</t>
    <phoneticPr fontId="1" type="noConversion"/>
  </si>
  <si>
    <t>PC15-PMD-1620</t>
    <phoneticPr fontId="1" type="noConversion"/>
  </si>
  <si>
    <t>PC15-PMD-1664</t>
    <phoneticPr fontId="1" type="noConversion"/>
  </si>
  <si>
    <t>PC15-PMD-1372</t>
    <phoneticPr fontId="1" type="noConversion"/>
  </si>
  <si>
    <t>广州赛领</t>
    <phoneticPr fontId="1" type="noConversion"/>
  </si>
  <si>
    <t>PC15-PMD-1286</t>
    <phoneticPr fontId="1" type="noConversion"/>
  </si>
  <si>
    <t>金昇能源</t>
    <phoneticPr fontId="1" type="noConversion"/>
  </si>
  <si>
    <t>PC15-PMD-1758</t>
    <phoneticPr fontId="1" type="noConversion"/>
  </si>
  <si>
    <t>单价合同</t>
    <phoneticPr fontId="1" type="noConversion"/>
  </si>
  <si>
    <t xml:space="preserve">    </t>
    <phoneticPr fontId="1" type="noConversion"/>
  </si>
  <si>
    <t>1月申请支付</t>
    <phoneticPr fontId="1" type="noConversion"/>
  </si>
  <si>
    <t>2月申请支付</t>
  </si>
  <si>
    <t>PC14-PMD-1483</t>
    <phoneticPr fontId="1" type="noConversion"/>
  </si>
  <si>
    <t>3月申请支付</t>
  </si>
  <si>
    <t>PC15-PMD-1757</t>
    <phoneticPr fontId="1" type="noConversion"/>
  </si>
  <si>
    <t>2015.12-2016.12</t>
    <phoneticPr fontId="1" type="noConversion"/>
  </si>
  <si>
    <t>PC15-PMD-671</t>
    <phoneticPr fontId="1" type="noConversion"/>
  </si>
  <si>
    <t>田意通</t>
    <phoneticPr fontId="1" type="noConversion"/>
  </si>
  <si>
    <t>PC16-PMD-089</t>
    <phoneticPr fontId="1" type="noConversion"/>
  </si>
  <si>
    <t>名称</t>
  </si>
  <si>
    <t>规格型号</t>
  </si>
  <si>
    <t>单位</t>
  </si>
  <si>
    <t>单价</t>
    <phoneticPr fontId="1" type="noConversion"/>
  </si>
  <si>
    <t>IC卡家用皮膜表    (配丹东基表）</t>
  </si>
  <si>
    <t>CG-L-2.5-4B
（1.6、2.5、4.0）</t>
  </si>
  <si>
    <t>套</t>
  </si>
  <si>
    <t>带取压口皮膜表</t>
  </si>
  <si>
    <t>台</t>
  </si>
  <si>
    <t>表接头</t>
  </si>
  <si>
    <t>对</t>
  </si>
  <si>
    <t>检测费用</t>
    <phoneticPr fontId="1" type="noConversion"/>
  </si>
  <si>
    <t>元</t>
    <phoneticPr fontId="1" type="noConversion"/>
  </si>
  <si>
    <t>合计</t>
    <phoneticPr fontId="1" type="noConversion"/>
  </si>
  <si>
    <t>PC16-PMD-260</t>
    <phoneticPr fontId="1" type="noConversion"/>
  </si>
  <si>
    <t>奥沙</t>
    <phoneticPr fontId="1" type="noConversion"/>
  </si>
  <si>
    <t>单价合同</t>
    <phoneticPr fontId="1" type="noConversion"/>
  </si>
  <si>
    <t>4月申请支付</t>
  </si>
  <si>
    <t>PC16-PMD-163</t>
    <phoneticPr fontId="1" type="noConversion"/>
  </si>
  <si>
    <t>特奥</t>
    <phoneticPr fontId="1" type="noConversion"/>
  </si>
  <si>
    <t>PC16-PMD-094</t>
    <phoneticPr fontId="1" type="noConversion"/>
  </si>
  <si>
    <t>职安健</t>
    <phoneticPr fontId="1" type="noConversion"/>
  </si>
  <si>
    <t>PC15-PMD-1271</t>
    <phoneticPr fontId="1" type="noConversion"/>
  </si>
  <si>
    <t>华南特种气体</t>
    <phoneticPr fontId="1" type="noConversion"/>
  </si>
  <si>
    <t>PC16-PMD-009</t>
    <phoneticPr fontId="1" type="noConversion"/>
  </si>
  <si>
    <t>辉信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</si>
</sst>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0_);[Red]\(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1" xfId="0" applyFill="1" applyBorder="1">
      <alignment vertical="center"/>
    </xf>
    <xf numFmtId="4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9" fontId="0" fillId="0" borderId="0" xfId="0" applyNumberFormat="1">
      <alignment vertical="center"/>
    </xf>
    <xf numFmtId="9" fontId="0" fillId="0" borderId="1" xfId="0" applyNumberFormat="1" applyBorder="1">
      <alignment vertical="center"/>
    </xf>
    <xf numFmtId="9" fontId="0" fillId="2" borderId="1" xfId="0" applyNumberFormat="1" applyFill="1" applyBorder="1">
      <alignment vertical="center"/>
    </xf>
    <xf numFmtId="43" fontId="0" fillId="0" borderId="0" xfId="0" applyNumberFormat="1">
      <alignment vertical="center"/>
    </xf>
    <xf numFmtId="43" fontId="0" fillId="0" borderId="1" xfId="1" applyFont="1" applyBorder="1" applyAlignment="1">
      <alignment horizontal="center" vertical="center"/>
    </xf>
    <xf numFmtId="43" fontId="0" fillId="3" borderId="1" xfId="1" applyFont="1" applyFill="1" applyBorder="1">
      <alignment vertical="center"/>
    </xf>
    <xf numFmtId="43" fontId="0" fillId="0" borderId="1" xfId="1" applyFont="1" applyFill="1" applyBorder="1">
      <alignment vertical="center"/>
    </xf>
    <xf numFmtId="43" fontId="0" fillId="0" borderId="0" xfId="1" applyFo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43" fontId="0" fillId="0" borderId="0" xfId="1" applyFont="1" applyFill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3" fontId="0" fillId="0" borderId="1" xfId="0" applyNumberFormat="1" applyBorder="1">
      <alignment vertical="center"/>
    </xf>
    <xf numFmtId="43" fontId="0" fillId="3" borderId="1" xfId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7"/>
  <sheetViews>
    <sheetView tabSelected="1" topLeftCell="A31" zoomScale="85" zoomScaleNormal="85" workbookViewId="0">
      <selection activeCell="X49" sqref="X49"/>
    </sheetView>
  </sheetViews>
  <sheetFormatPr defaultRowHeight="21.75" customHeight="1"/>
  <cols>
    <col min="1" max="1" width="14.25" customWidth="1"/>
    <col min="2" max="2" width="13" bestFit="1" customWidth="1"/>
    <col min="3" max="3" width="16.125" style="22" bestFit="1" customWidth="1"/>
    <col min="4" max="4" width="17.25" bestFit="1" customWidth="1"/>
    <col min="5" max="5" width="18.375" hidden="1" customWidth="1"/>
    <col min="6" max="6" width="12.75" style="3" hidden="1" customWidth="1"/>
    <col min="7" max="8" width="12.125" hidden="1" customWidth="1"/>
    <col min="9" max="10" width="13.125" hidden="1" customWidth="1"/>
    <col min="11" max="11" width="13.875" style="19" hidden="1" customWidth="1"/>
    <col min="12" max="13" width="13.875" style="20" bestFit="1" customWidth="1"/>
    <col min="14" max="15" width="13.875" style="20" customWidth="1"/>
    <col min="16" max="16" width="14.625" style="17" customWidth="1"/>
    <col min="17" max="17" width="15.375" style="17" customWidth="1"/>
    <col min="18" max="18" width="10" style="10" customWidth="1"/>
    <col min="19" max="19" width="9.5" bestFit="1" customWidth="1"/>
    <col min="25" max="25" width="11.25" customWidth="1"/>
    <col min="26" max="26" width="13.625" bestFit="1" customWidth="1"/>
    <col min="27" max="27" width="8.125" customWidth="1"/>
  </cols>
  <sheetData>
    <row r="1" spans="1:19" ht="21.75" customHeight="1">
      <c r="A1" s="40" t="s">
        <v>0</v>
      </c>
      <c r="B1" s="40" t="s">
        <v>1</v>
      </c>
      <c r="C1" s="39" t="s">
        <v>2</v>
      </c>
      <c r="D1" s="40" t="s">
        <v>3</v>
      </c>
      <c r="E1" s="41" t="s">
        <v>4</v>
      </c>
      <c r="F1" s="42"/>
      <c r="G1" s="42"/>
      <c r="H1" s="42"/>
      <c r="I1" s="42"/>
      <c r="J1" s="42"/>
      <c r="K1" s="42"/>
      <c r="L1" s="23"/>
      <c r="M1" s="23"/>
      <c r="N1" s="23"/>
      <c r="O1" s="23"/>
      <c r="P1" s="24"/>
      <c r="Q1" s="39" t="s">
        <v>5</v>
      </c>
    </row>
    <row r="2" spans="1:19" ht="21.75" customHeight="1">
      <c r="A2" s="40"/>
      <c r="B2" s="40"/>
      <c r="C2" s="39"/>
      <c r="D2" s="40"/>
      <c r="E2" s="6" t="s">
        <v>6</v>
      </c>
      <c r="F2" s="7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18" t="s">
        <v>12</v>
      </c>
      <c r="L2" s="18" t="s">
        <v>142</v>
      </c>
      <c r="M2" s="18" t="s">
        <v>143</v>
      </c>
      <c r="N2" s="18" t="s">
        <v>145</v>
      </c>
      <c r="O2" s="32" t="s">
        <v>168</v>
      </c>
      <c r="P2" s="14" t="s">
        <v>13</v>
      </c>
      <c r="Q2" s="39"/>
    </row>
    <row r="3" spans="1:19" ht="21.75" customHeight="1">
      <c r="A3" s="1" t="s">
        <v>14</v>
      </c>
      <c r="B3" s="1" t="s">
        <v>15</v>
      </c>
      <c r="C3" s="14">
        <v>9185000</v>
      </c>
      <c r="D3" s="1" t="s">
        <v>16</v>
      </c>
      <c r="E3" s="1"/>
      <c r="F3" s="2">
        <v>1417888.41</v>
      </c>
      <c r="G3" s="1"/>
      <c r="H3" s="1"/>
      <c r="I3" s="1">
        <v>82779.3</v>
      </c>
      <c r="J3" s="1"/>
      <c r="K3" s="4">
        <f>78640.34+490836.31+654433.63</f>
        <v>1223910.28</v>
      </c>
      <c r="L3" s="15">
        <v>144864.07999999999</v>
      </c>
      <c r="M3" s="15"/>
      <c r="N3" s="15"/>
      <c r="O3" s="15">
        <v>181607.7</v>
      </c>
      <c r="P3" s="14">
        <f>SUM(E3:O3)</f>
        <v>3051049.7700000005</v>
      </c>
      <c r="Q3" s="14">
        <f>C3-P3</f>
        <v>6133950.2299999995</v>
      </c>
      <c r="R3" s="11">
        <f>Q3/C3</f>
        <v>0.6678225617855198</v>
      </c>
      <c r="S3" s="13">
        <f>P3/10000</f>
        <v>305.10497700000008</v>
      </c>
    </row>
    <row r="4" spans="1:19" ht="21.75" customHeight="1">
      <c r="A4" s="1" t="s">
        <v>80</v>
      </c>
      <c r="B4" s="1" t="s">
        <v>15</v>
      </c>
      <c r="C4" s="14">
        <v>100000</v>
      </c>
      <c r="D4" s="1"/>
      <c r="E4" s="1"/>
      <c r="F4" s="2"/>
      <c r="G4" s="1">
        <f>9468.66+1281.5</f>
        <v>10750.16</v>
      </c>
      <c r="H4" s="1"/>
      <c r="I4" s="4">
        <f>916.48+1803.05</f>
        <v>2719.5299999999997</v>
      </c>
      <c r="J4" s="1"/>
      <c r="K4" s="4">
        <f>1281.5+2414.95+9468.66+24709.84+1803.05+916.48</f>
        <v>40594.480000000003</v>
      </c>
      <c r="L4" s="16"/>
      <c r="M4" s="16"/>
      <c r="N4" s="16"/>
      <c r="O4" s="16"/>
      <c r="P4" s="14">
        <f t="shared" ref="P4:P69" si="0">SUM(E4:L4)</f>
        <v>54064.17</v>
      </c>
      <c r="Q4" s="14">
        <f t="shared" ref="Q4:Q69" si="1">C4-P4</f>
        <v>45935.83</v>
      </c>
      <c r="R4" s="11">
        <f t="shared" ref="R4:R48" si="2">Q4/C4</f>
        <v>0.4593583</v>
      </c>
      <c r="S4" s="13">
        <f t="shared" ref="S4:S67" si="3">P4/10000</f>
        <v>5.4064170000000003</v>
      </c>
    </row>
    <row r="5" spans="1:19" ht="21.75" customHeight="1">
      <c r="A5" s="1" t="s">
        <v>17</v>
      </c>
      <c r="B5" s="1" t="s">
        <v>18</v>
      </c>
      <c r="C5" s="14">
        <v>9185000</v>
      </c>
      <c r="D5" s="1" t="s">
        <v>19</v>
      </c>
      <c r="E5" s="1"/>
      <c r="F5" s="2">
        <v>584883.65</v>
      </c>
      <c r="G5" s="1">
        <v>246112.13</v>
      </c>
      <c r="H5" s="1"/>
      <c r="I5" s="1"/>
      <c r="J5" s="1"/>
      <c r="K5" s="4">
        <f>333681.52+733029.67+246112.13</f>
        <v>1312823.3199999998</v>
      </c>
      <c r="L5" s="15">
        <v>782020.72</v>
      </c>
      <c r="M5" s="15"/>
      <c r="N5" s="15"/>
      <c r="O5" s="15"/>
      <c r="P5" s="14">
        <f>SUM(E5:L5)</f>
        <v>2925839.8199999994</v>
      </c>
      <c r="Q5" s="14">
        <f t="shared" si="1"/>
        <v>6259160.1800000006</v>
      </c>
      <c r="R5" s="11">
        <f t="shared" si="2"/>
        <v>0.68145456505171487</v>
      </c>
      <c r="S5" s="13">
        <f>P5/10000</f>
        <v>292.58398199999993</v>
      </c>
    </row>
    <row r="6" spans="1:19" ht="21.75" customHeight="1">
      <c r="A6" s="1" t="s">
        <v>20</v>
      </c>
      <c r="B6" s="1" t="s">
        <v>21</v>
      </c>
      <c r="C6" s="14">
        <v>90000</v>
      </c>
      <c r="D6" s="1" t="s">
        <v>22</v>
      </c>
      <c r="E6" s="1"/>
      <c r="F6" s="2">
        <v>9720</v>
      </c>
      <c r="G6" s="1">
        <f>8100+4050+9720</f>
        <v>21870</v>
      </c>
      <c r="H6" s="1">
        <f>9720+4050+8100+4050</f>
        <v>25920</v>
      </c>
      <c r="I6" s="1">
        <v>4050</v>
      </c>
      <c r="J6" s="1">
        <f>4050+4050</f>
        <v>8100</v>
      </c>
      <c r="K6" s="4"/>
      <c r="L6" s="15">
        <v>8100</v>
      </c>
      <c r="M6" s="15"/>
      <c r="N6" s="15"/>
      <c r="O6" s="15"/>
      <c r="P6" s="14">
        <f t="shared" si="0"/>
        <v>77760</v>
      </c>
      <c r="Q6" s="14">
        <f t="shared" si="1"/>
        <v>12240</v>
      </c>
      <c r="R6" s="11">
        <f t="shared" si="2"/>
        <v>0.13600000000000001</v>
      </c>
      <c r="S6" s="13">
        <f t="shared" si="3"/>
        <v>7.7759999999999998</v>
      </c>
    </row>
    <row r="7" spans="1:19" ht="21.75" customHeight="1">
      <c r="A7" s="1" t="s">
        <v>23</v>
      </c>
      <c r="B7" s="1" t="s">
        <v>24</v>
      </c>
      <c r="C7" s="14">
        <v>21791.4</v>
      </c>
      <c r="D7" s="1" t="s">
        <v>25</v>
      </c>
      <c r="E7" s="1"/>
      <c r="F7" s="2">
        <v>21791.4</v>
      </c>
      <c r="G7" s="1"/>
      <c r="H7" s="1"/>
      <c r="I7" s="1"/>
      <c r="J7" s="1"/>
      <c r="K7" s="4"/>
      <c r="L7" s="16"/>
      <c r="M7" s="16"/>
      <c r="N7" s="16"/>
      <c r="O7" s="16"/>
      <c r="P7" s="14">
        <f t="shared" si="0"/>
        <v>21791.4</v>
      </c>
      <c r="Q7" s="14">
        <f t="shared" si="1"/>
        <v>0</v>
      </c>
      <c r="R7" s="11">
        <f t="shared" si="2"/>
        <v>0</v>
      </c>
      <c r="S7" s="13">
        <f t="shared" si="3"/>
        <v>2.1791400000000003</v>
      </c>
    </row>
    <row r="8" spans="1:19" ht="21.75" customHeight="1">
      <c r="A8" s="1" t="s">
        <v>26</v>
      </c>
      <c r="B8" s="4" t="s">
        <v>24</v>
      </c>
      <c r="C8" s="14">
        <v>150000</v>
      </c>
      <c r="D8" s="4" t="s">
        <v>22</v>
      </c>
      <c r="E8" s="1"/>
      <c r="F8" s="2">
        <v>10067</v>
      </c>
      <c r="G8" s="1">
        <v>4900</v>
      </c>
      <c r="H8" s="1">
        <f>4900+23752.88</f>
        <v>28652.880000000001</v>
      </c>
      <c r="I8" s="1">
        <v>18696.900000000001</v>
      </c>
      <c r="J8" s="1"/>
      <c r="K8" s="4">
        <f>22200.23+28804+14886</f>
        <v>65890.23</v>
      </c>
      <c r="L8" s="16"/>
      <c r="M8" s="16"/>
      <c r="N8" s="16"/>
      <c r="O8" s="16"/>
      <c r="P8" s="14">
        <f t="shared" si="0"/>
        <v>128207.01000000001</v>
      </c>
      <c r="Q8" s="14">
        <f t="shared" si="1"/>
        <v>21792.989999999991</v>
      </c>
      <c r="R8" s="11">
        <f t="shared" si="2"/>
        <v>0.14528659999999993</v>
      </c>
      <c r="S8" s="13">
        <f t="shared" si="3"/>
        <v>12.820701000000001</v>
      </c>
    </row>
    <row r="9" spans="1:19" ht="21.75" customHeight="1">
      <c r="A9" s="1" t="s">
        <v>27</v>
      </c>
      <c r="B9" s="4" t="s">
        <v>28</v>
      </c>
      <c r="C9" s="14">
        <v>12700</v>
      </c>
      <c r="D9" s="4" t="s">
        <v>25</v>
      </c>
      <c r="E9" s="1"/>
      <c r="F9" s="2"/>
      <c r="G9" s="1"/>
      <c r="H9" s="2">
        <v>12700</v>
      </c>
      <c r="I9" s="1"/>
      <c r="J9" s="1"/>
      <c r="K9" s="4"/>
      <c r="L9" s="16"/>
      <c r="M9" s="16"/>
      <c r="N9" s="16"/>
      <c r="O9" s="16"/>
      <c r="P9" s="14">
        <f t="shared" si="0"/>
        <v>12700</v>
      </c>
      <c r="Q9" s="14">
        <f t="shared" si="1"/>
        <v>0</v>
      </c>
      <c r="R9" s="11">
        <f t="shared" si="2"/>
        <v>0</v>
      </c>
      <c r="S9" s="13">
        <f t="shared" si="3"/>
        <v>1.27</v>
      </c>
    </row>
    <row r="10" spans="1:19" ht="21.75" customHeight="1">
      <c r="A10" s="1" t="s">
        <v>85</v>
      </c>
      <c r="B10" s="4" t="s">
        <v>28</v>
      </c>
      <c r="C10" s="14">
        <v>35800</v>
      </c>
      <c r="D10" s="4" t="s">
        <v>25</v>
      </c>
      <c r="E10" s="1"/>
      <c r="F10" s="2"/>
      <c r="G10" s="1"/>
      <c r="H10" s="2">
        <v>35800</v>
      </c>
      <c r="I10" s="1"/>
      <c r="J10" s="1"/>
      <c r="K10" s="4"/>
      <c r="L10" s="16"/>
      <c r="M10" s="16"/>
      <c r="N10" s="16"/>
      <c r="O10" s="16"/>
      <c r="P10" s="14">
        <f t="shared" si="0"/>
        <v>35800</v>
      </c>
      <c r="Q10" s="14">
        <f t="shared" si="1"/>
        <v>0</v>
      </c>
      <c r="R10" s="11">
        <f t="shared" si="2"/>
        <v>0</v>
      </c>
      <c r="S10" s="13">
        <f t="shared" si="3"/>
        <v>3.58</v>
      </c>
    </row>
    <row r="11" spans="1:19" ht="21.75" customHeight="1">
      <c r="A11" s="1" t="s">
        <v>83</v>
      </c>
      <c r="B11" s="4" t="s">
        <v>28</v>
      </c>
      <c r="C11" s="14">
        <v>36500</v>
      </c>
      <c r="D11" s="4" t="s">
        <v>25</v>
      </c>
      <c r="E11" s="1"/>
      <c r="F11" s="2"/>
      <c r="G11" s="2">
        <v>36500</v>
      </c>
      <c r="H11" s="1"/>
      <c r="I11" s="1"/>
      <c r="J11" s="1"/>
      <c r="K11" s="4"/>
      <c r="L11" s="16"/>
      <c r="M11" s="16"/>
      <c r="N11" s="16"/>
      <c r="O11" s="16"/>
      <c r="P11" s="14">
        <f t="shared" si="0"/>
        <v>36500</v>
      </c>
      <c r="Q11" s="14">
        <f t="shared" si="1"/>
        <v>0</v>
      </c>
      <c r="R11" s="11">
        <f t="shared" si="2"/>
        <v>0</v>
      </c>
      <c r="S11" s="13">
        <f t="shared" si="3"/>
        <v>3.65</v>
      </c>
    </row>
    <row r="12" spans="1:19" ht="21.75" customHeight="1">
      <c r="A12" s="1" t="s">
        <v>92</v>
      </c>
      <c r="B12" s="4" t="s">
        <v>28</v>
      </c>
      <c r="C12" s="14">
        <v>150000</v>
      </c>
      <c r="D12" s="4"/>
      <c r="E12" s="1"/>
      <c r="F12" s="2"/>
      <c r="G12" s="2"/>
      <c r="H12" s="1">
        <v>7000</v>
      </c>
      <c r="I12" s="1"/>
      <c r="J12" s="1"/>
      <c r="K12" s="4">
        <v>84640</v>
      </c>
      <c r="L12" s="16"/>
      <c r="M12" s="16"/>
      <c r="N12" s="16"/>
      <c r="O12" s="16"/>
      <c r="P12" s="14">
        <f t="shared" si="0"/>
        <v>91640</v>
      </c>
      <c r="Q12" s="14">
        <f t="shared" si="1"/>
        <v>58360</v>
      </c>
      <c r="R12" s="11">
        <f t="shared" ref="R12" si="4">Q12/C12</f>
        <v>0.38906666666666667</v>
      </c>
      <c r="S12" s="13">
        <f t="shared" si="3"/>
        <v>9.1639999999999997</v>
      </c>
    </row>
    <row r="13" spans="1:19" ht="21.75" customHeight="1">
      <c r="A13" s="1" t="s">
        <v>29</v>
      </c>
      <c r="B13" s="4" t="s">
        <v>30</v>
      </c>
      <c r="C13" s="14">
        <v>900000</v>
      </c>
      <c r="D13" s="4" t="s">
        <v>22</v>
      </c>
      <c r="E13" s="1"/>
      <c r="F13" s="2">
        <v>266037.5</v>
      </c>
      <c r="G13" s="1">
        <v>338433.2</v>
      </c>
      <c r="H13" s="1">
        <v>295529.3</v>
      </c>
      <c r="I13" s="1"/>
      <c r="J13" s="1"/>
      <c r="K13" s="4"/>
      <c r="L13" s="16"/>
      <c r="M13" s="16"/>
      <c r="N13" s="16"/>
      <c r="O13" s="16"/>
      <c r="P13" s="14">
        <f t="shared" si="0"/>
        <v>900000</v>
      </c>
      <c r="Q13" s="14">
        <f t="shared" si="1"/>
        <v>0</v>
      </c>
      <c r="R13" s="12">
        <f t="shared" si="2"/>
        <v>0</v>
      </c>
      <c r="S13" s="13">
        <f t="shared" si="3"/>
        <v>90</v>
      </c>
    </row>
    <row r="14" spans="1:19" ht="21.75" customHeight="1">
      <c r="A14" s="1" t="s">
        <v>88</v>
      </c>
      <c r="B14" s="4" t="s">
        <v>30</v>
      </c>
      <c r="C14" s="14">
        <v>450000</v>
      </c>
      <c r="D14" s="4" t="s">
        <v>89</v>
      </c>
      <c r="E14" s="1"/>
      <c r="F14" s="2"/>
      <c r="G14" s="1"/>
      <c r="H14" s="1">
        <v>229159.2</v>
      </c>
      <c r="I14" s="1">
        <v>220840.8</v>
      </c>
      <c r="J14" s="1"/>
      <c r="K14" s="4"/>
      <c r="L14" s="16"/>
      <c r="M14" s="16"/>
      <c r="N14" s="16"/>
      <c r="O14" s="16"/>
      <c r="P14" s="14">
        <f t="shared" si="0"/>
        <v>450000</v>
      </c>
      <c r="Q14" s="14">
        <f t="shared" si="1"/>
        <v>0</v>
      </c>
      <c r="R14" s="12">
        <f t="shared" si="2"/>
        <v>0</v>
      </c>
      <c r="S14" s="13">
        <f t="shared" si="3"/>
        <v>45</v>
      </c>
    </row>
    <row r="15" spans="1:19" ht="21.75" customHeight="1">
      <c r="A15" s="1" t="s">
        <v>93</v>
      </c>
      <c r="B15" s="4" t="s">
        <v>30</v>
      </c>
      <c r="C15" s="14">
        <v>450000</v>
      </c>
      <c r="D15" s="4" t="s">
        <v>104</v>
      </c>
      <c r="E15" s="1"/>
      <c r="F15" s="2"/>
      <c r="G15" s="1"/>
      <c r="H15" s="1"/>
      <c r="I15" s="1">
        <v>439181.2</v>
      </c>
      <c r="J15" s="1"/>
      <c r="K15" s="4"/>
      <c r="L15" s="16"/>
      <c r="M15" s="16"/>
      <c r="N15" s="16"/>
      <c r="O15" s="16"/>
      <c r="P15" s="14">
        <f t="shared" si="0"/>
        <v>439181.2</v>
      </c>
      <c r="Q15" s="14">
        <f t="shared" si="1"/>
        <v>10818.799999999988</v>
      </c>
      <c r="R15" s="12">
        <f>Q15/C15</f>
        <v>2.4041777777777752E-2</v>
      </c>
      <c r="S15" s="13">
        <f t="shared" si="3"/>
        <v>43.918120000000002</v>
      </c>
    </row>
    <row r="16" spans="1:19" ht="21.75" customHeight="1">
      <c r="A16" s="1" t="s">
        <v>102</v>
      </c>
      <c r="B16" s="4" t="s">
        <v>30</v>
      </c>
      <c r="C16" s="14">
        <v>900000</v>
      </c>
      <c r="D16" s="4" t="s">
        <v>103</v>
      </c>
      <c r="E16" s="1"/>
      <c r="F16" s="2"/>
      <c r="G16" s="1"/>
      <c r="H16" s="1"/>
      <c r="I16" s="1"/>
      <c r="J16" s="1">
        <v>572677.6</v>
      </c>
      <c r="K16" s="4"/>
      <c r="L16" s="16" t="s">
        <v>141</v>
      </c>
      <c r="M16" s="16"/>
      <c r="N16" s="16"/>
      <c r="O16" s="16"/>
      <c r="P16" s="14">
        <f t="shared" si="0"/>
        <v>572677.6</v>
      </c>
      <c r="Q16" s="14">
        <f t="shared" si="1"/>
        <v>327322.40000000002</v>
      </c>
      <c r="R16" s="12">
        <f>Q16/C16</f>
        <v>0.3636915555555556</v>
      </c>
      <c r="S16" s="13">
        <f t="shared" si="3"/>
        <v>57.267759999999996</v>
      </c>
    </row>
    <row r="17" spans="1:19" ht="21.75" customHeight="1">
      <c r="A17" s="1" t="s">
        <v>115</v>
      </c>
      <c r="B17" s="4" t="s">
        <v>30</v>
      </c>
      <c r="C17" s="14" t="s">
        <v>113</v>
      </c>
      <c r="D17" s="4" t="s">
        <v>114</v>
      </c>
      <c r="E17" s="1"/>
      <c r="F17" s="2"/>
      <c r="G17" s="1"/>
      <c r="H17" s="1"/>
      <c r="I17" s="1"/>
      <c r="J17" s="1"/>
      <c r="K17" s="5">
        <f>605276+351836.3</f>
        <v>957112.3</v>
      </c>
      <c r="L17" s="26">
        <v>699757.1</v>
      </c>
      <c r="M17" s="26"/>
      <c r="N17" s="26">
        <f>545662.8+839108.17</f>
        <v>1384770.9700000002</v>
      </c>
      <c r="O17" s="26"/>
      <c r="P17" s="14">
        <f t="shared" si="0"/>
        <v>1656869.4</v>
      </c>
      <c r="Q17" s="14"/>
      <c r="R17" s="12"/>
      <c r="S17" s="13">
        <f t="shared" si="3"/>
        <v>165.68693999999999</v>
      </c>
    </row>
    <row r="18" spans="1:19" ht="21.75" customHeight="1">
      <c r="A18" s="1" t="s">
        <v>31</v>
      </c>
      <c r="B18" s="4" t="s">
        <v>32</v>
      </c>
      <c r="C18" s="14">
        <v>800000</v>
      </c>
      <c r="D18" s="4" t="s">
        <v>22</v>
      </c>
      <c r="E18" s="1"/>
      <c r="F18" s="2">
        <v>120687</v>
      </c>
      <c r="G18" s="1"/>
      <c r="H18" s="1"/>
      <c r="I18" s="1"/>
      <c r="J18" s="1"/>
      <c r="K18" s="4"/>
      <c r="L18" s="16"/>
      <c r="M18" s="16"/>
      <c r="N18" s="16"/>
      <c r="O18" s="16"/>
      <c r="P18" s="14">
        <f t="shared" si="0"/>
        <v>120687</v>
      </c>
      <c r="Q18" s="14">
        <f t="shared" si="1"/>
        <v>679313</v>
      </c>
      <c r="R18" s="11">
        <f t="shared" si="2"/>
        <v>0.84914124999999996</v>
      </c>
      <c r="S18" s="13">
        <f t="shared" si="3"/>
        <v>12.0687</v>
      </c>
    </row>
    <row r="19" spans="1:19" ht="21.75" customHeight="1">
      <c r="A19" s="1" t="s">
        <v>33</v>
      </c>
      <c r="B19" s="4" t="s">
        <v>34</v>
      </c>
      <c r="C19" s="14">
        <v>905000</v>
      </c>
      <c r="D19" s="4" t="s">
        <v>22</v>
      </c>
      <c r="E19" s="1"/>
      <c r="F19" s="2">
        <v>98464</v>
      </c>
      <c r="G19" s="1"/>
      <c r="H19" s="1"/>
      <c r="I19" s="1"/>
      <c r="J19" s="1"/>
      <c r="K19" s="4"/>
      <c r="L19" s="15">
        <v>205616</v>
      </c>
      <c r="M19" s="15"/>
      <c r="N19" s="15"/>
      <c r="O19" s="15"/>
      <c r="P19" s="14">
        <f t="shared" si="0"/>
        <v>304080</v>
      </c>
      <c r="Q19" s="14">
        <f t="shared" si="1"/>
        <v>600920</v>
      </c>
      <c r="R19" s="11">
        <f t="shared" si="2"/>
        <v>0.66400000000000003</v>
      </c>
      <c r="S19" s="13">
        <f>P19/10000</f>
        <v>30.408000000000001</v>
      </c>
    </row>
    <row r="20" spans="1:19" ht="21.75" customHeight="1">
      <c r="A20" s="1" t="s">
        <v>146</v>
      </c>
      <c r="B20" s="4" t="s">
        <v>34</v>
      </c>
      <c r="C20" s="28" t="s">
        <v>113</v>
      </c>
      <c r="D20" s="4" t="s">
        <v>147</v>
      </c>
      <c r="E20" s="1"/>
      <c r="F20" s="2"/>
      <c r="G20" s="1"/>
      <c r="H20" s="1"/>
      <c r="I20" s="1"/>
      <c r="J20" s="1"/>
      <c r="K20" s="4"/>
      <c r="L20" s="15"/>
      <c r="M20" s="15"/>
      <c r="N20" s="15">
        <v>744190</v>
      </c>
      <c r="O20" s="15"/>
      <c r="P20" s="28">
        <f>SUM(L20:N20)</f>
        <v>744190</v>
      </c>
      <c r="Q20" s="28"/>
      <c r="R20" s="11"/>
      <c r="S20" s="13">
        <f>P20/10000</f>
        <v>74.418999999999997</v>
      </c>
    </row>
    <row r="21" spans="1:19" ht="21.75" customHeight="1">
      <c r="A21" s="1" t="s">
        <v>132</v>
      </c>
      <c r="B21" s="4" t="s">
        <v>34</v>
      </c>
      <c r="C21" s="14" t="s">
        <v>113</v>
      </c>
      <c r="D21" s="4"/>
      <c r="E21" s="1"/>
      <c r="F21" s="2"/>
      <c r="G21" s="1"/>
      <c r="H21" s="1"/>
      <c r="I21" s="1"/>
      <c r="J21" s="1"/>
      <c r="K21" s="4"/>
      <c r="L21" s="15">
        <v>33500</v>
      </c>
      <c r="M21" s="15"/>
      <c r="N21" s="15"/>
      <c r="O21" s="15"/>
      <c r="P21" s="14">
        <f t="shared" si="0"/>
        <v>33500</v>
      </c>
      <c r="Q21" s="14"/>
      <c r="R21" s="11"/>
      <c r="S21" s="13"/>
    </row>
    <row r="22" spans="1:19" ht="21.75" customHeight="1">
      <c r="A22" s="1" t="s">
        <v>35</v>
      </c>
      <c r="B22" s="4" t="s">
        <v>36</v>
      </c>
      <c r="C22" s="14">
        <v>832000</v>
      </c>
      <c r="D22" s="4" t="s">
        <v>22</v>
      </c>
      <c r="E22" s="1"/>
      <c r="F22" s="2">
        <v>56576</v>
      </c>
      <c r="G22" s="1">
        <v>118147</v>
      </c>
      <c r="H22" s="1"/>
      <c r="I22" s="1">
        <v>122304</v>
      </c>
      <c r="J22" s="1"/>
      <c r="K22" s="4"/>
      <c r="L22" s="16"/>
      <c r="M22" s="16"/>
      <c r="N22" s="16">
        <v>118147</v>
      </c>
      <c r="O22" s="16">
        <v>122304</v>
      </c>
      <c r="P22" s="14">
        <f t="shared" si="0"/>
        <v>297027</v>
      </c>
      <c r="Q22" s="14">
        <f t="shared" si="1"/>
        <v>534973</v>
      </c>
      <c r="R22" s="11">
        <f t="shared" si="2"/>
        <v>0.64299639423076926</v>
      </c>
      <c r="S22" s="13">
        <f t="shared" si="3"/>
        <v>29.7027</v>
      </c>
    </row>
    <row r="23" spans="1:19" ht="21.75" customHeight="1">
      <c r="A23" s="1" t="s">
        <v>37</v>
      </c>
      <c r="B23" s="4" t="s">
        <v>38</v>
      </c>
      <c r="C23" s="14">
        <v>700000</v>
      </c>
      <c r="D23" s="4" t="s">
        <v>22</v>
      </c>
      <c r="E23" s="1"/>
      <c r="F23" s="2">
        <v>63800</v>
      </c>
      <c r="G23" s="1">
        <v>55000</v>
      </c>
      <c r="H23" s="1">
        <f>55000+182600</f>
        <v>237600</v>
      </c>
      <c r="I23" s="1">
        <v>61600</v>
      </c>
      <c r="J23" s="1">
        <f>128700+111100</f>
        <v>239800</v>
      </c>
      <c r="K23" s="4"/>
      <c r="L23" s="16"/>
      <c r="M23" s="16"/>
      <c r="N23" s="16"/>
      <c r="O23" s="16"/>
      <c r="P23" s="14">
        <f t="shared" si="0"/>
        <v>657800</v>
      </c>
      <c r="Q23" s="14">
        <f t="shared" si="1"/>
        <v>42200</v>
      </c>
      <c r="R23" s="11">
        <f t="shared" si="2"/>
        <v>6.0285714285714283E-2</v>
      </c>
      <c r="S23" s="13">
        <f t="shared" si="3"/>
        <v>65.78</v>
      </c>
    </row>
    <row r="24" spans="1:19" ht="21.75" customHeight="1">
      <c r="A24" s="1" t="s">
        <v>139</v>
      </c>
      <c r="B24" s="4" t="s">
        <v>138</v>
      </c>
      <c r="C24" s="16" t="s">
        <v>113</v>
      </c>
      <c r="D24" s="4" t="s">
        <v>140</v>
      </c>
      <c r="E24" s="1"/>
      <c r="F24" s="2"/>
      <c r="G24" s="1"/>
      <c r="H24" s="1"/>
      <c r="I24" s="1"/>
      <c r="J24" s="1"/>
      <c r="K24" s="4"/>
      <c r="L24" s="15">
        <v>229900</v>
      </c>
      <c r="M24" s="15">
        <v>207900</v>
      </c>
      <c r="N24" s="15"/>
      <c r="O24" s="15"/>
      <c r="P24" s="14">
        <f>SUM(E24:M24)</f>
        <v>437800</v>
      </c>
      <c r="Q24" s="14"/>
      <c r="R24" s="11"/>
      <c r="S24" s="13"/>
    </row>
    <row r="25" spans="1:19" ht="21.75" customHeight="1">
      <c r="A25" s="1" t="s">
        <v>39</v>
      </c>
      <c r="B25" s="4" t="s">
        <v>40</v>
      </c>
      <c r="C25" s="14">
        <v>8700</v>
      </c>
      <c r="D25" s="4" t="s">
        <v>25</v>
      </c>
      <c r="E25" s="1"/>
      <c r="F25" s="2">
        <v>8460</v>
      </c>
      <c r="G25" s="1"/>
      <c r="H25" s="1"/>
      <c r="I25" s="1"/>
      <c r="J25" s="1"/>
      <c r="K25" s="4"/>
      <c r="L25" s="16"/>
      <c r="M25" s="16"/>
      <c r="N25" s="16"/>
      <c r="O25" s="16"/>
      <c r="P25" s="14">
        <f t="shared" si="0"/>
        <v>8460</v>
      </c>
      <c r="Q25" s="14">
        <f t="shared" si="1"/>
        <v>240</v>
      </c>
      <c r="R25" s="11">
        <f t="shared" si="2"/>
        <v>2.7586206896551724E-2</v>
      </c>
      <c r="S25" s="13">
        <f t="shared" si="3"/>
        <v>0.84599999999999997</v>
      </c>
    </row>
    <row r="26" spans="1:19" ht="21.75" customHeight="1">
      <c r="A26" s="1" t="s">
        <v>41</v>
      </c>
      <c r="B26" s="4" t="s">
        <v>42</v>
      </c>
      <c r="C26" s="14">
        <v>8268</v>
      </c>
      <c r="D26" s="4" t="s">
        <v>25</v>
      </c>
      <c r="E26" s="1"/>
      <c r="F26" s="2">
        <v>8268</v>
      </c>
      <c r="G26" s="1"/>
      <c r="H26" s="1"/>
      <c r="I26" s="1"/>
      <c r="J26" s="1"/>
      <c r="K26" s="4"/>
      <c r="L26" s="16"/>
      <c r="M26" s="16"/>
      <c r="N26" s="16"/>
      <c r="O26" s="16"/>
      <c r="P26" s="14">
        <f t="shared" si="0"/>
        <v>8268</v>
      </c>
      <c r="Q26" s="14">
        <f t="shared" si="1"/>
        <v>0</v>
      </c>
      <c r="R26" s="11">
        <f t="shared" si="2"/>
        <v>0</v>
      </c>
      <c r="S26" s="13">
        <f t="shared" si="3"/>
        <v>0.82679999999999998</v>
      </c>
    </row>
    <row r="27" spans="1:19" ht="21.75" customHeight="1">
      <c r="A27" s="1" t="s">
        <v>43</v>
      </c>
      <c r="B27" s="4" t="s">
        <v>44</v>
      </c>
      <c r="C27" s="14">
        <v>350000</v>
      </c>
      <c r="D27" s="4" t="s">
        <v>22</v>
      </c>
      <c r="E27" s="1"/>
      <c r="F27" s="2">
        <v>180877.4</v>
      </c>
      <c r="G27" s="1"/>
      <c r="H27" s="1"/>
      <c r="I27" s="1">
        <f>3055+8465</f>
        <v>11520</v>
      </c>
      <c r="J27" s="1"/>
      <c r="K27" s="4">
        <f>20222.5+8015.7+10231+73255.4+19638.9</f>
        <v>131363.5</v>
      </c>
      <c r="L27" s="15">
        <v>22199.599999999999</v>
      </c>
      <c r="M27" s="15"/>
      <c r="N27" s="15"/>
      <c r="O27" s="15"/>
      <c r="P27" s="14">
        <f t="shared" si="0"/>
        <v>345960.5</v>
      </c>
      <c r="Q27" s="14">
        <f t="shared" si="1"/>
        <v>4039.5</v>
      </c>
      <c r="R27" s="11">
        <f t="shared" si="2"/>
        <v>1.1541428571428572E-2</v>
      </c>
      <c r="S27" s="13">
        <f t="shared" si="3"/>
        <v>34.596049999999998</v>
      </c>
    </row>
    <row r="28" spans="1:19" ht="21.75" customHeight="1">
      <c r="A28" s="1" t="s">
        <v>45</v>
      </c>
      <c r="B28" s="4" t="s">
        <v>46</v>
      </c>
      <c r="C28" s="14">
        <v>900000</v>
      </c>
      <c r="D28" s="4" t="s">
        <v>22</v>
      </c>
      <c r="E28" s="1"/>
      <c r="F28" s="2">
        <v>185276</v>
      </c>
      <c r="G28" s="1"/>
      <c r="H28" s="1"/>
      <c r="I28" s="1"/>
      <c r="J28" s="1"/>
      <c r="K28" s="4">
        <v>57008</v>
      </c>
      <c r="L28" s="16"/>
      <c r="M28" s="16"/>
      <c r="N28" s="16"/>
      <c r="O28" s="16"/>
      <c r="P28" s="14">
        <f t="shared" si="0"/>
        <v>242284</v>
      </c>
      <c r="Q28" s="14">
        <f t="shared" si="1"/>
        <v>657716</v>
      </c>
      <c r="R28" s="11">
        <f t="shared" si="2"/>
        <v>0.73079555555555553</v>
      </c>
      <c r="S28" s="13">
        <f t="shared" si="3"/>
        <v>24.228400000000001</v>
      </c>
    </row>
    <row r="29" spans="1:19" ht="21.75" customHeight="1">
      <c r="A29" s="1" t="s">
        <v>47</v>
      </c>
      <c r="B29" s="4" t="s">
        <v>48</v>
      </c>
      <c r="C29" s="14">
        <v>150000</v>
      </c>
      <c r="D29" s="4" t="s">
        <v>22</v>
      </c>
      <c r="E29" s="1"/>
      <c r="F29" s="2">
        <v>41550</v>
      </c>
      <c r="G29" s="1">
        <v>19100</v>
      </c>
      <c r="H29" s="1"/>
      <c r="I29" s="1"/>
      <c r="J29" s="1">
        <v>83550</v>
      </c>
      <c r="K29" s="4"/>
      <c r="L29" s="16"/>
      <c r="M29" s="16"/>
      <c r="N29" s="16"/>
      <c r="O29" s="16"/>
      <c r="P29" s="14">
        <f t="shared" si="0"/>
        <v>144200</v>
      </c>
      <c r="Q29" s="14">
        <f t="shared" si="1"/>
        <v>5800</v>
      </c>
      <c r="R29" s="11">
        <f t="shared" si="2"/>
        <v>3.8666666666666669E-2</v>
      </c>
      <c r="S29" s="13">
        <f t="shared" si="3"/>
        <v>14.42</v>
      </c>
    </row>
    <row r="30" spans="1:19" ht="21.75" customHeight="1">
      <c r="A30" s="1" t="s">
        <v>49</v>
      </c>
      <c r="B30" s="4" t="s">
        <v>50</v>
      </c>
      <c r="C30" s="14">
        <v>600000</v>
      </c>
      <c r="D30" s="4" t="s">
        <v>22</v>
      </c>
      <c r="E30" s="1"/>
      <c r="F30" s="2">
        <v>90160</v>
      </c>
      <c r="G30" s="1"/>
      <c r="H30" s="1"/>
      <c r="I30" s="1"/>
      <c r="J30" s="1"/>
      <c r="K30" s="4"/>
      <c r="L30" s="15">
        <v>328366.40000000002</v>
      </c>
      <c r="M30" s="15"/>
      <c r="N30" s="15">
        <f>90160+57048.1</f>
        <v>147208.1</v>
      </c>
      <c r="O30" s="15"/>
      <c r="P30" s="14">
        <f t="shared" si="0"/>
        <v>418526.4</v>
      </c>
      <c r="Q30" s="14">
        <f t="shared" si="1"/>
        <v>181473.59999999998</v>
      </c>
      <c r="R30" s="11">
        <f t="shared" si="2"/>
        <v>0.30245599999999995</v>
      </c>
      <c r="S30" s="13">
        <f t="shared" si="3"/>
        <v>41.852640000000001</v>
      </c>
    </row>
    <row r="31" spans="1:19" ht="21.75" customHeight="1">
      <c r="A31" s="1" t="s">
        <v>51</v>
      </c>
      <c r="B31" s="4" t="s">
        <v>52</v>
      </c>
      <c r="C31" s="14">
        <v>150000</v>
      </c>
      <c r="D31" s="4" t="s">
        <v>22</v>
      </c>
      <c r="E31" s="1"/>
      <c r="F31" s="2">
        <v>26352</v>
      </c>
      <c r="G31" s="1"/>
      <c r="H31" s="1"/>
      <c r="I31" s="1"/>
      <c r="J31" s="1"/>
      <c r="K31" s="4"/>
      <c r="L31" s="16"/>
      <c r="M31" s="16"/>
      <c r="N31" s="16"/>
      <c r="O31" s="16"/>
      <c r="P31" s="14">
        <f t="shared" si="0"/>
        <v>26352</v>
      </c>
      <c r="Q31" s="14">
        <f t="shared" si="1"/>
        <v>123648</v>
      </c>
      <c r="R31" s="11">
        <f t="shared" si="2"/>
        <v>0.82432000000000005</v>
      </c>
      <c r="S31" s="13">
        <f t="shared" si="3"/>
        <v>2.6352000000000002</v>
      </c>
    </row>
    <row r="32" spans="1:19" ht="21.75" customHeight="1">
      <c r="A32" s="1" t="s">
        <v>53</v>
      </c>
      <c r="B32" s="4" t="s">
        <v>54</v>
      </c>
      <c r="C32" s="14">
        <v>500000</v>
      </c>
      <c r="D32" s="4" t="s">
        <v>22</v>
      </c>
      <c r="E32" s="1"/>
      <c r="F32" s="2">
        <v>50359.91</v>
      </c>
      <c r="G32" s="1"/>
      <c r="H32" s="1">
        <v>39611.949999999997</v>
      </c>
      <c r="I32" s="1">
        <f>26975.5+13260</f>
        <v>40235.5</v>
      </c>
      <c r="J32" s="1">
        <f>20160+10594.5</f>
        <v>30754.5</v>
      </c>
      <c r="K32" s="4">
        <v>19790</v>
      </c>
      <c r="L32" s="15">
        <v>28013.7</v>
      </c>
      <c r="M32" s="15"/>
      <c r="N32" s="15"/>
      <c r="O32" s="15"/>
      <c r="P32" s="14">
        <f t="shared" si="0"/>
        <v>208765.56</v>
      </c>
      <c r="Q32" s="14">
        <f t="shared" si="1"/>
        <v>291234.44</v>
      </c>
      <c r="R32" s="11">
        <f t="shared" si="2"/>
        <v>0.58246887999999997</v>
      </c>
      <c r="S32" s="13">
        <f t="shared" si="3"/>
        <v>20.876556000000001</v>
      </c>
    </row>
    <row r="33" spans="1:19" ht="21.75" customHeight="1">
      <c r="A33" s="1" t="s">
        <v>55</v>
      </c>
      <c r="B33" s="4" t="s">
        <v>56</v>
      </c>
      <c r="C33" s="14">
        <v>800000</v>
      </c>
      <c r="D33" s="1" t="s">
        <v>22</v>
      </c>
      <c r="E33" s="1"/>
      <c r="F33" s="2">
        <v>83091.850000000006</v>
      </c>
      <c r="G33" s="1">
        <v>2769.07</v>
      </c>
      <c r="H33" s="1"/>
      <c r="I33" s="1">
        <f>22560+20900</f>
        <v>43460</v>
      </c>
      <c r="J33" s="1"/>
      <c r="K33" s="4">
        <f>83091.85+2769.07+150400.89+9300</f>
        <v>245561.81000000003</v>
      </c>
      <c r="L33" s="15">
        <f>222848.65+20900</f>
        <v>243748.65</v>
      </c>
      <c r="M33" s="15"/>
      <c r="N33" s="15"/>
      <c r="O33" s="15"/>
      <c r="P33" s="14">
        <f t="shared" si="0"/>
        <v>618631.38</v>
      </c>
      <c r="Q33" s="14">
        <f t="shared" si="1"/>
        <v>181368.62</v>
      </c>
      <c r="R33" s="11">
        <f t="shared" si="2"/>
        <v>0.226710775</v>
      </c>
      <c r="S33" s="13">
        <f t="shared" si="3"/>
        <v>61.863137999999999</v>
      </c>
    </row>
    <row r="34" spans="1:19" ht="21.75" customHeight="1">
      <c r="A34" s="1" t="s">
        <v>57</v>
      </c>
      <c r="B34" s="4" t="s">
        <v>40</v>
      </c>
      <c r="C34" s="14">
        <v>100000</v>
      </c>
      <c r="D34" s="1" t="s">
        <v>22</v>
      </c>
      <c r="E34" s="1"/>
      <c r="F34" s="2">
        <v>1200</v>
      </c>
      <c r="G34" s="1"/>
      <c r="H34" s="1"/>
      <c r="I34" s="1">
        <v>10890</v>
      </c>
      <c r="J34" s="1"/>
      <c r="K34" s="4"/>
      <c r="L34" s="15">
        <v>13390</v>
      </c>
      <c r="M34" s="15"/>
      <c r="N34" s="15"/>
      <c r="O34" s="15"/>
      <c r="P34" s="14">
        <f t="shared" si="0"/>
        <v>25480</v>
      </c>
      <c r="Q34" s="14">
        <f t="shared" si="1"/>
        <v>74520</v>
      </c>
      <c r="R34" s="11">
        <f t="shared" si="2"/>
        <v>0.74519999999999997</v>
      </c>
      <c r="S34" s="13">
        <f t="shared" si="3"/>
        <v>2.548</v>
      </c>
    </row>
    <row r="35" spans="1:19" ht="21.75" customHeight="1">
      <c r="A35" s="1" t="s">
        <v>58</v>
      </c>
      <c r="B35" s="4" t="s">
        <v>59</v>
      </c>
      <c r="C35" s="14">
        <v>900000</v>
      </c>
      <c r="D35" s="1" t="s">
        <v>22</v>
      </c>
      <c r="E35" s="1"/>
      <c r="F35" s="2">
        <v>246229</v>
      </c>
      <c r="G35" s="1">
        <v>175325</v>
      </c>
      <c r="H35" s="1"/>
      <c r="I35" s="1"/>
      <c r="J35" s="1"/>
      <c r="K35" s="4"/>
      <c r="L35" s="15">
        <f>175325+54719</f>
        <v>230044</v>
      </c>
      <c r="M35" s="15"/>
      <c r="N35" s="15"/>
      <c r="O35" s="15"/>
      <c r="P35" s="14">
        <f t="shared" si="0"/>
        <v>651598</v>
      </c>
      <c r="Q35" s="14">
        <f t="shared" si="1"/>
        <v>248402</v>
      </c>
      <c r="R35" s="11">
        <f t="shared" si="2"/>
        <v>0.2760022222222222</v>
      </c>
      <c r="S35" s="13">
        <f t="shared" si="3"/>
        <v>65.159800000000004</v>
      </c>
    </row>
    <row r="36" spans="1:19" ht="21.75" customHeight="1">
      <c r="A36" s="1" t="s">
        <v>60</v>
      </c>
      <c r="B36" s="4" t="s">
        <v>61</v>
      </c>
      <c r="C36" s="14">
        <v>918000</v>
      </c>
      <c r="D36" s="1" t="s">
        <v>22</v>
      </c>
      <c r="E36" s="1"/>
      <c r="F36" s="2">
        <v>75276</v>
      </c>
      <c r="G36" s="1">
        <v>96698</v>
      </c>
      <c r="H36" s="1"/>
      <c r="I36" s="1"/>
      <c r="J36" s="1"/>
      <c r="K36" s="4"/>
      <c r="L36" s="16"/>
      <c r="M36" s="16">
        <f>181764+458422</f>
        <v>640186</v>
      </c>
      <c r="N36" s="16"/>
      <c r="O36" s="16">
        <v>96698</v>
      </c>
      <c r="P36" s="14">
        <f>SUM(E36:M36)</f>
        <v>812160</v>
      </c>
      <c r="Q36" s="14">
        <f t="shared" si="1"/>
        <v>105840</v>
      </c>
      <c r="R36" s="11">
        <f t="shared" si="2"/>
        <v>0.11529411764705882</v>
      </c>
      <c r="S36" s="13">
        <f t="shared" si="3"/>
        <v>81.215999999999994</v>
      </c>
    </row>
    <row r="37" spans="1:19" ht="21.75" customHeight="1">
      <c r="A37" s="1" t="s">
        <v>62</v>
      </c>
      <c r="B37" s="4" t="s">
        <v>63</v>
      </c>
      <c r="C37" s="14">
        <v>900000</v>
      </c>
      <c r="D37" s="1" t="s">
        <v>22</v>
      </c>
      <c r="E37" s="1"/>
      <c r="F37" s="2">
        <v>80410</v>
      </c>
      <c r="G37" s="1">
        <v>198.22</v>
      </c>
      <c r="H37" s="1">
        <v>5040</v>
      </c>
      <c r="I37" s="1">
        <v>36550</v>
      </c>
      <c r="J37" s="1">
        <f>36550+36550</f>
        <v>73100</v>
      </c>
      <c r="K37" s="4">
        <v>3074.4</v>
      </c>
      <c r="L37" s="15">
        <v>53340</v>
      </c>
      <c r="M37" s="15"/>
      <c r="N37" s="15"/>
      <c r="O37" s="15"/>
      <c r="P37" s="14">
        <f t="shared" si="0"/>
        <v>251712.62</v>
      </c>
      <c r="Q37" s="14">
        <f t="shared" si="1"/>
        <v>648287.38</v>
      </c>
      <c r="R37" s="11">
        <f t="shared" si="2"/>
        <v>0.72031931111111114</v>
      </c>
      <c r="S37" s="13">
        <f t="shared" si="3"/>
        <v>25.171261999999999</v>
      </c>
    </row>
    <row r="38" spans="1:19" ht="21.75" customHeight="1">
      <c r="A38" s="1" t="s">
        <v>64</v>
      </c>
      <c r="B38" s="4" t="s">
        <v>65</v>
      </c>
      <c r="C38" s="14">
        <v>112395</v>
      </c>
      <c r="D38" s="4" t="s">
        <v>66</v>
      </c>
      <c r="E38" s="1"/>
      <c r="F38" s="2">
        <v>24200</v>
      </c>
      <c r="G38" s="1"/>
      <c r="H38" s="1"/>
      <c r="I38" s="1"/>
      <c r="J38" s="1"/>
      <c r="K38" s="4"/>
      <c r="L38" s="16"/>
      <c r="M38" s="16"/>
      <c r="N38" s="16"/>
      <c r="O38" s="16"/>
      <c r="P38" s="14">
        <f t="shared" si="0"/>
        <v>24200</v>
      </c>
      <c r="Q38" s="14">
        <f t="shared" si="1"/>
        <v>88195</v>
      </c>
      <c r="R38" s="11">
        <f t="shared" si="2"/>
        <v>0.78468793095778278</v>
      </c>
      <c r="S38" s="13">
        <f t="shared" si="3"/>
        <v>2.42</v>
      </c>
    </row>
    <row r="39" spans="1:19" ht="21.75" customHeight="1">
      <c r="A39" s="1" t="s">
        <v>87</v>
      </c>
      <c r="B39" s="4" t="s">
        <v>67</v>
      </c>
      <c r="C39" s="14">
        <v>600000</v>
      </c>
      <c r="D39" s="1"/>
      <c r="E39" s="1"/>
      <c r="F39" s="2"/>
      <c r="H39" s="1"/>
      <c r="I39" s="1">
        <v>27175</v>
      </c>
      <c r="J39" s="1">
        <v>100245</v>
      </c>
      <c r="K39" s="4"/>
      <c r="L39" s="16"/>
      <c r="M39" s="16"/>
      <c r="N39" s="16"/>
      <c r="O39" s="16"/>
      <c r="P39" s="14">
        <f t="shared" si="0"/>
        <v>127420</v>
      </c>
      <c r="Q39" s="14">
        <f t="shared" si="1"/>
        <v>472580</v>
      </c>
      <c r="R39" s="11">
        <f t="shared" si="2"/>
        <v>0.7876333333333333</v>
      </c>
      <c r="S39" s="13">
        <f t="shared" si="3"/>
        <v>12.742000000000001</v>
      </c>
    </row>
    <row r="40" spans="1:19" ht="21.75" customHeight="1">
      <c r="A40" s="1" t="s">
        <v>86</v>
      </c>
      <c r="B40" s="4" t="s">
        <v>68</v>
      </c>
      <c r="C40" s="14">
        <v>200000</v>
      </c>
      <c r="D40" s="1"/>
      <c r="E40" s="1"/>
      <c r="F40" s="2"/>
      <c r="G40" s="1"/>
      <c r="H40" s="1"/>
      <c r="I40" s="1"/>
      <c r="J40" s="1"/>
      <c r="K40" s="4">
        <f>96166.63</f>
        <v>96166.63</v>
      </c>
      <c r="L40" s="15">
        <v>101498.21</v>
      </c>
      <c r="M40" s="15"/>
      <c r="N40" s="15"/>
      <c r="O40" s="15"/>
      <c r="P40" s="14">
        <f t="shared" si="0"/>
        <v>197664.84000000003</v>
      </c>
      <c r="Q40" s="14">
        <f t="shared" si="1"/>
        <v>2335.1599999999744</v>
      </c>
      <c r="R40" s="11">
        <f t="shared" si="2"/>
        <v>1.1675799999999872E-2</v>
      </c>
      <c r="S40" s="13">
        <f t="shared" si="3"/>
        <v>19.766484000000002</v>
      </c>
    </row>
    <row r="41" spans="1:19" ht="21.75" customHeight="1">
      <c r="A41" s="1" t="s">
        <v>84</v>
      </c>
      <c r="B41" s="4" t="s">
        <v>69</v>
      </c>
      <c r="C41" s="14">
        <v>6300</v>
      </c>
      <c r="D41" s="1"/>
      <c r="E41" s="1"/>
      <c r="F41" s="2"/>
      <c r="G41" s="1">
        <v>6300</v>
      </c>
      <c r="H41" s="1"/>
      <c r="I41" s="1"/>
      <c r="J41" s="1"/>
      <c r="K41" s="4"/>
      <c r="L41" s="16"/>
      <c r="M41" s="16"/>
      <c r="N41" s="16"/>
      <c r="O41" s="16"/>
      <c r="P41" s="14">
        <f t="shared" si="0"/>
        <v>6300</v>
      </c>
      <c r="Q41" s="14">
        <f t="shared" si="1"/>
        <v>0</v>
      </c>
      <c r="R41" s="11">
        <f t="shared" si="2"/>
        <v>0</v>
      </c>
      <c r="S41" s="13">
        <f t="shared" si="3"/>
        <v>0.63</v>
      </c>
    </row>
    <row r="42" spans="1:19" ht="21.75" customHeight="1">
      <c r="A42" s="1" t="s">
        <v>116</v>
      </c>
      <c r="B42" s="4" t="s">
        <v>69</v>
      </c>
      <c r="C42" s="14">
        <v>3000</v>
      </c>
      <c r="D42" s="1"/>
      <c r="E42" s="1"/>
      <c r="F42" s="2"/>
      <c r="G42" s="1"/>
      <c r="H42" s="1"/>
      <c r="I42" s="1"/>
      <c r="J42" s="1"/>
      <c r="K42" s="4">
        <v>3000</v>
      </c>
      <c r="L42" s="16"/>
      <c r="M42" s="16"/>
      <c r="N42" s="16"/>
      <c r="O42" s="16"/>
      <c r="P42" s="14">
        <f t="shared" si="0"/>
        <v>3000</v>
      </c>
      <c r="Q42" s="14">
        <f t="shared" si="1"/>
        <v>0</v>
      </c>
      <c r="R42" s="11">
        <f>Q42/C42</f>
        <v>0</v>
      </c>
      <c r="S42" s="13">
        <f t="shared" si="3"/>
        <v>0.3</v>
      </c>
    </row>
    <row r="43" spans="1:19" ht="21.75" customHeight="1">
      <c r="A43" s="8" t="s">
        <v>82</v>
      </c>
      <c r="B43" s="8" t="s">
        <v>70</v>
      </c>
      <c r="C43" s="21">
        <v>190000</v>
      </c>
      <c r="D43" s="8"/>
      <c r="E43" s="8"/>
      <c r="F43" s="9"/>
      <c r="G43" s="8">
        <f>184950+4500</f>
        <v>189450</v>
      </c>
      <c r="H43" s="8"/>
      <c r="I43" s="8"/>
      <c r="J43" s="8"/>
      <c r="K43" s="4"/>
      <c r="L43" s="16"/>
      <c r="M43" s="16"/>
      <c r="N43" s="16">
        <v>132700</v>
      </c>
      <c r="O43" s="16"/>
      <c r="P43" s="14">
        <f>SUM(E43:L43)</f>
        <v>189450</v>
      </c>
      <c r="Q43" s="14">
        <f t="shared" si="1"/>
        <v>550</v>
      </c>
      <c r="R43" s="12">
        <f t="shared" si="2"/>
        <v>2.8947368421052633E-3</v>
      </c>
      <c r="S43" s="13">
        <f t="shared" si="3"/>
        <v>18.945</v>
      </c>
    </row>
    <row r="44" spans="1:19" ht="21.75" customHeight="1">
      <c r="A44" s="1" t="s">
        <v>81</v>
      </c>
      <c r="B44" s="4" t="s">
        <v>71</v>
      </c>
      <c r="C44" s="14">
        <v>14300</v>
      </c>
      <c r="D44" s="1"/>
      <c r="E44" s="1"/>
      <c r="F44" s="2"/>
      <c r="G44" s="1">
        <v>4290</v>
      </c>
      <c r="H44" s="1">
        <v>10010</v>
      </c>
      <c r="I44" s="1"/>
      <c r="J44" s="1"/>
      <c r="K44" s="4"/>
      <c r="L44" s="16"/>
      <c r="M44" s="16"/>
      <c r="N44" s="16"/>
      <c r="O44" s="16"/>
      <c r="P44" s="14">
        <f t="shared" si="0"/>
        <v>14300</v>
      </c>
      <c r="Q44" s="14">
        <f t="shared" si="1"/>
        <v>0</v>
      </c>
      <c r="R44" s="11">
        <f t="shared" si="2"/>
        <v>0</v>
      </c>
      <c r="S44" s="13">
        <f t="shared" si="3"/>
        <v>1.43</v>
      </c>
    </row>
    <row r="45" spans="1:19" ht="21.75" customHeight="1">
      <c r="A45" s="1" t="s">
        <v>79</v>
      </c>
      <c r="B45" s="4" t="s">
        <v>72</v>
      </c>
      <c r="C45" s="14">
        <v>7772.8</v>
      </c>
      <c r="D45" s="1"/>
      <c r="E45" s="1"/>
      <c r="F45" s="2"/>
      <c r="G45" s="1"/>
      <c r="H45" s="1"/>
      <c r="I45" s="1"/>
      <c r="J45" s="1"/>
      <c r="K45" s="4"/>
      <c r="L45" s="15">
        <v>7772.8</v>
      </c>
      <c r="M45" s="15"/>
      <c r="N45" s="15"/>
      <c r="O45" s="15"/>
      <c r="P45" s="14">
        <f t="shared" si="0"/>
        <v>7772.8</v>
      </c>
      <c r="Q45" s="14">
        <f t="shared" si="1"/>
        <v>0</v>
      </c>
      <c r="R45" s="11">
        <f t="shared" si="2"/>
        <v>0</v>
      </c>
      <c r="S45" s="13">
        <f t="shared" si="3"/>
        <v>0.77727999999999997</v>
      </c>
    </row>
    <row r="46" spans="1:19" ht="21.75" customHeight="1">
      <c r="A46" s="1" t="s">
        <v>78</v>
      </c>
      <c r="B46" s="4" t="s">
        <v>73</v>
      </c>
      <c r="C46" s="14">
        <v>6357</v>
      </c>
      <c r="D46" s="1"/>
      <c r="E46" s="1"/>
      <c r="F46" s="2"/>
      <c r="G46" s="1">
        <v>6357</v>
      </c>
      <c r="H46" s="1"/>
      <c r="I46" s="1"/>
      <c r="J46" s="1"/>
      <c r="K46" s="4"/>
      <c r="L46" s="16"/>
      <c r="M46" s="16"/>
      <c r="N46" s="16"/>
      <c r="O46" s="16"/>
      <c r="P46" s="14">
        <f t="shared" si="0"/>
        <v>6357</v>
      </c>
      <c r="Q46" s="14">
        <f t="shared" si="1"/>
        <v>0</v>
      </c>
      <c r="R46" s="11">
        <f t="shared" si="2"/>
        <v>0</v>
      </c>
      <c r="S46" s="13">
        <f t="shared" si="3"/>
        <v>0.63570000000000004</v>
      </c>
    </row>
    <row r="47" spans="1:19" ht="21.75" customHeight="1">
      <c r="A47" s="1" t="s">
        <v>77</v>
      </c>
      <c r="B47" s="4" t="s">
        <v>74</v>
      </c>
      <c r="C47" s="14">
        <v>350000</v>
      </c>
      <c r="D47" s="1"/>
      <c r="E47" s="1"/>
      <c r="F47" s="2"/>
      <c r="G47" s="1">
        <v>21650</v>
      </c>
      <c r="H47" s="1">
        <v>23150</v>
      </c>
      <c r="I47" s="1"/>
      <c r="J47" s="1">
        <f>15650+16000</f>
        <v>31650</v>
      </c>
      <c r="K47" s="4">
        <v>12800</v>
      </c>
      <c r="L47" s="16"/>
      <c r="M47" s="16"/>
      <c r="N47" s="16"/>
      <c r="O47" s="16"/>
      <c r="P47" s="14">
        <f t="shared" si="0"/>
        <v>89250</v>
      </c>
      <c r="Q47" s="14">
        <f t="shared" si="1"/>
        <v>260750</v>
      </c>
      <c r="R47" s="11">
        <f t="shared" si="2"/>
        <v>0.745</v>
      </c>
      <c r="S47" s="13">
        <f t="shared" si="3"/>
        <v>8.9250000000000007</v>
      </c>
    </row>
    <row r="48" spans="1:19" ht="21.75" customHeight="1">
      <c r="A48" s="1" t="s">
        <v>76</v>
      </c>
      <c r="B48" s="4" t="s">
        <v>75</v>
      </c>
      <c r="C48" s="14">
        <v>180000</v>
      </c>
      <c r="D48" s="1"/>
      <c r="E48" s="1"/>
      <c r="F48" s="2"/>
      <c r="G48" s="1">
        <f>1217.06+20114.9+46629.08</f>
        <v>67961.040000000008</v>
      </c>
      <c r="H48" s="1"/>
      <c r="I48" s="1"/>
      <c r="J48" s="1"/>
      <c r="K48" s="4">
        <f>46629.08+20114.09+1217.06+15518.11</f>
        <v>83478.34</v>
      </c>
      <c r="L48" s="16"/>
      <c r="M48" s="16"/>
      <c r="N48" s="16"/>
      <c r="O48" s="16"/>
      <c r="P48" s="14">
        <f t="shared" si="0"/>
        <v>151439.38</v>
      </c>
      <c r="Q48" s="14">
        <f t="shared" si="1"/>
        <v>28560.619999999995</v>
      </c>
      <c r="R48" s="11">
        <f t="shared" si="2"/>
        <v>0.1586701111111111</v>
      </c>
      <c r="S48" s="13">
        <f t="shared" si="3"/>
        <v>15.143938</v>
      </c>
    </row>
    <row r="49" spans="1:19" ht="21.75" customHeight="1">
      <c r="A49" s="1" t="s">
        <v>91</v>
      </c>
      <c r="B49" s="4" t="s">
        <v>90</v>
      </c>
      <c r="C49" s="14">
        <v>100000</v>
      </c>
      <c r="D49" s="1"/>
      <c r="E49" s="1"/>
      <c r="F49" s="2"/>
      <c r="G49" s="1"/>
      <c r="H49" s="1">
        <v>2885.16</v>
      </c>
      <c r="I49" s="1"/>
      <c r="J49" s="1"/>
      <c r="K49" s="4">
        <f>2911.15</f>
        <v>2911.15</v>
      </c>
      <c r="L49" s="15">
        <v>2911.19</v>
      </c>
      <c r="M49" s="15"/>
      <c r="N49" s="15"/>
      <c r="O49" s="15"/>
      <c r="P49" s="14">
        <f t="shared" si="0"/>
        <v>8707.5</v>
      </c>
      <c r="Q49" s="14">
        <f t="shared" si="1"/>
        <v>91292.5</v>
      </c>
      <c r="R49" s="11">
        <f t="shared" ref="R49:R61" si="5">Q49/C49</f>
        <v>0.91292499999999999</v>
      </c>
      <c r="S49" s="13">
        <f t="shared" si="3"/>
        <v>0.87075000000000002</v>
      </c>
    </row>
    <row r="50" spans="1:19" ht="21.75" customHeight="1">
      <c r="A50" s="4" t="s">
        <v>94</v>
      </c>
      <c r="B50" s="4" t="s">
        <v>95</v>
      </c>
      <c r="C50" s="14">
        <v>21000</v>
      </c>
      <c r="D50" s="4" t="s">
        <v>25</v>
      </c>
      <c r="E50" s="1"/>
      <c r="F50" s="2"/>
      <c r="G50" s="1"/>
      <c r="H50" s="1"/>
      <c r="I50" s="1">
        <v>21000</v>
      </c>
      <c r="J50" s="1"/>
      <c r="K50" s="4"/>
      <c r="L50" s="16"/>
      <c r="M50" s="16"/>
      <c r="N50" s="16"/>
      <c r="O50" s="16"/>
      <c r="P50" s="14">
        <f t="shared" si="0"/>
        <v>21000</v>
      </c>
      <c r="Q50" s="14">
        <f t="shared" si="1"/>
        <v>0</v>
      </c>
      <c r="R50" s="11">
        <f t="shared" si="5"/>
        <v>0</v>
      </c>
      <c r="S50" s="13">
        <f t="shared" si="3"/>
        <v>2.1</v>
      </c>
    </row>
    <row r="51" spans="1:19" ht="21.75" customHeight="1">
      <c r="A51" s="4" t="s">
        <v>134</v>
      </c>
      <c r="B51" s="4" t="s">
        <v>95</v>
      </c>
      <c r="C51" s="14">
        <v>33150</v>
      </c>
      <c r="D51" s="4" t="s">
        <v>25</v>
      </c>
      <c r="E51" s="1"/>
      <c r="F51" s="2"/>
      <c r="G51" s="1"/>
      <c r="H51" s="1"/>
      <c r="I51" s="1"/>
      <c r="J51" s="1"/>
      <c r="K51" s="4"/>
      <c r="L51" s="15">
        <v>33150</v>
      </c>
      <c r="M51" s="15"/>
      <c r="N51" s="15"/>
      <c r="O51" s="15"/>
      <c r="P51" s="14">
        <f t="shared" si="0"/>
        <v>33150</v>
      </c>
      <c r="Q51" s="27">
        <f t="shared" ref="Q51:Q52" si="6">C51-P51</f>
        <v>0</v>
      </c>
      <c r="R51" s="11">
        <f t="shared" ref="R51:R52" si="7">Q51/C51</f>
        <v>0</v>
      </c>
      <c r="S51" s="13"/>
    </row>
    <row r="52" spans="1:19" ht="21.75" customHeight="1">
      <c r="A52" s="4" t="s">
        <v>144</v>
      </c>
      <c r="B52" s="4" t="s">
        <v>97</v>
      </c>
      <c r="C52" s="27">
        <v>324754.46000000002</v>
      </c>
      <c r="D52" s="4"/>
      <c r="E52" s="1"/>
      <c r="F52" s="2"/>
      <c r="G52" s="1"/>
      <c r="H52" s="1"/>
      <c r="I52" s="1"/>
      <c r="J52" s="1"/>
      <c r="K52" s="4"/>
      <c r="L52" s="15"/>
      <c r="M52" s="15">
        <v>162377.23000000001</v>
      </c>
      <c r="N52" s="15"/>
      <c r="O52" s="15"/>
      <c r="P52" s="27">
        <f>SUM(E52:M52)</f>
        <v>162377.23000000001</v>
      </c>
      <c r="Q52" s="27">
        <f t="shared" si="6"/>
        <v>162377.23000000001</v>
      </c>
      <c r="R52" s="11">
        <f t="shared" si="7"/>
        <v>0.5</v>
      </c>
      <c r="S52" s="13"/>
    </row>
    <row r="53" spans="1:19" ht="21.75" customHeight="1">
      <c r="A53" s="4" t="s">
        <v>96</v>
      </c>
      <c r="B53" s="4" t="s">
        <v>97</v>
      </c>
      <c r="C53" s="14">
        <v>50000</v>
      </c>
      <c r="D53" s="1" t="s">
        <v>98</v>
      </c>
      <c r="E53" s="1"/>
      <c r="F53" s="2"/>
      <c r="G53" s="1"/>
      <c r="H53" s="1"/>
      <c r="I53" s="1">
        <v>23750</v>
      </c>
      <c r="J53" s="1"/>
      <c r="K53" s="4"/>
      <c r="L53" s="16"/>
      <c r="M53" s="16"/>
      <c r="N53" s="16"/>
      <c r="O53" s="16"/>
      <c r="P53" s="14">
        <f t="shared" si="0"/>
        <v>23750</v>
      </c>
      <c r="Q53" s="14">
        <f t="shared" si="1"/>
        <v>26250</v>
      </c>
      <c r="R53" s="11">
        <f t="shared" si="5"/>
        <v>0.52500000000000002</v>
      </c>
      <c r="S53" s="13">
        <f t="shared" si="3"/>
        <v>2.375</v>
      </c>
    </row>
    <row r="54" spans="1:19" ht="21.75" customHeight="1">
      <c r="A54" s="4" t="s">
        <v>99</v>
      </c>
      <c r="B54" s="4" t="s">
        <v>97</v>
      </c>
      <c r="C54" s="14">
        <v>187000</v>
      </c>
      <c r="D54" s="1"/>
      <c r="E54" s="1"/>
      <c r="F54" s="2"/>
      <c r="G54" s="1"/>
      <c r="H54" s="1"/>
      <c r="I54" s="1">
        <v>26180</v>
      </c>
      <c r="J54" s="1">
        <v>24310</v>
      </c>
      <c r="K54" s="4">
        <v>15708</v>
      </c>
      <c r="L54" s="16"/>
      <c r="M54" s="16"/>
      <c r="N54" s="16"/>
      <c r="O54" s="16">
        <v>39270</v>
      </c>
      <c r="P54" s="14">
        <f t="shared" si="0"/>
        <v>66198</v>
      </c>
      <c r="Q54" s="14">
        <f t="shared" si="1"/>
        <v>120802</v>
      </c>
      <c r="R54" s="11">
        <f t="shared" si="5"/>
        <v>0.64600000000000002</v>
      </c>
      <c r="S54" s="13">
        <f t="shared" si="3"/>
        <v>6.6197999999999997</v>
      </c>
    </row>
    <row r="55" spans="1:19" ht="21.75" customHeight="1">
      <c r="A55" s="4" t="s">
        <v>133</v>
      </c>
      <c r="B55" s="4" t="s">
        <v>97</v>
      </c>
      <c r="C55" s="14">
        <v>151000</v>
      </c>
      <c r="D55" s="4" t="s">
        <v>25</v>
      </c>
      <c r="E55" s="1"/>
      <c r="F55" s="2"/>
      <c r="G55" s="1"/>
      <c r="H55" s="1"/>
      <c r="I55" s="1"/>
      <c r="J55" s="1"/>
      <c r="K55" s="4"/>
      <c r="L55" s="15">
        <v>151000</v>
      </c>
      <c r="M55" s="15"/>
      <c r="N55" s="15"/>
      <c r="O55" s="15"/>
      <c r="P55" s="14">
        <f t="shared" si="0"/>
        <v>151000</v>
      </c>
      <c r="Q55" s="14">
        <f t="shared" si="1"/>
        <v>0</v>
      </c>
      <c r="R55" s="11"/>
      <c r="S55" s="13"/>
    </row>
    <row r="56" spans="1:19" ht="21.75" customHeight="1">
      <c r="A56" s="4" t="s">
        <v>100</v>
      </c>
      <c r="B56" s="4" t="s">
        <v>101</v>
      </c>
      <c r="C56" s="14">
        <v>6400</v>
      </c>
      <c r="D56" s="4" t="s">
        <v>25</v>
      </c>
      <c r="E56" s="1"/>
      <c r="F56" s="2"/>
      <c r="G56" s="1"/>
      <c r="H56" s="1"/>
      <c r="I56" s="1">
        <v>6400</v>
      </c>
      <c r="J56" s="1"/>
      <c r="K56" s="4"/>
      <c r="L56" s="16"/>
      <c r="M56" s="16"/>
      <c r="N56" s="16"/>
      <c r="O56" s="16"/>
      <c r="P56" s="14">
        <f t="shared" si="0"/>
        <v>6400</v>
      </c>
      <c r="Q56" s="14">
        <f t="shared" si="1"/>
        <v>0</v>
      </c>
      <c r="R56" s="11">
        <f t="shared" si="5"/>
        <v>0</v>
      </c>
      <c r="S56" s="13">
        <f t="shared" si="3"/>
        <v>0.64</v>
      </c>
    </row>
    <row r="57" spans="1:19" ht="21.75" customHeight="1">
      <c r="A57" s="4" t="s">
        <v>110</v>
      </c>
      <c r="B57" s="4" t="s">
        <v>105</v>
      </c>
      <c r="C57" s="14">
        <v>150000</v>
      </c>
      <c r="D57" s="1"/>
      <c r="E57" s="1"/>
      <c r="F57" s="2"/>
      <c r="G57" s="1"/>
      <c r="H57" s="1"/>
      <c r="I57" s="1"/>
      <c r="J57" s="1">
        <f>7000+12336</f>
        <v>19336</v>
      </c>
      <c r="K57" s="4">
        <v>30794</v>
      </c>
      <c r="L57" s="16"/>
      <c r="M57" s="16"/>
      <c r="N57" s="16"/>
      <c r="O57" s="16"/>
      <c r="P57" s="14">
        <f t="shared" si="0"/>
        <v>50130</v>
      </c>
      <c r="Q57" s="14">
        <f t="shared" si="1"/>
        <v>99870</v>
      </c>
      <c r="R57" s="11">
        <f t="shared" si="5"/>
        <v>0.66579999999999995</v>
      </c>
      <c r="S57" s="13">
        <f t="shared" si="3"/>
        <v>5.0129999999999999</v>
      </c>
    </row>
    <row r="58" spans="1:19" ht="21.75" customHeight="1">
      <c r="A58" s="1" t="s">
        <v>107</v>
      </c>
      <c r="B58" s="4" t="s">
        <v>106</v>
      </c>
      <c r="C58" s="14">
        <v>23920</v>
      </c>
      <c r="D58" s="4" t="s">
        <v>25</v>
      </c>
      <c r="E58" s="1"/>
      <c r="F58" s="2"/>
      <c r="G58" s="1"/>
      <c r="H58" s="1"/>
      <c r="I58" s="1"/>
      <c r="J58" s="1">
        <v>23920</v>
      </c>
      <c r="K58" s="4"/>
      <c r="L58" s="16"/>
      <c r="M58" s="16"/>
      <c r="N58" s="16"/>
      <c r="O58" s="16"/>
      <c r="P58" s="14">
        <f t="shared" si="0"/>
        <v>23920</v>
      </c>
      <c r="Q58" s="14">
        <f t="shared" si="1"/>
        <v>0</v>
      </c>
      <c r="R58" s="11">
        <f t="shared" si="5"/>
        <v>0</v>
      </c>
      <c r="S58" s="13">
        <f t="shared" si="3"/>
        <v>2.3919999999999999</v>
      </c>
    </row>
    <row r="59" spans="1:19" ht="21.75" customHeight="1">
      <c r="A59" s="4" t="s">
        <v>109</v>
      </c>
      <c r="B59" s="4" t="s">
        <v>108</v>
      </c>
      <c r="C59" s="14">
        <v>1100</v>
      </c>
      <c r="D59" s="4" t="s">
        <v>25</v>
      </c>
      <c r="E59" s="1"/>
      <c r="F59" s="2"/>
      <c r="G59" s="1"/>
      <c r="H59" s="1"/>
      <c r="I59" s="1"/>
      <c r="J59" s="1"/>
      <c r="K59" s="4"/>
      <c r="L59" s="16"/>
      <c r="M59" s="16"/>
      <c r="N59" s="16"/>
      <c r="O59" s="16"/>
      <c r="P59" s="14">
        <f t="shared" si="0"/>
        <v>0</v>
      </c>
      <c r="Q59" s="14">
        <f t="shared" si="1"/>
        <v>1100</v>
      </c>
      <c r="R59" s="11">
        <f t="shared" si="5"/>
        <v>1</v>
      </c>
      <c r="S59" s="13">
        <f t="shared" si="3"/>
        <v>0</v>
      </c>
    </row>
    <row r="60" spans="1:19" ht="21.75" customHeight="1">
      <c r="A60" s="4" t="s">
        <v>131</v>
      </c>
      <c r="B60" s="4" t="s">
        <v>108</v>
      </c>
      <c r="C60" s="14">
        <v>3890</v>
      </c>
      <c r="D60" s="4" t="s">
        <v>25</v>
      </c>
      <c r="E60" s="1"/>
      <c r="F60" s="2"/>
      <c r="G60" s="1"/>
      <c r="H60" s="1"/>
      <c r="I60" s="1"/>
      <c r="J60" s="1"/>
      <c r="K60" s="4"/>
      <c r="L60" s="15">
        <v>3890</v>
      </c>
      <c r="M60" s="15"/>
      <c r="N60" s="15"/>
      <c r="O60" s="15"/>
      <c r="P60" s="14">
        <f t="shared" si="0"/>
        <v>3890</v>
      </c>
      <c r="Q60" s="14">
        <f t="shared" si="1"/>
        <v>0</v>
      </c>
      <c r="R60" s="11">
        <f t="shared" ref="R60" si="8">Q60/C60</f>
        <v>0</v>
      </c>
      <c r="S60" s="13"/>
    </row>
    <row r="61" spans="1:19" ht="21.75" customHeight="1">
      <c r="A61" s="4" t="s">
        <v>112</v>
      </c>
      <c r="B61" s="4" t="s">
        <v>111</v>
      </c>
      <c r="C61" s="14">
        <v>2425</v>
      </c>
      <c r="D61" s="4" t="s">
        <v>25</v>
      </c>
      <c r="E61" s="1"/>
      <c r="F61" s="2"/>
      <c r="G61" s="1"/>
      <c r="H61" s="1"/>
      <c r="I61" s="1"/>
      <c r="J61" s="1"/>
      <c r="K61" s="4">
        <v>2425</v>
      </c>
      <c r="L61" s="16"/>
      <c r="M61" s="16"/>
      <c r="N61" s="16"/>
      <c r="O61" s="16"/>
      <c r="P61" s="14">
        <f t="shared" si="0"/>
        <v>2425</v>
      </c>
      <c r="Q61" s="14">
        <f t="shared" si="1"/>
        <v>0</v>
      </c>
      <c r="R61" s="11">
        <f t="shared" si="5"/>
        <v>0</v>
      </c>
      <c r="S61" s="13">
        <f t="shared" si="3"/>
        <v>0.24249999999999999</v>
      </c>
    </row>
    <row r="62" spans="1:19" ht="21.75" customHeight="1">
      <c r="A62" s="4" t="s">
        <v>117</v>
      </c>
      <c r="B62" s="4" t="s">
        <v>118</v>
      </c>
      <c r="C62" s="14">
        <v>180000</v>
      </c>
      <c r="D62" s="1"/>
      <c r="E62" s="1"/>
      <c r="F62" s="2"/>
      <c r="G62" s="1"/>
      <c r="H62" s="1"/>
      <c r="I62" s="1"/>
      <c r="J62" s="1"/>
      <c r="K62" s="4">
        <v>10480</v>
      </c>
      <c r="L62" s="16"/>
      <c r="M62" s="16"/>
      <c r="N62" s="16"/>
      <c r="O62" s="16"/>
      <c r="P62" s="14">
        <f t="shared" si="0"/>
        <v>10480</v>
      </c>
      <c r="Q62" s="14">
        <f t="shared" si="1"/>
        <v>169520</v>
      </c>
      <c r="R62" s="11">
        <f t="shared" ref="R62:R69" si="9">Q62/C62</f>
        <v>0.94177777777777782</v>
      </c>
      <c r="S62" s="13">
        <f t="shared" si="3"/>
        <v>1.048</v>
      </c>
    </row>
    <row r="63" spans="1:19" ht="21.75" customHeight="1">
      <c r="A63" s="4" t="s">
        <v>119</v>
      </c>
      <c r="B63" s="4" t="s">
        <v>120</v>
      </c>
      <c r="C63" s="14">
        <v>19000</v>
      </c>
      <c r="D63" s="1"/>
      <c r="E63" s="1"/>
      <c r="F63" s="2"/>
      <c r="G63" s="1"/>
      <c r="H63" s="1"/>
      <c r="I63" s="1"/>
      <c r="J63" s="1"/>
      <c r="K63" s="4">
        <v>19000</v>
      </c>
      <c r="L63" s="16"/>
      <c r="M63" s="16"/>
      <c r="N63" s="16"/>
      <c r="O63" s="16"/>
      <c r="P63" s="14">
        <f t="shared" si="0"/>
        <v>19000</v>
      </c>
      <c r="Q63" s="14">
        <f t="shared" si="1"/>
        <v>0</v>
      </c>
      <c r="R63" s="11">
        <f t="shared" si="9"/>
        <v>0</v>
      </c>
      <c r="S63" s="13">
        <f t="shared" si="3"/>
        <v>1.9</v>
      </c>
    </row>
    <row r="64" spans="1:19" ht="21.75" customHeight="1">
      <c r="A64" s="4" t="s">
        <v>121</v>
      </c>
      <c r="B64" s="4" t="s">
        <v>122</v>
      </c>
      <c r="C64" s="14">
        <v>10000</v>
      </c>
      <c r="D64" s="1"/>
      <c r="E64" s="1"/>
      <c r="F64" s="2"/>
      <c r="G64" s="1"/>
      <c r="H64" s="1"/>
      <c r="I64" s="1"/>
      <c r="J64" s="1"/>
      <c r="K64" s="4">
        <v>1855</v>
      </c>
      <c r="L64" s="16"/>
      <c r="M64" s="16"/>
      <c r="N64" s="16">
        <f>1855+1120</f>
        <v>2975</v>
      </c>
      <c r="O64" s="16"/>
      <c r="P64" s="14">
        <f t="shared" si="0"/>
        <v>1855</v>
      </c>
      <c r="Q64" s="14">
        <f t="shared" si="1"/>
        <v>8145</v>
      </c>
      <c r="R64" s="11">
        <f t="shared" si="9"/>
        <v>0.8145</v>
      </c>
      <c r="S64" s="13">
        <f t="shared" si="3"/>
        <v>0.1855</v>
      </c>
    </row>
    <row r="65" spans="1:28" ht="21.75" customHeight="1">
      <c r="A65" s="4" t="s">
        <v>123</v>
      </c>
      <c r="B65" s="4" t="s">
        <v>124</v>
      </c>
      <c r="C65" s="14">
        <v>1330</v>
      </c>
      <c r="D65" s="1"/>
      <c r="E65" s="1"/>
      <c r="F65" s="2"/>
      <c r="G65" s="1"/>
      <c r="H65" s="1"/>
      <c r="I65" s="1"/>
      <c r="J65" s="1"/>
      <c r="K65" s="4">
        <v>1330</v>
      </c>
      <c r="L65" s="16"/>
      <c r="M65" s="16"/>
      <c r="N65" s="16"/>
      <c r="O65" s="16"/>
      <c r="P65" s="14">
        <f t="shared" si="0"/>
        <v>1330</v>
      </c>
      <c r="Q65" s="14">
        <f t="shared" si="1"/>
        <v>0</v>
      </c>
      <c r="R65" s="11">
        <f t="shared" si="9"/>
        <v>0</v>
      </c>
      <c r="S65" s="13">
        <f t="shared" si="3"/>
        <v>0.13300000000000001</v>
      </c>
    </row>
    <row r="66" spans="1:28" ht="21.75" customHeight="1">
      <c r="A66" s="4" t="s">
        <v>125</v>
      </c>
      <c r="B66" s="4" t="s">
        <v>126</v>
      </c>
      <c r="C66" s="14">
        <v>14800</v>
      </c>
      <c r="D66" s="1"/>
      <c r="E66" s="1"/>
      <c r="F66" s="2"/>
      <c r="G66" s="1"/>
      <c r="H66" s="1"/>
      <c r="I66" s="1"/>
      <c r="J66" s="1"/>
      <c r="K66" s="4"/>
      <c r="L66" s="15">
        <v>14800</v>
      </c>
      <c r="M66" s="15"/>
      <c r="N66" s="15"/>
      <c r="O66" s="15"/>
      <c r="P66" s="14">
        <f t="shared" si="0"/>
        <v>14800</v>
      </c>
      <c r="Q66" s="14">
        <f t="shared" si="1"/>
        <v>0</v>
      </c>
      <c r="R66" s="11">
        <f t="shared" si="9"/>
        <v>0</v>
      </c>
      <c r="S66" s="13">
        <f t="shared" si="3"/>
        <v>1.48</v>
      </c>
      <c r="Y66" s="36" t="s">
        <v>151</v>
      </c>
      <c r="Z66" s="38" t="s">
        <v>152</v>
      </c>
      <c r="AA66" s="36" t="s">
        <v>153</v>
      </c>
      <c r="AB66" s="35" t="s">
        <v>154</v>
      </c>
    </row>
    <row r="67" spans="1:28" ht="21.75" customHeight="1">
      <c r="A67" s="4" t="s">
        <v>127</v>
      </c>
      <c r="B67" s="4" t="s">
        <v>128</v>
      </c>
      <c r="C67" s="14">
        <v>1225</v>
      </c>
      <c r="D67" s="1"/>
      <c r="E67" s="1"/>
      <c r="F67" s="2"/>
      <c r="G67" s="1"/>
      <c r="H67" s="1"/>
      <c r="I67" s="1"/>
      <c r="J67" s="1"/>
      <c r="K67" s="4">
        <v>1225</v>
      </c>
      <c r="L67" s="16"/>
      <c r="M67" s="16"/>
      <c r="N67" s="16"/>
      <c r="O67" s="16"/>
      <c r="P67" s="14">
        <f t="shared" si="0"/>
        <v>1225</v>
      </c>
      <c r="Q67" s="14">
        <f t="shared" si="1"/>
        <v>0</v>
      </c>
      <c r="R67" s="11">
        <f t="shared" si="9"/>
        <v>0</v>
      </c>
      <c r="S67" s="13">
        <f t="shared" si="3"/>
        <v>0.1225</v>
      </c>
      <c r="Y67" s="37"/>
      <c r="Z67" s="38"/>
      <c r="AA67" s="36"/>
      <c r="AB67" s="35"/>
    </row>
    <row r="68" spans="1:28" ht="21.75" customHeight="1">
      <c r="A68" s="4" t="s">
        <v>129</v>
      </c>
      <c r="B68" s="4" t="s">
        <v>130</v>
      </c>
      <c r="C68" s="14">
        <v>78000</v>
      </c>
      <c r="D68" s="1"/>
      <c r="E68" s="25">
        <f>C68-L68</f>
        <v>74100</v>
      </c>
      <c r="F68" s="2"/>
      <c r="G68" s="1"/>
      <c r="H68" s="1"/>
      <c r="I68" s="1"/>
      <c r="J68" s="1"/>
      <c r="K68" s="4"/>
      <c r="L68" s="15">
        <v>3900</v>
      </c>
      <c r="M68" s="15"/>
      <c r="N68" s="15"/>
      <c r="O68" s="15"/>
      <c r="P68" s="14">
        <f t="shared" si="0"/>
        <v>78000</v>
      </c>
      <c r="Q68" s="14">
        <f t="shared" si="1"/>
        <v>0</v>
      </c>
      <c r="R68" s="11">
        <f t="shared" si="9"/>
        <v>0</v>
      </c>
      <c r="S68" s="13"/>
      <c r="Y68" s="36" t="s">
        <v>155</v>
      </c>
      <c r="Z68" s="33" t="s">
        <v>156</v>
      </c>
      <c r="AA68" s="31" t="s">
        <v>157</v>
      </c>
      <c r="AB68" s="31">
        <v>152</v>
      </c>
    </row>
    <row r="69" spans="1:28" ht="21.75" customHeight="1">
      <c r="A69" s="4" t="s">
        <v>135</v>
      </c>
      <c r="B69" s="4" t="s">
        <v>136</v>
      </c>
      <c r="C69" s="14">
        <v>79840.5</v>
      </c>
      <c r="D69" s="1"/>
      <c r="E69" s="1"/>
      <c r="F69" s="2"/>
      <c r="G69" s="1"/>
      <c r="H69" s="1"/>
      <c r="I69" s="1"/>
      <c r="J69" s="1"/>
      <c r="K69" s="4"/>
      <c r="L69" s="15">
        <v>79840.5</v>
      </c>
      <c r="M69" s="15"/>
      <c r="N69" s="15"/>
      <c r="O69" s="15"/>
      <c r="P69" s="14">
        <f t="shared" si="0"/>
        <v>79840.5</v>
      </c>
      <c r="Q69" s="14">
        <f t="shared" si="1"/>
        <v>0</v>
      </c>
      <c r="R69" s="11">
        <f t="shared" si="9"/>
        <v>0</v>
      </c>
      <c r="S69" s="13"/>
      <c r="Y69" s="36"/>
      <c r="Z69" s="33" t="s">
        <v>158</v>
      </c>
      <c r="AA69" s="31" t="s">
        <v>159</v>
      </c>
      <c r="AB69" s="31">
        <v>100.5</v>
      </c>
    </row>
    <row r="70" spans="1:28" ht="21.75" customHeight="1">
      <c r="A70" s="4" t="s">
        <v>137</v>
      </c>
      <c r="B70" s="4" t="s">
        <v>73</v>
      </c>
      <c r="C70" s="14"/>
      <c r="D70" s="1"/>
      <c r="E70" s="1"/>
      <c r="F70" s="2"/>
      <c r="G70" s="1"/>
      <c r="H70" s="1"/>
      <c r="I70" s="1"/>
      <c r="J70" s="1"/>
      <c r="K70" s="4"/>
      <c r="L70" s="16">
        <v>20670</v>
      </c>
      <c r="M70" s="16"/>
      <c r="N70" s="16"/>
      <c r="O70" s="16"/>
      <c r="P70" s="14">
        <f t="shared" ref="P70" si="10">SUM(E70:L70)</f>
        <v>20670</v>
      </c>
      <c r="Q70" s="14">
        <f t="shared" ref="Q70" si="11">C70-P70</f>
        <v>-20670</v>
      </c>
      <c r="R70" s="11"/>
      <c r="S70" s="13"/>
      <c r="Y70" s="36"/>
      <c r="Z70" s="33" t="s">
        <v>160</v>
      </c>
      <c r="AA70" s="31" t="s">
        <v>161</v>
      </c>
      <c r="AB70" s="31">
        <v>5</v>
      </c>
    </row>
    <row r="71" spans="1:28" ht="21.75" customHeight="1">
      <c r="A71" s="4" t="s">
        <v>148</v>
      </c>
      <c r="B71" s="4" t="s">
        <v>149</v>
      </c>
      <c r="C71" s="28">
        <v>150000</v>
      </c>
      <c r="D71" s="1"/>
      <c r="E71" s="1"/>
      <c r="F71" s="2"/>
      <c r="G71" s="1"/>
      <c r="H71" s="1"/>
      <c r="I71" s="1"/>
      <c r="J71" s="1"/>
      <c r="K71" s="4"/>
      <c r="L71" s="16"/>
      <c r="M71" s="16"/>
      <c r="N71" s="16">
        <f>25340+10175</f>
        <v>35515</v>
      </c>
      <c r="O71" s="16"/>
      <c r="P71" s="28">
        <f>SUM(E71:N71)</f>
        <v>35515</v>
      </c>
      <c r="Q71" s="30"/>
      <c r="R71" s="11"/>
      <c r="Y71" s="36"/>
      <c r="Z71" s="33" t="s">
        <v>162</v>
      </c>
      <c r="AA71" s="31" t="s">
        <v>163</v>
      </c>
      <c r="AB71" s="31">
        <v>23.4</v>
      </c>
    </row>
    <row r="72" spans="1:28" ht="21.75" customHeight="1">
      <c r="A72" s="4" t="s">
        <v>150</v>
      </c>
      <c r="B72" s="1"/>
      <c r="C72" s="28"/>
      <c r="D72" s="1"/>
      <c r="E72" s="1"/>
      <c r="F72" s="2"/>
      <c r="G72" s="1"/>
      <c r="H72" s="1"/>
      <c r="I72" s="1"/>
      <c r="J72" s="1"/>
      <c r="K72" s="4"/>
      <c r="L72" s="16"/>
      <c r="M72" s="16"/>
      <c r="N72" s="16">
        <v>929328</v>
      </c>
      <c r="O72" s="16"/>
      <c r="P72" s="28">
        <f>SUM(E72:N72)</f>
        <v>929328</v>
      </c>
      <c r="Q72" s="30"/>
      <c r="R72" s="11"/>
      <c r="Y72" s="34" t="s">
        <v>164</v>
      </c>
      <c r="Z72" s="1"/>
      <c r="AA72" s="1"/>
      <c r="AB72" s="29">
        <f>SUM(AB68:AB71)</f>
        <v>280.89999999999998</v>
      </c>
    </row>
    <row r="73" spans="1:28" ht="21.75" customHeight="1">
      <c r="A73" s="43" t="s">
        <v>165</v>
      </c>
      <c r="B73" s="43" t="s">
        <v>166</v>
      </c>
      <c r="D73" t="s">
        <v>167</v>
      </c>
      <c r="O73" s="20">
        <v>34950</v>
      </c>
    </row>
    <row r="74" spans="1:28" ht="21.75" customHeight="1">
      <c r="A74" s="43" t="s">
        <v>169</v>
      </c>
      <c r="B74" s="43" t="s">
        <v>170</v>
      </c>
      <c r="D74" t="s">
        <v>167</v>
      </c>
      <c r="O74" s="20">
        <v>2850</v>
      </c>
    </row>
    <row r="75" spans="1:28" ht="21.75" customHeight="1">
      <c r="A75" s="43" t="s">
        <v>171</v>
      </c>
      <c r="B75" s="43" t="s">
        <v>172</v>
      </c>
      <c r="D75" t="s">
        <v>167</v>
      </c>
      <c r="O75" s="20">
        <v>14850</v>
      </c>
    </row>
    <row r="76" spans="1:28" ht="21.75" customHeight="1">
      <c r="A76" s="43" t="s">
        <v>173</v>
      </c>
      <c r="B76" s="43" t="s">
        <v>174</v>
      </c>
      <c r="C76" s="22">
        <v>9700</v>
      </c>
      <c r="D76" t="s">
        <v>25</v>
      </c>
      <c r="O76" s="20">
        <v>9700</v>
      </c>
    </row>
    <row r="77" spans="1:28" ht="21.75" customHeight="1">
      <c r="A77" s="43" t="s">
        <v>175</v>
      </c>
      <c r="B77" s="43" t="s">
        <v>176</v>
      </c>
      <c r="D77" t="s">
        <v>113</v>
      </c>
      <c r="O77" s="20">
        <v>5200</v>
      </c>
    </row>
  </sheetData>
  <mergeCells count="11">
    <mergeCell ref="Q1:Q2"/>
    <mergeCell ref="A1:A2"/>
    <mergeCell ref="B1:B2"/>
    <mergeCell ref="C1:C2"/>
    <mergeCell ref="D1:D2"/>
    <mergeCell ref="E1:K1"/>
    <mergeCell ref="AB66:AB67"/>
    <mergeCell ref="Y68:Y71"/>
    <mergeCell ref="Y66:Y67"/>
    <mergeCell ref="Z66:Z67"/>
    <mergeCell ref="AA66:AA6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3" sqref="A33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120416</dc:creator>
  <cp:lastModifiedBy>120018</cp:lastModifiedBy>
  <dcterms:created xsi:type="dcterms:W3CDTF">2015-07-07T06:43:15Z</dcterms:created>
  <dcterms:modified xsi:type="dcterms:W3CDTF">2016-04-15T09:35:18Z</dcterms:modified>
</cp:coreProperties>
</file>