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donghoon/Library/Mobile Documents/iCloud~md~obsidian/Documents/Functions/lectures/25Summer/삼성중공업 강의/PPT/Day1/D1_L4_files/"/>
    </mc:Choice>
  </mc:AlternateContent>
  <xr:revisionPtr revIDLastSave="0" documentId="13_ncr:1_{22CDD1DB-0067-324E-95AE-44CBF56420E7}" xr6:coauthVersionLast="47" xr6:coauthVersionMax="47" xr10:uidLastSave="{00000000-0000-0000-0000-000000000000}"/>
  <bookViews>
    <workbookView xWindow="0" yWindow="500" windowWidth="51200" windowHeight="26720" xr2:uid="{00000000-000D-0000-FFFF-FFFF00000000}"/>
  </bookViews>
  <sheets>
    <sheet name="세션2_베어링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1" l="1"/>
  <c r="B36" i="1"/>
  <c r="B33" i="1"/>
  <c r="Q7" i="1" s="1"/>
  <c r="B32" i="1"/>
  <c r="B25" i="1"/>
  <c r="B22" i="1"/>
  <c r="B26" i="1" s="1"/>
  <c r="B27" i="1" s="1"/>
  <c r="B28" i="1" s="1"/>
  <c r="B8" i="1"/>
  <c r="F5" i="1"/>
  <c r="B34" i="1" l="1"/>
  <c r="B35" i="1" s="1"/>
  <c r="F6" i="1"/>
  <c r="F8" i="1"/>
  <c r="Q6" i="1"/>
  <c r="Q9" i="1"/>
  <c r="B41" i="1"/>
  <c r="B42" i="1" s="1"/>
  <c r="Q8" i="1"/>
  <c r="Q5" i="1"/>
  <c r="P9" i="1" l="1"/>
  <c r="R9" i="1" s="1"/>
  <c r="P7" i="1"/>
  <c r="R7" i="1" s="1"/>
  <c r="P5" i="1"/>
  <c r="R5" i="1" s="1"/>
  <c r="F7" i="1"/>
  <c r="P8" i="1"/>
  <c r="R8" i="1" s="1"/>
  <c r="P6" i="1"/>
  <c r="R6" i="1" s="1"/>
  <c r="B37" i="1"/>
  <c r="F10" i="1" s="1"/>
  <c r="F9" i="1"/>
  <c r="B47" i="1" l="1"/>
  <c r="B51" i="1" l="1"/>
  <c r="B50" i="1"/>
  <c r="B49" i="1"/>
  <c r="B48" i="1"/>
  <c r="F12" i="1" s="1"/>
  <c r="F11" i="1"/>
</calcChain>
</file>

<file path=xl/sharedStrings.xml><?xml version="1.0" encoding="utf-8"?>
<sst xmlns="http://schemas.openxmlformats.org/spreadsheetml/2006/main" count="133" uniqueCount="102">
  <si>
    <t>세션 2: 베어링 분류 및 선정 (ONE SHEET)</t>
  </si>
  <si>
    <t>※ 카탈로그 표(J:O)에 실제 모델을 더 추가/교체하면 자동으로 재선정됩니다.</t>
  </si>
  <si>
    <t>입력=노랑, 계산=파랑, 결과=초록. 브랜드/카탈로그는 우측 표에 붙여넣으면 자동 매칭됩니다.</t>
  </si>
  <si>
    <t>브랜드 카탈로그 (예시)</t>
  </si>
  <si>
    <t>브랜드</t>
  </si>
  <si>
    <t>모델</t>
  </si>
  <si>
    <t>타입</t>
  </si>
  <si>
    <t>C (N)</t>
  </si>
  <si>
    <t>정격 rpm</t>
  </si>
  <si>
    <t>IP/씰</t>
  </si>
  <si>
    <t>ΔC (N)</t>
  </si>
  <si>
    <t>Δrpm</t>
  </si>
  <si>
    <t>Score</t>
  </si>
  <si>
    <t>IP_ok</t>
  </si>
  <si>
    <t>브리지: 세션1 토크 → 하중</t>
  </si>
  <si>
    <t>요약</t>
  </si>
  <si>
    <t>항목</t>
  </si>
  <si>
    <t>값</t>
  </si>
  <si>
    <t>설명</t>
  </si>
  <si>
    <t>SKF</t>
  </si>
  <si>
    <t>6208-2RS</t>
  </si>
  <si>
    <t>볼베어링</t>
  </si>
  <si>
    <t>IP65/RS</t>
  </si>
  <si>
    <t>세션1 토크 T (N·m)</t>
  </si>
  <si>
    <t>슬라이드21: 예시 500 N·m</t>
  </si>
  <si>
    <t>P_eff (N)</t>
  </si>
  <si>
    <t>NSK</t>
  </si>
  <si>
    <t>NU208</t>
  </si>
  <si>
    <t>롤러베어링</t>
  </si>
  <si>
    <t>IP55</t>
  </si>
  <si>
    <t>피치반경 r (m)</t>
  </si>
  <si>
    <t>F = T / r (선택 입력)</t>
  </si>
  <si>
    <t>C_required (N)</t>
  </si>
  <si>
    <t>Timken</t>
  </si>
  <si>
    <t>HM804846/HM804810</t>
  </si>
  <si>
    <t>IP66/씰</t>
  </si>
  <si>
    <t>토크→등가 반지름하중 Fr_est (N)</t>
  </si>
  <si>
    <t>토크로부터 추정한 반지름하중 (참고값)</t>
  </si>
  <si>
    <t>n_avg (rpm)</t>
  </si>
  <si>
    <t>6310-2RS</t>
  </si>
  <si>
    <t>L_h (시간)</t>
  </si>
  <si>
    <t>6206DDU</t>
  </si>
  <si>
    <t>IP67/씰</t>
  </si>
  <si>
    <t>Step1. 입력 - 타입/하중/속도/환경</t>
  </si>
  <si>
    <t>판정</t>
  </si>
  <si>
    <t>추천 모델</t>
  </si>
  <si>
    <t>베어링 타입</t>
  </si>
  <si>
    <t>타입에 따라 p지수 및 X,Y 제안</t>
  </si>
  <si>
    <t>추천 브랜드</t>
  </si>
  <si>
    <t>동적하중용량 C (N)</t>
  </si>
  <si>
    <t>카탈로그 입력 (슬라이드27)</t>
  </si>
  <si>
    <t>정적하중용량 C0 (N)</t>
  </si>
  <si>
    <t>선택 입력</t>
  </si>
  <si>
    <t>※ X,Y 계수는 반드시 해당 베어링 타입 및 Fa/Fr 조건의 카탈로그 표를 따르세요.</t>
  </si>
  <si>
    <t>반지름하중 Fr (N)</t>
  </si>
  <si>
    <t>세션1 결과 분해 또는 현장 입력</t>
  </si>
  <si>
    <t>축하중 Fa (N)</t>
  </si>
  <si>
    <t>회전속도 n (rpm)</t>
  </si>
  <si>
    <t>실제 평균rpm 또는 정격×duty</t>
  </si>
  <si>
    <t>작동률 duty (%)</t>
  </si>
  <si>
    <t>간헐 운전 고려 (슬라이드29)</t>
  </si>
  <si>
    <t>환경계수 f_env</t>
  </si>
  <si>
    <t>조선소 추천 1.3~1.5 (슬라이드30)</t>
  </si>
  <si>
    <t>목표 수명 L_target (h)</t>
  </si>
  <si>
    <t>슬라이드32: 목표수명</t>
  </si>
  <si>
    <t>목표 수명 안전계수 k_L</t>
  </si>
  <si>
    <t>슬라이드32: 1.5 배</t>
  </si>
  <si>
    <t>Fa/Fr 비율</t>
  </si>
  <si>
    <t>타입별 X,Y 권고 분기 기준</t>
  </si>
  <si>
    <t>Step2. 등가하중 P = X·Fr + Y·Fa</t>
  </si>
  <si>
    <t>X 계수</t>
  </si>
  <si>
    <t>기본: Ball if Fa/Fr&lt;=0.25 → X=1 else 0.56 / Roller/Slewing if &lt;=0.2 → X=1 else 0.67</t>
  </si>
  <si>
    <t>Y 계수</t>
  </si>
  <si>
    <t>기본: Ball Y=0 or 1.63 / Roller/Slewing Y=0 or 0.5</t>
  </si>
  <si>
    <t>등가하중 P (N)</t>
  </si>
  <si>
    <t>Fr/Fa 조합 → P (슬라이드28)</t>
  </si>
  <si>
    <t>환경 적용 P_eff (N)</t>
  </si>
  <si>
    <t>P_eff = P × f_env</t>
  </si>
  <si>
    <t>Step3. 수명 L10 계산 (ISO/ABMA)</t>
  </si>
  <si>
    <t>p 지수</t>
  </si>
  <si>
    <t>볼=3, 롤러=10/3 (슬라이드26)</t>
  </si>
  <si>
    <t>평균 rpm n_avg</t>
  </si>
  <si>
    <t>n_avg = n × duty (슬라이드29)</t>
  </si>
  <si>
    <t>L_rev (회전)</t>
  </si>
  <si>
    <t>L_rev = 10^6·(C/P_eff)^p</t>
  </si>
  <si>
    <t>L_h = L_rev / (n_avg×60)</t>
  </si>
  <si>
    <t>요구 L_req (h)</t>
  </si>
  <si>
    <t>L_req = 목표수명×안전계수 (슬라이드32)</t>
  </si>
  <si>
    <t>OK/NG (슬라이드31 색상 표시)</t>
  </si>
  <si>
    <t>Step4. 필요 C_required 및 자동 매칭</t>
  </si>
  <si>
    <t>L_target_rev (회전)</t>
  </si>
  <si>
    <t>목표수명(×k_L) 회전수 변환</t>
  </si>
  <si>
    <t>C_required = P_eff·(L_target_rev/10^6)^(1/p)</t>
  </si>
  <si>
    <t>추천 브랜드/모델</t>
  </si>
  <si>
    <t>선택 타입 일치</t>
  </si>
  <si>
    <t>카탈로그에서 같은 타입만 대상</t>
  </si>
  <si>
    <t>ΔC 최소 &amp; 정격rpm 만족 &amp; 타입 일치</t>
  </si>
  <si>
    <t>브랜드명</t>
  </si>
  <si>
    <t>추천 C (N)</t>
  </si>
  <si>
    <t>카탈로그 C</t>
  </si>
  <si>
    <t>카탈로그 정격</t>
  </si>
  <si>
    <t>환경 대응(슬라이드24,25)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</si>
</sst>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FE2F3"/>
      </patternFill>
    </fill>
    <fill>
      <patternFill patternType="solid">
        <fgColor rgb="FFFFF2CC"/>
      </patternFill>
    </fill>
    <fill>
      <patternFill patternType="solid">
        <fgColor rgb="FFD9EAD3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3" fillId="0" borderId="0" xfId="0" applyFont="1"/>
    <xf numFmtId="0" fontId="0" fillId="6" borderId="1" xfId="0" applyFill="1" applyBorder="1"/>
    <xf numFmtId="0" fontId="0" fillId="7" borderId="1" xfId="0" applyFill="1" applyBorder="1"/>
    <xf numFmtId="0" fontId="0" fillId="6" borderId="0" xfId="0" applyFill="1"/>
    <xf numFmtId="0" fontId="0" fillId="8" borderId="1" xfId="0" applyFill="1" applyBorder="1"/>
  </cellXfs>
  <cellStyles count="1">
    <cellStyle name="Normal" xfId="0" builtinId="0"/>
  </cellStyles>
  <dxfs count="2">
    <dxf>
      <font>
        <b/>
      </font>
      <fill>
        <patternFill>
          <bgColor rgb="FFD9EAD3"/>
        </patternFill>
      </fill>
    </dxf>
    <dxf>
      <font>
        <b/>
      </font>
      <fill>
        <patternFill>
          <bgColor rgb="FFF4CCC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tabSelected="1" workbookViewId="0">
      <selection activeCell="F29" sqref="F29"/>
    </sheetView>
  </sheetViews>
  <sheetFormatPr baseColWidth="10" defaultColWidth="8.83203125" defaultRowHeight="15" x14ac:dyDescent="0.2"/>
  <cols>
    <col min="1" max="1" width="30.6640625" customWidth="1"/>
    <col min="2" max="2" width="22.6640625" customWidth="1"/>
    <col min="3" max="3" width="60.6640625" customWidth="1"/>
    <col min="5" max="6" width="22.6640625" customWidth="1"/>
    <col min="10" max="10" width="14.6640625" customWidth="1"/>
    <col min="11" max="11" width="16.6640625" customWidth="1"/>
    <col min="12" max="13" width="14.6640625" customWidth="1"/>
    <col min="14" max="17" width="16.6640625" customWidth="1"/>
    <col min="18" max="18" width="12.6640625" customWidth="1"/>
  </cols>
  <sheetData>
    <row r="1" spans="1:19" ht="19" x14ac:dyDescent="0.25">
      <c r="A1" s="1" t="s">
        <v>0</v>
      </c>
      <c r="J1" t="s">
        <v>1</v>
      </c>
    </row>
    <row r="2" spans="1:19" ht="19" x14ac:dyDescent="0.25">
      <c r="A2" t="s">
        <v>2</v>
      </c>
      <c r="J2" s="1" t="s">
        <v>3</v>
      </c>
    </row>
    <row r="3" spans="1:19" x14ac:dyDescent="0.2">
      <c r="J3" s="2" t="s">
        <v>4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9</v>
      </c>
      <c r="P3" s="2" t="s">
        <v>10</v>
      </c>
      <c r="Q3" s="2" t="s">
        <v>11</v>
      </c>
      <c r="R3" s="2" t="s">
        <v>12</v>
      </c>
      <c r="S3" t="s">
        <v>13</v>
      </c>
    </row>
    <row r="4" spans="1:19" ht="19" x14ac:dyDescent="0.25">
      <c r="A4" s="1" t="s">
        <v>14</v>
      </c>
      <c r="E4" s="1" t="s">
        <v>15</v>
      </c>
    </row>
    <row r="5" spans="1:19" x14ac:dyDescent="0.2">
      <c r="A5" s="2" t="s">
        <v>16</v>
      </c>
      <c r="B5" s="2" t="s">
        <v>17</v>
      </c>
      <c r="C5" s="2" t="s">
        <v>18</v>
      </c>
      <c r="E5" t="s">
        <v>6</v>
      </c>
      <c r="F5" s="3" t="str">
        <f>B12</f>
        <v>볼베어링</v>
      </c>
      <c r="J5" t="s">
        <v>19</v>
      </c>
      <c r="K5" t="s">
        <v>20</v>
      </c>
      <c r="L5" t="s">
        <v>21</v>
      </c>
      <c r="M5">
        <v>19000</v>
      </c>
      <c r="N5">
        <v>10000</v>
      </c>
      <c r="O5" t="s">
        <v>22</v>
      </c>
      <c r="P5" s="4">
        <f>IF($M5&gt;0, $M5 - $B$42, "")</f>
        <v>-7786.3132757479652</v>
      </c>
      <c r="Q5" s="4">
        <f>IF(AND($N5&gt;0,$B$33&gt;0), $N5 - $B$33, "")</f>
        <v>9820</v>
      </c>
      <c r="R5" s="4">
        <f>IF(AND($L5=$B$12,$P5&gt;=0,$Q5&gt;=0), $P5, 1000000000000)</f>
        <v>1000000000000</v>
      </c>
    </row>
    <row r="6" spans="1:19" x14ac:dyDescent="0.2">
      <c r="A6" t="s">
        <v>23</v>
      </c>
      <c r="B6" s="5">
        <v>500</v>
      </c>
      <c r="C6" t="s">
        <v>24</v>
      </c>
      <c r="E6" t="s">
        <v>25</v>
      </c>
      <c r="F6" s="3">
        <f>B28</f>
        <v>3900</v>
      </c>
      <c r="J6" t="s">
        <v>26</v>
      </c>
      <c r="K6" t="s">
        <v>27</v>
      </c>
      <c r="L6" t="s">
        <v>28</v>
      </c>
      <c r="M6">
        <v>41000</v>
      </c>
      <c r="N6">
        <v>7000</v>
      </c>
      <c r="O6" t="s">
        <v>29</v>
      </c>
      <c r="P6" s="4">
        <f>IF($M6&gt;0, $M6 - $B$42, "")</f>
        <v>14213.686724252035</v>
      </c>
      <c r="Q6" s="4">
        <f>IF(AND($N6&gt;0,$B$33&gt;0), $N6 - $B$33, "")</f>
        <v>6820</v>
      </c>
      <c r="R6" s="4">
        <f>IF(AND($L6=$B$12,$P6&gt;=0,$Q6&gt;=0), $P6, 1000000000000)</f>
        <v>1000000000000</v>
      </c>
    </row>
    <row r="7" spans="1:19" x14ac:dyDescent="0.2">
      <c r="A7" t="s">
        <v>30</v>
      </c>
      <c r="B7" s="5">
        <v>0.1</v>
      </c>
      <c r="C7" t="s">
        <v>31</v>
      </c>
      <c r="E7" t="s">
        <v>32</v>
      </c>
      <c r="F7" s="3">
        <f>B42</f>
        <v>26786.313275747965</v>
      </c>
      <c r="J7" t="s">
        <v>33</v>
      </c>
      <c r="K7" t="s">
        <v>34</v>
      </c>
      <c r="L7" t="s">
        <v>28</v>
      </c>
      <c r="M7">
        <v>80000</v>
      </c>
      <c r="N7">
        <v>5000</v>
      </c>
      <c r="O7" t="s">
        <v>35</v>
      </c>
      <c r="P7" s="4">
        <f>IF($M7&gt;0, $M7 - $B$42, "")</f>
        <v>53213.686724252038</v>
      </c>
      <c r="Q7" s="4">
        <f>IF(AND($N7&gt;0,$B$33&gt;0), $N7 - $B$33, "")</f>
        <v>4820</v>
      </c>
      <c r="R7" s="4">
        <f>IF(AND($L7=$B$12,$P7&gt;=0,$Q7&gt;=0), $P7, 1000000000000)</f>
        <v>1000000000000</v>
      </c>
    </row>
    <row r="8" spans="1:19" x14ac:dyDescent="0.2">
      <c r="A8" t="s">
        <v>36</v>
      </c>
      <c r="B8" s="7">
        <f>IF(AND(B6&gt;0,B7&gt;0), B6/B7, "")</f>
        <v>5000</v>
      </c>
      <c r="C8" t="s">
        <v>37</v>
      </c>
      <c r="E8" t="s">
        <v>38</v>
      </c>
      <c r="F8" s="3">
        <f>B33</f>
        <v>180</v>
      </c>
      <c r="J8" t="s">
        <v>19</v>
      </c>
      <c r="K8" t="s">
        <v>39</v>
      </c>
      <c r="L8" t="s">
        <v>21</v>
      </c>
      <c r="M8">
        <v>29500</v>
      </c>
      <c r="N8">
        <v>9000</v>
      </c>
      <c r="O8" t="s">
        <v>22</v>
      </c>
      <c r="P8" s="4">
        <f>IF($M8&gt;0, $M8 - $B$42, "")</f>
        <v>2713.6867242520348</v>
      </c>
      <c r="Q8" s="4">
        <f>IF(AND($N8&gt;0,$B$33&gt;0), $N8 - $B$33, "")</f>
        <v>8820</v>
      </c>
      <c r="R8" s="4">
        <f>IF(AND($L8=$B$12,$P8&gt;=0,$Q8&gt;=0), $P8, 1000000000000)</f>
        <v>2713.6867242520348</v>
      </c>
    </row>
    <row r="9" spans="1:19" x14ac:dyDescent="0.2">
      <c r="E9" t="s">
        <v>40</v>
      </c>
      <c r="F9" s="3">
        <f>B35</f>
        <v>40072.687659253512</v>
      </c>
      <c r="J9" t="s">
        <v>26</v>
      </c>
      <c r="K9" t="s">
        <v>41</v>
      </c>
      <c r="L9" t="s">
        <v>21</v>
      </c>
      <c r="M9">
        <v>14600</v>
      </c>
      <c r="N9">
        <v>12000</v>
      </c>
      <c r="O9" t="s">
        <v>42</v>
      </c>
      <c r="P9" s="4">
        <f>IF($M9&gt;0, $M9 - $B$42, "")</f>
        <v>-12186.313275747965</v>
      </c>
      <c r="Q9" s="4">
        <f>IF(AND($N9&gt;0,$B$33&gt;0), $N9 - $B$33, "")</f>
        <v>11820</v>
      </c>
      <c r="R9" s="4">
        <f>IF(AND($L9=$B$12,$P9&gt;=0,$Q9&gt;=0), $P9, 1000000000000)</f>
        <v>1000000000000</v>
      </c>
    </row>
    <row r="10" spans="1:19" ht="19" x14ac:dyDescent="0.25">
      <c r="A10" s="1" t="s">
        <v>43</v>
      </c>
      <c r="E10" t="s">
        <v>44</v>
      </c>
      <c r="F10" s="3" t="str">
        <f>B37</f>
        <v>OK</v>
      </c>
    </row>
    <row r="11" spans="1:19" x14ac:dyDescent="0.2">
      <c r="A11" s="2" t="s">
        <v>16</v>
      </c>
      <c r="B11" s="2" t="s">
        <v>17</v>
      </c>
      <c r="C11" s="2" t="s">
        <v>18</v>
      </c>
      <c r="E11" t="s">
        <v>45</v>
      </c>
      <c r="F11" s="3" t="str">
        <f>B47</f>
        <v>6310-2RS</v>
      </c>
    </row>
    <row r="12" spans="1:19" x14ac:dyDescent="0.2">
      <c r="A12" t="s">
        <v>46</v>
      </c>
      <c r="B12" s="8" t="s">
        <v>21</v>
      </c>
      <c r="C12" t="s">
        <v>47</v>
      </c>
      <c r="E12" t="s">
        <v>48</v>
      </c>
      <c r="F12" s="3" t="str">
        <f>B48</f>
        <v>SKF</v>
      </c>
    </row>
    <row r="13" spans="1:19" x14ac:dyDescent="0.2">
      <c r="A13" t="s">
        <v>49</v>
      </c>
      <c r="B13" s="5">
        <v>29500</v>
      </c>
      <c r="C13" t="s">
        <v>50</v>
      </c>
    </row>
    <row r="14" spans="1:19" x14ac:dyDescent="0.2">
      <c r="A14" t="s">
        <v>51</v>
      </c>
      <c r="B14" s="5"/>
      <c r="C14" t="s">
        <v>52</v>
      </c>
      <c r="J14" s="6" t="s">
        <v>53</v>
      </c>
    </row>
    <row r="15" spans="1:19" x14ac:dyDescent="0.2">
      <c r="A15" t="s">
        <v>54</v>
      </c>
      <c r="B15" s="8">
        <v>3000</v>
      </c>
      <c r="C15" t="s">
        <v>55</v>
      </c>
    </row>
    <row r="16" spans="1:19" x14ac:dyDescent="0.2">
      <c r="A16" t="s">
        <v>56</v>
      </c>
      <c r="B16" s="5">
        <v>600</v>
      </c>
      <c r="C16" t="s">
        <v>55</v>
      </c>
    </row>
    <row r="17" spans="1:3" x14ac:dyDescent="0.2">
      <c r="A17" t="s">
        <v>57</v>
      </c>
      <c r="B17" s="5">
        <v>600</v>
      </c>
      <c r="C17" t="s">
        <v>58</v>
      </c>
    </row>
    <row r="18" spans="1:3" x14ac:dyDescent="0.2">
      <c r="A18" t="s">
        <v>59</v>
      </c>
      <c r="B18" s="5">
        <v>30</v>
      </c>
      <c r="C18" t="s">
        <v>60</v>
      </c>
    </row>
    <row r="19" spans="1:3" x14ac:dyDescent="0.2">
      <c r="A19" t="s">
        <v>61</v>
      </c>
      <c r="B19" s="5">
        <v>1.3</v>
      </c>
      <c r="C19" t="s">
        <v>62</v>
      </c>
    </row>
    <row r="20" spans="1:3" x14ac:dyDescent="0.2">
      <c r="A20" t="s">
        <v>63</v>
      </c>
      <c r="B20" s="5">
        <v>20000</v>
      </c>
      <c r="C20" t="s">
        <v>64</v>
      </c>
    </row>
    <row r="21" spans="1:3" x14ac:dyDescent="0.2">
      <c r="A21" t="s">
        <v>65</v>
      </c>
      <c r="B21" s="5">
        <v>1.5</v>
      </c>
      <c r="C21" t="s">
        <v>66</v>
      </c>
    </row>
    <row r="22" spans="1:3" x14ac:dyDescent="0.2">
      <c r="A22" t="s">
        <v>67</v>
      </c>
      <c r="B22" s="9">
        <f>IF(AND(B15&gt;0,B16&gt;0), B16/B15, "")</f>
        <v>0.2</v>
      </c>
      <c r="C22" t="s">
        <v>68</v>
      </c>
    </row>
    <row r="23" spans="1:3" ht="19" x14ac:dyDescent="0.25">
      <c r="A23" s="1" t="s">
        <v>69</v>
      </c>
    </row>
    <row r="24" spans="1:3" x14ac:dyDescent="0.2">
      <c r="A24" s="2" t="s">
        <v>16</v>
      </c>
      <c r="B24" s="2" t="s">
        <v>17</v>
      </c>
      <c r="C24" s="2" t="s">
        <v>18</v>
      </c>
    </row>
    <row r="25" spans="1:3" x14ac:dyDescent="0.2">
      <c r="A25" t="s">
        <v>70</v>
      </c>
      <c r="B25" s="8">
        <f>IF(B12="볼베어링", IF(B22&lt;&gt;"", IF(B22&lt;=0.25, 1, 0.56), 0.56), IF(OR(B12="롤러베어링",B12="슬루잉베어링"), IF(B22&lt;&gt;"", IF(B22&lt;=0.2, 1, 0.67), 0.67), ""))</f>
        <v>1</v>
      </c>
      <c r="C25" t="s">
        <v>71</v>
      </c>
    </row>
    <row r="26" spans="1:3" x14ac:dyDescent="0.2">
      <c r="A26" t="s">
        <v>72</v>
      </c>
      <c r="B26" s="8">
        <f>IF(B12="볼베어링", IF(B22&lt;&gt;"", IF(B22&lt;=0.25, 0, 1.63), 1.63), IF(OR(B12="롤러베어링",B12="슬루잉베어링"), IF(B22&lt;&gt;"", IF(B22&lt;=0.2, 0, 0.5), 0.5), ""))</f>
        <v>0</v>
      </c>
      <c r="C26" t="s">
        <v>73</v>
      </c>
    </row>
    <row r="27" spans="1:3" x14ac:dyDescent="0.2">
      <c r="A27" t="s">
        <v>74</v>
      </c>
      <c r="B27" s="7">
        <f>IF(OR(B25="",B26=""),"", IF(AND(B15&gt;0,B16&gt;0), B25*B15 + B26*B16, IF(B15&gt;0, B25*B15, IF(B16&gt;0, B26*B16, ""))))</f>
        <v>3000</v>
      </c>
      <c r="C27" t="s">
        <v>75</v>
      </c>
    </row>
    <row r="28" spans="1:3" x14ac:dyDescent="0.2">
      <c r="A28" t="s">
        <v>76</v>
      </c>
      <c r="B28" s="7">
        <f>IF(B27&gt;0, B27*B19, "")</f>
        <v>3900</v>
      </c>
      <c r="C28" t="s">
        <v>77</v>
      </c>
    </row>
    <row r="30" spans="1:3" ht="19" x14ac:dyDescent="0.25">
      <c r="A30" s="1" t="s">
        <v>78</v>
      </c>
    </row>
    <row r="31" spans="1:3" x14ac:dyDescent="0.2">
      <c r="A31" s="2" t="s">
        <v>16</v>
      </c>
      <c r="B31" s="2" t="s">
        <v>17</v>
      </c>
      <c r="C31" s="2" t="s">
        <v>18</v>
      </c>
    </row>
    <row r="32" spans="1:3" x14ac:dyDescent="0.2">
      <c r="A32" t="s">
        <v>79</v>
      </c>
      <c r="B32" s="7">
        <f>IF(B12="볼베어링",3,IF(B12="롤러베어링",10/3,IF(B12="슬루잉베어링",10/3,"")))</f>
        <v>3</v>
      </c>
      <c r="C32" t="s">
        <v>80</v>
      </c>
    </row>
    <row r="33" spans="1:3" x14ac:dyDescent="0.2">
      <c r="A33" t="s">
        <v>81</v>
      </c>
      <c r="B33" s="7">
        <f>IF(AND(B17&gt;0,B18&gt;0), B17*B18/100, "")</f>
        <v>180</v>
      </c>
      <c r="C33" t="s">
        <v>82</v>
      </c>
    </row>
    <row r="34" spans="1:3" x14ac:dyDescent="0.2">
      <c r="A34" t="s">
        <v>83</v>
      </c>
      <c r="B34" s="10">
        <f>IF(AND(B13&gt;0,B28&gt;0,B32&gt;0), 10^6*(B13/B28)^B32, "")</f>
        <v>432785026.71993792</v>
      </c>
      <c r="C34" t="s">
        <v>84</v>
      </c>
    </row>
    <row r="35" spans="1:3" x14ac:dyDescent="0.2">
      <c r="A35" t="s">
        <v>40</v>
      </c>
      <c r="B35" s="10">
        <f>IF(AND(B34&gt;0,B33&gt;0), B34/(B33*60), "")</f>
        <v>40072.687659253512</v>
      </c>
      <c r="C35" t="s">
        <v>85</v>
      </c>
    </row>
    <row r="36" spans="1:3" x14ac:dyDescent="0.2">
      <c r="A36" t="s">
        <v>86</v>
      </c>
      <c r="B36" s="7">
        <f>IF(AND(B20&gt;0,B21&gt;0), B20*B21, "")</f>
        <v>30000</v>
      </c>
      <c r="C36" t="s">
        <v>87</v>
      </c>
    </row>
    <row r="37" spans="1:3" x14ac:dyDescent="0.2">
      <c r="A37" t="s">
        <v>44</v>
      </c>
      <c r="B37" s="10" t="str">
        <f>IF(AND(B35&lt;&gt;"",B36&lt;&gt;""), IF(B35&gt;=B36,"OK","NG"), "")</f>
        <v>OK</v>
      </c>
      <c r="C37" t="s">
        <v>88</v>
      </c>
    </row>
    <row r="39" spans="1:3" ht="19" x14ac:dyDescent="0.25">
      <c r="A39" s="1" t="s">
        <v>89</v>
      </c>
    </row>
    <row r="40" spans="1:3" x14ac:dyDescent="0.2">
      <c r="A40" s="2" t="s">
        <v>16</v>
      </c>
      <c r="B40" s="2" t="s">
        <v>17</v>
      </c>
      <c r="C40" s="2" t="s">
        <v>18</v>
      </c>
    </row>
    <row r="41" spans="1:3" x14ac:dyDescent="0.2">
      <c r="A41" t="s">
        <v>90</v>
      </c>
      <c r="B41" s="7">
        <f>IF(AND(B20&gt;0,B21&gt;0,B33&gt;0), B20*B21*B33*60, "")</f>
        <v>324000000</v>
      </c>
      <c r="C41" t="s">
        <v>91</v>
      </c>
    </row>
    <row r="42" spans="1:3" x14ac:dyDescent="0.2">
      <c r="A42" t="s">
        <v>32</v>
      </c>
      <c r="B42" s="10">
        <f>IF(AND(B28&gt;0,B32&gt;0,B41&gt;0), B28*(B41/10^6)^(1/B32), "")</f>
        <v>26786.313275747965</v>
      </c>
      <c r="C42" t="s">
        <v>92</v>
      </c>
    </row>
    <row r="44" spans="1:3" ht="19" x14ac:dyDescent="0.25">
      <c r="A44" s="1" t="s">
        <v>93</v>
      </c>
    </row>
    <row r="45" spans="1:3" x14ac:dyDescent="0.2">
      <c r="A45" s="2" t="s">
        <v>16</v>
      </c>
      <c r="B45" s="2" t="s">
        <v>17</v>
      </c>
      <c r="C45" s="2" t="s">
        <v>18</v>
      </c>
    </row>
    <row r="46" spans="1:3" x14ac:dyDescent="0.2">
      <c r="A46" t="s">
        <v>94</v>
      </c>
      <c r="B46" t="str">
        <f>B12</f>
        <v>볼베어링</v>
      </c>
      <c r="C46" t="s">
        <v>95</v>
      </c>
    </row>
    <row r="47" spans="1:3" x14ac:dyDescent="0.2">
      <c r="A47" t="s">
        <v>45</v>
      </c>
      <c r="B47" s="3" t="str">
        <f>IFERROR(INDEX($K$4:$K$1000, MATCH(MIN($R$4:$R$1000), $R$4:$R$1000, 0)),"")</f>
        <v>6310-2RS</v>
      </c>
      <c r="C47" t="s">
        <v>96</v>
      </c>
    </row>
    <row r="48" spans="1:3" x14ac:dyDescent="0.2">
      <c r="A48" t="s">
        <v>48</v>
      </c>
      <c r="B48" s="3" t="str">
        <f>IFERROR(INDEX($J$4:$J$1000, MATCH($B$47, $K$4:$K$1000, 0)),"")</f>
        <v>SKF</v>
      </c>
      <c r="C48" t="s">
        <v>97</v>
      </c>
    </row>
    <row r="49" spans="1:3" x14ac:dyDescent="0.2">
      <c r="A49" t="s">
        <v>98</v>
      </c>
      <c r="B49" s="3">
        <f>IFERROR(VLOOKUP($B$47, $K$4:$M$1000, 3, FALSE),"")</f>
        <v>29500</v>
      </c>
      <c r="C49" t="s">
        <v>99</v>
      </c>
    </row>
    <row r="50" spans="1:3" x14ac:dyDescent="0.2">
      <c r="A50" t="s">
        <v>8</v>
      </c>
      <c r="B50" s="3">
        <f>IFERROR(VLOOKUP($B$47, $K$4:$N$1000, 4, FALSE),"")</f>
        <v>9000</v>
      </c>
      <c r="C50" t="s">
        <v>100</v>
      </c>
    </row>
    <row r="51" spans="1:3" x14ac:dyDescent="0.2">
      <c r="A51" t="s">
        <v>9</v>
      </c>
      <c r="B51" s="3" t="str">
        <f>IFERROR(VLOOKUP($B$47, $K$4:$O$1000, 5, FALSE),"")</f>
        <v>IP65/RS</v>
      </c>
      <c r="C51" t="s">
        <v>101</v>
      </c>
    </row>
  </sheetData>
  <conditionalFormatting sqref="B37">
    <cfRule type="containsText" dxfId="1" priority="1" operator="containsText" text="NG">
      <formula>NOT(ISERROR(SEARCH("NG",B37)))</formula>
    </cfRule>
    <cfRule type="containsText" dxfId="0" priority="2" operator="containsText" text="OK">
      <formula>NOT(ISERROR(SEARCH("OK",B37)))</formula>
    </cfRule>
  </conditionalFormatting>
  <dataValidations count="1">
    <dataValidation type="list" showInputMessage="1" showErrorMessage="1" sqref="B12" xr:uid="{00000000-0002-0000-0000-000000000000}">
      <formula1>"볼베어링,롤러베어링,슬루잉베어링"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세션2_베어링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Donghoon Son</cp:lastModifiedBy>
  <dcterms:created xsi:type="dcterms:W3CDTF">2025-08-14T11:48:48Z</dcterms:created>
  <dcterms:modified xsi:type="dcterms:W3CDTF">2025-08-17T14:38:52Z</dcterms:modified>
</cp:coreProperties>
</file>